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codeName="ThisWorkbook" defaultThemeVersion="124226"/>
  <mc:AlternateContent xmlns:mc="http://schemas.openxmlformats.org/markup-compatibility/2006">
    <mc:Choice Requires="x15">
      <x15ac:absPath xmlns:x15ac="http://schemas.microsoft.com/office/spreadsheetml/2010/11/ac" url="E:\Agams\Euro Cup\Euro 2024 Top Scorer\"/>
    </mc:Choice>
  </mc:AlternateContent>
  <xr:revisionPtr revIDLastSave="0" documentId="8_{2FE4F880-329B-469D-BF53-113A088C91BA}" xr6:coauthVersionLast="47" xr6:coauthVersionMax="47" xr10:uidLastSave="{00000000-0000-0000-0000-000000000000}"/>
  <workbookProtection workbookAlgorithmName="SHA-512" workbookHashValue="rG+xm2u2NuBdu5sr/naY5/Oy49+YiRNWXx9mcn/GjrIWVPpAuhc8+HSBhgsBVPbu1a2noFE0vsZ9c0rTkRbrTw==" workbookSaltValue="7SdmBrjvyYqbn3OPA8vjEw==" workbookSpinCount="100000" lockStructure="1"/>
  <bookViews>
    <workbookView xWindow="-120" yWindow="-120" windowWidth="20730" windowHeight="11760" tabRatio="804" activeTab="1" xr2:uid="{00000000-000D-0000-FFFF-FFFF00000000}"/>
  </bookViews>
  <sheets>
    <sheet name="Setup" sheetId="21" r:id="rId1"/>
    <sheet name="Top Scorer" sheetId="32" r:id="rId2"/>
    <sheet name="Group Stages" sheetId="28" r:id="rId3"/>
    <sheet name="Dummy Top Scorer" sheetId="31" state="hidden" r:id="rId4"/>
    <sheet name="Knock Out Stages" sheetId="29" r:id="rId5"/>
    <sheet name="Player Database" sheetId="30" r:id="rId6"/>
    <sheet name="Tournament" sheetId="1" r:id="rId7"/>
    <sheet name="Language" sheetId="24" state="hidden" r:id="rId8"/>
    <sheet name="Dummy Table" sheetId="2" state="hidden" r:id="rId9"/>
    <sheet name="Tie Breaker Regulation" sheetId="25" r:id="rId10"/>
    <sheet name="About" sheetId="26" r:id="rId11"/>
    <sheet name="License" sheetId="27" r:id="rId12"/>
  </sheets>
  <definedNames>
    <definedName name="A1A2">'Dummy Top Scorer'!$B$3:$B$54</definedName>
    <definedName name="A1A3">'Dummy Top Scorer'!$B$57:$B$108</definedName>
    <definedName name="A1A4">'Dummy Top Scorer'!$B$111:$B$162</definedName>
    <definedName name="A2A1">'Dummy Top Scorer'!$C$3:$C$54</definedName>
    <definedName name="A2A3">'Dummy Top Scorer'!$C$57:$C$108</definedName>
    <definedName name="A2A4">'Dummy Top Scorer'!$C$111:$C$162</definedName>
    <definedName name="A3A1">'Dummy Top Scorer'!$D$3:$D$54</definedName>
    <definedName name="A3A2">'Dummy Top Scorer'!$D$57:$D$108</definedName>
    <definedName name="A3A4">'Dummy Top Scorer'!$D$111:$D$162</definedName>
    <definedName name="A4A1">'Dummy Top Scorer'!$E$3:$E$54</definedName>
    <definedName name="A4A2">'Dummy Top Scorer'!$E$57:$E$108</definedName>
    <definedName name="A4A3">'Dummy Top Scorer'!$E$111:$E$162</definedName>
    <definedName name="AC1C2">'Dummy Top Scorer'!$J$3:$J$54</definedName>
    <definedName name="AC1C3">'Dummy Top Scorer'!$J$57:$J$108</definedName>
    <definedName name="AC1C4">'Dummy Top Scorer'!$J$111:$J$162</definedName>
    <definedName name="AC2C1">'Dummy Top Scorer'!$K$3:$K$54</definedName>
    <definedName name="AC2C3">'Dummy Top Scorer'!$K$57:$K$108</definedName>
    <definedName name="AC2C4">'Dummy Top Scorer'!$K$111:$K$162</definedName>
    <definedName name="AC3C1">'Dummy Top Scorer'!$L$3:$L$54</definedName>
    <definedName name="AC3C2">'Dummy Top Scorer'!$L$57:$L$108</definedName>
    <definedName name="AC3C4">'Dummy Top Scorer'!$L$111:$L$162</definedName>
    <definedName name="AC4C1">'Dummy Top Scorer'!$M$3:$M$54</definedName>
    <definedName name="AC4C2">'Dummy Top Scorer'!$M$57:$M$108</definedName>
    <definedName name="AC4C3">'Dummy Top Scorer'!$M$111:$M$162</definedName>
    <definedName name="B1B2">'Dummy Top Scorer'!$F$3:$F$54</definedName>
    <definedName name="B1B3">'Dummy Top Scorer'!$F$57:$F$108</definedName>
    <definedName name="B1B4">'Dummy Top Scorer'!$F$111:$F$162</definedName>
    <definedName name="B2B1">'Dummy Top Scorer'!$G$3:$G$54</definedName>
    <definedName name="B2B3">'Dummy Top Scorer'!$G$57:$G$108</definedName>
    <definedName name="B2B4">'Dummy Top Scorer'!$G$111:$G$162</definedName>
    <definedName name="B3B1">'Dummy Top Scorer'!$H$3:$H$54</definedName>
    <definedName name="B3B2">'Dummy Top Scorer'!$H$57:$H$108</definedName>
    <definedName name="B3B4">'Dummy Top Scorer'!$H$112:$H$162</definedName>
    <definedName name="B4B1">'Dummy Top Scorer'!$I$3:$I$54</definedName>
    <definedName name="B4B2">'Dummy Top Scorer'!$I$57:$I$108</definedName>
    <definedName name="B4B3">'Dummy Top Scorer'!$I$111:$I$162</definedName>
    <definedName name="BIGQ11">'Dummy Top Scorer'!$AZ$3:$AZ$51</definedName>
    <definedName name="BIGQ12">'Dummy Top Scorer'!$BA$3:$BA$51</definedName>
    <definedName name="BIGQ21">'Dummy Top Scorer'!$BB$3:$BB$51</definedName>
    <definedName name="BIGQ22">'Dummy Top Scorer'!$BC$3:$BC$51</definedName>
    <definedName name="BIGQ31">'Dummy Top Scorer'!$BD$3:$BD$51</definedName>
    <definedName name="BIGQ32">'Dummy Top Scorer'!$BE$3:$BE$51</definedName>
    <definedName name="BIGQ41">'Dummy Top Scorer'!$BF$3:$BF$51</definedName>
    <definedName name="BIGQ42">'Dummy Top Scorer'!$BG$3:$BG$51</definedName>
    <definedName name="Countries">Language!$C$1:$H$1</definedName>
    <definedName name="Country">Setup!$C$9:$C$32</definedName>
    <definedName name="D1D2">'Dummy Top Scorer'!$N$3:$N$54</definedName>
    <definedName name="D1D3">'Dummy Top Scorer'!$N$57:$N$108</definedName>
    <definedName name="D1D4">'Dummy Top Scorer'!$N$111:$N$162</definedName>
    <definedName name="D2D1">'Dummy Top Scorer'!$O$3:$O$54</definedName>
    <definedName name="D2D3">'Dummy Top Scorer'!$O$57:$O$108</definedName>
    <definedName name="D2D4">'Dummy Top Scorer'!$O$111:$O$162</definedName>
    <definedName name="D3D1">'Dummy Top Scorer'!$P$3:$P$54</definedName>
    <definedName name="D3D2">'Dummy Top Scorer'!$P$57:$P$108</definedName>
    <definedName name="D3D4">'Dummy Top Scorer'!$P$111:$P$162</definedName>
    <definedName name="D4D1">'Dummy Top Scorer'!$Q$3:$Q$54</definedName>
    <definedName name="D4D2">'Dummy Top Scorer'!$Q$57:$Q$108</definedName>
    <definedName name="D4D3">'Dummy Top Scorer'!$Q$111:$Q$162</definedName>
    <definedName name="E1E2">'Dummy Top Scorer'!$R$3:$R$54</definedName>
    <definedName name="E1E3">'Dummy Top Scorer'!$R$57:$R$108</definedName>
    <definedName name="E1E4">'Dummy Top Scorer'!$R$111:$R$162</definedName>
    <definedName name="E2E1">'Dummy Top Scorer'!$S$3:$S$54</definedName>
    <definedName name="E2E3">'Dummy Top Scorer'!$S$57:$S$108</definedName>
    <definedName name="E2E4">'Dummy Top Scorer'!$S$111:$S$162</definedName>
    <definedName name="E3E1">'Dummy Top Scorer'!$T$3:$T$54</definedName>
    <definedName name="E3E2">'Dummy Top Scorer'!$T$57:$T$108</definedName>
    <definedName name="E3E4">'Dummy Top Scorer'!$T$111:$T$162</definedName>
    <definedName name="E4E1">'Dummy Top Scorer'!$U$3:$U$54</definedName>
    <definedName name="E4E2">'Dummy Top Scorer'!$U$57:$U$108</definedName>
    <definedName name="E4E3">'Dummy Top Scorer'!$U$111:$U$162</definedName>
    <definedName name="F1F2">'Dummy Top Scorer'!$V$3:$V$54</definedName>
    <definedName name="F1F3">'Dummy Top Scorer'!$V$57:$V$108</definedName>
    <definedName name="F1F4">'Dummy Top Scorer'!$V$111:$V$162</definedName>
    <definedName name="F2F1">'Dummy Top Scorer'!$W$3:$W$54</definedName>
    <definedName name="F2F3">'Dummy Top Scorer'!$W$57:$W$108</definedName>
    <definedName name="F2F4">'Dummy Top Scorer'!$W$111:$W$162</definedName>
    <definedName name="F3F1">'Dummy Top Scorer'!$X$3:$X$54</definedName>
    <definedName name="F3F2">'Dummy Top Scorer'!$X$57:$X$108</definedName>
    <definedName name="F3F4">'Dummy Top Scorer'!$X$111:$X$162</definedName>
    <definedName name="F4F1">'Dummy Top Scorer'!$Y$3:$Y$54</definedName>
    <definedName name="F4F2">'Dummy Top Scorer'!$Y$57:$Y$108</definedName>
    <definedName name="F4F3">'Dummy Top Scorer'!$Y$111:$Y$162</definedName>
    <definedName name="FINAL11">'Dummy Top Scorer'!$BQ$3:$BQ$51</definedName>
    <definedName name="FINAL12">'Dummy Top Scorer'!$BR$3:$BR$51</definedName>
    <definedName name="G1G2">'Dummy Top Scorer'!$Z$3:$Z$48</definedName>
    <definedName name="G1G3">'Dummy Top Scorer'!$Z$51:$Z$96</definedName>
    <definedName name="G1G4">'Dummy Top Scorer'!$Z$99:$Z$144</definedName>
    <definedName name="G2G1">'Dummy Top Scorer'!$AA$3:$AA$48</definedName>
    <definedName name="G2G3">'Dummy Top Scorer'!$AA$51:$AA$96</definedName>
    <definedName name="G2G4">'Dummy Top Scorer'!$AA$99:$AA$144</definedName>
    <definedName name="G3G1">'Dummy Top Scorer'!$AB$3:$AB$48</definedName>
    <definedName name="G3G2">'Dummy Top Scorer'!$AB$51:$AB$96</definedName>
    <definedName name="G3G4">'Dummy Top Scorer'!$AB$99:$AB$144</definedName>
    <definedName name="G4G1">'Dummy Top Scorer'!$AC$3:$AC$48</definedName>
    <definedName name="G4G2">'Dummy Top Scorer'!$AC$51:$AC$96</definedName>
    <definedName name="G4G3">'Dummy Top Scorer'!$AC$99:$AC$144</definedName>
    <definedName name="H1H2">'Dummy Top Scorer'!$AD$3:$AD$48</definedName>
    <definedName name="H1H3">'Dummy Top Scorer'!$AD$51:$AD$96</definedName>
    <definedName name="H1H4">'Dummy Top Scorer'!$AD$99:$AD$144</definedName>
    <definedName name="H2H1">'Dummy Top Scorer'!$AE$3:$AE$48</definedName>
    <definedName name="H2H3">'Dummy Top Scorer'!$AE$51:$AE$96</definedName>
    <definedName name="H2H4">'Dummy Top Scorer'!$AE$99:$AE$144</definedName>
    <definedName name="H3H1">'Dummy Top Scorer'!$AF$3:$AF$48</definedName>
    <definedName name="H3H2">'Dummy Top Scorer'!$AF$51:$AF$96</definedName>
    <definedName name="H3H4">'Dummy Top Scorer'!$AF$99:$AF$144</definedName>
    <definedName name="H4H1">'Dummy Top Scorer'!$AG$3:$AG$48</definedName>
    <definedName name="H4H2">'Dummy Top Scorer'!$AG$51:$AG$96</definedName>
    <definedName name="H4H3">'Dummy Top Scorer'!$AG$99:$AG$144</definedName>
    <definedName name="PoolTeam">'Dummy Table'!$B$50:$B$75</definedName>
    <definedName name="_xlnm.Print_Area" localSheetId="2">'Group Stages'!$B$3:$Q$80</definedName>
    <definedName name="_xlnm.Print_Area" localSheetId="4">'Knock Out Stages'!$B$3:$R$49</definedName>
    <definedName name="_xlnm.Print_Area" localSheetId="9">'Tie Breaker Regulation'!$A$1:$N$46</definedName>
    <definedName name="_xlnm.Print_Area" localSheetId="6">Tournament!$B$3:$AC$58</definedName>
    <definedName name="QUFI11">'Dummy Top Scorer'!$AI$3:$AI$51</definedName>
    <definedName name="QUFI12">'Dummy Top Scorer'!$AJ$3:$AJ$51</definedName>
    <definedName name="QUFI21">'Dummy Top Scorer'!$AK$3:$AK$51</definedName>
    <definedName name="QUFI22">'Dummy Top Scorer'!$AL$3:$AL$51</definedName>
    <definedName name="QUFI31">'Dummy Top Scorer'!$AM$3:$AM$51</definedName>
    <definedName name="QUFI32">'Dummy Top Scorer'!$AN$3:$AN$51</definedName>
    <definedName name="QUFI41">'Dummy Top Scorer'!$AO$3:$AO$51</definedName>
    <definedName name="QUFI42">'Dummy Top Scorer'!$AP$3:$AP$51</definedName>
    <definedName name="QUFI51">'Dummy Top Scorer'!$AQ$3:$AQ$51</definedName>
    <definedName name="QUFI52">'Dummy Top Scorer'!$AR$3:$AR$51</definedName>
    <definedName name="QUFI61">'Dummy Top Scorer'!$AS$3:$AS$51</definedName>
    <definedName name="QUFI62">'Dummy Top Scorer'!$AT$3:$AT$51</definedName>
    <definedName name="QUFI71">'Dummy Top Scorer'!$AU$3:$AU$51</definedName>
    <definedName name="QUFI72">'Dummy Top Scorer'!$AV$3:$AV$51</definedName>
    <definedName name="QUFI81">'Dummy Top Scorer'!$AW$3:$AW$51</definedName>
    <definedName name="QUFI82">'Dummy Top Scorer'!$AX$3:$AX$51</definedName>
    <definedName name="SEFI11">'Dummy Top Scorer'!$BI$3:$BI$51</definedName>
    <definedName name="SEFI12">'Dummy Top Scorer'!$BJ$3:$BJ$51</definedName>
    <definedName name="SEFI21">'Dummy Top Scorer'!$BK$3:$BK$51</definedName>
    <definedName name="SEFI22">'Dummy Top Scorer'!$BL$3:$BL$51</definedName>
    <definedName name="Team">'Dummy Table'!$EH$7:$EH$38</definedName>
    <definedName name="THIR11">'Dummy Top Scorer'!$BN$3:$BN$51</definedName>
    <definedName name="THIR12">'Dummy Top Scorer'!$BO$3:$BO$51</definedName>
    <definedName name="TimezoneData">Setup!$D$5</definedName>
    <definedName name="TimezoneList">'Dummy Table'!$EO$8:$EO$57</definedName>
    <definedName name="Venues">'Dummy Table'!$C$50:$C$59</definedName>
  </definedNames>
  <calcPr calcId="191029"/>
</workbook>
</file>

<file path=xl/calcChain.xml><?xml version="1.0" encoding="utf-8"?>
<calcChain xmlns="http://schemas.openxmlformats.org/spreadsheetml/2006/main">
  <c r="N162" i="31" l="1"/>
  <c r="J162" i="31"/>
  <c r="V161" i="31"/>
  <c r="R161" i="31"/>
  <c r="F161" i="31"/>
  <c r="B161" i="31"/>
  <c r="N160" i="31"/>
  <c r="J160" i="31"/>
  <c r="J108" i="31"/>
  <c r="R107" i="31"/>
  <c r="B107" i="31"/>
  <c r="J106" i="31"/>
  <c r="V82" i="31"/>
  <c r="V136" i="31" s="1"/>
  <c r="R82" i="31"/>
  <c r="R136" i="31" s="1"/>
  <c r="J82" i="31"/>
  <c r="J136" i="31" s="1"/>
  <c r="F82" i="31"/>
  <c r="F136" i="31" s="1"/>
  <c r="B82" i="31"/>
  <c r="B136" i="31" s="1"/>
  <c r="R81" i="31"/>
  <c r="R135" i="31" s="1"/>
  <c r="N81" i="31"/>
  <c r="N135" i="31" s="1"/>
  <c r="J81" i="31"/>
  <c r="J135" i="31" s="1"/>
  <c r="B81" i="31"/>
  <c r="B135" i="31" s="1"/>
  <c r="V80" i="31"/>
  <c r="V134" i="31" s="1"/>
  <c r="R80" i="31"/>
  <c r="R134" i="31" s="1"/>
  <c r="J80" i="31"/>
  <c r="J134" i="31" s="1"/>
  <c r="F80" i="31"/>
  <c r="F134" i="31" s="1"/>
  <c r="B80" i="31"/>
  <c r="B134" i="31" s="1"/>
  <c r="X53" i="31"/>
  <c r="P53" i="31"/>
  <c r="H53" i="31"/>
  <c r="Y52" i="31"/>
  <c r="X52" i="31"/>
  <c r="U52" i="31"/>
  <c r="T52" i="31"/>
  <c r="S52" i="31"/>
  <c r="Q52" i="31"/>
  <c r="P52" i="31"/>
  <c r="O52" i="31"/>
  <c r="M52" i="31"/>
  <c r="L52" i="31"/>
  <c r="K52" i="31"/>
  <c r="I52" i="31"/>
  <c r="H52" i="31"/>
  <c r="G52" i="31"/>
  <c r="E52" i="31"/>
  <c r="D52" i="31"/>
  <c r="C52" i="31"/>
  <c r="Y28" i="31"/>
  <c r="X28" i="31"/>
  <c r="W28" i="31"/>
  <c r="V28" i="31"/>
  <c r="U28" i="31"/>
  <c r="T28" i="31"/>
  <c r="S28" i="31"/>
  <c r="R28" i="31"/>
  <c r="Q28" i="31"/>
  <c r="P28" i="31"/>
  <c r="O28" i="31"/>
  <c r="N28" i="31"/>
  <c r="M28" i="31"/>
  <c r="L28" i="31"/>
  <c r="K28" i="31"/>
  <c r="J28" i="31"/>
  <c r="I28" i="31"/>
  <c r="H28" i="31"/>
  <c r="G28" i="31"/>
  <c r="F28" i="31"/>
  <c r="E28" i="31"/>
  <c r="D28" i="31"/>
  <c r="C28" i="31"/>
  <c r="B28" i="31"/>
  <c r="Y27" i="31"/>
  <c r="X27" i="31"/>
  <c r="W27" i="31"/>
  <c r="V27" i="31"/>
  <c r="U27" i="31"/>
  <c r="T27" i="31"/>
  <c r="S27" i="31"/>
  <c r="R27" i="31"/>
  <c r="Q27" i="31"/>
  <c r="P27" i="31"/>
  <c r="O27" i="31"/>
  <c r="N27" i="31"/>
  <c r="M27" i="31"/>
  <c r="L27" i="31"/>
  <c r="K27" i="31"/>
  <c r="J27" i="31"/>
  <c r="I27" i="31"/>
  <c r="H27" i="31"/>
  <c r="G27" i="31"/>
  <c r="F27" i="31"/>
  <c r="E27" i="31"/>
  <c r="D27" i="31"/>
  <c r="C27" i="31"/>
  <c r="B27" i="31"/>
  <c r="Y26" i="31"/>
  <c r="X26" i="31"/>
  <c r="W26" i="31"/>
  <c r="V26" i="31"/>
  <c r="W52" i="31" s="1"/>
  <c r="U26" i="31"/>
  <c r="T26" i="31"/>
  <c r="S26" i="31"/>
  <c r="R26" i="31"/>
  <c r="Q26" i="31"/>
  <c r="P26" i="31"/>
  <c r="O26" i="31"/>
  <c r="N26" i="31"/>
  <c r="N80" i="31" s="1"/>
  <c r="N134" i="31" s="1"/>
  <c r="M26" i="31"/>
  <c r="L26" i="31"/>
  <c r="K26" i="31"/>
  <c r="J26" i="31"/>
  <c r="I26" i="31"/>
  <c r="H26" i="31"/>
  <c r="G26" i="31"/>
  <c r="F26" i="31"/>
  <c r="E26" i="31"/>
  <c r="D26" i="31"/>
  <c r="C26" i="31"/>
  <c r="B26" i="31"/>
  <c r="E106" i="31" l="1"/>
  <c r="D106" i="31"/>
  <c r="C134" i="31"/>
  <c r="C80" i="31"/>
  <c r="B52" i="31"/>
  <c r="I106" i="31"/>
  <c r="H107" i="31"/>
  <c r="G134" i="31"/>
  <c r="G80" i="31"/>
  <c r="F52" i="31"/>
  <c r="M106" i="31"/>
  <c r="L106" i="31"/>
  <c r="K134" i="31"/>
  <c r="K80" i="31"/>
  <c r="J52" i="31"/>
  <c r="Q106" i="31"/>
  <c r="P106" i="31"/>
  <c r="O134" i="31"/>
  <c r="O80" i="31"/>
  <c r="N52" i="31"/>
  <c r="U106" i="31"/>
  <c r="T106" i="31"/>
  <c r="S134" i="31"/>
  <c r="S80" i="31"/>
  <c r="R52" i="31"/>
  <c r="Y106" i="31"/>
  <c r="X106" i="31"/>
  <c r="W134" i="31"/>
  <c r="W80" i="31"/>
  <c r="V52" i="31"/>
  <c r="E107" i="31"/>
  <c r="D107" i="31"/>
  <c r="C135" i="31"/>
  <c r="C81" i="31"/>
  <c r="B53" i="31"/>
  <c r="I107" i="31"/>
  <c r="H108" i="31"/>
  <c r="G135" i="31"/>
  <c r="G81" i="31"/>
  <c r="F53" i="31"/>
  <c r="M107" i="31"/>
  <c r="L107" i="31"/>
  <c r="K135" i="31"/>
  <c r="K81" i="31"/>
  <c r="J53" i="31"/>
  <c r="Q107" i="31"/>
  <c r="P107" i="31"/>
  <c r="O135" i="31"/>
  <c r="O81" i="31"/>
  <c r="N53" i="31"/>
  <c r="U107" i="31"/>
  <c r="T107" i="31"/>
  <c r="S135" i="31"/>
  <c r="S81" i="31"/>
  <c r="R53" i="31"/>
  <c r="Y107" i="31"/>
  <c r="X107" i="31"/>
  <c r="W135" i="31"/>
  <c r="W81" i="31"/>
  <c r="V53" i="31"/>
  <c r="E108" i="31"/>
  <c r="D108" i="31"/>
  <c r="C136" i="31"/>
  <c r="C82" i="31"/>
  <c r="B54" i="31"/>
  <c r="I108" i="31"/>
  <c r="G136" i="31"/>
  <c r="G82" i="31"/>
  <c r="M108" i="31"/>
  <c r="L108" i="31"/>
  <c r="K136" i="31"/>
  <c r="K82" i="31"/>
  <c r="Q108" i="31"/>
  <c r="P108" i="31"/>
  <c r="O136" i="31"/>
  <c r="O82" i="31"/>
  <c r="U108" i="31"/>
  <c r="T108" i="31"/>
  <c r="S136" i="31"/>
  <c r="S82" i="31"/>
  <c r="Y108" i="31"/>
  <c r="X108" i="31"/>
  <c r="W136" i="31"/>
  <c r="W82" i="31"/>
  <c r="J54" i="31"/>
  <c r="E160" i="31"/>
  <c r="D134" i="31"/>
  <c r="D80" i="31"/>
  <c r="C106" i="31"/>
  <c r="I160" i="31"/>
  <c r="H135" i="31"/>
  <c r="H80" i="31"/>
  <c r="G106" i="31"/>
  <c r="M160" i="31"/>
  <c r="L134" i="31"/>
  <c r="L80" i="31"/>
  <c r="K106" i="31"/>
  <c r="Q160" i="31"/>
  <c r="P134" i="31"/>
  <c r="P80" i="31"/>
  <c r="O106" i="31"/>
  <c r="U160" i="31"/>
  <c r="T134" i="31"/>
  <c r="T80" i="31"/>
  <c r="S106" i="31"/>
  <c r="Y160" i="31"/>
  <c r="X134" i="31"/>
  <c r="X80" i="31"/>
  <c r="W106" i="31"/>
  <c r="E161" i="31"/>
  <c r="D135" i="31"/>
  <c r="D81" i="31"/>
  <c r="C107" i="31"/>
  <c r="I161" i="31"/>
  <c r="H136" i="31"/>
  <c r="H81" i="31"/>
  <c r="G107" i="31"/>
  <c r="M161" i="31"/>
  <c r="L135" i="31"/>
  <c r="L81" i="31"/>
  <c r="K107" i="31"/>
  <c r="Q161" i="31"/>
  <c r="P135" i="31"/>
  <c r="P81" i="31"/>
  <c r="O107" i="31"/>
  <c r="U161" i="31"/>
  <c r="T135" i="31"/>
  <c r="T81" i="31"/>
  <c r="S107" i="31"/>
  <c r="Y161" i="31"/>
  <c r="X135" i="31"/>
  <c r="X81" i="31"/>
  <c r="W107" i="31"/>
  <c r="E162" i="31"/>
  <c r="D136" i="31"/>
  <c r="D82" i="31"/>
  <c r="C108" i="31"/>
  <c r="I162" i="31"/>
  <c r="H82" i="31"/>
  <c r="G108" i="31"/>
  <c r="M162" i="31"/>
  <c r="L136" i="31"/>
  <c r="L82" i="31"/>
  <c r="K108" i="31"/>
  <c r="Q162" i="31"/>
  <c r="P136" i="31"/>
  <c r="P82" i="31"/>
  <c r="O108" i="31"/>
  <c r="U162" i="31"/>
  <c r="T136" i="31"/>
  <c r="T82" i="31"/>
  <c r="S108" i="31"/>
  <c r="Y162" i="31"/>
  <c r="X136" i="31"/>
  <c r="X82" i="31"/>
  <c r="W108" i="31"/>
  <c r="N54" i="31"/>
  <c r="N106" i="31"/>
  <c r="F107" i="31"/>
  <c r="V107" i="31"/>
  <c r="N108" i="31"/>
  <c r="E134" i="31"/>
  <c r="E80" i="31"/>
  <c r="D160" i="31"/>
  <c r="C160" i="31"/>
  <c r="I134" i="31"/>
  <c r="I80" i="31"/>
  <c r="H161" i="31"/>
  <c r="G160" i="31"/>
  <c r="M134" i="31"/>
  <c r="M80" i="31"/>
  <c r="L160" i="31"/>
  <c r="K160" i="31"/>
  <c r="Q134" i="31"/>
  <c r="Q80" i="31"/>
  <c r="P160" i="31"/>
  <c r="O160" i="31"/>
  <c r="U134" i="31"/>
  <c r="U80" i="31"/>
  <c r="T160" i="31"/>
  <c r="S160" i="31"/>
  <c r="Y134" i="31"/>
  <c r="Y80" i="31"/>
  <c r="X160" i="31"/>
  <c r="W160" i="31"/>
  <c r="E135" i="31"/>
  <c r="E81" i="31"/>
  <c r="D161" i="31"/>
  <c r="C161" i="31"/>
  <c r="I135" i="31"/>
  <c r="I81" i="31"/>
  <c r="H162" i="31"/>
  <c r="G161" i="31"/>
  <c r="M135" i="31"/>
  <c r="M81" i="31"/>
  <c r="L161" i="31"/>
  <c r="K161" i="31"/>
  <c r="Q135" i="31"/>
  <c r="Q81" i="31"/>
  <c r="P161" i="31"/>
  <c r="O161" i="31"/>
  <c r="U135" i="31"/>
  <c r="U81" i="31"/>
  <c r="T161" i="31"/>
  <c r="S161" i="31"/>
  <c r="Y135" i="31"/>
  <c r="Y81" i="31"/>
  <c r="X161" i="31"/>
  <c r="W161" i="31"/>
  <c r="E136" i="31"/>
  <c r="E82" i="31"/>
  <c r="D162" i="31"/>
  <c r="C162" i="31"/>
  <c r="I136" i="31"/>
  <c r="I82" i="31"/>
  <c r="G162" i="31"/>
  <c r="M136" i="31"/>
  <c r="M82" i="31"/>
  <c r="L162" i="31"/>
  <c r="K162" i="31"/>
  <c r="Q136" i="31"/>
  <c r="Q82" i="31"/>
  <c r="P162" i="31"/>
  <c r="O162" i="31"/>
  <c r="U136" i="31"/>
  <c r="U82" i="31"/>
  <c r="T162" i="31"/>
  <c r="S162" i="31"/>
  <c r="Y136" i="31"/>
  <c r="Y82" i="31"/>
  <c r="X162" i="31"/>
  <c r="W162" i="31"/>
  <c r="R54" i="31"/>
  <c r="B106" i="31"/>
  <c r="R106" i="31"/>
  <c r="J107" i="31"/>
  <c r="B108" i="31"/>
  <c r="R108" i="31"/>
  <c r="B160" i="31"/>
  <c r="R160" i="31"/>
  <c r="J161" i="31"/>
  <c r="B162" i="31"/>
  <c r="R162" i="31"/>
  <c r="E53" i="31"/>
  <c r="C53" i="31"/>
  <c r="I53" i="31"/>
  <c r="G53" i="31"/>
  <c r="M53" i="31"/>
  <c r="K53" i="31"/>
  <c r="Q53" i="31"/>
  <c r="O53" i="31"/>
  <c r="U53" i="31"/>
  <c r="S53" i="31"/>
  <c r="Y53" i="31"/>
  <c r="W53" i="31"/>
  <c r="E54" i="31"/>
  <c r="D54" i="31"/>
  <c r="C54" i="31"/>
  <c r="I54" i="31"/>
  <c r="H54" i="31"/>
  <c r="G54" i="31"/>
  <c r="M54" i="31"/>
  <c r="L54" i="31"/>
  <c r="K54" i="31"/>
  <c r="Q54" i="31"/>
  <c r="P54" i="31"/>
  <c r="O54" i="31"/>
  <c r="U54" i="31"/>
  <c r="T54" i="31"/>
  <c r="S54" i="31"/>
  <c r="Y54" i="31"/>
  <c r="X54" i="31"/>
  <c r="W54" i="31"/>
  <c r="D53" i="31"/>
  <c r="L53" i="31"/>
  <c r="T53" i="31"/>
  <c r="F54" i="31"/>
  <c r="V54" i="31"/>
  <c r="F81" i="31"/>
  <c r="F135" i="31" s="1"/>
  <c r="V81" i="31"/>
  <c r="V135" i="31" s="1"/>
  <c r="N82" i="31"/>
  <c r="N136" i="31" s="1"/>
  <c r="F106" i="31"/>
  <c r="V106" i="31"/>
  <c r="N107" i="31"/>
  <c r="F108" i="31"/>
  <c r="V108" i="31"/>
  <c r="F160" i="31"/>
  <c r="V160" i="31"/>
  <c r="N161" i="31"/>
  <c r="F162" i="31"/>
  <c r="V162" i="31"/>
  <c r="EJ73" i="2"/>
  <c r="EJ72" i="2"/>
  <c r="EJ71" i="2"/>
  <c r="EJ70" i="2"/>
  <c r="EJ69" i="2"/>
  <c r="EJ68" i="2"/>
  <c r="EJ67" i="2"/>
  <c r="EJ66" i="2"/>
  <c r="EJ65" i="2"/>
  <c r="EJ64" i="2"/>
  <c r="EJ63" i="2"/>
  <c r="EJ62" i="2"/>
  <c r="EJ61" i="2"/>
  <c r="EJ60" i="2"/>
  <c r="EJ59" i="2"/>
  <c r="EM58" i="2"/>
  <c r="EJ58" i="2"/>
  <c r="EM57" i="2"/>
  <c r="EJ57" i="2"/>
  <c r="EM56" i="2"/>
  <c r="EJ56" i="2"/>
  <c r="EM55" i="2"/>
  <c r="EJ55" i="2"/>
  <c r="EM54" i="2"/>
  <c r="EJ54" i="2"/>
  <c r="EM53" i="2"/>
  <c r="EJ53" i="2"/>
  <c r="EM52" i="2"/>
  <c r="EJ52" i="2"/>
  <c r="EM51" i="2"/>
  <c r="EJ51" i="2"/>
  <c r="EM50" i="2"/>
  <c r="EJ50" i="2"/>
  <c r="EM49" i="2"/>
  <c r="EJ49" i="2"/>
  <c r="EM48" i="2"/>
  <c r="EJ48" i="2"/>
  <c r="EM47" i="2"/>
  <c r="EJ47" i="2"/>
  <c r="EM46" i="2"/>
  <c r="EJ46" i="2"/>
  <c r="EM45" i="2"/>
  <c r="EJ45" i="2"/>
  <c r="EM44" i="2"/>
  <c r="EJ44" i="2"/>
  <c r="EM43" i="2"/>
  <c r="EJ43" i="2"/>
  <c r="EM42" i="2"/>
  <c r="EJ42" i="2"/>
  <c r="EM41" i="2"/>
  <c r="EJ41" i="2"/>
  <c r="EM40" i="2"/>
  <c r="EJ40" i="2"/>
  <c r="EM39" i="2"/>
  <c r="EM38" i="2"/>
  <c r="EM37" i="2"/>
  <c r="EM36" i="2"/>
  <c r="EM35" i="2"/>
  <c r="EM34" i="2"/>
  <c r="EM33" i="2"/>
  <c r="EM32" i="2"/>
  <c r="EM31" i="2"/>
  <c r="EM30" i="2"/>
  <c r="EM29" i="2"/>
  <c r="EM28" i="2"/>
  <c r="EM27" i="2"/>
  <c r="EM26" i="2"/>
  <c r="EM25" i="2"/>
  <c r="EM24" i="2"/>
  <c r="EM23" i="2"/>
  <c r="EM22" i="2"/>
  <c r="EM21" i="2"/>
  <c r="EM20" i="2"/>
  <c r="EM19" i="2"/>
  <c r="EM18" i="2"/>
  <c r="EM17" i="2"/>
  <c r="EM16" i="2"/>
  <c r="EM15" i="2"/>
  <c r="EM14" i="2"/>
  <c r="EM13" i="2"/>
  <c r="EM12" i="2"/>
  <c r="EM11" i="2"/>
  <c r="EM10" i="2"/>
  <c r="EM9" i="2"/>
  <c r="EM8" i="2"/>
  <c r="EM7" i="2"/>
  <c r="C3" i="31" l="1"/>
  <c r="D3" i="31"/>
  <c r="E3" i="31"/>
  <c r="F3" i="31"/>
  <c r="G3" i="31"/>
  <c r="H3" i="31"/>
  <c r="I3" i="31"/>
  <c r="J3" i="31"/>
  <c r="K3" i="31"/>
  <c r="L3" i="31"/>
  <c r="M3" i="31"/>
  <c r="N3" i="31"/>
  <c r="O3" i="31"/>
  <c r="P3" i="31"/>
  <c r="Q3" i="31"/>
  <c r="R3" i="31"/>
  <c r="S3" i="31"/>
  <c r="T3" i="31"/>
  <c r="U3" i="31"/>
  <c r="V3" i="31"/>
  <c r="W3" i="31"/>
  <c r="X3" i="31"/>
  <c r="Y3" i="31"/>
  <c r="C4" i="31"/>
  <c r="D4" i="31"/>
  <c r="E4" i="31"/>
  <c r="F4" i="31"/>
  <c r="G4" i="31"/>
  <c r="H4" i="31"/>
  <c r="I4" i="31"/>
  <c r="J4" i="31"/>
  <c r="K4" i="31"/>
  <c r="L4" i="31"/>
  <c r="M4" i="31"/>
  <c r="N4" i="31"/>
  <c r="O4" i="31"/>
  <c r="P4" i="31"/>
  <c r="Q4" i="31"/>
  <c r="R4" i="31"/>
  <c r="S4" i="31"/>
  <c r="T4" i="31"/>
  <c r="U4" i="31"/>
  <c r="V4" i="31"/>
  <c r="W4" i="31"/>
  <c r="X4" i="31"/>
  <c r="Y4" i="31"/>
  <c r="C5" i="31"/>
  <c r="D5" i="31"/>
  <c r="E5" i="31"/>
  <c r="F5" i="31"/>
  <c r="G5" i="31"/>
  <c r="H5" i="31"/>
  <c r="I5" i="31"/>
  <c r="J5" i="31"/>
  <c r="K5" i="31"/>
  <c r="L5" i="31"/>
  <c r="M5" i="31"/>
  <c r="N5" i="31"/>
  <c r="O5" i="31"/>
  <c r="P5" i="31"/>
  <c r="Q5" i="31"/>
  <c r="R5" i="31"/>
  <c r="S5" i="31"/>
  <c r="T5" i="31"/>
  <c r="U5" i="31"/>
  <c r="V5" i="31"/>
  <c r="W5" i="31"/>
  <c r="X5" i="31"/>
  <c r="Y5" i="31"/>
  <c r="C6" i="31"/>
  <c r="D6" i="31"/>
  <c r="E6" i="31"/>
  <c r="F6" i="31"/>
  <c r="G6" i="31"/>
  <c r="H6" i="31"/>
  <c r="I6" i="31"/>
  <c r="J6" i="31"/>
  <c r="K6" i="31"/>
  <c r="L6" i="31"/>
  <c r="M6" i="31"/>
  <c r="N6" i="31"/>
  <c r="O6" i="31"/>
  <c r="P6" i="31"/>
  <c r="Q6" i="31"/>
  <c r="R6" i="31"/>
  <c r="S6" i="31"/>
  <c r="T6" i="31"/>
  <c r="U6" i="31"/>
  <c r="V6" i="31"/>
  <c r="W6" i="31"/>
  <c r="X6" i="31"/>
  <c r="Y6" i="31"/>
  <c r="C7" i="31"/>
  <c r="D7" i="31"/>
  <c r="E7" i="31"/>
  <c r="F7" i="31"/>
  <c r="G7" i="31"/>
  <c r="H7" i="31"/>
  <c r="I7" i="31"/>
  <c r="J7" i="31"/>
  <c r="K7" i="31"/>
  <c r="L7" i="31"/>
  <c r="M7" i="31"/>
  <c r="N7" i="31"/>
  <c r="O7" i="31"/>
  <c r="P7" i="31"/>
  <c r="Q7" i="31"/>
  <c r="R7" i="31"/>
  <c r="S7" i="31"/>
  <c r="T7" i="31"/>
  <c r="U7" i="31"/>
  <c r="V7" i="31"/>
  <c r="W7" i="31"/>
  <c r="X7" i="31"/>
  <c r="Y7" i="31"/>
  <c r="C8" i="31"/>
  <c r="D8" i="31"/>
  <c r="E8" i="31"/>
  <c r="F8" i="31"/>
  <c r="G8" i="31"/>
  <c r="H8" i="31"/>
  <c r="I8" i="31"/>
  <c r="J8" i="31"/>
  <c r="K8" i="31"/>
  <c r="L8" i="31"/>
  <c r="M8" i="31"/>
  <c r="N8" i="31"/>
  <c r="O8" i="31"/>
  <c r="P8" i="31"/>
  <c r="Q8" i="31"/>
  <c r="R8" i="31"/>
  <c r="S8" i="31"/>
  <c r="T8" i="31"/>
  <c r="U8" i="31"/>
  <c r="V8" i="31"/>
  <c r="W8" i="31"/>
  <c r="X8" i="31"/>
  <c r="Y8" i="31"/>
  <c r="C9" i="31"/>
  <c r="D9" i="31"/>
  <c r="E9" i="31"/>
  <c r="F9" i="31"/>
  <c r="G9" i="31"/>
  <c r="H9" i="31"/>
  <c r="I9" i="31"/>
  <c r="J9" i="31"/>
  <c r="K9" i="31"/>
  <c r="L9" i="31"/>
  <c r="M9" i="31"/>
  <c r="N9" i="31"/>
  <c r="O9" i="31"/>
  <c r="P9" i="31"/>
  <c r="Q9" i="31"/>
  <c r="R9" i="31"/>
  <c r="S9" i="31"/>
  <c r="T9" i="31"/>
  <c r="U9" i="31"/>
  <c r="V9" i="31"/>
  <c r="W9" i="31"/>
  <c r="X9" i="31"/>
  <c r="Y9" i="31"/>
  <c r="C10" i="31"/>
  <c r="D10" i="31"/>
  <c r="E10" i="31"/>
  <c r="F10" i="31"/>
  <c r="G10" i="31"/>
  <c r="H10" i="31"/>
  <c r="I10" i="31"/>
  <c r="J10" i="31"/>
  <c r="K10" i="31"/>
  <c r="L10" i="31"/>
  <c r="M10" i="31"/>
  <c r="N10" i="31"/>
  <c r="O10" i="31"/>
  <c r="P10" i="31"/>
  <c r="Q10" i="31"/>
  <c r="R10" i="31"/>
  <c r="S10" i="31"/>
  <c r="T10" i="31"/>
  <c r="U10" i="31"/>
  <c r="V10" i="31"/>
  <c r="W10" i="31"/>
  <c r="X10" i="31"/>
  <c r="Y10" i="31"/>
  <c r="C11" i="31"/>
  <c r="D11" i="31"/>
  <c r="E11" i="31"/>
  <c r="F11" i="31"/>
  <c r="G11" i="31"/>
  <c r="H11" i="31"/>
  <c r="I11" i="31"/>
  <c r="J11" i="31"/>
  <c r="K11" i="31"/>
  <c r="L11" i="31"/>
  <c r="M11" i="31"/>
  <c r="N11" i="31"/>
  <c r="O11" i="31"/>
  <c r="P11" i="31"/>
  <c r="Q11" i="31"/>
  <c r="R11" i="31"/>
  <c r="S11" i="31"/>
  <c r="T11" i="31"/>
  <c r="U11" i="31"/>
  <c r="V11" i="31"/>
  <c r="W11" i="31"/>
  <c r="X11" i="31"/>
  <c r="Y11" i="31"/>
  <c r="C12" i="31"/>
  <c r="D12" i="31"/>
  <c r="E12" i="31"/>
  <c r="F12" i="31"/>
  <c r="G12" i="31"/>
  <c r="H12" i="31"/>
  <c r="I12" i="31"/>
  <c r="J12" i="31"/>
  <c r="K12" i="31"/>
  <c r="L12" i="31"/>
  <c r="M12" i="31"/>
  <c r="N12" i="31"/>
  <c r="O12" i="31"/>
  <c r="P12" i="31"/>
  <c r="Q12" i="31"/>
  <c r="R12" i="31"/>
  <c r="S12" i="31"/>
  <c r="T12" i="31"/>
  <c r="U12" i="31"/>
  <c r="V12" i="31"/>
  <c r="W12" i="31"/>
  <c r="X12" i="31"/>
  <c r="Y12" i="31"/>
  <c r="C13" i="31"/>
  <c r="D13" i="31"/>
  <c r="E13" i="31"/>
  <c r="F13" i="31"/>
  <c r="G13" i="31"/>
  <c r="H13" i="31"/>
  <c r="I13" i="31"/>
  <c r="J13" i="31"/>
  <c r="K13" i="31"/>
  <c r="L13" i="31"/>
  <c r="M13" i="31"/>
  <c r="N13" i="31"/>
  <c r="O13" i="31"/>
  <c r="P13" i="31"/>
  <c r="Q13" i="31"/>
  <c r="R13" i="31"/>
  <c r="S13" i="31"/>
  <c r="T13" i="31"/>
  <c r="U13" i="31"/>
  <c r="V13" i="31"/>
  <c r="W13" i="31"/>
  <c r="X13" i="31"/>
  <c r="Y13" i="31"/>
  <c r="C14" i="31"/>
  <c r="D14" i="31"/>
  <c r="E14" i="31"/>
  <c r="F14" i="31"/>
  <c r="G14" i="31"/>
  <c r="H14" i="31"/>
  <c r="I14" i="31"/>
  <c r="J14" i="31"/>
  <c r="K14" i="31"/>
  <c r="L14" i="31"/>
  <c r="M14" i="31"/>
  <c r="N14" i="31"/>
  <c r="O14" i="31"/>
  <c r="P14" i="31"/>
  <c r="Q14" i="31"/>
  <c r="R14" i="31"/>
  <c r="S14" i="31"/>
  <c r="T14" i="31"/>
  <c r="U14" i="31"/>
  <c r="V14" i="31"/>
  <c r="W14" i="31"/>
  <c r="X14" i="31"/>
  <c r="Y14" i="31"/>
  <c r="C15" i="31"/>
  <c r="D15" i="31"/>
  <c r="E15" i="31"/>
  <c r="F15" i="31"/>
  <c r="G15" i="31"/>
  <c r="H15" i="31"/>
  <c r="I15" i="31"/>
  <c r="J15" i="31"/>
  <c r="K15" i="31"/>
  <c r="L15" i="31"/>
  <c r="M15" i="31"/>
  <c r="N15" i="31"/>
  <c r="O15" i="31"/>
  <c r="P15" i="31"/>
  <c r="Q15" i="31"/>
  <c r="R15" i="31"/>
  <c r="S15" i="31"/>
  <c r="T15" i="31"/>
  <c r="U15" i="31"/>
  <c r="V15" i="31"/>
  <c r="W15" i="31"/>
  <c r="X15" i="31"/>
  <c r="Y15" i="31"/>
  <c r="C16" i="31"/>
  <c r="D16" i="31"/>
  <c r="E16" i="31"/>
  <c r="F16" i="31"/>
  <c r="G16" i="31"/>
  <c r="H16" i="31"/>
  <c r="I16" i="31"/>
  <c r="J16" i="31"/>
  <c r="K16" i="31"/>
  <c r="L16" i="31"/>
  <c r="M16" i="31"/>
  <c r="N16" i="31"/>
  <c r="O16" i="31"/>
  <c r="P16" i="31"/>
  <c r="Q16" i="31"/>
  <c r="R16" i="31"/>
  <c r="S16" i="31"/>
  <c r="T16" i="31"/>
  <c r="U16" i="31"/>
  <c r="V16" i="31"/>
  <c r="W16" i="31"/>
  <c r="X16" i="31"/>
  <c r="Y16" i="31"/>
  <c r="C17" i="31"/>
  <c r="D17" i="31"/>
  <c r="E17" i="31"/>
  <c r="F17" i="31"/>
  <c r="G17" i="31"/>
  <c r="H17" i="31"/>
  <c r="I17" i="31"/>
  <c r="J17" i="31"/>
  <c r="K17" i="31"/>
  <c r="L17" i="31"/>
  <c r="M17" i="31"/>
  <c r="N17" i="31"/>
  <c r="O17" i="31"/>
  <c r="P17" i="31"/>
  <c r="Q17" i="31"/>
  <c r="R17" i="31"/>
  <c r="S17" i="31"/>
  <c r="T17" i="31"/>
  <c r="U17" i="31"/>
  <c r="V17" i="31"/>
  <c r="W17" i="31"/>
  <c r="X17" i="31"/>
  <c r="Y17" i="31"/>
  <c r="C18" i="31"/>
  <c r="D18" i="31"/>
  <c r="E18" i="31"/>
  <c r="F18" i="31"/>
  <c r="G18" i="31"/>
  <c r="H18" i="31"/>
  <c r="I18" i="31"/>
  <c r="J18" i="31"/>
  <c r="K18" i="31"/>
  <c r="L18" i="31"/>
  <c r="M18" i="31"/>
  <c r="N18" i="31"/>
  <c r="O18" i="31"/>
  <c r="P18" i="31"/>
  <c r="Q18" i="31"/>
  <c r="R18" i="31"/>
  <c r="S18" i="31"/>
  <c r="T18" i="31"/>
  <c r="U18" i="31"/>
  <c r="V18" i="31"/>
  <c r="W18" i="31"/>
  <c r="X18" i="31"/>
  <c r="Y18" i="31"/>
  <c r="C19" i="31"/>
  <c r="D19" i="31"/>
  <c r="E19" i="31"/>
  <c r="F19" i="31"/>
  <c r="G19" i="31"/>
  <c r="H19" i="31"/>
  <c r="I19" i="31"/>
  <c r="J19" i="31"/>
  <c r="K19" i="31"/>
  <c r="L19" i="31"/>
  <c r="M19" i="31"/>
  <c r="N19" i="31"/>
  <c r="O19" i="31"/>
  <c r="P19" i="31"/>
  <c r="Q19" i="31"/>
  <c r="R19" i="31"/>
  <c r="S19" i="31"/>
  <c r="T19" i="31"/>
  <c r="U19" i="31"/>
  <c r="V19" i="31"/>
  <c r="W19" i="31"/>
  <c r="X19" i="31"/>
  <c r="Y19" i="31"/>
  <c r="C20" i="31"/>
  <c r="D20" i="31"/>
  <c r="E20" i="31"/>
  <c r="F20" i="31"/>
  <c r="G20" i="31"/>
  <c r="H20" i="31"/>
  <c r="I20" i="31"/>
  <c r="J20" i="31"/>
  <c r="K20" i="31"/>
  <c r="L20" i="31"/>
  <c r="M20" i="31"/>
  <c r="N20" i="31"/>
  <c r="O20" i="31"/>
  <c r="P20" i="31"/>
  <c r="Q20" i="31"/>
  <c r="R20" i="31"/>
  <c r="S20" i="31"/>
  <c r="T20" i="31"/>
  <c r="U20" i="31"/>
  <c r="V20" i="31"/>
  <c r="W20" i="31"/>
  <c r="X20" i="31"/>
  <c r="Y20" i="31"/>
  <c r="C21" i="31"/>
  <c r="D21" i="31"/>
  <c r="E21" i="31"/>
  <c r="F21" i="31"/>
  <c r="G21" i="31"/>
  <c r="H21" i="31"/>
  <c r="I21" i="31"/>
  <c r="J21" i="31"/>
  <c r="K21" i="31"/>
  <c r="L21" i="31"/>
  <c r="M21" i="31"/>
  <c r="N21" i="31"/>
  <c r="O21" i="31"/>
  <c r="P21" i="31"/>
  <c r="Q21" i="31"/>
  <c r="R21" i="31"/>
  <c r="S21" i="31"/>
  <c r="T21" i="31"/>
  <c r="U21" i="31"/>
  <c r="V21" i="31"/>
  <c r="W21" i="31"/>
  <c r="X21" i="31"/>
  <c r="Y21" i="31"/>
  <c r="C22" i="31"/>
  <c r="D22" i="31"/>
  <c r="E22" i="31"/>
  <c r="F22" i="31"/>
  <c r="G22" i="31"/>
  <c r="H22" i="31"/>
  <c r="I22" i="31"/>
  <c r="J22" i="31"/>
  <c r="K22" i="31"/>
  <c r="L22" i="31"/>
  <c r="M22" i="31"/>
  <c r="N22" i="31"/>
  <c r="O22" i="31"/>
  <c r="P22" i="31"/>
  <c r="Q22" i="31"/>
  <c r="R22" i="31"/>
  <c r="S22" i="31"/>
  <c r="T22" i="31"/>
  <c r="U22" i="31"/>
  <c r="V22" i="31"/>
  <c r="W22" i="31"/>
  <c r="X22" i="31"/>
  <c r="Y22" i="31"/>
  <c r="C23" i="31"/>
  <c r="D23" i="31"/>
  <c r="E23" i="31"/>
  <c r="F23" i="31"/>
  <c r="G23" i="31"/>
  <c r="H23" i="31"/>
  <c r="I23" i="31"/>
  <c r="J23" i="31"/>
  <c r="K23" i="31"/>
  <c r="L23" i="31"/>
  <c r="M23" i="31"/>
  <c r="N23" i="31"/>
  <c r="O23" i="31"/>
  <c r="P23" i="31"/>
  <c r="Q23" i="31"/>
  <c r="R23" i="31"/>
  <c r="S23" i="31"/>
  <c r="T23" i="31"/>
  <c r="U23" i="31"/>
  <c r="V23" i="31"/>
  <c r="W23" i="31"/>
  <c r="X23" i="31"/>
  <c r="Y23" i="31"/>
  <c r="C24" i="31"/>
  <c r="D24" i="31"/>
  <c r="E24" i="31"/>
  <c r="F24" i="31"/>
  <c r="G24" i="31"/>
  <c r="H24" i="31"/>
  <c r="I24" i="31"/>
  <c r="J24" i="31"/>
  <c r="K24" i="31"/>
  <c r="L24" i="31"/>
  <c r="M24" i="31"/>
  <c r="N24" i="31"/>
  <c r="O24" i="31"/>
  <c r="P24" i="31"/>
  <c r="Q24" i="31"/>
  <c r="R24" i="31"/>
  <c r="S24" i="31"/>
  <c r="T24" i="31"/>
  <c r="U24" i="31"/>
  <c r="V24" i="31"/>
  <c r="W24" i="31"/>
  <c r="X24" i="31"/>
  <c r="Y24" i="31"/>
  <c r="C25" i="31"/>
  <c r="D25" i="31"/>
  <c r="E25" i="31"/>
  <c r="F25" i="31"/>
  <c r="G25" i="31"/>
  <c r="H106" i="31" s="1"/>
  <c r="H25" i="31"/>
  <c r="H134" i="31" s="1"/>
  <c r="I25" i="31"/>
  <c r="H160" i="31" s="1"/>
  <c r="J25" i="31"/>
  <c r="K25" i="31"/>
  <c r="L25" i="31"/>
  <c r="M25" i="31"/>
  <c r="N25" i="31"/>
  <c r="O25" i="31"/>
  <c r="P25" i="31"/>
  <c r="Q25" i="31"/>
  <c r="R25" i="31"/>
  <c r="S25" i="31"/>
  <c r="T25" i="31"/>
  <c r="U25" i="31"/>
  <c r="V25" i="31"/>
  <c r="W25" i="31"/>
  <c r="X25" i="31"/>
  <c r="Y25" i="31"/>
  <c r="B4" i="31"/>
  <c r="B5" i="31"/>
  <c r="B6" i="31"/>
  <c r="B7" i="31"/>
  <c r="B8" i="31"/>
  <c r="B9" i="31"/>
  <c r="B10" i="31"/>
  <c r="B11" i="31"/>
  <c r="B12" i="31"/>
  <c r="B13" i="31"/>
  <c r="B14" i="31"/>
  <c r="B15" i="31"/>
  <c r="B16" i="31"/>
  <c r="B17" i="31"/>
  <c r="B18" i="31"/>
  <c r="B19" i="31"/>
  <c r="B20" i="31"/>
  <c r="B21" i="31"/>
  <c r="B22" i="31"/>
  <c r="B23" i="31"/>
  <c r="B24" i="31"/>
  <c r="B25" i="31"/>
  <c r="B3" i="31"/>
  <c r="EH30" i="2" l="1"/>
  <c r="EH29" i="2"/>
  <c r="EH28" i="2"/>
  <c r="EH27" i="2"/>
  <c r="EH26" i="2"/>
  <c r="EH25" i="2"/>
  <c r="EH24" i="2"/>
  <c r="EH23" i="2"/>
  <c r="EH22" i="2"/>
  <c r="EH21" i="2"/>
  <c r="EH20" i="2"/>
  <c r="EH19" i="2"/>
  <c r="EH18" i="2"/>
  <c r="EH17" i="2"/>
  <c r="EH16" i="2"/>
  <c r="EH15" i="2"/>
  <c r="EH14" i="2"/>
  <c r="EH13" i="2"/>
  <c r="EH12" i="2"/>
  <c r="EH11" i="2"/>
  <c r="EH10" i="2"/>
  <c r="EH9" i="2"/>
  <c r="EH8" i="2"/>
  <c r="EH7" i="2"/>
  <c r="J40" i="1"/>
  <c r="J37" i="1"/>
  <c r="G34" i="1"/>
  <c r="G33" i="1"/>
  <c r="G28" i="1"/>
  <c r="J25" i="1"/>
  <c r="J21" i="1"/>
  <c r="G21" i="1"/>
  <c r="G15" i="1"/>
  <c r="G14" i="1"/>
  <c r="J10" i="1"/>
  <c r="J9" i="1"/>
  <c r="BZ55" i="31" l="1"/>
  <c r="BZ56" i="31"/>
  <c r="BZ57" i="31"/>
  <c r="BZ58" i="31"/>
  <c r="BZ59" i="31"/>
  <c r="BZ60" i="31"/>
  <c r="BZ61" i="31"/>
  <c r="BZ62" i="31"/>
  <c r="BZ63" i="31"/>
  <c r="BZ64" i="31"/>
  <c r="BZ65" i="31"/>
  <c r="BZ66" i="31"/>
  <c r="BZ67" i="31"/>
  <c r="BZ68" i="31"/>
  <c r="BZ69" i="31"/>
  <c r="BZ70" i="31"/>
  <c r="BZ71" i="31"/>
  <c r="BZ72" i="31"/>
  <c r="BZ73" i="31"/>
  <c r="BZ74" i="31"/>
  <c r="BZ75" i="31"/>
  <c r="BZ76" i="31"/>
  <c r="A157" i="31" l="1"/>
  <c r="A158" i="31"/>
  <c r="A159" i="31"/>
  <c r="A160" i="31"/>
  <c r="A161" i="31"/>
  <c r="A162" i="31"/>
  <c r="A103" i="31"/>
  <c r="A104" i="31"/>
  <c r="A105" i="31"/>
  <c r="A106" i="31"/>
  <c r="A107" i="31"/>
  <c r="A108" i="31"/>
  <c r="A49" i="31"/>
  <c r="A50" i="31"/>
  <c r="A51" i="31"/>
  <c r="A52" i="31"/>
  <c r="A53" i="31"/>
  <c r="A54" i="31"/>
  <c r="BZ82" i="31"/>
  <c r="BZ108" i="31" s="1"/>
  <c r="BZ134" i="31" s="1"/>
  <c r="BZ84" i="31"/>
  <c r="BZ110" i="31" s="1"/>
  <c r="BZ136" i="31" s="1"/>
  <c r="BZ85" i="31"/>
  <c r="BZ111" i="31" s="1"/>
  <c r="BZ137" i="31" s="1"/>
  <c r="BZ163" i="31" s="1"/>
  <c r="BZ189" i="31" s="1"/>
  <c r="BZ215" i="31" s="1"/>
  <c r="BZ241" i="31" s="1"/>
  <c r="BZ267" i="31" s="1"/>
  <c r="BZ293" i="31" s="1"/>
  <c r="BZ319" i="31" s="1"/>
  <c r="BZ345" i="31" s="1"/>
  <c r="BZ371" i="31" s="1"/>
  <c r="BZ397" i="31" s="1"/>
  <c r="BZ423" i="31" s="1"/>
  <c r="BZ86" i="31"/>
  <c r="BZ112" i="31" s="1"/>
  <c r="BZ138" i="31" s="1"/>
  <c r="BZ87" i="31"/>
  <c r="BZ89" i="31"/>
  <c r="BZ115" i="31" s="1"/>
  <c r="BZ141" i="31" s="1"/>
  <c r="BZ167" i="31" s="1"/>
  <c r="BZ193" i="31" s="1"/>
  <c r="BZ219" i="31" s="1"/>
  <c r="BZ245" i="31" s="1"/>
  <c r="BZ271" i="31" s="1"/>
  <c r="BZ297" i="31" s="1"/>
  <c r="BZ323" i="31" s="1"/>
  <c r="BZ349" i="31" s="1"/>
  <c r="BZ375" i="31" s="1"/>
  <c r="BZ401" i="31" s="1"/>
  <c r="BZ91" i="31"/>
  <c r="BZ92" i="31"/>
  <c r="BZ118" i="31" s="1"/>
  <c r="BZ93" i="31"/>
  <c r="BZ119" i="31" s="1"/>
  <c r="BZ145" i="31" s="1"/>
  <c r="BZ171" i="31" s="1"/>
  <c r="BZ197" i="31" s="1"/>
  <c r="BZ223" i="31" s="1"/>
  <c r="BZ249" i="31" s="1"/>
  <c r="BZ275" i="31" s="1"/>
  <c r="BZ301" i="31" s="1"/>
  <c r="BZ327" i="31" s="1"/>
  <c r="BZ353" i="31" s="1"/>
  <c r="BZ379" i="31" s="1"/>
  <c r="BZ405" i="31" s="1"/>
  <c r="BZ94" i="31"/>
  <c r="BZ120" i="31" s="1"/>
  <c r="BZ96" i="31"/>
  <c r="BZ122" i="31" s="1"/>
  <c r="BZ97" i="31"/>
  <c r="BZ123" i="31" s="1"/>
  <c r="BZ149" i="31" s="1"/>
  <c r="BZ175" i="31" s="1"/>
  <c r="BZ201" i="31" s="1"/>
  <c r="BZ227" i="31" s="1"/>
  <c r="BZ253" i="31" s="1"/>
  <c r="BZ279" i="31" s="1"/>
  <c r="BZ305" i="31" s="1"/>
  <c r="BZ331" i="31" s="1"/>
  <c r="BZ357" i="31" s="1"/>
  <c r="BZ383" i="31" s="1"/>
  <c r="BZ409" i="31" s="1"/>
  <c r="BZ98" i="31"/>
  <c r="BZ124" i="31" s="1"/>
  <c r="BZ100" i="31"/>
  <c r="BZ126" i="31" s="1"/>
  <c r="BZ101" i="31"/>
  <c r="BZ127" i="31" s="1"/>
  <c r="BZ153" i="31" s="1"/>
  <c r="BZ179" i="31" s="1"/>
  <c r="BZ205" i="31" s="1"/>
  <c r="BZ231" i="31" s="1"/>
  <c r="BZ257" i="31" s="1"/>
  <c r="BZ283" i="31" s="1"/>
  <c r="BZ309" i="31" s="1"/>
  <c r="BZ335" i="31" s="1"/>
  <c r="BZ361" i="31" s="1"/>
  <c r="BZ387" i="31" s="1"/>
  <c r="BZ413" i="31" s="1"/>
  <c r="BZ102" i="31"/>
  <c r="BZ128" i="31" s="1"/>
  <c r="BZ77" i="31"/>
  <c r="BZ103" i="31" s="1"/>
  <c r="BZ129" i="31" s="1"/>
  <c r="BZ155" i="31" s="1"/>
  <c r="BZ181" i="31" s="1"/>
  <c r="BZ207" i="31" s="1"/>
  <c r="BZ233" i="31" s="1"/>
  <c r="BZ259" i="31" s="1"/>
  <c r="BZ285" i="31" s="1"/>
  <c r="BZ311" i="31" s="1"/>
  <c r="BZ337" i="31" s="1"/>
  <c r="BZ363" i="31" s="1"/>
  <c r="BZ389" i="31" s="1"/>
  <c r="BZ415" i="31" s="1"/>
  <c r="BZ78" i="31"/>
  <c r="BZ104" i="31" s="1"/>
  <c r="BZ130" i="31" s="1"/>
  <c r="BZ79" i="31"/>
  <c r="BZ105" i="31" s="1"/>
  <c r="BZ131" i="31" s="1"/>
  <c r="BZ157" i="31" s="1"/>
  <c r="BZ183" i="31" s="1"/>
  <c r="BZ209" i="31" s="1"/>
  <c r="BZ235" i="31" s="1"/>
  <c r="BZ261" i="31" s="1"/>
  <c r="BZ287" i="31" s="1"/>
  <c r="BZ313" i="31" s="1"/>
  <c r="BZ339" i="31" s="1"/>
  <c r="BZ365" i="31" s="1"/>
  <c r="BZ391" i="31" s="1"/>
  <c r="BZ417" i="31" s="1"/>
  <c r="BZ80" i="31"/>
  <c r="BZ106" i="31" s="1"/>
  <c r="BZ132" i="31" s="1"/>
  <c r="BZ83" i="31"/>
  <c r="BZ109" i="31" s="1"/>
  <c r="BZ135" i="31" s="1"/>
  <c r="BZ161" i="31" s="1"/>
  <c r="BZ187" i="31" s="1"/>
  <c r="BZ213" i="31" s="1"/>
  <c r="BZ239" i="31" s="1"/>
  <c r="BZ265" i="31" s="1"/>
  <c r="BZ291" i="31" s="1"/>
  <c r="BZ317" i="31" s="1"/>
  <c r="BZ343" i="31" s="1"/>
  <c r="BZ369" i="31" s="1"/>
  <c r="BZ395" i="31" s="1"/>
  <c r="BZ421" i="31" s="1"/>
  <c r="BZ88" i="31"/>
  <c r="BZ114" i="31" s="1"/>
  <c r="BZ140" i="31" s="1"/>
  <c r="BZ90" i="31"/>
  <c r="BZ116" i="31" s="1"/>
  <c r="BZ95" i="31"/>
  <c r="BZ121" i="31" s="1"/>
  <c r="BZ147" i="31" s="1"/>
  <c r="BZ173" i="31" s="1"/>
  <c r="BZ199" i="31" s="1"/>
  <c r="BZ225" i="31" s="1"/>
  <c r="BZ251" i="31" s="1"/>
  <c r="BZ277" i="31" s="1"/>
  <c r="BZ303" i="31" s="1"/>
  <c r="BZ329" i="31" s="1"/>
  <c r="BZ355" i="31" s="1"/>
  <c r="BZ381" i="31" s="1"/>
  <c r="BZ407" i="31" s="1"/>
  <c r="BZ433" i="31" s="1"/>
  <c r="BZ459" i="31" s="1"/>
  <c r="BZ485" i="31" s="1"/>
  <c r="BZ511" i="31" s="1"/>
  <c r="BZ537" i="31" s="1"/>
  <c r="BZ563" i="31" s="1"/>
  <c r="BZ589" i="31" s="1"/>
  <c r="BZ615" i="31" s="1"/>
  <c r="BZ99" i="31"/>
  <c r="BZ125" i="31" s="1"/>
  <c r="BZ151" i="31" s="1"/>
  <c r="BZ177" i="31" s="1"/>
  <c r="BZ203" i="31" s="1"/>
  <c r="BZ229" i="31" s="1"/>
  <c r="BZ255" i="31" s="1"/>
  <c r="BZ281" i="31" s="1"/>
  <c r="BZ307" i="31" s="1"/>
  <c r="BZ333" i="31" s="1"/>
  <c r="BZ359" i="31" s="1"/>
  <c r="BZ385" i="31" s="1"/>
  <c r="BZ411" i="31" s="1"/>
  <c r="BV56" i="31"/>
  <c r="BV82" i="31" s="1"/>
  <c r="BV108" i="31" s="1"/>
  <c r="BV134" i="31" s="1"/>
  <c r="BV160" i="31" s="1"/>
  <c r="BV186" i="31" s="1"/>
  <c r="BV212" i="31" s="1"/>
  <c r="BV238" i="31" s="1"/>
  <c r="BV264" i="31" s="1"/>
  <c r="BV290" i="31" s="1"/>
  <c r="BV316" i="31" s="1"/>
  <c r="BV342" i="31" s="1"/>
  <c r="BV368" i="31" s="1"/>
  <c r="BV394" i="31" s="1"/>
  <c r="BV420" i="31" s="1"/>
  <c r="BV446" i="31" s="1"/>
  <c r="BV472" i="31" s="1"/>
  <c r="BV498" i="31" s="1"/>
  <c r="BV524" i="31" s="1"/>
  <c r="BV550" i="31" s="1"/>
  <c r="BV576" i="31" s="1"/>
  <c r="BV602" i="31" s="1"/>
  <c r="BV57" i="31"/>
  <c r="BV83" i="31" s="1"/>
  <c r="BV109" i="31" s="1"/>
  <c r="BV58" i="31"/>
  <c r="BV59" i="31"/>
  <c r="BV85" i="31" s="1"/>
  <c r="BV111" i="31" s="1"/>
  <c r="BV137" i="31" s="1"/>
  <c r="BV163" i="31" s="1"/>
  <c r="BV189" i="31" s="1"/>
  <c r="BV215" i="31" s="1"/>
  <c r="BV241" i="31" s="1"/>
  <c r="BV267" i="31" s="1"/>
  <c r="BV293" i="31" s="1"/>
  <c r="BV319" i="31" s="1"/>
  <c r="BV345" i="31" s="1"/>
  <c r="BV371" i="31" s="1"/>
  <c r="BV397" i="31" s="1"/>
  <c r="BV423" i="31" s="1"/>
  <c r="BV449" i="31" s="1"/>
  <c r="BV475" i="31" s="1"/>
  <c r="BV501" i="31" s="1"/>
  <c r="BV527" i="31" s="1"/>
  <c r="BV553" i="31" s="1"/>
  <c r="BV579" i="31" s="1"/>
  <c r="BV605" i="31" s="1"/>
  <c r="BV60" i="31"/>
  <c r="BV86" i="31" s="1"/>
  <c r="BV112" i="31" s="1"/>
  <c r="BV138" i="31" s="1"/>
  <c r="BV164" i="31" s="1"/>
  <c r="BV190" i="31" s="1"/>
  <c r="BV216" i="31" s="1"/>
  <c r="BV242" i="31" s="1"/>
  <c r="BV268" i="31" s="1"/>
  <c r="BV294" i="31" s="1"/>
  <c r="BV320" i="31" s="1"/>
  <c r="BV346" i="31" s="1"/>
  <c r="BV372" i="31" s="1"/>
  <c r="BV398" i="31" s="1"/>
  <c r="BV424" i="31" s="1"/>
  <c r="BV450" i="31" s="1"/>
  <c r="BV476" i="31" s="1"/>
  <c r="BV502" i="31" s="1"/>
  <c r="BV528" i="31" s="1"/>
  <c r="BV554" i="31" s="1"/>
  <c r="BV580" i="31" s="1"/>
  <c r="BV606" i="31" s="1"/>
  <c r="BV61" i="31"/>
  <c r="BV87" i="31" s="1"/>
  <c r="BV113" i="31" s="1"/>
  <c r="BV62" i="31"/>
  <c r="BV63" i="31"/>
  <c r="BV64" i="31"/>
  <c r="BV90" i="31" s="1"/>
  <c r="BV116" i="31" s="1"/>
  <c r="BV142" i="31" s="1"/>
  <c r="BV168" i="31" s="1"/>
  <c r="BV194" i="31" s="1"/>
  <c r="BV220" i="31" s="1"/>
  <c r="BV246" i="31" s="1"/>
  <c r="BV272" i="31" s="1"/>
  <c r="BV298" i="31" s="1"/>
  <c r="BV324" i="31" s="1"/>
  <c r="BV350" i="31" s="1"/>
  <c r="BV376" i="31" s="1"/>
  <c r="BV402" i="31" s="1"/>
  <c r="BV428" i="31" s="1"/>
  <c r="BV454" i="31" s="1"/>
  <c r="BV480" i="31" s="1"/>
  <c r="BV506" i="31" s="1"/>
  <c r="BV532" i="31" s="1"/>
  <c r="BV558" i="31" s="1"/>
  <c r="BV584" i="31" s="1"/>
  <c r="BV610" i="31" s="1"/>
  <c r="BV65" i="31"/>
  <c r="BV91" i="31" s="1"/>
  <c r="BV117" i="31" s="1"/>
  <c r="BV143" i="31" s="1"/>
  <c r="BV169" i="31" s="1"/>
  <c r="BV195" i="31" s="1"/>
  <c r="BV221" i="31" s="1"/>
  <c r="BV247" i="31" s="1"/>
  <c r="BV273" i="31" s="1"/>
  <c r="BV299" i="31" s="1"/>
  <c r="BV325" i="31" s="1"/>
  <c r="BV351" i="31" s="1"/>
  <c r="BV377" i="31" s="1"/>
  <c r="BV403" i="31" s="1"/>
  <c r="BV429" i="31" s="1"/>
  <c r="BV455" i="31" s="1"/>
  <c r="BV481" i="31" s="1"/>
  <c r="BV507" i="31" s="1"/>
  <c r="BV533" i="31" s="1"/>
  <c r="BV559" i="31" s="1"/>
  <c r="BV585" i="31" s="1"/>
  <c r="BV611" i="31" s="1"/>
  <c r="BV66" i="31"/>
  <c r="BV92" i="31" s="1"/>
  <c r="BV118" i="31" s="1"/>
  <c r="BV144" i="31" s="1"/>
  <c r="BV170" i="31" s="1"/>
  <c r="BV196" i="31" s="1"/>
  <c r="BV222" i="31" s="1"/>
  <c r="BV248" i="31" s="1"/>
  <c r="BV274" i="31" s="1"/>
  <c r="BV300" i="31" s="1"/>
  <c r="BV326" i="31" s="1"/>
  <c r="BV352" i="31" s="1"/>
  <c r="BV378" i="31" s="1"/>
  <c r="BV404" i="31" s="1"/>
  <c r="BV430" i="31" s="1"/>
  <c r="BV456" i="31" s="1"/>
  <c r="BV482" i="31" s="1"/>
  <c r="BV508" i="31" s="1"/>
  <c r="BV534" i="31" s="1"/>
  <c r="BV560" i="31" s="1"/>
  <c r="BV586" i="31" s="1"/>
  <c r="BV612" i="31" s="1"/>
  <c r="BV67" i="31"/>
  <c r="BV93" i="31" s="1"/>
  <c r="BV119" i="31" s="1"/>
  <c r="BV145" i="31" s="1"/>
  <c r="BV171" i="31" s="1"/>
  <c r="BV197" i="31" s="1"/>
  <c r="BV223" i="31" s="1"/>
  <c r="BV249" i="31" s="1"/>
  <c r="BV275" i="31" s="1"/>
  <c r="BV301" i="31" s="1"/>
  <c r="BV327" i="31" s="1"/>
  <c r="BV353" i="31" s="1"/>
  <c r="BV379" i="31" s="1"/>
  <c r="BV405" i="31" s="1"/>
  <c r="BV431" i="31" s="1"/>
  <c r="BV457" i="31" s="1"/>
  <c r="BV483" i="31" s="1"/>
  <c r="BV509" i="31" s="1"/>
  <c r="BV535" i="31" s="1"/>
  <c r="BV561" i="31" s="1"/>
  <c r="BV587" i="31" s="1"/>
  <c r="BV613" i="31" s="1"/>
  <c r="BV68" i="31"/>
  <c r="BV94" i="31" s="1"/>
  <c r="BV120" i="31" s="1"/>
  <c r="BV146" i="31" s="1"/>
  <c r="BV172" i="31" s="1"/>
  <c r="BV198" i="31" s="1"/>
  <c r="BV224" i="31" s="1"/>
  <c r="BV250" i="31" s="1"/>
  <c r="BV276" i="31" s="1"/>
  <c r="BV302" i="31" s="1"/>
  <c r="BV328" i="31" s="1"/>
  <c r="BV354" i="31" s="1"/>
  <c r="BV380" i="31" s="1"/>
  <c r="BV406" i="31" s="1"/>
  <c r="BV432" i="31" s="1"/>
  <c r="BV458" i="31" s="1"/>
  <c r="BV484" i="31" s="1"/>
  <c r="BV510" i="31" s="1"/>
  <c r="BV536" i="31" s="1"/>
  <c r="BV562" i="31" s="1"/>
  <c r="BV588" i="31" s="1"/>
  <c r="BV614" i="31" s="1"/>
  <c r="BV69" i="31"/>
  <c r="BV95" i="31" s="1"/>
  <c r="BV121" i="31" s="1"/>
  <c r="BV147" i="31" s="1"/>
  <c r="BV173" i="31" s="1"/>
  <c r="BV199" i="31" s="1"/>
  <c r="BV225" i="31" s="1"/>
  <c r="BV251" i="31" s="1"/>
  <c r="BV277" i="31" s="1"/>
  <c r="BV303" i="31" s="1"/>
  <c r="BV329" i="31" s="1"/>
  <c r="BV355" i="31" s="1"/>
  <c r="BV381" i="31" s="1"/>
  <c r="BV407" i="31" s="1"/>
  <c r="BV433" i="31" s="1"/>
  <c r="BV459" i="31" s="1"/>
  <c r="BV485" i="31" s="1"/>
  <c r="BV511" i="31" s="1"/>
  <c r="BV537" i="31" s="1"/>
  <c r="BV563" i="31" s="1"/>
  <c r="BV589" i="31" s="1"/>
  <c r="BV615" i="31" s="1"/>
  <c r="BV70" i="31"/>
  <c r="BV96" i="31" s="1"/>
  <c r="BV122" i="31" s="1"/>
  <c r="BV148" i="31" s="1"/>
  <c r="BV174" i="31" s="1"/>
  <c r="BV200" i="31" s="1"/>
  <c r="BV226" i="31" s="1"/>
  <c r="BV252" i="31" s="1"/>
  <c r="BV278" i="31" s="1"/>
  <c r="BV304" i="31" s="1"/>
  <c r="BV330" i="31" s="1"/>
  <c r="BV356" i="31" s="1"/>
  <c r="BV382" i="31" s="1"/>
  <c r="BV408" i="31" s="1"/>
  <c r="BV434" i="31" s="1"/>
  <c r="BV460" i="31" s="1"/>
  <c r="BV486" i="31" s="1"/>
  <c r="BV512" i="31" s="1"/>
  <c r="BV538" i="31" s="1"/>
  <c r="BV564" i="31" s="1"/>
  <c r="BV590" i="31" s="1"/>
  <c r="BV616" i="31" s="1"/>
  <c r="BV71" i="31"/>
  <c r="BV97" i="31" s="1"/>
  <c r="BV123" i="31" s="1"/>
  <c r="BV149" i="31" s="1"/>
  <c r="BV175" i="31" s="1"/>
  <c r="BV201" i="31" s="1"/>
  <c r="BV227" i="31" s="1"/>
  <c r="BV253" i="31" s="1"/>
  <c r="BV279" i="31" s="1"/>
  <c r="BV305" i="31" s="1"/>
  <c r="BV331" i="31" s="1"/>
  <c r="BV357" i="31" s="1"/>
  <c r="BV383" i="31" s="1"/>
  <c r="BV409" i="31" s="1"/>
  <c r="BV435" i="31" s="1"/>
  <c r="BV461" i="31" s="1"/>
  <c r="BV487" i="31" s="1"/>
  <c r="BV513" i="31" s="1"/>
  <c r="BV539" i="31" s="1"/>
  <c r="BV565" i="31" s="1"/>
  <c r="BV591" i="31" s="1"/>
  <c r="BV617" i="31" s="1"/>
  <c r="BV72" i="31"/>
  <c r="BV98" i="31" s="1"/>
  <c r="BV124" i="31" s="1"/>
  <c r="BV150" i="31" s="1"/>
  <c r="BV176" i="31" s="1"/>
  <c r="BV202" i="31" s="1"/>
  <c r="BV228" i="31" s="1"/>
  <c r="BV254" i="31" s="1"/>
  <c r="BV280" i="31" s="1"/>
  <c r="BV306" i="31" s="1"/>
  <c r="BV332" i="31" s="1"/>
  <c r="BV358" i="31" s="1"/>
  <c r="BV384" i="31" s="1"/>
  <c r="BV410" i="31" s="1"/>
  <c r="BV436" i="31" s="1"/>
  <c r="BV462" i="31" s="1"/>
  <c r="BV488" i="31" s="1"/>
  <c r="BV514" i="31" s="1"/>
  <c r="BV540" i="31" s="1"/>
  <c r="BV566" i="31" s="1"/>
  <c r="BV592" i="31" s="1"/>
  <c r="BV618" i="31" s="1"/>
  <c r="BV73" i="31"/>
  <c r="BV99" i="31" s="1"/>
  <c r="BV125" i="31" s="1"/>
  <c r="BV74" i="31"/>
  <c r="BV100" i="31" s="1"/>
  <c r="BV126" i="31" s="1"/>
  <c r="BV152" i="31" s="1"/>
  <c r="BV178" i="31" s="1"/>
  <c r="BV204" i="31" s="1"/>
  <c r="BV230" i="31" s="1"/>
  <c r="BV256" i="31" s="1"/>
  <c r="BV282" i="31" s="1"/>
  <c r="BV308" i="31" s="1"/>
  <c r="BV334" i="31" s="1"/>
  <c r="BV360" i="31" s="1"/>
  <c r="BV386" i="31" s="1"/>
  <c r="BV412" i="31" s="1"/>
  <c r="BV438" i="31" s="1"/>
  <c r="BV464" i="31" s="1"/>
  <c r="BV490" i="31" s="1"/>
  <c r="BV516" i="31" s="1"/>
  <c r="BV542" i="31" s="1"/>
  <c r="BV568" i="31" s="1"/>
  <c r="BV594" i="31" s="1"/>
  <c r="BV620" i="31" s="1"/>
  <c r="BV75" i="31"/>
  <c r="BV76" i="31"/>
  <c r="BV102" i="31" s="1"/>
  <c r="BV128" i="31" s="1"/>
  <c r="BV154" i="31" s="1"/>
  <c r="BV180" i="31" s="1"/>
  <c r="BV206" i="31" s="1"/>
  <c r="BV232" i="31" s="1"/>
  <c r="BV258" i="31" s="1"/>
  <c r="BV284" i="31" s="1"/>
  <c r="BV310" i="31" s="1"/>
  <c r="BV336" i="31" s="1"/>
  <c r="BV362" i="31" s="1"/>
  <c r="BV388" i="31" s="1"/>
  <c r="BV414" i="31" s="1"/>
  <c r="BV440" i="31" s="1"/>
  <c r="BV466" i="31" s="1"/>
  <c r="BV492" i="31" s="1"/>
  <c r="BV518" i="31" s="1"/>
  <c r="BV544" i="31" s="1"/>
  <c r="BV570" i="31" s="1"/>
  <c r="BV596" i="31" s="1"/>
  <c r="BV622" i="31" s="1"/>
  <c r="BV77" i="31"/>
  <c r="BV103" i="31" s="1"/>
  <c r="BV129" i="31" s="1"/>
  <c r="BV78" i="31"/>
  <c r="BV79" i="31"/>
  <c r="BV105" i="31" s="1"/>
  <c r="BV131" i="31" s="1"/>
  <c r="BV157" i="31" s="1"/>
  <c r="BV183" i="31" s="1"/>
  <c r="BV209" i="31" s="1"/>
  <c r="BV235" i="31" s="1"/>
  <c r="BV261" i="31" s="1"/>
  <c r="BV287" i="31" s="1"/>
  <c r="BV313" i="31" s="1"/>
  <c r="BV339" i="31" s="1"/>
  <c r="BV365" i="31" s="1"/>
  <c r="BV391" i="31" s="1"/>
  <c r="BV417" i="31" s="1"/>
  <c r="BV443" i="31" s="1"/>
  <c r="BV469" i="31" s="1"/>
  <c r="BV495" i="31" s="1"/>
  <c r="BV521" i="31" s="1"/>
  <c r="BV547" i="31" s="1"/>
  <c r="BV573" i="31" s="1"/>
  <c r="BV599" i="31" s="1"/>
  <c r="BV80" i="31"/>
  <c r="BV106" i="31" s="1"/>
  <c r="BV132" i="31" s="1"/>
  <c r="BV158" i="31" s="1"/>
  <c r="BV184" i="31" s="1"/>
  <c r="BV210" i="31" s="1"/>
  <c r="BV236" i="31" s="1"/>
  <c r="BV262" i="31" s="1"/>
  <c r="BV288" i="31" s="1"/>
  <c r="BV314" i="31" s="1"/>
  <c r="BV340" i="31" s="1"/>
  <c r="BV366" i="31" s="1"/>
  <c r="BV392" i="31" s="1"/>
  <c r="BV418" i="31" s="1"/>
  <c r="BV444" i="31" s="1"/>
  <c r="BV470" i="31" s="1"/>
  <c r="BV496" i="31" s="1"/>
  <c r="BV522" i="31" s="1"/>
  <c r="BV548" i="31" s="1"/>
  <c r="BV574" i="31" s="1"/>
  <c r="BV600" i="31" s="1"/>
  <c r="BV84" i="31"/>
  <c r="BV110" i="31" s="1"/>
  <c r="BV136" i="31" s="1"/>
  <c r="BV162" i="31" s="1"/>
  <c r="BV188" i="31" s="1"/>
  <c r="BV214" i="31" s="1"/>
  <c r="BV240" i="31" s="1"/>
  <c r="BV266" i="31" s="1"/>
  <c r="BV292" i="31" s="1"/>
  <c r="BV318" i="31" s="1"/>
  <c r="BV344" i="31" s="1"/>
  <c r="BV370" i="31" s="1"/>
  <c r="BV396" i="31" s="1"/>
  <c r="BV422" i="31" s="1"/>
  <c r="BV448" i="31" s="1"/>
  <c r="BV474" i="31" s="1"/>
  <c r="BV500" i="31" s="1"/>
  <c r="BV526" i="31" s="1"/>
  <c r="BV552" i="31" s="1"/>
  <c r="BV578" i="31" s="1"/>
  <c r="BV604" i="31" s="1"/>
  <c r="BV88" i="31"/>
  <c r="BV114" i="31" s="1"/>
  <c r="BV140" i="31" s="1"/>
  <c r="BV166" i="31" s="1"/>
  <c r="BV192" i="31" s="1"/>
  <c r="BV218" i="31" s="1"/>
  <c r="BV244" i="31" s="1"/>
  <c r="BV270" i="31" s="1"/>
  <c r="BV296" i="31" s="1"/>
  <c r="BV322" i="31" s="1"/>
  <c r="BV348" i="31" s="1"/>
  <c r="BV374" i="31" s="1"/>
  <c r="BV400" i="31" s="1"/>
  <c r="BV426" i="31" s="1"/>
  <c r="BV452" i="31" s="1"/>
  <c r="BV478" i="31" s="1"/>
  <c r="BV504" i="31" s="1"/>
  <c r="BV530" i="31" s="1"/>
  <c r="BV556" i="31" s="1"/>
  <c r="BV582" i="31" s="1"/>
  <c r="BV608" i="31" s="1"/>
  <c r="BV89" i="31"/>
  <c r="BV115" i="31" s="1"/>
  <c r="BV141" i="31" s="1"/>
  <c r="BV167" i="31" s="1"/>
  <c r="BV193" i="31" s="1"/>
  <c r="BV219" i="31" s="1"/>
  <c r="BV245" i="31" s="1"/>
  <c r="BV271" i="31" s="1"/>
  <c r="BV297" i="31" s="1"/>
  <c r="BV323" i="31" s="1"/>
  <c r="BV349" i="31" s="1"/>
  <c r="BV375" i="31" s="1"/>
  <c r="BV401" i="31" s="1"/>
  <c r="BV427" i="31" s="1"/>
  <c r="BV453" i="31" s="1"/>
  <c r="BV479" i="31" s="1"/>
  <c r="BV505" i="31" s="1"/>
  <c r="BV531" i="31" s="1"/>
  <c r="BV557" i="31" s="1"/>
  <c r="BV583" i="31" s="1"/>
  <c r="BV609" i="31" s="1"/>
  <c r="BV101" i="31"/>
  <c r="BV127" i="31" s="1"/>
  <c r="BV153" i="31" s="1"/>
  <c r="BV179" i="31" s="1"/>
  <c r="BV205" i="31" s="1"/>
  <c r="BV231" i="31" s="1"/>
  <c r="BV257" i="31" s="1"/>
  <c r="BV283" i="31" s="1"/>
  <c r="BV309" i="31" s="1"/>
  <c r="BV335" i="31" s="1"/>
  <c r="BV361" i="31" s="1"/>
  <c r="BV387" i="31" s="1"/>
  <c r="BV413" i="31" s="1"/>
  <c r="BV439" i="31" s="1"/>
  <c r="BV465" i="31" s="1"/>
  <c r="BV491" i="31" s="1"/>
  <c r="BV517" i="31" s="1"/>
  <c r="BV543" i="31" s="1"/>
  <c r="BV569" i="31" s="1"/>
  <c r="BV595" i="31" s="1"/>
  <c r="BV621" i="31" s="1"/>
  <c r="BV104" i="31"/>
  <c r="BV130" i="31" s="1"/>
  <c r="BV156" i="31" s="1"/>
  <c r="BV182" i="31" s="1"/>
  <c r="BV208" i="31" s="1"/>
  <c r="BV234" i="31" s="1"/>
  <c r="BV260" i="31" s="1"/>
  <c r="BV286" i="31" s="1"/>
  <c r="BV312" i="31" s="1"/>
  <c r="BV338" i="31" s="1"/>
  <c r="BV364" i="31" s="1"/>
  <c r="BV390" i="31" s="1"/>
  <c r="BV416" i="31" s="1"/>
  <c r="BV442" i="31" s="1"/>
  <c r="BV468" i="31" s="1"/>
  <c r="BV494" i="31" s="1"/>
  <c r="BV520" i="31" s="1"/>
  <c r="BV546" i="31" s="1"/>
  <c r="BV572" i="31" s="1"/>
  <c r="BV598" i="31" s="1"/>
  <c r="BV135" i="31"/>
  <c r="BV161" i="31" s="1"/>
  <c r="BV187" i="31" s="1"/>
  <c r="BV213" i="31" s="1"/>
  <c r="BV239" i="31" s="1"/>
  <c r="BV265" i="31" s="1"/>
  <c r="BV291" i="31" s="1"/>
  <c r="BV317" i="31" s="1"/>
  <c r="BV343" i="31" s="1"/>
  <c r="BV369" i="31" s="1"/>
  <c r="BV395" i="31" s="1"/>
  <c r="BV421" i="31" s="1"/>
  <c r="BV447" i="31" s="1"/>
  <c r="BV473" i="31" s="1"/>
  <c r="BV499" i="31" s="1"/>
  <c r="BV525" i="31" s="1"/>
  <c r="BV551" i="31" s="1"/>
  <c r="BV577" i="31" s="1"/>
  <c r="BV603" i="31" s="1"/>
  <c r="BV139" i="31"/>
  <c r="BV165" i="31" s="1"/>
  <c r="BV191" i="31" s="1"/>
  <c r="BV217" i="31" s="1"/>
  <c r="BV243" i="31" s="1"/>
  <c r="BV269" i="31" s="1"/>
  <c r="BV295" i="31" s="1"/>
  <c r="BV321" i="31" s="1"/>
  <c r="BV347" i="31" s="1"/>
  <c r="BV373" i="31" s="1"/>
  <c r="BV399" i="31" s="1"/>
  <c r="BV425" i="31" s="1"/>
  <c r="BV451" i="31" s="1"/>
  <c r="BV477" i="31" s="1"/>
  <c r="BV503" i="31" s="1"/>
  <c r="BV529" i="31" s="1"/>
  <c r="BV555" i="31" s="1"/>
  <c r="BV581" i="31" s="1"/>
  <c r="BV607" i="31" s="1"/>
  <c r="BV151" i="31"/>
  <c r="BV177" i="31" s="1"/>
  <c r="BV203" i="31" s="1"/>
  <c r="BV229" i="31" s="1"/>
  <c r="BV255" i="31" s="1"/>
  <c r="BV281" i="31" s="1"/>
  <c r="BV307" i="31" s="1"/>
  <c r="BV333" i="31" s="1"/>
  <c r="BV359" i="31" s="1"/>
  <c r="BV385" i="31" s="1"/>
  <c r="BV411" i="31" s="1"/>
  <c r="BV437" i="31" s="1"/>
  <c r="BV463" i="31" s="1"/>
  <c r="BV489" i="31" s="1"/>
  <c r="BV515" i="31" s="1"/>
  <c r="BV541" i="31" s="1"/>
  <c r="BV567" i="31" s="1"/>
  <c r="BV593" i="31" s="1"/>
  <c r="BV619" i="31" s="1"/>
  <c r="BV155" i="31"/>
  <c r="BV181" i="31" s="1"/>
  <c r="BV207" i="31" s="1"/>
  <c r="BV233" i="31" s="1"/>
  <c r="BV259" i="31" s="1"/>
  <c r="BV285" i="31" s="1"/>
  <c r="BV311" i="31" s="1"/>
  <c r="BV337" i="31" s="1"/>
  <c r="BV363" i="31" s="1"/>
  <c r="BV389" i="31" s="1"/>
  <c r="BV415" i="31" s="1"/>
  <c r="BV441" i="31" s="1"/>
  <c r="BV467" i="31" s="1"/>
  <c r="BV493" i="31" s="1"/>
  <c r="BV519" i="31" s="1"/>
  <c r="BV545" i="31" s="1"/>
  <c r="BV571" i="31" s="1"/>
  <c r="BV597" i="31" s="1"/>
  <c r="BV623" i="31" s="1"/>
  <c r="BW30" i="31"/>
  <c r="BW56" i="31" s="1"/>
  <c r="BW82" i="31" s="1"/>
  <c r="BW108" i="31" s="1"/>
  <c r="BW134" i="31" s="1"/>
  <c r="BW160" i="31" s="1"/>
  <c r="BW186" i="31" s="1"/>
  <c r="BW212" i="31" s="1"/>
  <c r="BW238" i="31" s="1"/>
  <c r="BW264" i="31" s="1"/>
  <c r="BW290" i="31" s="1"/>
  <c r="BW316" i="31" s="1"/>
  <c r="BW342" i="31" s="1"/>
  <c r="BW368" i="31" s="1"/>
  <c r="BW394" i="31" s="1"/>
  <c r="BW420" i="31" s="1"/>
  <c r="BW446" i="31" s="1"/>
  <c r="BW472" i="31" s="1"/>
  <c r="BW498" i="31" s="1"/>
  <c r="BW524" i="31" s="1"/>
  <c r="BW550" i="31" s="1"/>
  <c r="BW576" i="31" s="1"/>
  <c r="BW602" i="31" s="1"/>
  <c r="BW31" i="31"/>
  <c r="BW57" i="31" s="1"/>
  <c r="BW83" i="31" s="1"/>
  <c r="BW32" i="31"/>
  <c r="BW58" i="31" s="1"/>
  <c r="BW84" i="31" s="1"/>
  <c r="BW110" i="31" s="1"/>
  <c r="BW136" i="31" s="1"/>
  <c r="BW162" i="31" s="1"/>
  <c r="BW188" i="31" s="1"/>
  <c r="BW214" i="31" s="1"/>
  <c r="BW240" i="31" s="1"/>
  <c r="BW266" i="31" s="1"/>
  <c r="BW292" i="31" s="1"/>
  <c r="BW318" i="31" s="1"/>
  <c r="BW344" i="31" s="1"/>
  <c r="BW370" i="31" s="1"/>
  <c r="BW396" i="31" s="1"/>
  <c r="BW422" i="31" s="1"/>
  <c r="BW448" i="31" s="1"/>
  <c r="BW474" i="31" s="1"/>
  <c r="BW500" i="31" s="1"/>
  <c r="BW526" i="31" s="1"/>
  <c r="BW552" i="31" s="1"/>
  <c r="BW578" i="31" s="1"/>
  <c r="BW604" i="31" s="1"/>
  <c r="BW33" i="31"/>
  <c r="BW59" i="31" s="1"/>
  <c r="BW34" i="31"/>
  <c r="BW60" i="31" s="1"/>
  <c r="BW35" i="31"/>
  <c r="BW61" i="31" s="1"/>
  <c r="BW87" i="31" s="1"/>
  <c r="BW36" i="31"/>
  <c r="BW62" i="31" s="1"/>
  <c r="BW88" i="31" s="1"/>
  <c r="BW114" i="31" s="1"/>
  <c r="BW140" i="31" s="1"/>
  <c r="BW166" i="31" s="1"/>
  <c r="BW192" i="31" s="1"/>
  <c r="BW218" i="31" s="1"/>
  <c r="BW244" i="31" s="1"/>
  <c r="BW270" i="31" s="1"/>
  <c r="BW296" i="31" s="1"/>
  <c r="BW322" i="31" s="1"/>
  <c r="BW348" i="31" s="1"/>
  <c r="BW374" i="31" s="1"/>
  <c r="BW400" i="31" s="1"/>
  <c r="BW426" i="31" s="1"/>
  <c r="BW452" i="31" s="1"/>
  <c r="BW478" i="31" s="1"/>
  <c r="BW504" i="31" s="1"/>
  <c r="BW530" i="31" s="1"/>
  <c r="BW556" i="31" s="1"/>
  <c r="BW582" i="31" s="1"/>
  <c r="BW608" i="31" s="1"/>
  <c r="BW37" i="31"/>
  <c r="BW63" i="31" s="1"/>
  <c r="BW38" i="31"/>
  <c r="BW64" i="31" s="1"/>
  <c r="BW90" i="31" s="1"/>
  <c r="BW116" i="31" s="1"/>
  <c r="BW142" i="31" s="1"/>
  <c r="BW168" i="31" s="1"/>
  <c r="BW194" i="31" s="1"/>
  <c r="BW220" i="31" s="1"/>
  <c r="BW246" i="31" s="1"/>
  <c r="BW272" i="31" s="1"/>
  <c r="BW298" i="31" s="1"/>
  <c r="BW324" i="31" s="1"/>
  <c r="BW39" i="31"/>
  <c r="BW65" i="31" s="1"/>
  <c r="BW40" i="31"/>
  <c r="BW66" i="31" s="1"/>
  <c r="BW92" i="31" s="1"/>
  <c r="BW118" i="31" s="1"/>
  <c r="BW144" i="31" s="1"/>
  <c r="BW170" i="31" s="1"/>
  <c r="BW196" i="31" s="1"/>
  <c r="BW222" i="31" s="1"/>
  <c r="BW248" i="31" s="1"/>
  <c r="BW274" i="31" s="1"/>
  <c r="BW300" i="31" s="1"/>
  <c r="BW326" i="31" s="1"/>
  <c r="BW352" i="31" s="1"/>
  <c r="BW378" i="31" s="1"/>
  <c r="BW404" i="31" s="1"/>
  <c r="BW430" i="31" s="1"/>
  <c r="BW456" i="31" s="1"/>
  <c r="BW482" i="31" s="1"/>
  <c r="BW508" i="31" s="1"/>
  <c r="BW534" i="31" s="1"/>
  <c r="BW560" i="31" s="1"/>
  <c r="BW586" i="31" s="1"/>
  <c r="BW612" i="31" s="1"/>
  <c r="BW41" i="31"/>
  <c r="BW67" i="31" s="1"/>
  <c r="BW42" i="31"/>
  <c r="BW68" i="31" s="1"/>
  <c r="BW94" i="31" s="1"/>
  <c r="BW120" i="31" s="1"/>
  <c r="BW146" i="31" s="1"/>
  <c r="BW172" i="31" s="1"/>
  <c r="BW198" i="31" s="1"/>
  <c r="BW224" i="31" s="1"/>
  <c r="BW250" i="31" s="1"/>
  <c r="BW276" i="31" s="1"/>
  <c r="BW302" i="31" s="1"/>
  <c r="BW328" i="31" s="1"/>
  <c r="BW354" i="31" s="1"/>
  <c r="BW380" i="31" s="1"/>
  <c r="BW406" i="31" s="1"/>
  <c r="BW432" i="31" s="1"/>
  <c r="BW458" i="31" s="1"/>
  <c r="BW484" i="31" s="1"/>
  <c r="BW510" i="31" s="1"/>
  <c r="BW536" i="31" s="1"/>
  <c r="BW562" i="31" s="1"/>
  <c r="BW588" i="31" s="1"/>
  <c r="BW614" i="31" s="1"/>
  <c r="BW43" i="31"/>
  <c r="BW69" i="31" s="1"/>
  <c r="BW95" i="31" s="1"/>
  <c r="BW44" i="31"/>
  <c r="BW70" i="31" s="1"/>
  <c r="BW45" i="31"/>
  <c r="BW71" i="31" s="1"/>
  <c r="BW46" i="31"/>
  <c r="BW72" i="31" s="1"/>
  <c r="BW98" i="31" s="1"/>
  <c r="BW124" i="31" s="1"/>
  <c r="BW150" i="31" s="1"/>
  <c r="BW176" i="31" s="1"/>
  <c r="BW202" i="31" s="1"/>
  <c r="BW228" i="31" s="1"/>
  <c r="BW254" i="31" s="1"/>
  <c r="BW280" i="31" s="1"/>
  <c r="BW306" i="31" s="1"/>
  <c r="BW332" i="31" s="1"/>
  <c r="BW358" i="31" s="1"/>
  <c r="BW384" i="31" s="1"/>
  <c r="BW410" i="31" s="1"/>
  <c r="BW436" i="31" s="1"/>
  <c r="BW462" i="31" s="1"/>
  <c r="BW488" i="31" s="1"/>
  <c r="BW514" i="31" s="1"/>
  <c r="BW540" i="31" s="1"/>
  <c r="BW566" i="31" s="1"/>
  <c r="BW592" i="31" s="1"/>
  <c r="BW618" i="31" s="1"/>
  <c r="BW47" i="31"/>
  <c r="BW73" i="31" s="1"/>
  <c r="BW99" i="31" s="1"/>
  <c r="BW48" i="31"/>
  <c r="BW74" i="31" s="1"/>
  <c r="BW100" i="31" s="1"/>
  <c r="BW126" i="31" s="1"/>
  <c r="BW152" i="31" s="1"/>
  <c r="BW178" i="31" s="1"/>
  <c r="BW204" i="31" s="1"/>
  <c r="BW230" i="31" s="1"/>
  <c r="BW256" i="31" s="1"/>
  <c r="BW282" i="31" s="1"/>
  <c r="BW308" i="31" s="1"/>
  <c r="BW334" i="31" s="1"/>
  <c r="BW360" i="31" s="1"/>
  <c r="BW386" i="31" s="1"/>
  <c r="BW412" i="31" s="1"/>
  <c r="BW438" i="31" s="1"/>
  <c r="BW464" i="31" s="1"/>
  <c r="BW490" i="31" s="1"/>
  <c r="BW516" i="31" s="1"/>
  <c r="BW542" i="31" s="1"/>
  <c r="BW568" i="31" s="1"/>
  <c r="BW594" i="31" s="1"/>
  <c r="BW620" i="31" s="1"/>
  <c r="BW49" i="31"/>
  <c r="BW75" i="31" s="1"/>
  <c r="BW50" i="31"/>
  <c r="BW76" i="31" s="1"/>
  <c r="BW102" i="31" s="1"/>
  <c r="BW128" i="31" s="1"/>
  <c r="BW154" i="31" s="1"/>
  <c r="BW180" i="31" s="1"/>
  <c r="BW206" i="31" s="1"/>
  <c r="BW232" i="31" s="1"/>
  <c r="BW258" i="31" s="1"/>
  <c r="BW284" i="31" s="1"/>
  <c r="BW310" i="31" s="1"/>
  <c r="BW336" i="31" s="1"/>
  <c r="BW362" i="31" s="1"/>
  <c r="BW388" i="31" s="1"/>
  <c r="BW414" i="31" s="1"/>
  <c r="BW440" i="31" s="1"/>
  <c r="BW466" i="31" s="1"/>
  <c r="BW492" i="31" s="1"/>
  <c r="BW518" i="31" s="1"/>
  <c r="BW544" i="31" s="1"/>
  <c r="BW570" i="31" s="1"/>
  <c r="BW596" i="31" s="1"/>
  <c r="BW622" i="31" s="1"/>
  <c r="BW51" i="31"/>
  <c r="BW77" i="31" s="1"/>
  <c r="BW103" i="31" s="1"/>
  <c r="BW52" i="31"/>
  <c r="BW78" i="31" s="1"/>
  <c r="BW104" i="31" s="1"/>
  <c r="BW130" i="31" s="1"/>
  <c r="BW156" i="31" s="1"/>
  <c r="BW182" i="31" s="1"/>
  <c r="BW208" i="31" s="1"/>
  <c r="BW234" i="31" s="1"/>
  <c r="BW260" i="31" s="1"/>
  <c r="BW286" i="31" s="1"/>
  <c r="BW312" i="31" s="1"/>
  <c r="BW338" i="31" s="1"/>
  <c r="BW364" i="31" s="1"/>
  <c r="BW390" i="31" s="1"/>
  <c r="BW416" i="31" s="1"/>
  <c r="BW442" i="31" s="1"/>
  <c r="BW468" i="31" s="1"/>
  <c r="BW494" i="31" s="1"/>
  <c r="BW520" i="31" s="1"/>
  <c r="BW546" i="31" s="1"/>
  <c r="BW572" i="31" s="1"/>
  <c r="BW598" i="31" s="1"/>
  <c r="BW53" i="31"/>
  <c r="BW79" i="31" s="1"/>
  <c r="BW54" i="31"/>
  <c r="BW80" i="31" s="1"/>
  <c r="BW106" i="31" s="1"/>
  <c r="BW132" i="31" s="1"/>
  <c r="BW158" i="31" s="1"/>
  <c r="BW184" i="31" s="1"/>
  <c r="BW210" i="31" s="1"/>
  <c r="BW236" i="31" s="1"/>
  <c r="BW262" i="31" s="1"/>
  <c r="BW288" i="31" s="1"/>
  <c r="BW314" i="31" s="1"/>
  <c r="BW340" i="31" s="1"/>
  <c r="BW366" i="31" s="1"/>
  <c r="BW392" i="31" s="1"/>
  <c r="BW418" i="31" s="1"/>
  <c r="BW444" i="31" s="1"/>
  <c r="BW470" i="31" s="1"/>
  <c r="BW496" i="31" s="1"/>
  <c r="BW522" i="31" s="1"/>
  <c r="BW548" i="31" s="1"/>
  <c r="BW574" i="31" s="1"/>
  <c r="BW600" i="31" s="1"/>
  <c r="BW29" i="31"/>
  <c r="BW55" i="31" s="1"/>
  <c r="BW81" i="31" s="1"/>
  <c r="CA26" i="31"/>
  <c r="CA27" i="31"/>
  <c r="CA28" i="31"/>
  <c r="CA94" i="31"/>
  <c r="CA83" i="31"/>
  <c r="CA98" i="31"/>
  <c r="CA67" i="31"/>
  <c r="CA66" i="31"/>
  <c r="CA79" i="31"/>
  <c r="BX600" i="31"/>
  <c r="BX418" i="31"/>
  <c r="CA120" i="31"/>
  <c r="CA65" i="31"/>
  <c r="CA110" i="31"/>
  <c r="CA106" i="31"/>
  <c r="CA63" i="31"/>
  <c r="BX79" i="31"/>
  <c r="CA90" i="31"/>
  <c r="CA124" i="31"/>
  <c r="BX78" i="31"/>
  <c r="CA136" i="31"/>
  <c r="CA118" i="31"/>
  <c r="BX53" i="31"/>
  <c r="BX392" i="31"/>
  <c r="CA140" i="31"/>
  <c r="CA71" i="31"/>
  <c r="CA70" i="31"/>
  <c r="CA58" i="31"/>
  <c r="CA56" i="31"/>
  <c r="BX236" i="31"/>
  <c r="CA130" i="31"/>
  <c r="BX468" i="31"/>
  <c r="CA62" i="31"/>
  <c r="BX106" i="31"/>
  <c r="CA126" i="31"/>
  <c r="CA95" i="31"/>
  <c r="BX338" i="31"/>
  <c r="BX416" i="31"/>
  <c r="CA59" i="31"/>
  <c r="BX598" i="31"/>
  <c r="CA76" i="31"/>
  <c r="CA60" i="31"/>
  <c r="CA128" i="31"/>
  <c r="BX574" i="31"/>
  <c r="BX210" i="31"/>
  <c r="CA75" i="31"/>
  <c r="CA92" i="31"/>
  <c r="CA132" i="31"/>
  <c r="BX182" i="31"/>
  <c r="CA52" i="31"/>
  <c r="CA134" i="31"/>
  <c r="CA74" i="31"/>
  <c r="CA100" i="31"/>
  <c r="BX312" i="31"/>
  <c r="CA82" i="31"/>
  <c r="CA68" i="31"/>
  <c r="BX158" i="31"/>
  <c r="BW107" i="31" l="1"/>
  <c r="BW105" i="31"/>
  <c r="BW101" i="31"/>
  <c r="BW97" i="31"/>
  <c r="BW93" i="31"/>
  <c r="BW89" i="31"/>
  <c r="BW85" i="31"/>
  <c r="BW96" i="31"/>
  <c r="BW129" i="31"/>
  <c r="BW125" i="31"/>
  <c r="BW121" i="31"/>
  <c r="BW91" i="31"/>
  <c r="BW113" i="31"/>
  <c r="BW109" i="31"/>
  <c r="BW86" i="31"/>
  <c r="BY600" i="31"/>
  <c r="BY598" i="31"/>
  <c r="BY574" i="31"/>
  <c r="BY468" i="31"/>
  <c r="BY418" i="31"/>
  <c r="BY392" i="31"/>
  <c r="BY416" i="31"/>
  <c r="BY312" i="31"/>
  <c r="BY338" i="31"/>
  <c r="BY236" i="31"/>
  <c r="BY210" i="31"/>
  <c r="BY182" i="31"/>
  <c r="BY158" i="31"/>
  <c r="BY79" i="31"/>
  <c r="BY106" i="31"/>
  <c r="BY78" i="31"/>
  <c r="BZ437" i="31"/>
  <c r="BZ449" i="31"/>
  <c r="BZ441" i="31"/>
  <c r="BZ447" i="31"/>
  <c r="BZ443" i="31"/>
  <c r="BZ439" i="31"/>
  <c r="BZ435" i="31"/>
  <c r="BZ431" i="31"/>
  <c r="BZ427" i="31"/>
  <c r="BZ164" i="31"/>
  <c r="BZ117" i="31"/>
  <c r="BZ113" i="31"/>
  <c r="BZ166" i="31"/>
  <c r="BZ162" i="31"/>
  <c r="BZ160" i="31"/>
  <c r="BZ158" i="31"/>
  <c r="BZ156" i="31"/>
  <c r="BZ154" i="31"/>
  <c r="BZ152" i="31"/>
  <c r="BZ150" i="31"/>
  <c r="BZ148" i="31"/>
  <c r="BZ146" i="31"/>
  <c r="BZ144" i="31"/>
  <c r="BZ142" i="31"/>
  <c r="BW350" i="31"/>
  <c r="BY53" i="31"/>
  <c r="BX26" i="31"/>
  <c r="BY26" i="31" s="1"/>
  <c r="BX27" i="31"/>
  <c r="BY27" i="31" s="1"/>
  <c r="BX28" i="31"/>
  <c r="BY28" i="31" s="1"/>
  <c r="CA89" i="31"/>
  <c r="CA69" i="31"/>
  <c r="BX234" i="31"/>
  <c r="CA64" i="31"/>
  <c r="BX130" i="31"/>
  <c r="BX288" i="31"/>
  <c r="BX390" i="31"/>
  <c r="CA104" i="31"/>
  <c r="BX496" i="31"/>
  <c r="CA97" i="31"/>
  <c r="CA109" i="31"/>
  <c r="CA129" i="31"/>
  <c r="BX260" i="31"/>
  <c r="BX522" i="31"/>
  <c r="CA84" i="31"/>
  <c r="BX184" i="31"/>
  <c r="BX132" i="31"/>
  <c r="BX546" i="31"/>
  <c r="CA53" i="31"/>
  <c r="CA54" i="31"/>
  <c r="BX572" i="31"/>
  <c r="CA57" i="31"/>
  <c r="CA103" i="31"/>
  <c r="BX494" i="31"/>
  <c r="BX548" i="31"/>
  <c r="BX340" i="31"/>
  <c r="BX156" i="31"/>
  <c r="BX286" i="31"/>
  <c r="CA61" i="31"/>
  <c r="CA96" i="31"/>
  <c r="BX366" i="31"/>
  <c r="CA114" i="31"/>
  <c r="CA99" i="31"/>
  <c r="CA102" i="31"/>
  <c r="CA105" i="31"/>
  <c r="BX105" i="31"/>
  <c r="CA86" i="31"/>
  <c r="CA93" i="31"/>
  <c r="CA125" i="31"/>
  <c r="CA80" i="31"/>
  <c r="BX442" i="31"/>
  <c r="BX80" i="31"/>
  <c r="BX104" i="31"/>
  <c r="BX364" i="31"/>
  <c r="CA116" i="31"/>
  <c r="CA101" i="31"/>
  <c r="BX54" i="31"/>
  <c r="CA72" i="31"/>
  <c r="CA78" i="31"/>
  <c r="BX444" i="31"/>
  <c r="CA85" i="31"/>
  <c r="CA77" i="31"/>
  <c r="BX52" i="31"/>
  <c r="CA87" i="31"/>
  <c r="CA73" i="31"/>
  <c r="BX314" i="31"/>
  <c r="CA121" i="31"/>
  <c r="CA91" i="31"/>
  <c r="CA88" i="31"/>
  <c r="BX470" i="31"/>
  <c r="CA108" i="31"/>
  <c r="BX262" i="31"/>
  <c r="BX520" i="31"/>
  <c r="BX208" i="31"/>
  <c r="BY390" i="31" l="1"/>
  <c r="BY288" i="31"/>
  <c r="BY234" i="31"/>
  <c r="BY130" i="31"/>
  <c r="BY184" i="31"/>
  <c r="BY314" i="31"/>
  <c r="BY494" i="31"/>
  <c r="BY496" i="31"/>
  <c r="BY470" i="31"/>
  <c r="BY572" i="31"/>
  <c r="BY132" i="31"/>
  <c r="BY522" i="31"/>
  <c r="BY442" i="31"/>
  <c r="BY80" i="31"/>
  <c r="BY444" i="31"/>
  <c r="BY286" i="31"/>
  <c r="BY548" i="31"/>
  <c r="BY546" i="31"/>
  <c r="BY520" i="31"/>
  <c r="BY208" i="31"/>
  <c r="BY340" i="31"/>
  <c r="BY260" i="31"/>
  <c r="BY366" i="31"/>
  <c r="BY104" i="31"/>
  <c r="BY364" i="31"/>
  <c r="BY156" i="31"/>
  <c r="BY262" i="31"/>
  <c r="BY105" i="31"/>
  <c r="BW147" i="31"/>
  <c r="BW139" i="31"/>
  <c r="BW155" i="31"/>
  <c r="BW122" i="31"/>
  <c r="BW133" i="31"/>
  <c r="BW112" i="31"/>
  <c r="BW111" i="31"/>
  <c r="BW119" i="31"/>
  <c r="BW127" i="31"/>
  <c r="BW135" i="31"/>
  <c r="BW117" i="31"/>
  <c r="BW151" i="31"/>
  <c r="BW115" i="31"/>
  <c r="BW123" i="31"/>
  <c r="BW131" i="31"/>
  <c r="BZ176" i="31"/>
  <c r="BZ184" i="31"/>
  <c r="BZ139" i="31"/>
  <c r="BZ190" i="31"/>
  <c r="BZ461" i="31"/>
  <c r="BZ467" i="31"/>
  <c r="BZ463" i="31"/>
  <c r="BZ168" i="31"/>
  <c r="BZ172" i="31"/>
  <c r="BZ180" i="31"/>
  <c r="BZ188" i="31"/>
  <c r="BZ143" i="31"/>
  <c r="BZ453" i="31"/>
  <c r="BZ469" i="31"/>
  <c r="BZ475" i="31"/>
  <c r="BZ170" i="31"/>
  <c r="BZ178" i="31"/>
  <c r="BZ186" i="31"/>
  <c r="BZ465" i="31"/>
  <c r="BZ174" i="31"/>
  <c r="BZ182" i="31"/>
  <c r="BZ192" i="31"/>
  <c r="BZ457" i="31"/>
  <c r="BZ473" i="31"/>
  <c r="BW376" i="31"/>
  <c r="BY54" i="31"/>
  <c r="BY52" i="31"/>
  <c r="CA166" i="31"/>
  <c r="CA113" i="31"/>
  <c r="CA131" i="31"/>
  <c r="CA112" i="31"/>
  <c r="CA115" i="31"/>
  <c r="CA156" i="31"/>
  <c r="CA117" i="31"/>
  <c r="CA142" i="31"/>
  <c r="CA155" i="31"/>
  <c r="CA135" i="31"/>
  <c r="CA127" i="31"/>
  <c r="CA146" i="31"/>
  <c r="CA122" i="31"/>
  <c r="CA154" i="31"/>
  <c r="CA119" i="31"/>
  <c r="CA123" i="31"/>
  <c r="CA144" i="31"/>
  <c r="CA152" i="31"/>
  <c r="CA162" i="31"/>
  <c r="CA160" i="31"/>
  <c r="CA147" i="31"/>
  <c r="CA150" i="31"/>
  <c r="CA158" i="31"/>
  <c r="CA111" i="31"/>
  <c r="BX131" i="31"/>
  <c r="CA151" i="31"/>
  <c r="BY131" i="31" l="1"/>
  <c r="BW149" i="31"/>
  <c r="BW177" i="31"/>
  <c r="BW161" i="31"/>
  <c r="BW145" i="31"/>
  <c r="BW138" i="31"/>
  <c r="BW148" i="31"/>
  <c r="BW165" i="31"/>
  <c r="BW157" i="31"/>
  <c r="BW141" i="31"/>
  <c r="BW143" i="31"/>
  <c r="BW153" i="31"/>
  <c r="BW137" i="31"/>
  <c r="BW159" i="31"/>
  <c r="BW181" i="31"/>
  <c r="BW173" i="31"/>
  <c r="BZ200" i="31"/>
  <c r="BZ196" i="31"/>
  <c r="BZ214" i="31"/>
  <c r="BZ483" i="31"/>
  <c r="BZ491" i="31"/>
  <c r="BZ495" i="31"/>
  <c r="BZ169" i="31"/>
  <c r="BZ493" i="31"/>
  <c r="BZ499" i="31"/>
  <c r="BZ479" i="31"/>
  <c r="BZ218" i="31"/>
  <c r="BZ212" i="31"/>
  <c r="BZ198" i="31"/>
  <c r="BZ208" i="31"/>
  <c r="BZ204" i="31"/>
  <c r="BZ206" i="31"/>
  <c r="BZ194" i="31"/>
  <c r="BZ216" i="31"/>
  <c r="BZ210" i="31"/>
  <c r="BZ501" i="31"/>
  <c r="BZ489" i="31"/>
  <c r="BZ487" i="31"/>
  <c r="BZ165" i="31"/>
  <c r="BZ202" i="31"/>
  <c r="BW402" i="31"/>
  <c r="CA137" i="31"/>
  <c r="CA188" i="31"/>
  <c r="CA153" i="31"/>
  <c r="CA148" i="31"/>
  <c r="CA170" i="31"/>
  <c r="CA161" i="31"/>
  <c r="CA178" i="31"/>
  <c r="CA139" i="31"/>
  <c r="CA182" i="31"/>
  <c r="CA138" i="31"/>
  <c r="CA143" i="31"/>
  <c r="CA149" i="31"/>
  <c r="CA157" i="31"/>
  <c r="CA180" i="31"/>
  <c r="BX157" i="31"/>
  <c r="CA184" i="31"/>
  <c r="CA141" i="31"/>
  <c r="CA177" i="31"/>
  <c r="CA176" i="31"/>
  <c r="CA181" i="31"/>
  <c r="CA173" i="31"/>
  <c r="CA172" i="31"/>
  <c r="CA192" i="31"/>
  <c r="CA145" i="31"/>
  <c r="CA168" i="31"/>
  <c r="CA186" i="31"/>
  <c r="BY157" i="31" l="1"/>
  <c r="BW207" i="31"/>
  <c r="BW163" i="31"/>
  <c r="BW169" i="31"/>
  <c r="BW183" i="31"/>
  <c r="BW174" i="31"/>
  <c r="BW171" i="31"/>
  <c r="BW203" i="31"/>
  <c r="BW199" i="31"/>
  <c r="BW185" i="31"/>
  <c r="BW179" i="31"/>
  <c r="BW167" i="31"/>
  <c r="BW191" i="31"/>
  <c r="BW164" i="31"/>
  <c r="BW187" i="31"/>
  <c r="BW175" i="31"/>
  <c r="BZ513" i="31"/>
  <c r="BZ242" i="31"/>
  <c r="BZ234" i="31"/>
  <c r="BZ519" i="31"/>
  <c r="BZ517" i="31"/>
  <c r="BZ240" i="31"/>
  <c r="BZ226" i="31"/>
  <c r="BZ191" i="31"/>
  <c r="BZ509" i="31"/>
  <c r="BZ505" i="31"/>
  <c r="BZ228" i="31"/>
  <c r="BZ527" i="31"/>
  <c r="BZ232" i="31"/>
  <c r="BZ521" i="31"/>
  <c r="BZ515" i="31"/>
  <c r="BZ236" i="31"/>
  <c r="BZ220" i="31"/>
  <c r="BZ230" i="31"/>
  <c r="BZ224" i="31"/>
  <c r="BZ244" i="31"/>
  <c r="BZ525" i="31"/>
  <c r="BZ195" i="31"/>
  <c r="BZ222" i="31"/>
  <c r="BZ238" i="31"/>
  <c r="BW428" i="31"/>
  <c r="CA212" i="31"/>
  <c r="CA183" i="31"/>
  <c r="CA169" i="31"/>
  <c r="CA175" i="31"/>
  <c r="CA210" i="31"/>
  <c r="CA199" i="31"/>
  <c r="CA163" i="31"/>
  <c r="CA203" i="31"/>
  <c r="CA202" i="31"/>
  <c r="CA206" i="31"/>
  <c r="CA167" i="31"/>
  <c r="CA208" i="31"/>
  <c r="CA214" i="31"/>
  <c r="CA207" i="31"/>
  <c r="CA196" i="31"/>
  <c r="CA171" i="31"/>
  <c r="CA204" i="31"/>
  <c r="CA198" i="31"/>
  <c r="CA194" i="31"/>
  <c r="CA165" i="31"/>
  <c r="CA187" i="31"/>
  <c r="CA218" i="31"/>
  <c r="CA164" i="31"/>
  <c r="CA174" i="31"/>
  <c r="CA179" i="31"/>
  <c r="BW213" i="31" l="1"/>
  <c r="BW217" i="31"/>
  <c r="BW205" i="31"/>
  <c r="BW225" i="31"/>
  <c r="BW197" i="31"/>
  <c r="BW209" i="31"/>
  <c r="BW189" i="31"/>
  <c r="BW201" i="31"/>
  <c r="BW190" i="31"/>
  <c r="BW193" i="31"/>
  <c r="BW211" i="31"/>
  <c r="BW229" i="31"/>
  <c r="BW200" i="31"/>
  <c r="BW195" i="31"/>
  <c r="BW233" i="31"/>
  <c r="BZ248" i="31"/>
  <c r="BZ221" i="31"/>
  <c r="BZ256" i="31"/>
  <c r="BZ547" i="31"/>
  <c r="BZ553" i="31"/>
  <c r="BZ531" i="31"/>
  <c r="BZ217" i="31"/>
  <c r="BZ545" i="31"/>
  <c r="BZ268" i="31"/>
  <c r="BZ270" i="31"/>
  <c r="BZ262" i="31"/>
  <c r="BZ266" i="31"/>
  <c r="BZ250" i="31"/>
  <c r="BZ258" i="31"/>
  <c r="BZ254" i="31"/>
  <c r="BZ264" i="31"/>
  <c r="BZ551" i="31"/>
  <c r="BZ246" i="31"/>
  <c r="BZ541" i="31"/>
  <c r="BZ535" i="31"/>
  <c r="BZ252" i="31"/>
  <c r="BZ543" i="31"/>
  <c r="BZ260" i="31"/>
  <c r="BZ539" i="31"/>
  <c r="BW454" i="31"/>
  <c r="CA191" i="31"/>
  <c r="CA193" i="31"/>
  <c r="BX209" i="31"/>
  <c r="CA189" i="31"/>
  <c r="CA197" i="31"/>
  <c r="CA234" i="31"/>
  <c r="CA195" i="31"/>
  <c r="CA224" i="31"/>
  <c r="CA238" i="31"/>
  <c r="CA229" i="31"/>
  <c r="CA222" i="31"/>
  <c r="CA201" i="31"/>
  <c r="CA190" i="31"/>
  <c r="CA225" i="31"/>
  <c r="CA233" i="31"/>
  <c r="CA220" i="31"/>
  <c r="CA205" i="31"/>
  <c r="BX183" i="31"/>
  <c r="CA232" i="31"/>
  <c r="CA209" i="31"/>
  <c r="CA236" i="31"/>
  <c r="CA213" i="31"/>
  <c r="CA200" i="31"/>
  <c r="CA230" i="31"/>
  <c r="CA244" i="31"/>
  <c r="CA240" i="31"/>
  <c r="CA228" i="31"/>
  <c r="BY183" i="31" l="1"/>
  <c r="BY209" i="31"/>
  <c r="BW221" i="31"/>
  <c r="BW255" i="31"/>
  <c r="BW219" i="31"/>
  <c r="BW227" i="31"/>
  <c r="BW235" i="31"/>
  <c r="BW251" i="31"/>
  <c r="BW243" i="31"/>
  <c r="BW259" i="31"/>
  <c r="BW226" i="31"/>
  <c r="BW237" i="31"/>
  <c r="BW216" i="31"/>
  <c r="BW215" i="31"/>
  <c r="BW223" i="31"/>
  <c r="BW231" i="31"/>
  <c r="BW239" i="31"/>
  <c r="BZ286" i="31"/>
  <c r="BZ278" i="31"/>
  <c r="BZ290" i="31"/>
  <c r="BZ284" i="31"/>
  <c r="BZ292" i="31"/>
  <c r="BZ296" i="31"/>
  <c r="BZ247" i="31"/>
  <c r="BZ567" i="31"/>
  <c r="BZ577" i="31"/>
  <c r="BZ571" i="31"/>
  <c r="BZ557" i="31"/>
  <c r="BZ573" i="31"/>
  <c r="BZ288" i="31"/>
  <c r="BZ294" i="31"/>
  <c r="BZ282" i="31"/>
  <c r="BZ274" i="31"/>
  <c r="BZ565" i="31"/>
  <c r="BZ569" i="31"/>
  <c r="BZ561" i="31"/>
  <c r="BZ272" i="31"/>
  <c r="BZ280" i="31"/>
  <c r="BZ276" i="31"/>
  <c r="BZ243" i="31"/>
  <c r="BZ579" i="31"/>
  <c r="BW480" i="31"/>
  <c r="CA266" i="31"/>
  <c r="CA223" i="31"/>
  <c r="CA260" i="31"/>
  <c r="CA254" i="31"/>
  <c r="CA258" i="31"/>
  <c r="CA255" i="31"/>
  <c r="CA216" i="31"/>
  <c r="CA215" i="31"/>
  <c r="CA246" i="31"/>
  <c r="CA221" i="31"/>
  <c r="CA264" i="31"/>
  <c r="BX235" i="31"/>
  <c r="CA256" i="31"/>
  <c r="CA227" i="31"/>
  <c r="CA251" i="31"/>
  <c r="CA239" i="31"/>
  <c r="CA250" i="31"/>
  <c r="CA262" i="31"/>
  <c r="CA226" i="31"/>
  <c r="CA259" i="31"/>
  <c r="CA248" i="31"/>
  <c r="CA270" i="31"/>
  <c r="CA219" i="31"/>
  <c r="CA217" i="31"/>
  <c r="CA235" i="31"/>
  <c r="CA231" i="31"/>
  <c r="BY235" i="31" l="1"/>
  <c r="BW257" i="31"/>
  <c r="BW241" i="31"/>
  <c r="BW263" i="31"/>
  <c r="BW285" i="31"/>
  <c r="BW277" i="31"/>
  <c r="BW253" i="31"/>
  <c r="BW281" i="31"/>
  <c r="BW265" i="31"/>
  <c r="BW249" i="31"/>
  <c r="BW242" i="31"/>
  <c r="BW252" i="31"/>
  <c r="BW269" i="31"/>
  <c r="BW261" i="31"/>
  <c r="BW245" i="31"/>
  <c r="BW247" i="31"/>
  <c r="BZ269" i="31"/>
  <c r="BZ306" i="31"/>
  <c r="BZ298" i="31"/>
  <c r="BZ300" i="31"/>
  <c r="BZ320" i="31"/>
  <c r="BZ599" i="31"/>
  <c r="BZ322" i="31"/>
  <c r="BZ310" i="31"/>
  <c r="BZ304" i="31"/>
  <c r="BZ595" i="31"/>
  <c r="BZ597" i="31"/>
  <c r="BZ593" i="31"/>
  <c r="BZ605" i="31"/>
  <c r="BZ302" i="31"/>
  <c r="BZ308" i="31"/>
  <c r="BZ314" i="31"/>
  <c r="BZ603" i="31"/>
  <c r="BZ273" i="31"/>
  <c r="BZ318" i="31"/>
  <c r="BZ316" i="31"/>
  <c r="BZ312" i="31"/>
  <c r="BZ587" i="31"/>
  <c r="BZ591" i="31"/>
  <c r="BZ583" i="31"/>
  <c r="BW506" i="31"/>
  <c r="CA247" i="31"/>
  <c r="CA284" i="31"/>
  <c r="CA281" i="31"/>
  <c r="CA280" i="31"/>
  <c r="CA296" i="31"/>
  <c r="CA253" i="31"/>
  <c r="CA257" i="31"/>
  <c r="CA276" i="31"/>
  <c r="CA290" i="31"/>
  <c r="CA252" i="31"/>
  <c r="CA265" i="31"/>
  <c r="CA282" i="31"/>
  <c r="CA245" i="31"/>
  <c r="CA242" i="31"/>
  <c r="CA241" i="31"/>
  <c r="CA261" i="31"/>
  <c r="CA274" i="31"/>
  <c r="CA277" i="31"/>
  <c r="CA243" i="31"/>
  <c r="CA288" i="31"/>
  <c r="CA285" i="31"/>
  <c r="CA272" i="31"/>
  <c r="CA292" i="31"/>
  <c r="CA286" i="31"/>
  <c r="CA249" i="31"/>
  <c r="BX261" i="31"/>
  <c r="BY261" i="31" l="1"/>
  <c r="BW271" i="31"/>
  <c r="BW295" i="31"/>
  <c r="BW268" i="31"/>
  <c r="BW291" i="31"/>
  <c r="BW279" i="31"/>
  <c r="BW311" i="31"/>
  <c r="BW267" i="31"/>
  <c r="BW273" i="31"/>
  <c r="BW287" i="31"/>
  <c r="BW278" i="31"/>
  <c r="BW275" i="31"/>
  <c r="BW307" i="31"/>
  <c r="BW303" i="31"/>
  <c r="BW289" i="31"/>
  <c r="BW283" i="31"/>
  <c r="BZ617" i="31"/>
  <c r="BZ338" i="31"/>
  <c r="BZ344" i="31"/>
  <c r="BZ334" i="31"/>
  <c r="BZ328" i="31"/>
  <c r="BZ619" i="31"/>
  <c r="BZ621" i="31"/>
  <c r="BZ336" i="31"/>
  <c r="BZ326" i="31"/>
  <c r="BZ332" i="31"/>
  <c r="BZ609" i="31"/>
  <c r="BZ613" i="31"/>
  <c r="BZ342" i="31"/>
  <c r="BZ299" i="31"/>
  <c r="BZ340" i="31"/>
  <c r="BZ623" i="31"/>
  <c r="BZ330" i="31"/>
  <c r="BZ348" i="31"/>
  <c r="BZ346" i="31"/>
  <c r="BZ324" i="31"/>
  <c r="BZ295" i="31"/>
  <c r="BW532" i="31"/>
  <c r="CA307" i="31"/>
  <c r="CA279" i="31"/>
  <c r="CA269" i="31"/>
  <c r="CA302" i="31"/>
  <c r="CA271" i="31"/>
  <c r="CA283" i="31"/>
  <c r="CA273" i="31"/>
  <c r="CA308" i="31"/>
  <c r="CA318" i="31"/>
  <c r="CA310" i="31"/>
  <c r="CA291" i="31"/>
  <c r="CA322" i="31"/>
  <c r="CA311" i="31"/>
  <c r="CA267" i="31"/>
  <c r="CA314" i="31"/>
  <c r="CA298" i="31"/>
  <c r="CA275" i="31"/>
  <c r="CA312" i="31"/>
  <c r="CA268" i="31"/>
  <c r="CA278" i="31"/>
  <c r="CA316" i="31"/>
  <c r="CA303" i="31"/>
  <c r="CA306" i="31"/>
  <c r="CA300" i="31"/>
  <c r="BX287" i="31"/>
  <c r="CA287" i="31"/>
  <c r="BY287" i="31" l="1"/>
  <c r="BW315" i="31"/>
  <c r="BW333" i="31"/>
  <c r="BW304" i="31"/>
  <c r="BW299" i="31"/>
  <c r="BW337" i="31"/>
  <c r="BW317" i="31"/>
  <c r="BW321" i="31"/>
  <c r="BW309" i="31"/>
  <c r="BW329" i="31"/>
  <c r="BW301" i="31"/>
  <c r="BW313" i="31"/>
  <c r="BW293" i="31"/>
  <c r="BW305" i="31"/>
  <c r="BW294" i="31"/>
  <c r="BW297" i="31"/>
  <c r="BZ350" i="31"/>
  <c r="BZ325" i="31"/>
  <c r="BZ358" i="31"/>
  <c r="BZ362" i="31"/>
  <c r="BZ360" i="31"/>
  <c r="BZ364" i="31"/>
  <c r="BZ374" i="31"/>
  <c r="BZ321" i="31"/>
  <c r="BZ372" i="31"/>
  <c r="BZ356" i="31"/>
  <c r="BZ366" i="31"/>
  <c r="BZ368" i="31"/>
  <c r="BZ352" i="31"/>
  <c r="BZ354" i="31"/>
  <c r="BZ370" i="31"/>
  <c r="BW558" i="31"/>
  <c r="CA334" i="31"/>
  <c r="CA329" i="31"/>
  <c r="CA317" i="31"/>
  <c r="CA328" i="31"/>
  <c r="CA299" i="31"/>
  <c r="CA297" i="31"/>
  <c r="CA340" i="31"/>
  <c r="CA304" i="31"/>
  <c r="CA293" i="31"/>
  <c r="CA324" i="31"/>
  <c r="CA336" i="31"/>
  <c r="CA309" i="31"/>
  <c r="CA333" i="31"/>
  <c r="CA305" i="31"/>
  <c r="CA326" i="31"/>
  <c r="CA348" i="31"/>
  <c r="CA313" i="31"/>
  <c r="CA301" i="31"/>
  <c r="CA342" i="31"/>
  <c r="CA295" i="31"/>
  <c r="CA294" i="31"/>
  <c r="CA344" i="31"/>
  <c r="BX313" i="31"/>
  <c r="CA332" i="31"/>
  <c r="CA337" i="31"/>
  <c r="CA338" i="31"/>
  <c r="BY313" i="31" l="1"/>
  <c r="BW320" i="31"/>
  <c r="BW319" i="31"/>
  <c r="BW327" i="31"/>
  <c r="BW335" i="31"/>
  <c r="BW343" i="31"/>
  <c r="BW325" i="31"/>
  <c r="BW359" i="31"/>
  <c r="BW323" i="31"/>
  <c r="BW331" i="31"/>
  <c r="BW339" i="31"/>
  <c r="BW355" i="31"/>
  <c r="BW347" i="31"/>
  <c r="BW363" i="31"/>
  <c r="BW330" i="31"/>
  <c r="BW341" i="31"/>
  <c r="BZ380" i="31"/>
  <c r="BZ347" i="31"/>
  <c r="BZ351" i="31"/>
  <c r="BZ394" i="31"/>
  <c r="BZ382" i="31"/>
  <c r="BZ390" i="31"/>
  <c r="BZ388" i="31"/>
  <c r="BZ376" i="31"/>
  <c r="BZ396" i="31"/>
  <c r="BZ378" i="31"/>
  <c r="BZ392" i="31"/>
  <c r="BZ398" i="31"/>
  <c r="BZ400" i="31"/>
  <c r="BZ386" i="31"/>
  <c r="BZ384" i="31"/>
  <c r="BW584" i="31"/>
  <c r="CA350" i="31"/>
  <c r="CA352" i="31"/>
  <c r="CA325" i="31"/>
  <c r="CA362" i="31"/>
  <c r="CA360" i="31"/>
  <c r="CA339" i="31"/>
  <c r="CA343" i="31"/>
  <c r="CA374" i="31"/>
  <c r="CA319" i="31"/>
  <c r="CA320" i="31"/>
  <c r="CA323" i="31"/>
  <c r="CA355" i="31"/>
  <c r="CA368" i="31"/>
  <c r="CA321" i="31"/>
  <c r="CA327" i="31"/>
  <c r="CA363" i="31"/>
  <c r="CA358" i="31"/>
  <c r="CA366" i="31"/>
  <c r="CA354" i="31"/>
  <c r="CA330" i="31"/>
  <c r="CA335" i="31"/>
  <c r="BX339" i="31"/>
  <c r="CA370" i="31"/>
  <c r="CA359" i="31"/>
  <c r="CA364" i="31"/>
  <c r="CA331" i="31"/>
  <c r="BY339" i="31" l="1"/>
  <c r="BW356" i="31"/>
  <c r="BW373" i="31"/>
  <c r="BW365" i="31"/>
  <c r="BW349" i="31"/>
  <c r="BW351" i="31"/>
  <c r="BW361" i="31"/>
  <c r="BW345" i="31"/>
  <c r="BW367" i="31"/>
  <c r="BW389" i="31"/>
  <c r="BW381" i="31"/>
  <c r="BW357" i="31"/>
  <c r="BW385" i="31"/>
  <c r="BW369" i="31"/>
  <c r="BW353" i="31"/>
  <c r="BW346" i="31"/>
  <c r="BZ412" i="31"/>
  <c r="BZ424" i="31"/>
  <c r="BZ416" i="31"/>
  <c r="BZ420" i="31"/>
  <c r="BZ404" i="31"/>
  <c r="BZ402" i="31"/>
  <c r="BZ373" i="31"/>
  <c r="BZ410" i="31"/>
  <c r="BZ426" i="31"/>
  <c r="BZ418" i="31"/>
  <c r="BZ422" i="31"/>
  <c r="BZ414" i="31"/>
  <c r="BZ408" i="31"/>
  <c r="BZ377" i="31"/>
  <c r="BZ406" i="31"/>
  <c r="BW610" i="31"/>
  <c r="BX365" i="31"/>
  <c r="CA356" i="31"/>
  <c r="CA376" i="31"/>
  <c r="CA388" i="31"/>
  <c r="CA400" i="31"/>
  <c r="CA380" i="31"/>
  <c r="CA351" i="31"/>
  <c r="CA396" i="31"/>
  <c r="CA378" i="31"/>
  <c r="CA389" i="31"/>
  <c r="CA347" i="31"/>
  <c r="CA349" i="31"/>
  <c r="CA353" i="31"/>
  <c r="CA384" i="31"/>
  <c r="CA386" i="31"/>
  <c r="CA345" i="31"/>
  <c r="CA392" i="31"/>
  <c r="CA346" i="31"/>
  <c r="CA381" i="31"/>
  <c r="CA361" i="31"/>
  <c r="CA394" i="31"/>
  <c r="CA390" i="31"/>
  <c r="CA385" i="31"/>
  <c r="CA357" i="31"/>
  <c r="CA365" i="31"/>
  <c r="CA369" i="31"/>
  <c r="BY365" i="31" l="1"/>
  <c r="BW379" i="31"/>
  <c r="BW411" i="31"/>
  <c r="BW407" i="31"/>
  <c r="BW393" i="31"/>
  <c r="BW387" i="31"/>
  <c r="BW375" i="31"/>
  <c r="BW399" i="31"/>
  <c r="BW372" i="31"/>
  <c r="BW395" i="31"/>
  <c r="BW383" i="31"/>
  <c r="BW415" i="31"/>
  <c r="BW371" i="31"/>
  <c r="BW377" i="31"/>
  <c r="BW391" i="31"/>
  <c r="BW382" i="31"/>
  <c r="BZ440" i="31"/>
  <c r="BZ444" i="31"/>
  <c r="BZ436" i="31"/>
  <c r="BZ428" i="31"/>
  <c r="BZ446" i="31"/>
  <c r="BZ450" i="31"/>
  <c r="BZ403" i="31"/>
  <c r="BZ432" i="31"/>
  <c r="BZ434" i="31"/>
  <c r="BZ448" i="31"/>
  <c r="BZ452" i="31"/>
  <c r="BZ430" i="31"/>
  <c r="BZ442" i="31"/>
  <c r="BZ438" i="31"/>
  <c r="BZ399" i="31"/>
  <c r="CA420" i="31"/>
  <c r="CA426" i="31"/>
  <c r="BX391" i="31"/>
  <c r="CA395" i="31"/>
  <c r="CA402" i="31"/>
  <c r="CA379" i="31"/>
  <c r="CA387" i="31"/>
  <c r="CA422" i="31"/>
  <c r="CA373" i="31"/>
  <c r="CA412" i="31"/>
  <c r="CA415" i="31"/>
  <c r="CA404" i="31"/>
  <c r="CA371" i="31"/>
  <c r="CA382" i="31"/>
  <c r="CA372" i="31"/>
  <c r="CA391" i="31"/>
  <c r="CA377" i="31"/>
  <c r="CA375" i="31"/>
  <c r="CA410" i="31"/>
  <c r="CA406" i="31"/>
  <c r="CA416" i="31"/>
  <c r="CA383" i="31"/>
  <c r="CA411" i="31"/>
  <c r="CA414" i="31"/>
  <c r="CA407" i="31"/>
  <c r="CA418" i="31"/>
  <c r="BY391" i="31" l="1"/>
  <c r="BW408" i="31"/>
  <c r="BW403" i="31"/>
  <c r="BW441" i="31"/>
  <c r="BW421" i="31"/>
  <c r="BW425" i="31"/>
  <c r="BW413" i="31"/>
  <c r="BW433" i="31"/>
  <c r="BW405" i="31"/>
  <c r="BW417" i="31"/>
  <c r="BW397" i="31"/>
  <c r="BW409" i="31"/>
  <c r="BW398" i="31"/>
  <c r="BW401" i="31"/>
  <c r="BW419" i="31"/>
  <c r="BW437" i="31"/>
  <c r="BZ464" i="31"/>
  <c r="BZ456" i="31"/>
  <c r="BZ474" i="31"/>
  <c r="BZ458" i="31"/>
  <c r="BZ476" i="31"/>
  <c r="BZ454" i="31"/>
  <c r="BZ470" i="31"/>
  <c r="BZ425" i="31"/>
  <c r="BZ468" i="31"/>
  <c r="BZ478" i="31"/>
  <c r="BZ460" i="31"/>
  <c r="BZ429" i="31"/>
  <c r="BZ472" i="31"/>
  <c r="BZ462" i="31"/>
  <c r="BZ466" i="31"/>
  <c r="CA401" i="31"/>
  <c r="CA432" i="31"/>
  <c r="CA437" i="31"/>
  <c r="CA438" i="31"/>
  <c r="BX417" i="31"/>
  <c r="CA444" i="31"/>
  <c r="CA399" i="31"/>
  <c r="CA446" i="31"/>
  <c r="CA397" i="31"/>
  <c r="CA433" i="31"/>
  <c r="CA448" i="31"/>
  <c r="CA452" i="31"/>
  <c r="CA430" i="31"/>
  <c r="CA428" i="31"/>
  <c r="CA398" i="31"/>
  <c r="CA440" i="31"/>
  <c r="CA413" i="31"/>
  <c r="CA403" i="31"/>
  <c r="CA408" i="31"/>
  <c r="CA417" i="31"/>
  <c r="CA421" i="31"/>
  <c r="CA441" i="31"/>
  <c r="CA409" i="31"/>
  <c r="CA405" i="31"/>
  <c r="CA436" i="31"/>
  <c r="CA442" i="31"/>
  <c r="BY417" i="31" l="1"/>
  <c r="BW445" i="31"/>
  <c r="BW424" i="31"/>
  <c r="BW423" i="31"/>
  <c r="BW431" i="31"/>
  <c r="BW439" i="31"/>
  <c r="BW447" i="31"/>
  <c r="BW429" i="31"/>
  <c r="BW463" i="31"/>
  <c r="BW427" i="31"/>
  <c r="BW435" i="31"/>
  <c r="BW443" i="31"/>
  <c r="BW459" i="31"/>
  <c r="BW451" i="31"/>
  <c r="BW467" i="31"/>
  <c r="BW434" i="31"/>
  <c r="BZ488" i="31"/>
  <c r="BZ455" i="31"/>
  <c r="BZ504" i="31"/>
  <c r="BZ451" i="31"/>
  <c r="BZ480" i="31"/>
  <c r="BZ484" i="31"/>
  <c r="BZ482" i="31"/>
  <c r="BZ492" i="31"/>
  <c r="BZ498" i="31"/>
  <c r="BZ486" i="31"/>
  <c r="BZ494" i="31"/>
  <c r="BZ496" i="31"/>
  <c r="BZ502" i="31"/>
  <c r="BZ500" i="31"/>
  <c r="BZ490" i="31"/>
  <c r="CA466" i="31"/>
  <c r="CA425" i="31"/>
  <c r="CA431" i="31"/>
  <c r="CA472" i="31"/>
  <c r="CA467" i="31"/>
  <c r="CA456" i="31"/>
  <c r="CA474" i="31"/>
  <c r="CA434" i="31"/>
  <c r="CA447" i="31"/>
  <c r="CA454" i="31"/>
  <c r="CA423" i="31"/>
  <c r="BX443" i="31"/>
  <c r="CA470" i="31"/>
  <c r="CA478" i="31"/>
  <c r="CA459" i="31"/>
  <c r="CA439" i="31"/>
  <c r="CA429" i="31"/>
  <c r="CA468" i="31"/>
  <c r="CA427" i="31"/>
  <c r="CA464" i="31"/>
  <c r="CA458" i="31"/>
  <c r="CA435" i="31"/>
  <c r="CA424" i="31"/>
  <c r="CA462" i="31"/>
  <c r="CA463" i="31"/>
  <c r="BY443" i="31" l="1"/>
  <c r="BW493" i="31"/>
  <c r="BW485" i="31"/>
  <c r="BW461" i="31"/>
  <c r="BW489" i="31"/>
  <c r="BW473" i="31"/>
  <c r="BW457" i="31"/>
  <c r="BW450" i="31"/>
  <c r="BW460" i="31"/>
  <c r="BW477" i="31"/>
  <c r="BW469" i="31"/>
  <c r="BW453" i="31"/>
  <c r="BW455" i="31"/>
  <c r="BW465" i="31"/>
  <c r="BW449" i="31"/>
  <c r="BW471" i="31"/>
  <c r="BZ510" i="31"/>
  <c r="BZ477" i="31"/>
  <c r="BZ481" i="31"/>
  <c r="BZ526" i="31"/>
  <c r="BZ522" i="31"/>
  <c r="BZ512" i="31"/>
  <c r="BZ518" i="31"/>
  <c r="BZ508" i="31"/>
  <c r="BZ506" i="31"/>
  <c r="BZ516" i="31"/>
  <c r="BZ528" i="31"/>
  <c r="BZ520" i="31"/>
  <c r="BZ524" i="31"/>
  <c r="BZ530" i="31"/>
  <c r="BZ514" i="31"/>
  <c r="CA443" i="31"/>
  <c r="CA449" i="31"/>
  <c r="CA485" i="31"/>
  <c r="CA498" i="31"/>
  <c r="CA482" i="31"/>
  <c r="CA451" i="31"/>
  <c r="CA500" i="31"/>
  <c r="CA450" i="31"/>
  <c r="CA460" i="31"/>
  <c r="CA461" i="31"/>
  <c r="CA492" i="31"/>
  <c r="CA469" i="31"/>
  <c r="CA484" i="31"/>
  <c r="CA496" i="31"/>
  <c r="CA488" i="31"/>
  <c r="CA489" i="31"/>
  <c r="CA494" i="31"/>
  <c r="BX469" i="31"/>
  <c r="CA493" i="31"/>
  <c r="CA453" i="31"/>
  <c r="CA473" i="31"/>
  <c r="CA504" i="31"/>
  <c r="CA457" i="31"/>
  <c r="CA455" i="31"/>
  <c r="CA480" i="31"/>
  <c r="CA465" i="31"/>
  <c r="CA490" i="31"/>
  <c r="BY469" i="31" l="1"/>
  <c r="BW475" i="31"/>
  <c r="BW481" i="31"/>
  <c r="BW495" i="31"/>
  <c r="BW486" i="31"/>
  <c r="BW483" i="31"/>
  <c r="BW515" i="31"/>
  <c r="BW511" i="31"/>
  <c r="BW497" i="31"/>
  <c r="BW491" i="31"/>
  <c r="BW479" i="31"/>
  <c r="BW503" i="31"/>
  <c r="BW476" i="31"/>
  <c r="BW499" i="31"/>
  <c r="BW487" i="31"/>
  <c r="BW519" i="31"/>
  <c r="BZ503" i="31"/>
  <c r="BZ556" i="31"/>
  <c r="BZ546" i="31"/>
  <c r="BZ542" i="31"/>
  <c r="BZ534" i="31"/>
  <c r="BZ538" i="31"/>
  <c r="BZ552" i="31"/>
  <c r="BZ507" i="31"/>
  <c r="BZ540" i="31"/>
  <c r="BZ550" i="31"/>
  <c r="BZ554" i="31"/>
  <c r="BZ532" i="31"/>
  <c r="BZ544" i="31"/>
  <c r="BZ548" i="31"/>
  <c r="BZ536" i="31"/>
  <c r="CA526" i="31"/>
  <c r="CA530" i="31"/>
  <c r="CA508" i="31"/>
  <c r="CA479" i="31"/>
  <c r="BX495" i="31"/>
  <c r="CA515" i="31"/>
  <c r="CA486" i="31"/>
  <c r="CA520" i="31"/>
  <c r="CA524" i="31"/>
  <c r="CA506" i="31"/>
  <c r="CA495" i="31"/>
  <c r="CA511" i="31"/>
  <c r="CA481" i="31"/>
  <c r="CA477" i="31"/>
  <c r="CA522" i="31"/>
  <c r="CA516" i="31"/>
  <c r="CA487" i="31"/>
  <c r="CA518" i="31"/>
  <c r="CA491" i="31"/>
  <c r="CA510" i="31"/>
  <c r="CA483" i="31"/>
  <c r="CA499" i="31"/>
  <c r="CA475" i="31"/>
  <c r="CA519" i="31"/>
  <c r="CA514" i="31"/>
  <c r="CA476" i="31"/>
  <c r="BY495" i="31" l="1"/>
  <c r="BW513" i="31"/>
  <c r="BW502" i="31"/>
  <c r="BW505" i="31"/>
  <c r="BW523" i="31"/>
  <c r="BW541" i="31"/>
  <c r="BW512" i="31"/>
  <c r="BW507" i="31"/>
  <c r="BW545" i="31"/>
  <c r="BW525" i="31"/>
  <c r="BW529" i="31"/>
  <c r="BW517" i="31"/>
  <c r="BW537" i="31"/>
  <c r="BW509" i="31"/>
  <c r="BW521" i="31"/>
  <c r="BW501" i="31"/>
  <c r="BZ574" i="31"/>
  <c r="BZ558" i="31"/>
  <c r="BZ576" i="31"/>
  <c r="BZ533" i="31"/>
  <c r="BZ564" i="31"/>
  <c r="BZ568" i="31"/>
  <c r="BZ582" i="31"/>
  <c r="BZ562" i="31"/>
  <c r="BZ570" i="31"/>
  <c r="BZ580" i="31"/>
  <c r="BZ566" i="31"/>
  <c r="BZ578" i="31"/>
  <c r="BZ560" i="31"/>
  <c r="BZ572" i="31"/>
  <c r="BZ529" i="31"/>
  <c r="CA521" i="31"/>
  <c r="CA542" i="31"/>
  <c r="CA540" i="31"/>
  <c r="CA548" i="31"/>
  <c r="CA536" i="31"/>
  <c r="CA517" i="31"/>
  <c r="CA513" i="31"/>
  <c r="CA544" i="31"/>
  <c r="CA537" i="31"/>
  <c r="CA552" i="31"/>
  <c r="BX521" i="31"/>
  <c r="CA505" i="31"/>
  <c r="CA512" i="31"/>
  <c r="CA546" i="31"/>
  <c r="CA532" i="31"/>
  <c r="CA556" i="31"/>
  <c r="CA550" i="31"/>
  <c r="CA541" i="31"/>
  <c r="CA534" i="31"/>
  <c r="CA501" i="31"/>
  <c r="CA502" i="31"/>
  <c r="CA507" i="31"/>
  <c r="CA545" i="31"/>
  <c r="CA509" i="31"/>
  <c r="CA503" i="31"/>
  <c r="CA525" i="31"/>
  <c r="BY521" i="31" l="1"/>
  <c r="BW547" i="31"/>
  <c r="BW563" i="31"/>
  <c r="BW555" i="31"/>
  <c r="BW571" i="31"/>
  <c r="BW538" i="31"/>
  <c r="BW549" i="31"/>
  <c r="BW528" i="31"/>
  <c r="BW527" i="31"/>
  <c r="BW535" i="31"/>
  <c r="BW543" i="31"/>
  <c r="BW551" i="31"/>
  <c r="BW533" i="31"/>
  <c r="BW567" i="31"/>
  <c r="BW531" i="31"/>
  <c r="BW539" i="31"/>
  <c r="BZ598" i="31"/>
  <c r="BZ604" i="31"/>
  <c r="BZ606" i="31"/>
  <c r="BZ588" i="31"/>
  <c r="BZ594" i="31"/>
  <c r="BZ559" i="31"/>
  <c r="BZ584" i="31"/>
  <c r="BZ608" i="31"/>
  <c r="BZ602" i="31"/>
  <c r="BZ600" i="31"/>
  <c r="BZ555" i="31"/>
  <c r="BZ586" i="31"/>
  <c r="BZ592" i="31"/>
  <c r="BZ596" i="31"/>
  <c r="BZ590" i="31"/>
  <c r="CA543" i="31"/>
  <c r="CA560" i="31"/>
  <c r="CA604" i="31"/>
  <c r="CA533" i="31"/>
  <c r="CA574" i="31"/>
  <c r="CA531" i="31"/>
  <c r="CA562" i="31"/>
  <c r="CA563" i="31"/>
  <c r="CA538" i="31"/>
  <c r="CA535" i="31"/>
  <c r="CA576" i="31"/>
  <c r="CA566" i="31"/>
  <c r="CA558" i="31"/>
  <c r="CA529" i="31"/>
  <c r="CA582" i="31"/>
  <c r="CA608" i="31"/>
  <c r="CA600" i="31"/>
  <c r="CA598" i="31"/>
  <c r="CA539" i="31"/>
  <c r="CA567" i="31"/>
  <c r="CA528" i="31"/>
  <c r="BX547" i="31"/>
  <c r="CA571" i="31"/>
  <c r="CA572" i="31"/>
  <c r="CA527" i="31"/>
  <c r="CA551" i="31"/>
  <c r="CA602" i="31"/>
  <c r="CA570" i="31"/>
  <c r="CA568" i="31"/>
  <c r="CA578" i="31"/>
  <c r="CA547" i="31"/>
  <c r="BY547" i="31" l="1"/>
  <c r="BW557" i="31"/>
  <c r="BW559" i="31"/>
  <c r="BW569" i="31"/>
  <c r="BW553" i="31"/>
  <c r="BW575" i="31"/>
  <c r="BW597" i="31"/>
  <c r="BW589" i="31"/>
  <c r="BW565" i="31"/>
  <c r="BW593" i="31"/>
  <c r="BW577" i="31"/>
  <c r="BW561" i="31"/>
  <c r="BW554" i="31"/>
  <c r="BW564" i="31"/>
  <c r="BW581" i="31"/>
  <c r="BW573" i="31"/>
  <c r="BZ622" i="31"/>
  <c r="BZ612" i="31"/>
  <c r="BZ614" i="31"/>
  <c r="BZ585" i="31"/>
  <c r="BZ616" i="31"/>
  <c r="BZ618" i="31"/>
  <c r="BZ610" i="31"/>
  <c r="BZ620" i="31"/>
  <c r="BZ581" i="31"/>
  <c r="CA557" i="31"/>
  <c r="CA618" i="31"/>
  <c r="CA594" i="31"/>
  <c r="CA614" i="31"/>
  <c r="CA596" i="31"/>
  <c r="CA620" i="31"/>
  <c r="CA554" i="31"/>
  <c r="BX573" i="31"/>
  <c r="CA622" i="31"/>
  <c r="CA584" i="31"/>
  <c r="CA610" i="31"/>
  <c r="CA569" i="31"/>
  <c r="CA589" i="31"/>
  <c r="CA588" i="31"/>
  <c r="CA564" i="31"/>
  <c r="CA565" i="31"/>
  <c r="CA561" i="31"/>
  <c r="CA555" i="31"/>
  <c r="CA573" i="31"/>
  <c r="CA553" i="31"/>
  <c r="CA593" i="31"/>
  <c r="CA559" i="31"/>
  <c r="CA577" i="31"/>
  <c r="CA597" i="31"/>
  <c r="CA586" i="31"/>
  <c r="CA612" i="31"/>
  <c r="CA592" i="31"/>
  <c r="BY573" i="31" l="1"/>
  <c r="BW607" i="31"/>
  <c r="BW580" i="31"/>
  <c r="BW603" i="31"/>
  <c r="BW591" i="31"/>
  <c r="BW623" i="31"/>
  <c r="BW579" i="31"/>
  <c r="BW585" i="31"/>
  <c r="BW599" i="31"/>
  <c r="BW590" i="31"/>
  <c r="BW587" i="31"/>
  <c r="BW619" i="31"/>
  <c r="BW615" i="31"/>
  <c r="BW601" i="31"/>
  <c r="BW595" i="31"/>
  <c r="BW583" i="31"/>
  <c r="BZ611" i="31"/>
  <c r="BZ607" i="31"/>
  <c r="CA590" i="31"/>
  <c r="CA619" i="31"/>
  <c r="CA585" i="31"/>
  <c r="BX599" i="31"/>
  <c r="CA591" i="31"/>
  <c r="CA607" i="31"/>
  <c r="CA587" i="31"/>
  <c r="CA581" i="31"/>
  <c r="CA580" i="31"/>
  <c r="CA599" i="31"/>
  <c r="CA623" i="31"/>
  <c r="CA583" i="31"/>
  <c r="CA595" i="31"/>
  <c r="CA615" i="31"/>
  <c r="CA579" i="31"/>
  <c r="CA603" i="31"/>
  <c r="BY599" i="31" l="1"/>
  <c r="BW621" i="31"/>
  <c r="BW613" i="31"/>
  <c r="BW605" i="31"/>
  <c r="BW617" i="31"/>
  <c r="BW606" i="31"/>
  <c r="BW609" i="31"/>
  <c r="BW616" i="31"/>
  <c r="BW611" i="31"/>
  <c r="CA611" i="31"/>
  <c r="CA606" i="31"/>
  <c r="CA621" i="31"/>
  <c r="CA616" i="31"/>
  <c r="CA613" i="31"/>
  <c r="CA609" i="31"/>
  <c r="CA617" i="31"/>
  <c r="CA605" i="31"/>
  <c r="L58" i="1" l="1"/>
  <c r="K58" i="1"/>
  <c r="I58" i="1"/>
  <c r="H58" i="1"/>
  <c r="L56" i="1"/>
  <c r="K56" i="1"/>
  <c r="I56" i="1"/>
  <c r="H56" i="1"/>
  <c r="K52" i="1"/>
  <c r="L52" i="1"/>
  <c r="I52" i="1"/>
  <c r="H52" i="1"/>
  <c r="L44" i="1"/>
  <c r="K44" i="1"/>
  <c r="I44" i="1"/>
  <c r="H44" i="1"/>
  <c r="A45" i="1"/>
  <c r="K45" i="1" s="1"/>
  <c r="I7" i="1"/>
  <c r="H7" i="1"/>
  <c r="A8" i="1"/>
  <c r="I8" i="1" s="1"/>
  <c r="G58" i="1" l="1"/>
  <c r="H45" i="1"/>
  <c r="A9" i="1"/>
  <c r="H8" i="1"/>
  <c r="I45" i="1"/>
  <c r="L45" i="1"/>
  <c r="A46" i="1"/>
  <c r="I46" i="1" s="1"/>
  <c r="H46" i="1"/>
  <c r="D45" i="29"/>
  <c r="D40" i="29"/>
  <c r="D38" i="29"/>
  <c r="D33" i="29"/>
  <c r="D31" i="29"/>
  <c r="D29" i="29"/>
  <c r="D27" i="29"/>
  <c r="D22" i="29"/>
  <c r="D20" i="29"/>
  <c r="D18" i="29"/>
  <c r="D16" i="29"/>
  <c r="D14" i="29"/>
  <c r="D12" i="29"/>
  <c r="D10" i="29"/>
  <c r="D8" i="29"/>
  <c r="B10" i="28"/>
  <c r="B12" i="28"/>
  <c r="B14" i="28"/>
  <c r="B16" i="28"/>
  <c r="B18" i="28"/>
  <c r="B20" i="28"/>
  <c r="B22" i="28"/>
  <c r="B24" i="28"/>
  <c r="B26" i="28"/>
  <c r="B28" i="28"/>
  <c r="B30" i="28"/>
  <c r="B32" i="28"/>
  <c r="B34" i="28"/>
  <c r="B36" i="28"/>
  <c r="B38" i="28"/>
  <c r="B40" i="28"/>
  <c r="B42" i="28"/>
  <c r="B44" i="28"/>
  <c r="B46" i="28"/>
  <c r="B48" i="28"/>
  <c r="B50" i="28"/>
  <c r="B52" i="28"/>
  <c r="B54" i="28"/>
  <c r="B56" i="28"/>
  <c r="B58" i="28"/>
  <c r="B60" i="28"/>
  <c r="B62" i="28"/>
  <c r="B64" i="28"/>
  <c r="B66" i="28"/>
  <c r="B68" i="28"/>
  <c r="B70" i="28"/>
  <c r="B72" i="28"/>
  <c r="B74" i="28"/>
  <c r="B76" i="28"/>
  <c r="B78" i="28"/>
  <c r="B8" i="28"/>
  <c r="D79" i="28"/>
  <c r="D77" i="28"/>
  <c r="D75" i="28"/>
  <c r="D73" i="28"/>
  <c r="D71" i="28"/>
  <c r="D69" i="28"/>
  <c r="D67" i="28"/>
  <c r="D65" i="28"/>
  <c r="D63" i="28"/>
  <c r="D61" i="28"/>
  <c r="D59" i="28"/>
  <c r="D57" i="28"/>
  <c r="D55" i="28"/>
  <c r="D53" i="28"/>
  <c r="D51" i="28"/>
  <c r="D49" i="28"/>
  <c r="D47" i="28"/>
  <c r="D45" i="28"/>
  <c r="D43" i="28"/>
  <c r="D41" i="28"/>
  <c r="D39" i="28"/>
  <c r="D37" i="28"/>
  <c r="D35" i="28"/>
  <c r="D33" i="28"/>
  <c r="D31" i="28"/>
  <c r="D29" i="28"/>
  <c r="D27" i="28"/>
  <c r="D25" i="28"/>
  <c r="D23" i="28"/>
  <c r="D21" i="28"/>
  <c r="D19" i="28"/>
  <c r="D17" i="28"/>
  <c r="D15" i="28"/>
  <c r="D13" i="28"/>
  <c r="D11" i="28"/>
  <c r="D9" i="28"/>
  <c r="A156" i="31"/>
  <c r="A155" i="31"/>
  <c r="A154" i="31"/>
  <c r="A153" i="31"/>
  <c r="A152" i="31"/>
  <c r="A151" i="31"/>
  <c r="A150" i="31"/>
  <c r="A149" i="31"/>
  <c r="A148" i="31"/>
  <c r="A147" i="31"/>
  <c r="A146" i="31"/>
  <c r="A145" i="31"/>
  <c r="CU129" i="31"/>
  <c r="CU171" i="31" s="1"/>
  <c r="A144" i="31"/>
  <c r="CU128" i="31"/>
  <c r="CU170" i="31" s="1"/>
  <c r="A143" i="31"/>
  <c r="CU127" i="31"/>
  <c r="CU169" i="31" s="1"/>
  <c r="A142" i="31"/>
  <c r="CU126" i="31"/>
  <c r="CU168" i="31" s="1"/>
  <c r="A141" i="31"/>
  <c r="CU125" i="31"/>
  <c r="CU167" i="31" s="1"/>
  <c r="A140" i="31"/>
  <c r="CU124" i="31"/>
  <c r="CU166" i="31" s="1"/>
  <c r="A139" i="31"/>
  <c r="CU123" i="31"/>
  <c r="CU165" i="31" s="1"/>
  <c r="A138" i="31"/>
  <c r="CU122" i="31"/>
  <c r="CU164" i="31" s="1"/>
  <c r="A137" i="31"/>
  <c r="CU121" i="31"/>
  <c r="CU163" i="31" s="1"/>
  <c r="CU120" i="31"/>
  <c r="CU162" i="31" s="1"/>
  <c r="CU119" i="31"/>
  <c r="CU161" i="31" s="1"/>
  <c r="CU118" i="31"/>
  <c r="CU160" i="31" s="1"/>
  <c r="CU117" i="31"/>
  <c r="CU159" i="31" s="1"/>
  <c r="CU116" i="31"/>
  <c r="CU115" i="31"/>
  <c r="CU157" i="31" s="1"/>
  <c r="CU114" i="31"/>
  <c r="CU156" i="31" s="1"/>
  <c r="CU113" i="31"/>
  <c r="CU155" i="31" s="1"/>
  <c r="CU112" i="31"/>
  <c r="CU111" i="31"/>
  <c r="CU153" i="31" s="1"/>
  <c r="CU110" i="31"/>
  <c r="CU152" i="31" s="1"/>
  <c r="CU109" i="31"/>
  <c r="CU151" i="31" s="1"/>
  <c r="CU108" i="31"/>
  <c r="CU107" i="31"/>
  <c r="CU149" i="31" s="1"/>
  <c r="CU106" i="31"/>
  <c r="CU148" i="31" s="1"/>
  <c r="CU105" i="31"/>
  <c r="CU147" i="31" s="1"/>
  <c r="CU104" i="31"/>
  <c r="CU103" i="31"/>
  <c r="CU145" i="31" s="1"/>
  <c r="CU102" i="31"/>
  <c r="CU144" i="31" s="1"/>
  <c r="CU101" i="31"/>
  <c r="CU143" i="31" s="1"/>
  <c r="CU100" i="31"/>
  <c r="CU99" i="31"/>
  <c r="CU141" i="31" s="1"/>
  <c r="CU98" i="31"/>
  <c r="CU140" i="31" s="1"/>
  <c r="CU97" i="31"/>
  <c r="CU139" i="31" s="1"/>
  <c r="CU96" i="31"/>
  <c r="CU95" i="31"/>
  <c r="CU94" i="31"/>
  <c r="CU93" i="31"/>
  <c r="A102" i="31"/>
  <c r="CU92" i="31"/>
  <c r="A101" i="31"/>
  <c r="CU91" i="31"/>
  <c r="A100" i="31"/>
  <c r="CU90" i="31"/>
  <c r="A99" i="31"/>
  <c r="CU89" i="31"/>
  <c r="A98" i="31"/>
  <c r="CU88" i="31"/>
  <c r="A97" i="31"/>
  <c r="CT87" i="31"/>
  <c r="A96" i="31"/>
  <c r="CT86" i="31"/>
  <c r="CT128" i="31" s="1"/>
  <c r="CT170" i="31" s="1"/>
  <c r="CT212" i="31" s="1"/>
  <c r="CT254" i="31" s="1"/>
  <c r="CT296" i="31" s="1"/>
  <c r="CT338" i="31" s="1"/>
  <c r="CT380" i="31" s="1"/>
  <c r="CT422" i="31" s="1"/>
  <c r="CT464" i="31" s="1"/>
  <c r="CT506" i="31" s="1"/>
  <c r="CT548" i="31" s="1"/>
  <c r="CT590" i="31" s="1"/>
  <c r="CT632" i="31" s="1"/>
  <c r="A95" i="31"/>
  <c r="CT85" i="31"/>
  <c r="CT127" i="31" s="1"/>
  <c r="CT169" i="31" s="1"/>
  <c r="CT211" i="31" s="1"/>
  <c r="CT253" i="31" s="1"/>
  <c r="CT295" i="31" s="1"/>
  <c r="CT337" i="31" s="1"/>
  <c r="CT379" i="31" s="1"/>
  <c r="CT421" i="31" s="1"/>
  <c r="CT463" i="31" s="1"/>
  <c r="CT505" i="31" s="1"/>
  <c r="CT547" i="31" s="1"/>
  <c r="CT589" i="31" s="1"/>
  <c r="CT631" i="31" s="1"/>
  <c r="A94" i="31"/>
  <c r="CT84" i="31"/>
  <c r="CT126" i="31" s="1"/>
  <c r="CT168" i="31" s="1"/>
  <c r="CT210" i="31" s="1"/>
  <c r="CT252" i="31" s="1"/>
  <c r="CT294" i="31" s="1"/>
  <c r="CT336" i="31" s="1"/>
  <c r="CT378" i="31" s="1"/>
  <c r="CT420" i="31" s="1"/>
  <c r="CT462" i="31" s="1"/>
  <c r="CT504" i="31" s="1"/>
  <c r="CT546" i="31" s="1"/>
  <c r="CT588" i="31" s="1"/>
  <c r="CT630" i="31" s="1"/>
  <c r="A93" i="31"/>
  <c r="CT83" i="31"/>
  <c r="A92" i="31"/>
  <c r="CT82" i="31"/>
  <c r="CT124" i="31" s="1"/>
  <c r="CT166" i="31" s="1"/>
  <c r="CT208" i="31" s="1"/>
  <c r="CT250" i="31" s="1"/>
  <c r="CT292" i="31" s="1"/>
  <c r="CT334" i="31" s="1"/>
  <c r="CT376" i="31" s="1"/>
  <c r="CT418" i="31" s="1"/>
  <c r="CT460" i="31" s="1"/>
  <c r="CT502" i="31" s="1"/>
  <c r="CT544" i="31" s="1"/>
  <c r="CT586" i="31" s="1"/>
  <c r="CT628" i="31" s="1"/>
  <c r="A91" i="31"/>
  <c r="CT81" i="31"/>
  <c r="CT123" i="31" s="1"/>
  <c r="CT165" i="31" s="1"/>
  <c r="CT207" i="31" s="1"/>
  <c r="CT249" i="31" s="1"/>
  <c r="CT291" i="31" s="1"/>
  <c r="CT333" i="31" s="1"/>
  <c r="CT375" i="31" s="1"/>
  <c r="CT417" i="31" s="1"/>
  <c r="CT459" i="31" s="1"/>
  <c r="CT501" i="31" s="1"/>
  <c r="CT543" i="31" s="1"/>
  <c r="CT585" i="31" s="1"/>
  <c r="CT627" i="31" s="1"/>
  <c r="A90" i="31"/>
  <c r="CT80" i="31"/>
  <c r="CT122" i="31" s="1"/>
  <c r="CT164" i="31" s="1"/>
  <c r="CT206" i="31" s="1"/>
  <c r="CT248" i="31" s="1"/>
  <c r="CT290" i="31" s="1"/>
  <c r="CT332" i="31" s="1"/>
  <c r="CT374" i="31" s="1"/>
  <c r="CT416" i="31" s="1"/>
  <c r="CT458" i="31" s="1"/>
  <c r="CT500" i="31" s="1"/>
  <c r="CT542" i="31" s="1"/>
  <c r="CT584" i="31" s="1"/>
  <c r="CT626" i="31" s="1"/>
  <c r="A89" i="31"/>
  <c r="CT79" i="31"/>
  <c r="A88" i="31"/>
  <c r="CT78" i="31"/>
  <c r="CT120" i="31" s="1"/>
  <c r="A87" i="31"/>
  <c r="CT77" i="31"/>
  <c r="CT119" i="31" s="1"/>
  <c r="CT161" i="31" s="1"/>
  <c r="CT203" i="31" s="1"/>
  <c r="CT245" i="31" s="1"/>
  <c r="CT287" i="31" s="1"/>
  <c r="CT329" i="31" s="1"/>
  <c r="CT371" i="31" s="1"/>
  <c r="CT413" i="31" s="1"/>
  <c r="CT455" i="31" s="1"/>
  <c r="CT497" i="31" s="1"/>
  <c r="CT539" i="31" s="1"/>
  <c r="CT581" i="31" s="1"/>
  <c r="CT623" i="31" s="1"/>
  <c r="A86" i="31"/>
  <c r="CT76" i="31"/>
  <c r="CT118" i="31" s="1"/>
  <c r="A85" i="31"/>
  <c r="CT75" i="31"/>
  <c r="A84" i="31"/>
  <c r="CT74" i="31"/>
  <c r="CT116" i="31" s="1"/>
  <c r="CT158" i="31" s="1"/>
  <c r="CT200" i="31" s="1"/>
  <c r="CT242" i="31" s="1"/>
  <c r="CT284" i="31" s="1"/>
  <c r="CT326" i="31" s="1"/>
  <c r="CT368" i="31" s="1"/>
  <c r="CT410" i="31" s="1"/>
  <c r="CT452" i="31" s="1"/>
  <c r="CT494" i="31" s="1"/>
  <c r="CT536" i="31" s="1"/>
  <c r="CT578" i="31" s="1"/>
  <c r="CT620" i="31" s="1"/>
  <c r="A83" i="31"/>
  <c r="CT73" i="31"/>
  <c r="CT115" i="31" s="1"/>
  <c r="CT157" i="31" s="1"/>
  <c r="CT199" i="31" s="1"/>
  <c r="CT241" i="31" s="1"/>
  <c r="CT283" i="31" s="1"/>
  <c r="CT325" i="31" s="1"/>
  <c r="CT367" i="31" s="1"/>
  <c r="CT409" i="31" s="1"/>
  <c r="CT451" i="31" s="1"/>
  <c r="CT493" i="31" s="1"/>
  <c r="CT535" i="31" s="1"/>
  <c r="CT577" i="31" s="1"/>
  <c r="CT619" i="31" s="1"/>
  <c r="CT72" i="31"/>
  <c r="CT71" i="31"/>
  <c r="CT113" i="31" s="1"/>
  <c r="CT155" i="31" s="1"/>
  <c r="CT197" i="31" s="1"/>
  <c r="CT239" i="31" s="1"/>
  <c r="CT281" i="31" s="1"/>
  <c r="CT323" i="31" s="1"/>
  <c r="CT365" i="31" s="1"/>
  <c r="CT407" i="31" s="1"/>
  <c r="CT449" i="31" s="1"/>
  <c r="CT491" i="31" s="1"/>
  <c r="CT533" i="31" s="1"/>
  <c r="CT575" i="31" s="1"/>
  <c r="CT617" i="31" s="1"/>
  <c r="CT70" i="31"/>
  <c r="CT112" i="31" s="1"/>
  <c r="CT154" i="31" s="1"/>
  <c r="CT196" i="31" s="1"/>
  <c r="CT238" i="31" s="1"/>
  <c r="CT280" i="31" s="1"/>
  <c r="CT322" i="31" s="1"/>
  <c r="CT364" i="31" s="1"/>
  <c r="CT406" i="31" s="1"/>
  <c r="CT448" i="31" s="1"/>
  <c r="CT490" i="31" s="1"/>
  <c r="CT532" i="31" s="1"/>
  <c r="CT574" i="31" s="1"/>
  <c r="CT616" i="31" s="1"/>
  <c r="CT69" i="31"/>
  <c r="CT111" i="31" s="1"/>
  <c r="CT68" i="31"/>
  <c r="CT110" i="31" s="1"/>
  <c r="CT67" i="31"/>
  <c r="CT109" i="31" s="1"/>
  <c r="CT151" i="31" s="1"/>
  <c r="CT193" i="31" s="1"/>
  <c r="CT235" i="31" s="1"/>
  <c r="CT277" i="31" s="1"/>
  <c r="CT319" i="31" s="1"/>
  <c r="CT361" i="31" s="1"/>
  <c r="CT403" i="31" s="1"/>
  <c r="CT445" i="31" s="1"/>
  <c r="CT487" i="31" s="1"/>
  <c r="CT529" i="31" s="1"/>
  <c r="CT571" i="31" s="1"/>
  <c r="CT613" i="31" s="1"/>
  <c r="CT66" i="31"/>
  <c r="CT108" i="31" s="1"/>
  <c r="CT150" i="31" s="1"/>
  <c r="CT192" i="31" s="1"/>
  <c r="CT234" i="31" s="1"/>
  <c r="CT276" i="31" s="1"/>
  <c r="CT318" i="31" s="1"/>
  <c r="CT360" i="31" s="1"/>
  <c r="CT402" i="31" s="1"/>
  <c r="CT444" i="31" s="1"/>
  <c r="CT486" i="31" s="1"/>
  <c r="CT528" i="31" s="1"/>
  <c r="CT570" i="31" s="1"/>
  <c r="CT612" i="31" s="1"/>
  <c r="CT65" i="31"/>
  <c r="CT107" i="31" s="1"/>
  <c r="CT64" i="31"/>
  <c r="CT106" i="31" s="1"/>
  <c r="CT63" i="31"/>
  <c r="CT105" i="31" s="1"/>
  <c r="CT147" i="31" s="1"/>
  <c r="CT189" i="31" s="1"/>
  <c r="CT231" i="31" s="1"/>
  <c r="CT273" i="31" s="1"/>
  <c r="CT315" i="31" s="1"/>
  <c r="CT357" i="31" s="1"/>
  <c r="CT399" i="31" s="1"/>
  <c r="CT441" i="31" s="1"/>
  <c r="CT483" i="31" s="1"/>
  <c r="CT525" i="31" s="1"/>
  <c r="CT567" i="31" s="1"/>
  <c r="CT609" i="31" s="1"/>
  <c r="CT62" i="31"/>
  <c r="CT104" i="31" s="1"/>
  <c r="CT146" i="31" s="1"/>
  <c r="CT188" i="31" s="1"/>
  <c r="CT230" i="31" s="1"/>
  <c r="CT272" i="31" s="1"/>
  <c r="CT314" i="31" s="1"/>
  <c r="CT356" i="31" s="1"/>
  <c r="CT398" i="31" s="1"/>
  <c r="CT440" i="31" s="1"/>
  <c r="CT482" i="31" s="1"/>
  <c r="CT524" i="31" s="1"/>
  <c r="CT566" i="31" s="1"/>
  <c r="CT608" i="31" s="1"/>
  <c r="CT61" i="31"/>
  <c r="CT103" i="31" s="1"/>
  <c r="CT60" i="31"/>
  <c r="CT102" i="31" s="1"/>
  <c r="CT144" i="31" s="1"/>
  <c r="CT186" i="31" s="1"/>
  <c r="CT228" i="31" s="1"/>
  <c r="CT270" i="31" s="1"/>
  <c r="CT312" i="31" s="1"/>
  <c r="CT354" i="31" s="1"/>
  <c r="CT396" i="31" s="1"/>
  <c r="CT438" i="31" s="1"/>
  <c r="CT480" i="31" s="1"/>
  <c r="CT522" i="31" s="1"/>
  <c r="CT564" i="31" s="1"/>
  <c r="CT606" i="31" s="1"/>
  <c r="CT59" i="31"/>
  <c r="CT101" i="31" s="1"/>
  <c r="CT143" i="31" s="1"/>
  <c r="CT185" i="31" s="1"/>
  <c r="CT227" i="31" s="1"/>
  <c r="CT269" i="31" s="1"/>
  <c r="CT311" i="31" s="1"/>
  <c r="CT353" i="31" s="1"/>
  <c r="CT395" i="31" s="1"/>
  <c r="CT437" i="31" s="1"/>
  <c r="CT479" i="31" s="1"/>
  <c r="CT521" i="31" s="1"/>
  <c r="CT563" i="31" s="1"/>
  <c r="CT605" i="31" s="1"/>
  <c r="CT58" i="31"/>
  <c r="CT100" i="31" s="1"/>
  <c r="CT142" i="31" s="1"/>
  <c r="CT184" i="31" s="1"/>
  <c r="CT226" i="31" s="1"/>
  <c r="CT268" i="31" s="1"/>
  <c r="CT310" i="31" s="1"/>
  <c r="CT352" i="31" s="1"/>
  <c r="CT394" i="31" s="1"/>
  <c r="CT436" i="31" s="1"/>
  <c r="CT478" i="31" s="1"/>
  <c r="CT520" i="31" s="1"/>
  <c r="CT562" i="31" s="1"/>
  <c r="CT604" i="31" s="1"/>
  <c r="CT57" i="31"/>
  <c r="CT99" i="31" s="1"/>
  <c r="CT56" i="31"/>
  <c r="CT98" i="31" s="1"/>
  <c r="CT140" i="31" s="1"/>
  <c r="CT182" i="31" s="1"/>
  <c r="CT224" i="31" s="1"/>
  <c r="CT266" i="31" s="1"/>
  <c r="CT308" i="31" s="1"/>
  <c r="CT350" i="31" s="1"/>
  <c r="CT392" i="31" s="1"/>
  <c r="CT434" i="31" s="1"/>
  <c r="CT476" i="31" s="1"/>
  <c r="CT518" i="31" s="1"/>
  <c r="CT560" i="31" s="1"/>
  <c r="CT602" i="31" s="1"/>
  <c r="CT55" i="31"/>
  <c r="CT97" i="31" s="1"/>
  <c r="CT139" i="31" s="1"/>
  <c r="CT181" i="31" s="1"/>
  <c r="CT223" i="31" s="1"/>
  <c r="CT265" i="31" s="1"/>
  <c r="CT307" i="31" s="1"/>
  <c r="CT349" i="31" s="1"/>
  <c r="CT391" i="31" s="1"/>
  <c r="CT433" i="31" s="1"/>
  <c r="CT475" i="31" s="1"/>
  <c r="CT517" i="31" s="1"/>
  <c r="CT559" i="31" s="1"/>
  <c r="CT601" i="31" s="1"/>
  <c r="CT54" i="31"/>
  <c r="CT96" i="31" s="1"/>
  <c r="CT138" i="31" s="1"/>
  <c r="CT180" i="31" s="1"/>
  <c r="CT222" i="31" s="1"/>
  <c r="CT264" i="31" s="1"/>
  <c r="CT306" i="31" s="1"/>
  <c r="CT348" i="31" s="1"/>
  <c r="CT390" i="31" s="1"/>
  <c r="CT432" i="31" s="1"/>
  <c r="CT474" i="31" s="1"/>
  <c r="CT516" i="31" s="1"/>
  <c r="CT558" i="31" s="1"/>
  <c r="CT600" i="31" s="1"/>
  <c r="CT53" i="31"/>
  <c r="CT95" i="31" s="1"/>
  <c r="CT137" i="31" s="1"/>
  <c r="CT179" i="31" s="1"/>
  <c r="CT221" i="31" s="1"/>
  <c r="CT263" i="31" s="1"/>
  <c r="CT305" i="31" s="1"/>
  <c r="CT347" i="31" s="1"/>
  <c r="CT389" i="31" s="1"/>
  <c r="CT431" i="31" s="1"/>
  <c r="CT473" i="31" s="1"/>
  <c r="CT515" i="31" s="1"/>
  <c r="CT557" i="31" s="1"/>
  <c r="CT599" i="31" s="1"/>
  <c r="CT52" i="31"/>
  <c r="CT94" i="31" s="1"/>
  <c r="CT136" i="31" s="1"/>
  <c r="CT178" i="31" s="1"/>
  <c r="CT220" i="31" s="1"/>
  <c r="CT262" i="31" s="1"/>
  <c r="CT304" i="31" s="1"/>
  <c r="CT346" i="31" s="1"/>
  <c r="CT388" i="31" s="1"/>
  <c r="CT430" i="31" s="1"/>
  <c r="CT472" i="31" s="1"/>
  <c r="CT514" i="31" s="1"/>
  <c r="CT556" i="31" s="1"/>
  <c r="CT598" i="31" s="1"/>
  <c r="CT51" i="31"/>
  <c r="CT93" i="31" s="1"/>
  <c r="CT135" i="31" s="1"/>
  <c r="CT177" i="31" s="1"/>
  <c r="CT219" i="31" s="1"/>
  <c r="CT261" i="31" s="1"/>
  <c r="CT303" i="31" s="1"/>
  <c r="CT345" i="31" s="1"/>
  <c r="CT387" i="31" s="1"/>
  <c r="CT429" i="31" s="1"/>
  <c r="CT471" i="31" s="1"/>
  <c r="CT513" i="31" s="1"/>
  <c r="CT555" i="31" s="1"/>
  <c r="CT597" i="31" s="1"/>
  <c r="CT50" i="31"/>
  <c r="CT92" i="31" s="1"/>
  <c r="CT134" i="31" s="1"/>
  <c r="CT176" i="31" s="1"/>
  <c r="CT218" i="31" s="1"/>
  <c r="CT260" i="31" s="1"/>
  <c r="CT302" i="31" s="1"/>
  <c r="CT344" i="31" s="1"/>
  <c r="CT386" i="31" s="1"/>
  <c r="CT428" i="31" s="1"/>
  <c r="CT470" i="31" s="1"/>
  <c r="CT512" i="31" s="1"/>
  <c r="CT554" i="31" s="1"/>
  <c r="CT596" i="31" s="1"/>
  <c r="CT49" i="31"/>
  <c r="CT91" i="31" s="1"/>
  <c r="CT133" i="31" s="1"/>
  <c r="CT175" i="31" s="1"/>
  <c r="CT217" i="31" s="1"/>
  <c r="CT259" i="31" s="1"/>
  <c r="CT301" i="31" s="1"/>
  <c r="CT343" i="31" s="1"/>
  <c r="CT385" i="31" s="1"/>
  <c r="CT427" i="31" s="1"/>
  <c r="CT469" i="31" s="1"/>
  <c r="CT511" i="31" s="1"/>
  <c r="CT553" i="31" s="1"/>
  <c r="CT595" i="31" s="1"/>
  <c r="BZ81" i="31"/>
  <c r="BV55" i="31"/>
  <c r="BV81" i="31" s="1"/>
  <c r="CT48" i="31"/>
  <c r="CT90" i="31" s="1"/>
  <c r="CT132" i="31" s="1"/>
  <c r="CT174" i="31" s="1"/>
  <c r="CT216" i="31" s="1"/>
  <c r="CT258" i="31" s="1"/>
  <c r="CT300" i="31" s="1"/>
  <c r="CT342" i="31" s="1"/>
  <c r="CT384" i="31" s="1"/>
  <c r="CT426" i="31" s="1"/>
  <c r="CT468" i="31" s="1"/>
  <c r="CT510" i="31" s="1"/>
  <c r="CT552" i="31" s="1"/>
  <c r="CT594" i="31" s="1"/>
  <c r="CT47" i="31"/>
  <c r="CS47" i="31"/>
  <c r="CS48" i="31" s="1"/>
  <c r="CS49" i="31" s="1"/>
  <c r="CS50" i="31" s="1"/>
  <c r="CS51" i="31" s="1"/>
  <c r="CS52" i="31" s="1"/>
  <c r="CS53" i="31" s="1"/>
  <c r="CS54" i="31" s="1"/>
  <c r="CS55" i="31" s="1"/>
  <c r="CS56" i="31" s="1"/>
  <c r="CS57" i="31" s="1"/>
  <c r="CS58" i="31" s="1"/>
  <c r="CS59" i="31" s="1"/>
  <c r="CS60" i="31" s="1"/>
  <c r="CS61" i="31" s="1"/>
  <c r="CS62" i="31" s="1"/>
  <c r="CS63" i="31" s="1"/>
  <c r="CS64" i="31" s="1"/>
  <c r="CS65" i="31" s="1"/>
  <c r="CS66" i="31" s="1"/>
  <c r="CS67" i="31" s="1"/>
  <c r="CS68" i="31" s="1"/>
  <c r="CS69" i="31" s="1"/>
  <c r="CS70" i="31" s="1"/>
  <c r="CS71" i="31" s="1"/>
  <c r="CS72" i="31" s="1"/>
  <c r="CS73" i="31" s="1"/>
  <c r="CS74" i="31" s="1"/>
  <c r="CS75" i="31" s="1"/>
  <c r="CS76" i="31" s="1"/>
  <c r="CS77" i="31" s="1"/>
  <c r="CS78" i="31" s="1"/>
  <c r="CS79" i="31" s="1"/>
  <c r="CS80" i="31" s="1"/>
  <c r="CS81" i="31" s="1"/>
  <c r="CS82" i="31" s="1"/>
  <c r="CS83" i="31" s="1"/>
  <c r="CS84" i="31" s="1"/>
  <c r="CS85" i="31" s="1"/>
  <c r="CS86" i="31" s="1"/>
  <c r="CS87" i="31" s="1"/>
  <c r="CS88" i="31" s="1"/>
  <c r="CS89" i="31" s="1"/>
  <c r="CS90" i="31" s="1"/>
  <c r="CS91" i="31" s="1"/>
  <c r="CS92" i="31" s="1"/>
  <c r="CS93" i="31" s="1"/>
  <c r="CS94" i="31" s="1"/>
  <c r="CS95" i="31" s="1"/>
  <c r="CS96" i="31" s="1"/>
  <c r="CS97" i="31" s="1"/>
  <c r="CS98" i="31" s="1"/>
  <c r="CS99" i="31" s="1"/>
  <c r="CS100" i="31" s="1"/>
  <c r="CS101" i="31" s="1"/>
  <c r="CS102" i="31" s="1"/>
  <c r="CS103" i="31" s="1"/>
  <c r="CS104" i="31" s="1"/>
  <c r="CS105" i="31" s="1"/>
  <c r="CS106" i="31" s="1"/>
  <c r="CS107" i="31" s="1"/>
  <c r="CS108" i="31" s="1"/>
  <c r="CS109" i="31" s="1"/>
  <c r="CS110" i="31" s="1"/>
  <c r="CS111" i="31" s="1"/>
  <c r="CS112" i="31" s="1"/>
  <c r="CS113" i="31" s="1"/>
  <c r="CS114" i="31" s="1"/>
  <c r="CS115" i="31" s="1"/>
  <c r="CS116" i="31" s="1"/>
  <c r="CS117" i="31" s="1"/>
  <c r="CS118" i="31" s="1"/>
  <c r="CS119" i="31" s="1"/>
  <c r="CS120" i="31" s="1"/>
  <c r="CS121" i="31" s="1"/>
  <c r="CS122" i="31" s="1"/>
  <c r="CS123" i="31" s="1"/>
  <c r="CS124" i="31" s="1"/>
  <c r="CS125" i="31" s="1"/>
  <c r="CS126" i="31" s="1"/>
  <c r="CS127" i="31" s="1"/>
  <c r="CS128" i="31" s="1"/>
  <c r="CS129" i="31" s="1"/>
  <c r="CS130" i="31" s="1"/>
  <c r="CS131" i="31" s="1"/>
  <c r="CS132" i="31" s="1"/>
  <c r="CS133" i="31" s="1"/>
  <c r="CS134" i="31" s="1"/>
  <c r="CS135" i="31" s="1"/>
  <c r="CS136" i="31" s="1"/>
  <c r="CS137" i="31" s="1"/>
  <c r="CS138" i="31" s="1"/>
  <c r="CS139" i="31" s="1"/>
  <c r="CS140" i="31" s="1"/>
  <c r="CS141" i="31" s="1"/>
  <c r="CS142" i="31" s="1"/>
  <c r="CS143" i="31" s="1"/>
  <c r="CS144" i="31" s="1"/>
  <c r="CS145" i="31" s="1"/>
  <c r="CS146" i="31" s="1"/>
  <c r="CS147" i="31" s="1"/>
  <c r="CS148" i="31" s="1"/>
  <c r="CS149" i="31" s="1"/>
  <c r="CS150" i="31" s="1"/>
  <c r="CS151" i="31" s="1"/>
  <c r="CS152" i="31" s="1"/>
  <c r="CS153" i="31" s="1"/>
  <c r="CS154" i="31" s="1"/>
  <c r="CS155" i="31" s="1"/>
  <c r="CS156" i="31" s="1"/>
  <c r="CS157" i="31" s="1"/>
  <c r="CS158" i="31" s="1"/>
  <c r="CS159" i="31" s="1"/>
  <c r="CS160" i="31" s="1"/>
  <c r="CS161" i="31" s="1"/>
  <c r="CS162" i="31" s="1"/>
  <c r="CS163" i="31" s="1"/>
  <c r="CS164" i="31" s="1"/>
  <c r="CS165" i="31" s="1"/>
  <c r="CS166" i="31" s="1"/>
  <c r="CS167" i="31" s="1"/>
  <c r="CS168" i="31" s="1"/>
  <c r="CS169" i="31" s="1"/>
  <c r="CS170" i="31" s="1"/>
  <c r="CS171" i="31" s="1"/>
  <c r="CS172" i="31" s="1"/>
  <c r="CS173" i="31" s="1"/>
  <c r="CS174" i="31" s="1"/>
  <c r="CS175" i="31" s="1"/>
  <c r="CS176" i="31" s="1"/>
  <c r="CS177" i="31" s="1"/>
  <c r="CS178" i="31" s="1"/>
  <c r="CS179" i="31" s="1"/>
  <c r="CS180" i="31" s="1"/>
  <c r="CS181" i="31" s="1"/>
  <c r="CS182" i="31" s="1"/>
  <c r="CS183" i="31" s="1"/>
  <c r="CS184" i="31" s="1"/>
  <c r="CS185" i="31" s="1"/>
  <c r="CS186" i="31" s="1"/>
  <c r="CS187" i="31" s="1"/>
  <c r="CS188" i="31" s="1"/>
  <c r="CS189" i="31" s="1"/>
  <c r="CS190" i="31" s="1"/>
  <c r="CS191" i="31" s="1"/>
  <c r="CS192" i="31" s="1"/>
  <c r="CS193" i="31" s="1"/>
  <c r="CS194" i="31" s="1"/>
  <c r="CS195" i="31" s="1"/>
  <c r="CS196" i="31" s="1"/>
  <c r="CS197" i="31" s="1"/>
  <c r="CS198" i="31" s="1"/>
  <c r="CS199" i="31" s="1"/>
  <c r="CS200" i="31" s="1"/>
  <c r="CS201" i="31" s="1"/>
  <c r="CS202" i="31" s="1"/>
  <c r="CS203" i="31" s="1"/>
  <c r="CS204" i="31" s="1"/>
  <c r="CS205" i="31" s="1"/>
  <c r="CS206" i="31" s="1"/>
  <c r="CS207" i="31" s="1"/>
  <c r="CS208" i="31" s="1"/>
  <c r="CS209" i="31" s="1"/>
  <c r="CS210" i="31" s="1"/>
  <c r="CS211" i="31" s="1"/>
  <c r="CS212" i="31" s="1"/>
  <c r="CS213" i="31" s="1"/>
  <c r="CS214" i="31" s="1"/>
  <c r="CS215" i="31" s="1"/>
  <c r="CS216" i="31" s="1"/>
  <c r="CS217" i="31" s="1"/>
  <c r="CS218" i="31" s="1"/>
  <c r="CS219" i="31" s="1"/>
  <c r="CS220" i="31" s="1"/>
  <c r="CS221" i="31" s="1"/>
  <c r="CS222" i="31" s="1"/>
  <c r="CS223" i="31" s="1"/>
  <c r="CS224" i="31" s="1"/>
  <c r="CS225" i="31" s="1"/>
  <c r="CS226" i="31" s="1"/>
  <c r="CS227" i="31" s="1"/>
  <c r="CS228" i="31" s="1"/>
  <c r="CS229" i="31" s="1"/>
  <c r="CS230" i="31" s="1"/>
  <c r="CS231" i="31" s="1"/>
  <c r="CS232" i="31" s="1"/>
  <c r="CS233" i="31" s="1"/>
  <c r="CS234" i="31" s="1"/>
  <c r="CS235" i="31" s="1"/>
  <c r="CS236" i="31" s="1"/>
  <c r="CS237" i="31" s="1"/>
  <c r="CS238" i="31" s="1"/>
  <c r="CS239" i="31" s="1"/>
  <c r="CS240" i="31" s="1"/>
  <c r="CS241" i="31" s="1"/>
  <c r="CS242" i="31" s="1"/>
  <c r="CS243" i="31" s="1"/>
  <c r="CS244" i="31" s="1"/>
  <c r="CS245" i="31" s="1"/>
  <c r="CS246" i="31" s="1"/>
  <c r="CS247" i="31" s="1"/>
  <c r="CS248" i="31" s="1"/>
  <c r="CS249" i="31" s="1"/>
  <c r="CS250" i="31" s="1"/>
  <c r="CS251" i="31" s="1"/>
  <c r="CS252" i="31" s="1"/>
  <c r="CS253" i="31" s="1"/>
  <c r="CS254" i="31" s="1"/>
  <c r="CS255" i="31" s="1"/>
  <c r="CS256" i="31" s="1"/>
  <c r="CS257" i="31" s="1"/>
  <c r="CS258" i="31" s="1"/>
  <c r="CS259" i="31" s="1"/>
  <c r="CS260" i="31" s="1"/>
  <c r="CS261" i="31" s="1"/>
  <c r="CS262" i="31" s="1"/>
  <c r="CS263" i="31" s="1"/>
  <c r="CS264" i="31" s="1"/>
  <c r="CS265" i="31" s="1"/>
  <c r="CS266" i="31" s="1"/>
  <c r="CS267" i="31" s="1"/>
  <c r="CS268" i="31" s="1"/>
  <c r="CS269" i="31" s="1"/>
  <c r="CS270" i="31" s="1"/>
  <c r="CS271" i="31" s="1"/>
  <c r="CS272" i="31" s="1"/>
  <c r="CS273" i="31" s="1"/>
  <c r="CS274" i="31" s="1"/>
  <c r="CS275" i="31" s="1"/>
  <c r="CS276" i="31" s="1"/>
  <c r="CS277" i="31" s="1"/>
  <c r="CS278" i="31" s="1"/>
  <c r="CS279" i="31" s="1"/>
  <c r="CS280" i="31" s="1"/>
  <c r="CS281" i="31" s="1"/>
  <c r="CS282" i="31" s="1"/>
  <c r="CS283" i="31" s="1"/>
  <c r="CS284" i="31" s="1"/>
  <c r="CS285" i="31" s="1"/>
  <c r="CS286" i="31" s="1"/>
  <c r="CS287" i="31" s="1"/>
  <c r="CS288" i="31" s="1"/>
  <c r="CS289" i="31" s="1"/>
  <c r="CS290" i="31" s="1"/>
  <c r="CS291" i="31" s="1"/>
  <c r="CS292" i="31" s="1"/>
  <c r="CS293" i="31" s="1"/>
  <c r="CS294" i="31" s="1"/>
  <c r="CS295" i="31" s="1"/>
  <c r="CS296" i="31" s="1"/>
  <c r="CS297" i="31" s="1"/>
  <c r="CS298" i="31" s="1"/>
  <c r="CS299" i="31" s="1"/>
  <c r="CS300" i="31" s="1"/>
  <c r="CS301" i="31" s="1"/>
  <c r="CS302" i="31" s="1"/>
  <c r="CS303" i="31" s="1"/>
  <c r="CS304" i="31" s="1"/>
  <c r="CS305" i="31" s="1"/>
  <c r="CS306" i="31" s="1"/>
  <c r="CS307" i="31" s="1"/>
  <c r="CS308" i="31" s="1"/>
  <c r="CS309" i="31" s="1"/>
  <c r="CS310" i="31" s="1"/>
  <c r="CS311" i="31" s="1"/>
  <c r="CS312" i="31" s="1"/>
  <c r="CS313" i="31" s="1"/>
  <c r="CS314" i="31" s="1"/>
  <c r="CS315" i="31" s="1"/>
  <c r="CS316" i="31" s="1"/>
  <c r="CS317" i="31" s="1"/>
  <c r="CS318" i="31" s="1"/>
  <c r="CS319" i="31" s="1"/>
  <c r="CS320" i="31" s="1"/>
  <c r="CS321" i="31" s="1"/>
  <c r="CS322" i="31" s="1"/>
  <c r="CS323" i="31" s="1"/>
  <c r="CS324" i="31" s="1"/>
  <c r="CS325" i="31" s="1"/>
  <c r="CS326" i="31" s="1"/>
  <c r="CS327" i="31" s="1"/>
  <c r="CS328" i="31" s="1"/>
  <c r="CS329" i="31" s="1"/>
  <c r="CS330" i="31" s="1"/>
  <c r="CS331" i="31" s="1"/>
  <c r="CS332" i="31" s="1"/>
  <c r="CS333" i="31" s="1"/>
  <c r="CS334" i="31" s="1"/>
  <c r="CS335" i="31" s="1"/>
  <c r="CS336" i="31" s="1"/>
  <c r="CS337" i="31" s="1"/>
  <c r="CS338" i="31" s="1"/>
  <c r="CS339" i="31" s="1"/>
  <c r="CS340" i="31" s="1"/>
  <c r="CS341" i="31" s="1"/>
  <c r="CS342" i="31" s="1"/>
  <c r="CS343" i="31" s="1"/>
  <c r="CS344" i="31" s="1"/>
  <c r="CS345" i="31" s="1"/>
  <c r="CS346" i="31" s="1"/>
  <c r="CS347" i="31" s="1"/>
  <c r="CS348" i="31" s="1"/>
  <c r="CS349" i="31" s="1"/>
  <c r="CS350" i="31" s="1"/>
  <c r="CS351" i="31" s="1"/>
  <c r="CS352" i="31" s="1"/>
  <c r="CS353" i="31" s="1"/>
  <c r="CS354" i="31" s="1"/>
  <c r="CS355" i="31" s="1"/>
  <c r="CS356" i="31" s="1"/>
  <c r="CS357" i="31" s="1"/>
  <c r="CS358" i="31" s="1"/>
  <c r="CS359" i="31" s="1"/>
  <c r="CS360" i="31" s="1"/>
  <c r="CS361" i="31" s="1"/>
  <c r="CS362" i="31" s="1"/>
  <c r="CS363" i="31" s="1"/>
  <c r="CS364" i="31" s="1"/>
  <c r="CS365" i="31" s="1"/>
  <c r="CS366" i="31" s="1"/>
  <c r="CS367" i="31" s="1"/>
  <c r="CS368" i="31" s="1"/>
  <c r="CS369" i="31" s="1"/>
  <c r="CS370" i="31" s="1"/>
  <c r="CS371" i="31" s="1"/>
  <c r="CS372" i="31" s="1"/>
  <c r="CS373" i="31" s="1"/>
  <c r="CS374" i="31" s="1"/>
  <c r="CS375" i="31" s="1"/>
  <c r="CS376" i="31" s="1"/>
  <c r="CS377" i="31" s="1"/>
  <c r="CS378" i="31" s="1"/>
  <c r="CS379" i="31" s="1"/>
  <c r="CS380" i="31" s="1"/>
  <c r="CS381" i="31" s="1"/>
  <c r="CS382" i="31" s="1"/>
  <c r="CS383" i="31" s="1"/>
  <c r="CS384" i="31" s="1"/>
  <c r="CS385" i="31" s="1"/>
  <c r="CS386" i="31" s="1"/>
  <c r="CS387" i="31" s="1"/>
  <c r="CS388" i="31" s="1"/>
  <c r="CS389" i="31" s="1"/>
  <c r="CS390" i="31" s="1"/>
  <c r="CS391" i="31" s="1"/>
  <c r="CS392" i="31" s="1"/>
  <c r="CS393" i="31" s="1"/>
  <c r="CS394" i="31" s="1"/>
  <c r="CS395" i="31" s="1"/>
  <c r="CS396" i="31" s="1"/>
  <c r="CS397" i="31" s="1"/>
  <c r="CS398" i="31" s="1"/>
  <c r="CS399" i="31" s="1"/>
  <c r="CS400" i="31" s="1"/>
  <c r="CS401" i="31" s="1"/>
  <c r="CS402" i="31" s="1"/>
  <c r="CS403" i="31" s="1"/>
  <c r="CS404" i="31" s="1"/>
  <c r="CS405" i="31" s="1"/>
  <c r="CS406" i="31" s="1"/>
  <c r="CS407" i="31" s="1"/>
  <c r="CS408" i="31" s="1"/>
  <c r="CS409" i="31" s="1"/>
  <c r="CS410" i="31" s="1"/>
  <c r="CS411" i="31" s="1"/>
  <c r="CS412" i="31" s="1"/>
  <c r="CS413" i="31" s="1"/>
  <c r="CS414" i="31" s="1"/>
  <c r="CS415" i="31" s="1"/>
  <c r="CS416" i="31" s="1"/>
  <c r="CS417" i="31" s="1"/>
  <c r="CS418" i="31" s="1"/>
  <c r="CS419" i="31" s="1"/>
  <c r="CS420" i="31" s="1"/>
  <c r="CS421" i="31" s="1"/>
  <c r="CS422" i="31" s="1"/>
  <c r="CS423" i="31" s="1"/>
  <c r="CS424" i="31" s="1"/>
  <c r="CS425" i="31" s="1"/>
  <c r="CS426" i="31" s="1"/>
  <c r="CS427" i="31" s="1"/>
  <c r="CS428" i="31" s="1"/>
  <c r="CS429" i="31" s="1"/>
  <c r="CS430" i="31" s="1"/>
  <c r="CS431" i="31" s="1"/>
  <c r="CS432" i="31" s="1"/>
  <c r="CS433" i="31" s="1"/>
  <c r="CS434" i="31" s="1"/>
  <c r="CS435" i="31" s="1"/>
  <c r="CS436" i="31" s="1"/>
  <c r="CS437" i="31" s="1"/>
  <c r="CS438" i="31" s="1"/>
  <c r="CS439" i="31" s="1"/>
  <c r="CS440" i="31" s="1"/>
  <c r="CS441" i="31" s="1"/>
  <c r="CS442" i="31" s="1"/>
  <c r="CS443" i="31" s="1"/>
  <c r="CS444" i="31" s="1"/>
  <c r="CS445" i="31" s="1"/>
  <c r="CS446" i="31" s="1"/>
  <c r="CS447" i="31" s="1"/>
  <c r="CS448" i="31" s="1"/>
  <c r="CS449" i="31" s="1"/>
  <c r="CS450" i="31" s="1"/>
  <c r="CS451" i="31" s="1"/>
  <c r="CS452" i="31" s="1"/>
  <c r="CS453" i="31" s="1"/>
  <c r="CS454" i="31" s="1"/>
  <c r="CS455" i="31" s="1"/>
  <c r="CS456" i="31" s="1"/>
  <c r="CS457" i="31" s="1"/>
  <c r="CS458" i="31" s="1"/>
  <c r="CS459" i="31" s="1"/>
  <c r="CS460" i="31" s="1"/>
  <c r="CS461" i="31" s="1"/>
  <c r="CS462" i="31" s="1"/>
  <c r="CS463" i="31" s="1"/>
  <c r="CS464" i="31" s="1"/>
  <c r="CS465" i="31" s="1"/>
  <c r="CS466" i="31" s="1"/>
  <c r="CS467" i="31" s="1"/>
  <c r="CS468" i="31" s="1"/>
  <c r="CS469" i="31" s="1"/>
  <c r="CS470" i="31" s="1"/>
  <c r="CS471" i="31" s="1"/>
  <c r="CS472" i="31" s="1"/>
  <c r="CS473" i="31" s="1"/>
  <c r="CS474" i="31" s="1"/>
  <c r="CS475" i="31" s="1"/>
  <c r="CS476" i="31" s="1"/>
  <c r="CS477" i="31" s="1"/>
  <c r="CS478" i="31" s="1"/>
  <c r="CS479" i="31" s="1"/>
  <c r="CS480" i="31" s="1"/>
  <c r="CS481" i="31" s="1"/>
  <c r="CS482" i="31" s="1"/>
  <c r="CS483" i="31" s="1"/>
  <c r="CS484" i="31" s="1"/>
  <c r="CS485" i="31" s="1"/>
  <c r="CS486" i="31" s="1"/>
  <c r="CS487" i="31" s="1"/>
  <c r="CS488" i="31" s="1"/>
  <c r="CS489" i="31" s="1"/>
  <c r="CS490" i="31" s="1"/>
  <c r="CS491" i="31" s="1"/>
  <c r="CS492" i="31" s="1"/>
  <c r="CS493" i="31" s="1"/>
  <c r="CS494" i="31" s="1"/>
  <c r="CS495" i="31" s="1"/>
  <c r="CS496" i="31" s="1"/>
  <c r="CS497" i="31" s="1"/>
  <c r="CS498" i="31" s="1"/>
  <c r="CS499" i="31" s="1"/>
  <c r="CS500" i="31" s="1"/>
  <c r="CS501" i="31" s="1"/>
  <c r="CS502" i="31" s="1"/>
  <c r="CS503" i="31" s="1"/>
  <c r="CS504" i="31" s="1"/>
  <c r="CS505" i="31" s="1"/>
  <c r="CS506" i="31" s="1"/>
  <c r="CS507" i="31" s="1"/>
  <c r="CS508" i="31" s="1"/>
  <c r="CS509" i="31" s="1"/>
  <c r="CS510" i="31" s="1"/>
  <c r="CS511" i="31" s="1"/>
  <c r="CS512" i="31" s="1"/>
  <c r="CS513" i="31" s="1"/>
  <c r="CS514" i="31" s="1"/>
  <c r="CS515" i="31" s="1"/>
  <c r="CS516" i="31" s="1"/>
  <c r="CS517" i="31" s="1"/>
  <c r="CS518" i="31" s="1"/>
  <c r="CS519" i="31" s="1"/>
  <c r="CS520" i="31" s="1"/>
  <c r="CS521" i="31" s="1"/>
  <c r="CS522" i="31" s="1"/>
  <c r="CS523" i="31" s="1"/>
  <c r="CS524" i="31" s="1"/>
  <c r="CS525" i="31" s="1"/>
  <c r="CS526" i="31" s="1"/>
  <c r="CS527" i="31" s="1"/>
  <c r="CS528" i="31" s="1"/>
  <c r="CS529" i="31" s="1"/>
  <c r="CS530" i="31" s="1"/>
  <c r="CS531" i="31" s="1"/>
  <c r="CS532" i="31" s="1"/>
  <c r="CS533" i="31" s="1"/>
  <c r="CS534" i="31" s="1"/>
  <c r="CS535" i="31" s="1"/>
  <c r="CS536" i="31" s="1"/>
  <c r="CS537" i="31" s="1"/>
  <c r="CS538" i="31" s="1"/>
  <c r="CS539" i="31" s="1"/>
  <c r="CS540" i="31" s="1"/>
  <c r="CS541" i="31" s="1"/>
  <c r="CS542" i="31" s="1"/>
  <c r="CS543" i="31" s="1"/>
  <c r="CS544" i="31" s="1"/>
  <c r="CS545" i="31" s="1"/>
  <c r="CS546" i="31" s="1"/>
  <c r="CS547" i="31" s="1"/>
  <c r="CS548" i="31" s="1"/>
  <c r="CS549" i="31" s="1"/>
  <c r="CS550" i="31" s="1"/>
  <c r="CS551" i="31" s="1"/>
  <c r="CS552" i="31" s="1"/>
  <c r="CS553" i="31" s="1"/>
  <c r="CS554" i="31" s="1"/>
  <c r="CS555" i="31" s="1"/>
  <c r="CS556" i="31" s="1"/>
  <c r="CS557" i="31" s="1"/>
  <c r="CS558" i="31" s="1"/>
  <c r="CS559" i="31" s="1"/>
  <c r="CS560" i="31" s="1"/>
  <c r="CS561" i="31" s="1"/>
  <c r="CS562" i="31" s="1"/>
  <c r="CS563" i="31" s="1"/>
  <c r="CS564" i="31" s="1"/>
  <c r="CS565" i="31" s="1"/>
  <c r="CS566" i="31" s="1"/>
  <c r="CS567" i="31" s="1"/>
  <c r="CS568" i="31" s="1"/>
  <c r="CS569" i="31" s="1"/>
  <c r="CS570" i="31" s="1"/>
  <c r="CS571" i="31" s="1"/>
  <c r="CS572" i="31" s="1"/>
  <c r="CS573" i="31" s="1"/>
  <c r="CS574" i="31" s="1"/>
  <c r="CS575" i="31" s="1"/>
  <c r="CS576" i="31" s="1"/>
  <c r="CS577" i="31" s="1"/>
  <c r="CS578" i="31" s="1"/>
  <c r="CS579" i="31" s="1"/>
  <c r="CS580" i="31" s="1"/>
  <c r="CS581" i="31" s="1"/>
  <c r="CS582" i="31" s="1"/>
  <c r="CS583" i="31" s="1"/>
  <c r="CS584" i="31" s="1"/>
  <c r="CS585" i="31" s="1"/>
  <c r="CS586" i="31" s="1"/>
  <c r="CS587" i="31" s="1"/>
  <c r="CS588" i="31" s="1"/>
  <c r="CS589" i="31" s="1"/>
  <c r="CS590" i="31" s="1"/>
  <c r="CS591" i="31" s="1"/>
  <c r="CS592" i="31" s="1"/>
  <c r="CS593" i="31" s="1"/>
  <c r="CS594" i="31" s="1"/>
  <c r="CS595" i="31" s="1"/>
  <c r="CS596" i="31" s="1"/>
  <c r="CS597" i="31" s="1"/>
  <c r="CS598" i="31" s="1"/>
  <c r="CS599" i="31" s="1"/>
  <c r="CS600" i="31" s="1"/>
  <c r="CS601" i="31" s="1"/>
  <c r="CS602" i="31" s="1"/>
  <c r="CS603" i="31" s="1"/>
  <c r="CS604" i="31" s="1"/>
  <c r="CS605" i="31" s="1"/>
  <c r="CS606" i="31" s="1"/>
  <c r="CS607" i="31" s="1"/>
  <c r="CS608" i="31" s="1"/>
  <c r="CS609" i="31" s="1"/>
  <c r="CS610" i="31" s="1"/>
  <c r="CS611" i="31" s="1"/>
  <c r="CS612" i="31" s="1"/>
  <c r="CS613" i="31" s="1"/>
  <c r="CS614" i="31" s="1"/>
  <c r="CS615" i="31" s="1"/>
  <c r="CS616" i="31" s="1"/>
  <c r="CS617" i="31" s="1"/>
  <c r="CS618" i="31" s="1"/>
  <c r="CS619" i="31" s="1"/>
  <c r="CS620" i="31" s="1"/>
  <c r="CS621" i="31" s="1"/>
  <c r="CS622" i="31" s="1"/>
  <c r="CS623" i="31" s="1"/>
  <c r="CS624" i="31" s="1"/>
  <c r="CS625" i="31" s="1"/>
  <c r="CS626" i="31" s="1"/>
  <c r="CS627" i="31" s="1"/>
  <c r="CS628" i="31" s="1"/>
  <c r="CS629" i="31" s="1"/>
  <c r="CS630" i="31" s="1"/>
  <c r="CS631" i="31" s="1"/>
  <c r="CS632" i="31" s="1"/>
  <c r="CS633" i="31" s="1"/>
  <c r="CT46" i="31"/>
  <c r="CT88" i="31" s="1"/>
  <c r="CT130" i="31" s="1"/>
  <c r="CT172" i="31" s="1"/>
  <c r="CT214" i="31" s="1"/>
  <c r="CT256" i="31" s="1"/>
  <c r="CT298" i="31" s="1"/>
  <c r="CT340" i="31" s="1"/>
  <c r="CT382" i="31" s="1"/>
  <c r="CT424" i="31" s="1"/>
  <c r="CT466" i="31" s="1"/>
  <c r="CT508" i="31" s="1"/>
  <c r="CT550" i="31" s="1"/>
  <c r="CT592" i="31" s="1"/>
  <c r="A48" i="31"/>
  <c r="A47" i="31"/>
  <c r="A46" i="31"/>
  <c r="A45" i="31"/>
  <c r="A44" i="31"/>
  <c r="A43" i="31"/>
  <c r="A42" i="31"/>
  <c r="A41" i="31"/>
  <c r="A40" i="31"/>
  <c r="A39" i="31"/>
  <c r="A38" i="31"/>
  <c r="A37" i="31"/>
  <c r="A36" i="31"/>
  <c r="A35" i="31"/>
  <c r="A34" i="31"/>
  <c r="A33" i="31"/>
  <c r="A32" i="31"/>
  <c r="A31" i="31"/>
  <c r="A30" i="31"/>
  <c r="A29" i="31"/>
  <c r="CA25" i="31"/>
  <c r="Y159" i="31"/>
  <c r="U159" i="31"/>
  <c r="Q159" i="31"/>
  <c r="M159" i="31"/>
  <c r="I159" i="31"/>
  <c r="E159" i="31"/>
  <c r="CA24" i="31"/>
  <c r="Y158" i="31"/>
  <c r="U158" i="31"/>
  <c r="Q158" i="31"/>
  <c r="M158" i="31"/>
  <c r="I158" i="31"/>
  <c r="E158" i="31"/>
  <c r="CA23" i="31"/>
  <c r="Y157" i="31"/>
  <c r="U157" i="31"/>
  <c r="Q157" i="31"/>
  <c r="M157" i="31"/>
  <c r="I157" i="31"/>
  <c r="E157" i="31"/>
  <c r="CA22" i="31"/>
  <c r="H157" i="31"/>
  <c r="H103" i="31"/>
  <c r="CA21" i="31"/>
  <c r="BX21" i="31"/>
  <c r="BY21" i="31" s="1"/>
  <c r="CA20" i="31"/>
  <c r="BX20" i="31"/>
  <c r="BY20" i="31" s="1"/>
  <c r="CA19" i="31"/>
  <c r="CA18" i="31"/>
  <c r="D44" i="31"/>
  <c r="CA17" i="31"/>
  <c r="CA16" i="31"/>
  <c r="D42" i="31"/>
  <c r="CA15" i="31"/>
  <c r="B69" i="31"/>
  <c r="B123" i="31" s="1"/>
  <c r="CA14" i="31"/>
  <c r="B68" i="31"/>
  <c r="B122" i="31" s="1"/>
  <c r="CA13" i="31"/>
  <c r="B67" i="31"/>
  <c r="B121" i="31" s="1"/>
  <c r="CA12" i="31"/>
  <c r="B66" i="31"/>
  <c r="B120" i="31" s="1"/>
  <c r="CA11" i="31"/>
  <c r="BX11" i="31"/>
  <c r="BY11" i="31" s="1"/>
  <c r="CA10" i="31"/>
  <c r="B64" i="31"/>
  <c r="B118" i="31" s="1"/>
  <c r="CA9" i="31"/>
  <c r="BX9" i="31"/>
  <c r="BY9" i="31" s="1"/>
  <c r="CA8" i="31"/>
  <c r="BX8" i="31"/>
  <c r="BY8" i="31" s="1"/>
  <c r="CA7" i="31"/>
  <c r="BX7" i="31"/>
  <c r="BY7" i="31" s="1"/>
  <c r="CA6" i="31"/>
  <c r="BX6" i="31"/>
  <c r="BY6" i="31" s="1"/>
  <c r="CA5" i="31"/>
  <c r="BX5" i="31"/>
  <c r="BY5" i="31" s="1"/>
  <c r="CA4" i="31"/>
  <c r="BU4" i="31"/>
  <c r="BU5" i="31" s="1"/>
  <c r="BU6" i="31" s="1"/>
  <c r="BU7" i="31" s="1"/>
  <c r="BU8" i="31" s="1"/>
  <c r="BU9" i="31" s="1"/>
  <c r="BU10" i="31" s="1"/>
  <c r="BU11" i="31" s="1"/>
  <c r="BU12" i="31" s="1"/>
  <c r="BU13" i="31" s="1"/>
  <c r="BU14" i="31" s="1"/>
  <c r="BU15" i="31" s="1"/>
  <c r="BU16" i="31" s="1"/>
  <c r="BU17" i="31" s="1"/>
  <c r="BU18" i="31" s="1"/>
  <c r="BU19" i="31" s="1"/>
  <c r="BU20" i="31" s="1"/>
  <c r="BU21" i="31" s="1"/>
  <c r="BU22" i="31" s="1"/>
  <c r="BU23" i="31" s="1"/>
  <c r="BU24" i="31" s="1"/>
  <c r="BU25" i="31" s="1"/>
  <c r="BX4" i="31"/>
  <c r="BY4" i="31" s="1"/>
  <c r="CA3" i="31"/>
  <c r="BX3" i="31"/>
  <c r="BY3" i="31" s="1"/>
  <c r="BO2" i="31"/>
  <c r="BN2" i="31"/>
  <c r="BX611" i="31"/>
  <c r="BX620" i="31"/>
  <c r="BX607" i="31"/>
  <c r="BX622" i="31"/>
  <c r="BX609" i="31"/>
  <c r="BX617" i="31"/>
  <c r="BX619" i="31"/>
  <c r="BX618" i="31"/>
  <c r="BX605" i="31"/>
  <c r="BX602" i="31"/>
  <c r="BX614" i="31"/>
  <c r="BX612" i="31"/>
  <c r="BX623" i="31"/>
  <c r="BX603" i="31"/>
  <c r="BX604" i="31"/>
  <c r="BX621" i="31"/>
  <c r="BX616" i="31"/>
  <c r="BX610" i="31"/>
  <c r="BX615" i="31"/>
  <c r="BX613" i="31"/>
  <c r="BX608" i="31"/>
  <c r="BX606" i="31"/>
  <c r="BY607" i="31" l="1"/>
  <c r="BY611" i="31"/>
  <c r="BY615" i="31"/>
  <c r="BY619" i="31"/>
  <c r="BY623" i="31"/>
  <c r="BY603" i="31"/>
  <c r="BY604" i="31"/>
  <c r="BY608" i="31"/>
  <c r="BY612" i="31"/>
  <c r="BY616" i="31"/>
  <c r="BY620" i="31"/>
  <c r="BY602" i="31"/>
  <c r="BY605" i="31"/>
  <c r="BY609" i="31"/>
  <c r="BY613" i="31"/>
  <c r="BY617" i="31"/>
  <c r="BY621" i="31"/>
  <c r="BY606" i="31"/>
  <c r="BY610" i="31"/>
  <c r="BY614" i="31"/>
  <c r="BY618" i="31"/>
  <c r="BY622" i="31"/>
  <c r="C159" i="31"/>
  <c r="D159" i="31"/>
  <c r="B159" i="31"/>
  <c r="G159" i="31"/>
  <c r="F159" i="31"/>
  <c r="K159" i="31"/>
  <c r="L159" i="31"/>
  <c r="J159" i="31"/>
  <c r="O159" i="31"/>
  <c r="P159" i="31"/>
  <c r="N159" i="31"/>
  <c r="S159" i="31"/>
  <c r="T159" i="31"/>
  <c r="R159" i="31"/>
  <c r="W159" i="31"/>
  <c r="X159" i="31"/>
  <c r="V159" i="31"/>
  <c r="B157" i="31"/>
  <c r="C157" i="31"/>
  <c r="D157" i="31"/>
  <c r="H158" i="31"/>
  <c r="F157" i="31"/>
  <c r="G157" i="31"/>
  <c r="J157" i="31"/>
  <c r="K157" i="31"/>
  <c r="L157" i="31"/>
  <c r="N157" i="31"/>
  <c r="O157" i="31"/>
  <c r="P157" i="31"/>
  <c r="R157" i="31"/>
  <c r="S157" i="31"/>
  <c r="T157" i="31"/>
  <c r="V157" i="31"/>
  <c r="W157" i="31"/>
  <c r="X157" i="31"/>
  <c r="D158" i="31"/>
  <c r="B158" i="31"/>
  <c r="C158" i="31"/>
  <c r="H159" i="31"/>
  <c r="F158" i="31"/>
  <c r="G158" i="31"/>
  <c r="L158" i="31"/>
  <c r="J158" i="31"/>
  <c r="K158" i="31"/>
  <c r="P158" i="31"/>
  <c r="N158" i="31"/>
  <c r="O158" i="31"/>
  <c r="T158" i="31"/>
  <c r="R158" i="31"/>
  <c r="S158" i="31"/>
  <c r="X158" i="31"/>
  <c r="V158" i="31"/>
  <c r="W158" i="31"/>
  <c r="C105" i="31"/>
  <c r="B105" i="31"/>
  <c r="G105" i="31"/>
  <c r="F105" i="31"/>
  <c r="K105" i="31"/>
  <c r="J105" i="31"/>
  <c r="O105" i="31"/>
  <c r="N105" i="31"/>
  <c r="S105" i="31"/>
  <c r="R105" i="31"/>
  <c r="W105" i="31"/>
  <c r="V105" i="31"/>
  <c r="B49" i="31"/>
  <c r="E103" i="31"/>
  <c r="D103" i="31"/>
  <c r="F49" i="31"/>
  <c r="I103" i="31"/>
  <c r="H104" i="31"/>
  <c r="J49" i="31"/>
  <c r="M103" i="31"/>
  <c r="L103" i="31"/>
  <c r="N49" i="31"/>
  <c r="Q103" i="31"/>
  <c r="P103" i="31"/>
  <c r="R49" i="31"/>
  <c r="U103" i="31"/>
  <c r="T103" i="31"/>
  <c r="V49" i="31"/>
  <c r="Y103" i="31"/>
  <c r="X103" i="31"/>
  <c r="B103" i="31"/>
  <c r="C103" i="31"/>
  <c r="F103" i="31"/>
  <c r="G103" i="31"/>
  <c r="J103" i="31"/>
  <c r="K103" i="31"/>
  <c r="N103" i="31"/>
  <c r="O103" i="31"/>
  <c r="R103" i="31"/>
  <c r="S103" i="31"/>
  <c r="V103" i="31"/>
  <c r="W103" i="31"/>
  <c r="B50" i="31"/>
  <c r="D104" i="31"/>
  <c r="E104" i="31"/>
  <c r="F50" i="31"/>
  <c r="I104" i="31"/>
  <c r="H105" i="31"/>
  <c r="J50" i="31"/>
  <c r="L104" i="31"/>
  <c r="M104" i="31"/>
  <c r="N50" i="31"/>
  <c r="P104" i="31"/>
  <c r="Q104" i="31"/>
  <c r="R50" i="31"/>
  <c r="T104" i="31"/>
  <c r="U104" i="31"/>
  <c r="V50" i="31"/>
  <c r="X104" i="31"/>
  <c r="Y104" i="31"/>
  <c r="B104" i="31"/>
  <c r="C104" i="31"/>
  <c r="F104" i="31"/>
  <c r="G104" i="31"/>
  <c r="J104" i="31"/>
  <c r="K104" i="31"/>
  <c r="N104" i="31"/>
  <c r="O104" i="31"/>
  <c r="R104" i="31"/>
  <c r="S104" i="31"/>
  <c r="V104" i="31"/>
  <c r="W104" i="31"/>
  <c r="B51" i="31"/>
  <c r="D105" i="31"/>
  <c r="E105" i="31"/>
  <c r="F51" i="31"/>
  <c r="I105" i="31"/>
  <c r="J51" i="31"/>
  <c r="L105" i="31"/>
  <c r="M105" i="31"/>
  <c r="N51" i="31"/>
  <c r="P105" i="31"/>
  <c r="Q105" i="31"/>
  <c r="R51" i="31"/>
  <c r="T105" i="31"/>
  <c r="U105" i="31"/>
  <c r="V51" i="31"/>
  <c r="X105" i="31"/>
  <c r="Y105" i="31"/>
  <c r="BX23" i="31"/>
  <c r="BY23" i="31" s="1"/>
  <c r="E49" i="31"/>
  <c r="C49" i="31"/>
  <c r="D49" i="31"/>
  <c r="I49" i="31"/>
  <c r="G49" i="31"/>
  <c r="H49" i="31"/>
  <c r="M49" i="31"/>
  <c r="K49" i="31"/>
  <c r="L49" i="31"/>
  <c r="Q49" i="31"/>
  <c r="O49" i="31"/>
  <c r="P49" i="31"/>
  <c r="U49" i="31"/>
  <c r="S49" i="31"/>
  <c r="T49" i="31"/>
  <c r="Y49" i="31"/>
  <c r="W49" i="31"/>
  <c r="X49" i="31"/>
  <c r="BX24" i="31"/>
  <c r="BY24" i="31" s="1"/>
  <c r="D50" i="31"/>
  <c r="E50" i="31"/>
  <c r="C50" i="31"/>
  <c r="H50" i="31"/>
  <c r="I50" i="31"/>
  <c r="G50" i="31"/>
  <c r="L50" i="31"/>
  <c r="M50" i="31"/>
  <c r="K50" i="31"/>
  <c r="P50" i="31"/>
  <c r="Q50" i="31"/>
  <c r="O50" i="31"/>
  <c r="T50" i="31"/>
  <c r="U50" i="31"/>
  <c r="S50" i="31"/>
  <c r="X50" i="31"/>
  <c r="Y50" i="31"/>
  <c r="W50" i="31"/>
  <c r="BX25" i="31"/>
  <c r="BY25" i="31" s="1"/>
  <c r="C51" i="31"/>
  <c r="D51" i="31"/>
  <c r="E51" i="31"/>
  <c r="G51" i="31"/>
  <c r="H51" i="31"/>
  <c r="I51" i="31"/>
  <c r="K51" i="31"/>
  <c r="L51" i="31"/>
  <c r="M51" i="31"/>
  <c r="O51" i="31"/>
  <c r="P51" i="31"/>
  <c r="Q51" i="31"/>
  <c r="S51" i="31"/>
  <c r="T51" i="31"/>
  <c r="U51" i="31"/>
  <c r="W51" i="31"/>
  <c r="X51" i="31"/>
  <c r="Y51" i="31"/>
  <c r="F67" i="31"/>
  <c r="F121" i="31" s="1"/>
  <c r="J67" i="31"/>
  <c r="J121" i="31" s="1"/>
  <c r="N67" i="31"/>
  <c r="N121" i="31" s="1"/>
  <c r="R67" i="31"/>
  <c r="R121" i="31" s="1"/>
  <c r="V67" i="31"/>
  <c r="V121" i="31" s="1"/>
  <c r="BV107" i="31"/>
  <c r="F68" i="31"/>
  <c r="F122" i="31" s="1"/>
  <c r="J68" i="31"/>
  <c r="J122" i="31" s="1"/>
  <c r="N68" i="31"/>
  <c r="N122" i="31" s="1"/>
  <c r="R68" i="31"/>
  <c r="R122" i="31" s="1"/>
  <c r="V68" i="31"/>
  <c r="V122" i="31" s="1"/>
  <c r="L44" i="31"/>
  <c r="T44" i="31"/>
  <c r="BZ107" i="31"/>
  <c r="F69" i="31"/>
  <c r="F123" i="31" s="1"/>
  <c r="J69" i="31"/>
  <c r="J123" i="31" s="1"/>
  <c r="N69" i="31"/>
  <c r="N123" i="31" s="1"/>
  <c r="R69" i="31"/>
  <c r="R123" i="31" s="1"/>
  <c r="V69" i="31"/>
  <c r="V123" i="31" s="1"/>
  <c r="F64" i="31"/>
  <c r="F118" i="31" s="1"/>
  <c r="J64" i="31"/>
  <c r="J118" i="31" s="1"/>
  <c r="N64" i="31"/>
  <c r="N118" i="31" s="1"/>
  <c r="R64" i="31"/>
  <c r="R118" i="31" s="1"/>
  <c r="V64" i="31"/>
  <c r="V118" i="31" s="1"/>
  <c r="F66" i="31"/>
  <c r="F120" i="31" s="1"/>
  <c r="J66" i="31"/>
  <c r="J120" i="31" s="1"/>
  <c r="N66" i="31"/>
  <c r="N120" i="31" s="1"/>
  <c r="R66" i="31"/>
  <c r="R120" i="31" s="1"/>
  <c r="V66" i="31"/>
  <c r="V120" i="31" s="1"/>
  <c r="L42" i="31"/>
  <c r="T42" i="31"/>
  <c r="BU26" i="31"/>
  <c r="BU27" i="31" s="1"/>
  <c r="BU28" i="31" s="1"/>
  <c r="BU29" i="31" s="1"/>
  <c r="BU30" i="31" s="1"/>
  <c r="BU31" i="31" s="1"/>
  <c r="BU32" i="31" s="1"/>
  <c r="BU33" i="31" s="1"/>
  <c r="BU34" i="31" s="1"/>
  <c r="BU35" i="31" s="1"/>
  <c r="BU36" i="31" s="1"/>
  <c r="BU37" i="31" s="1"/>
  <c r="BU38" i="31" s="1"/>
  <c r="BU39" i="31" s="1"/>
  <c r="BU40" i="31" s="1"/>
  <c r="BU41" i="31" s="1"/>
  <c r="BU42" i="31" s="1"/>
  <c r="BU43" i="31" s="1"/>
  <c r="BU44" i="31" s="1"/>
  <c r="BU45" i="31" s="1"/>
  <c r="BU46" i="31" s="1"/>
  <c r="BU47" i="31" s="1"/>
  <c r="BU48" i="31" s="1"/>
  <c r="BU49" i="31" s="1"/>
  <c r="BU50" i="31" s="1"/>
  <c r="BU51" i="31" s="1"/>
  <c r="BU52" i="31" s="1"/>
  <c r="BU53" i="31" s="1"/>
  <c r="BU54" i="31" s="1"/>
  <c r="BU55" i="31" s="1"/>
  <c r="BU56" i="31" s="1"/>
  <c r="BU57" i="31" s="1"/>
  <c r="BU58" i="31" s="1"/>
  <c r="BU59" i="31" s="1"/>
  <c r="BU60" i="31" s="1"/>
  <c r="BU61" i="31" s="1"/>
  <c r="BU62" i="31" s="1"/>
  <c r="BU63" i="31" s="1"/>
  <c r="BU64" i="31" s="1"/>
  <c r="BU65" i="31" s="1"/>
  <c r="BU66" i="31" s="1"/>
  <c r="BU67" i="31" s="1"/>
  <c r="BU68" i="31" s="1"/>
  <c r="BU69" i="31" s="1"/>
  <c r="BU70" i="31" s="1"/>
  <c r="BU71" i="31" s="1"/>
  <c r="BU72" i="31" s="1"/>
  <c r="BU73" i="31" s="1"/>
  <c r="BU74" i="31" s="1"/>
  <c r="BU75" i="31" s="1"/>
  <c r="BU76" i="31" s="1"/>
  <c r="BU77" i="31" s="1"/>
  <c r="BU78" i="31" s="1"/>
  <c r="BU79" i="31" s="1"/>
  <c r="BU80" i="31" s="1"/>
  <c r="BU81" i="31" s="1"/>
  <c r="BU82" i="31" s="1"/>
  <c r="BU83" i="31" s="1"/>
  <c r="BU84" i="31" s="1"/>
  <c r="BU85" i="31" s="1"/>
  <c r="BU86" i="31" s="1"/>
  <c r="BU87" i="31" s="1"/>
  <c r="BU88" i="31" s="1"/>
  <c r="BU89" i="31" s="1"/>
  <c r="BU90" i="31" s="1"/>
  <c r="BU91" i="31" s="1"/>
  <c r="BU92" i="31" s="1"/>
  <c r="BU93" i="31" s="1"/>
  <c r="BU94" i="31" s="1"/>
  <c r="BU95" i="31" s="1"/>
  <c r="BU96" i="31" s="1"/>
  <c r="BU97" i="31" s="1"/>
  <c r="BU98" i="31" s="1"/>
  <c r="BU99" i="31" s="1"/>
  <c r="BU100" i="31" s="1"/>
  <c r="BU101" i="31" s="1"/>
  <c r="BU102" i="31" s="1"/>
  <c r="BU103" i="31" s="1"/>
  <c r="BU104" i="31" s="1"/>
  <c r="BU105" i="31" s="1"/>
  <c r="BU106" i="31" s="1"/>
  <c r="BU107" i="31" s="1"/>
  <c r="BU108" i="31" s="1"/>
  <c r="BU109" i="31" s="1"/>
  <c r="BU110" i="31" s="1"/>
  <c r="BU111" i="31" s="1"/>
  <c r="BU112" i="31" s="1"/>
  <c r="BU113" i="31" s="1"/>
  <c r="BU114" i="31" s="1"/>
  <c r="BU115" i="31" s="1"/>
  <c r="BU116" i="31" s="1"/>
  <c r="BU117" i="31" s="1"/>
  <c r="BU118" i="31" s="1"/>
  <c r="BU119" i="31" s="1"/>
  <c r="BU120" i="31" s="1"/>
  <c r="BU121" i="31" s="1"/>
  <c r="BU122" i="31" s="1"/>
  <c r="BU123" i="31" s="1"/>
  <c r="BU124" i="31" s="1"/>
  <c r="BU125" i="31" s="1"/>
  <c r="BU126" i="31" s="1"/>
  <c r="BU127" i="31" s="1"/>
  <c r="BU128" i="31" s="1"/>
  <c r="BU129" i="31" s="1"/>
  <c r="BU130" i="31" s="1"/>
  <c r="BU131" i="31" s="1"/>
  <c r="BU132" i="31" s="1"/>
  <c r="BU133" i="31" s="1"/>
  <c r="BU134" i="31" s="1"/>
  <c r="BU135" i="31" s="1"/>
  <c r="BU136" i="31" s="1"/>
  <c r="BU137" i="31" s="1"/>
  <c r="BU138" i="31" s="1"/>
  <c r="BU139" i="31" s="1"/>
  <c r="BU140" i="31" s="1"/>
  <c r="BU141" i="31" s="1"/>
  <c r="BU142" i="31" s="1"/>
  <c r="BU143" i="31" s="1"/>
  <c r="BU144" i="31" s="1"/>
  <c r="BU145" i="31" s="1"/>
  <c r="BU146" i="31" s="1"/>
  <c r="BU147" i="31" s="1"/>
  <c r="BU148" i="31" s="1"/>
  <c r="BU149" i="31" s="1"/>
  <c r="BU150" i="31" s="1"/>
  <c r="BU151" i="31" s="1"/>
  <c r="BU152" i="31" s="1"/>
  <c r="BU153" i="31" s="1"/>
  <c r="BU154" i="31" s="1"/>
  <c r="BU155" i="31" s="1"/>
  <c r="BU156" i="31" s="1"/>
  <c r="BU157" i="31" s="1"/>
  <c r="BU158" i="31" s="1"/>
  <c r="BU159" i="31" s="1"/>
  <c r="BU160" i="31" s="1"/>
  <c r="BU161" i="31" s="1"/>
  <c r="BU162" i="31" s="1"/>
  <c r="BU163" i="31" s="1"/>
  <c r="BU164" i="31" s="1"/>
  <c r="BU165" i="31" s="1"/>
  <c r="BU166" i="31" s="1"/>
  <c r="BU167" i="31" s="1"/>
  <c r="BU168" i="31" s="1"/>
  <c r="BU169" i="31" s="1"/>
  <c r="BU170" i="31" s="1"/>
  <c r="BU171" i="31" s="1"/>
  <c r="BU172" i="31" s="1"/>
  <c r="BU173" i="31" s="1"/>
  <c r="BU174" i="31" s="1"/>
  <c r="BU175" i="31" s="1"/>
  <c r="BU176" i="31" s="1"/>
  <c r="BU177" i="31" s="1"/>
  <c r="BU178" i="31" s="1"/>
  <c r="BU179" i="31" s="1"/>
  <c r="BU180" i="31" s="1"/>
  <c r="BU181" i="31" s="1"/>
  <c r="BU182" i="31" s="1"/>
  <c r="BU183" i="31" s="1"/>
  <c r="BU184" i="31" s="1"/>
  <c r="BU185" i="31" s="1"/>
  <c r="BU186" i="31" s="1"/>
  <c r="BU187" i="31" s="1"/>
  <c r="BU188" i="31" s="1"/>
  <c r="BU189" i="31" s="1"/>
  <c r="BU190" i="31" s="1"/>
  <c r="BU191" i="31" s="1"/>
  <c r="BU192" i="31" s="1"/>
  <c r="BU193" i="31" s="1"/>
  <c r="BU194" i="31" s="1"/>
  <c r="BU195" i="31" s="1"/>
  <c r="BU196" i="31" s="1"/>
  <c r="BU197" i="31" s="1"/>
  <c r="BU198" i="31" s="1"/>
  <c r="BU199" i="31" s="1"/>
  <c r="BU200" i="31" s="1"/>
  <c r="BU201" i="31" s="1"/>
  <c r="BU202" i="31" s="1"/>
  <c r="BU203" i="31" s="1"/>
  <c r="BU204" i="31" s="1"/>
  <c r="BU205" i="31" s="1"/>
  <c r="BU206" i="31" s="1"/>
  <c r="BU207" i="31" s="1"/>
  <c r="BU208" i="31" s="1"/>
  <c r="BU209" i="31" s="1"/>
  <c r="BU210" i="31" s="1"/>
  <c r="BU211" i="31" s="1"/>
  <c r="BU212" i="31" s="1"/>
  <c r="BU213" i="31" s="1"/>
  <c r="BU214" i="31" s="1"/>
  <c r="BU215" i="31" s="1"/>
  <c r="BU216" i="31" s="1"/>
  <c r="BU217" i="31" s="1"/>
  <c r="BU218" i="31" s="1"/>
  <c r="BU219" i="31" s="1"/>
  <c r="BU220" i="31" s="1"/>
  <c r="BU221" i="31" s="1"/>
  <c r="BU222" i="31" s="1"/>
  <c r="BU223" i="31" s="1"/>
  <c r="BU224" i="31" s="1"/>
  <c r="BU225" i="31" s="1"/>
  <c r="BU226" i="31" s="1"/>
  <c r="BU227" i="31" s="1"/>
  <c r="BU228" i="31" s="1"/>
  <c r="BU229" i="31" s="1"/>
  <c r="BU230" i="31" s="1"/>
  <c r="BU231" i="31" s="1"/>
  <c r="BU232" i="31" s="1"/>
  <c r="BU233" i="31" s="1"/>
  <c r="BU234" i="31" s="1"/>
  <c r="BU235" i="31" s="1"/>
  <c r="BU236" i="31" s="1"/>
  <c r="BU237" i="31" s="1"/>
  <c r="BU238" i="31" s="1"/>
  <c r="BU239" i="31" s="1"/>
  <c r="BU240" i="31" s="1"/>
  <c r="BU241" i="31" s="1"/>
  <c r="BU242" i="31" s="1"/>
  <c r="BU243" i="31" s="1"/>
  <c r="BU244" i="31" s="1"/>
  <c r="BU245" i="31" s="1"/>
  <c r="BU246" i="31" s="1"/>
  <c r="BU247" i="31" s="1"/>
  <c r="BU248" i="31" s="1"/>
  <c r="BU249" i="31" s="1"/>
  <c r="BU250" i="31" s="1"/>
  <c r="BU251" i="31" s="1"/>
  <c r="BU252" i="31" s="1"/>
  <c r="BU253" i="31" s="1"/>
  <c r="BU254" i="31" s="1"/>
  <c r="BU255" i="31" s="1"/>
  <c r="BU256" i="31" s="1"/>
  <c r="BU257" i="31" s="1"/>
  <c r="BU258" i="31" s="1"/>
  <c r="BU259" i="31" s="1"/>
  <c r="BU260" i="31" s="1"/>
  <c r="BU261" i="31" s="1"/>
  <c r="BU262" i="31" s="1"/>
  <c r="BU263" i="31" s="1"/>
  <c r="BU264" i="31" s="1"/>
  <c r="BU265" i="31" s="1"/>
  <c r="BU266" i="31" s="1"/>
  <c r="BU267" i="31" s="1"/>
  <c r="BU268" i="31" s="1"/>
  <c r="BU269" i="31" s="1"/>
  <c r="BU270" i="31" s="1"/>
  <c r="BU271" i="31" s="1"/>
  <c r="BU272" i="31" s="1"/>
  <c r="BU273" i="31" s="1"/>
  <c r="BU274" i="31" s="1"/>
  <c r="BU275" i="31" s="1"/>
  <c r="BU276" i="31" s="1"/>
  <c r="BU277" i="31" s="1"/>
  <c r="BU278" i="31" s="1"/>
  <c r="BU279" i="31" s="1"/>
  <c r="BU280" i="31" s="1"/>
  <c r="BU281" i="31" s="1"/>
  <c r="BU282" i="31" s="1"/>
  <c r="BU283" i="31" s="1"/>
  <c r="BU284" i="31" s="1"/>
  <c r="BU285" i="31" s="1"/>
  <c r="BU286" i="31" s="1"/>
  <c r="BU287" i="31" s="1"/>
  <c r="BU288" i="31" s="1"/>
  <c r="BU289" i="31" s="1"/>
  <c r="BU290" i="31" s="1"/>
  <c r="BU291" i="31" s="1"/>
  <c r="BU292" i="31" s="1"/>
  <c r="BU293" i="31" s="1"/>
  <c r="BU294" i="31" s="1"/>
  <c r="BU295" i="31" s="1"/>
  <c r="BU296" i="31" s="1"/>
  <c r="BU297" i="31" s="1"/>
  <c r="BU298" i="31" s="1"/>
  <c r="BU299" i="31" s="1"/>
  <c r="BU300" i="31" s="1"/>
  <c r="BU301" i="31" s="1"/>
  <c r="BU302" i="31" s="1"/>
  <c r="BU303" i="31" s="1"/>
  <c r="BU304" i="31" s="1"/>
  <c r="BU305" i="31" s="1"/>
  <c r="BU306" i="31" s="1"/>
  <c r="BU307" i="31" s="1"/>
  <c r="BU308" i="31" s="1"/>
  <c r="BU309" i="31" s="1"/>
  <c r="BU310" i="31" s="1"/>
  <c r="BU311" i="31" s="1"/>
  <c r="BU312" i="31" s="1"/>
  <c r="BU313" i="31" s="1"/>
  <c r="BU314" i="31" s="1"/>
  <c r="BU315" i="31" s="1"/>
  <c r="BU316" i="31" s="1"/>
  <c r="BU317" i="31" s="1"/>
  <c r="BU318" i="31" s="1"/>
  <c r="BU319" i="31" s="1"/>
  <c r="BU320" i="31" s="1"/>
  <c r="BU321" i="31" s="1"/>
  <c r="BU322" i="31" s="1"/>
  <c r="BU323" i="31" s="1"/>
  <c r="BU324" i="31" s="1"/>
  <c r="BU325" i="31" s="1"/>
  <c r="BU326" i="31" s="1"/>
  <c r="BU327" i="31" s="1"/>
  <c r="BU328" i="31" s="1"/>
  <c r="BU329" i="31" s="1"/>
  <c r="BU330" i="31" s="1"/>
  <c r="BU331" i="31" s="1"/>
  <c r="BU332" i="31" s="1"/>
  <c r="BU333" i="31" s="1"/>
  <c r="BU334" i="31" s="1"/>
  <c r="BU335" i="31" s="1"/>
  <c r="BU336" i="31" s="1"/>
  <c r="BU337" i="31" s="1"/>
  <c r="BU338" i="31" s="1"/>
  <c r="BU339" i="31" s="1"/>
  <c r="BU340" i="31" s="1"/>
  <c r="BU341" i="31" s="1"/>
  <c r="BU342" i="31" s="1"/>
  <c r="BU343" i="31" s="1"/>
  <c r="BU344" i="31" s="1"/>
  <c r="BU345" i="31" s="1"/>
  <c r="BU346" i="31" s="1"/>
  <c r="BU347" i="31" s="1"/>
  <c r="BU348" i="31" s="1"/>
  <c r="BU349" i="31" s="1"/>
  <c r="BU350" i="31" s="1"/>
  <c r="BU351" i="31" s="1"/>
  <c r="BU352" i="31" s="1"/>
  <c r="BU353" i="31" s="1"/>
  <c r="BU354" i="31" s="1"/>
  <c r="BU355" i="31" s="1"/>
  <c r="BU356" i="31" s="1"/>
  <c r="BU357" i="31" s="1"/>
  <c r="BU358" i="31" s="1"/>
  <c r="BU359" i="31" s="1"/>
  <c r="BU360" i="31" s="1"/>
  <c r="BU361" i="31" s="1"/>
  <c r="BU362" i="31" s="1"/>
  <c r="BU363" i="31" s="1"/>
  <c r="BU364" i="31" s="1"/>
  <c r="BU365" i="31" s="1"/>
  <c r="BU366" i="31" s="1"/>
  <c r="BU367" i="31" s="1"/>
  <c r="BU368" i="31" s="1"/>
  <c r="BU369" i="31" s="1"/>
  <c r="BU370" i="31" s="1"/>
  <c r="BU371" i="31" s="1"/>
  <c r="BU372" i="31" s="1"/>
  <c r="BU373" i="31" s="1"/>
  <c r="BU374" i="31" s="1"/>
  <c r="BU375" i="31" s="1"/>
  <c r="BU376" i="31" s="1"/>
  <c r="BU377" i="31" s="1"/>
  <c r="BU378" i="31" s="1"/>
  <c r="BU379" i="31" s="1"/>
  <c r="BU380" i="31" s="1"/>
  <c r="BU381" i="31" s="1"/>
  <c r="BU382" i="31" s="1"/>
  <c r="BU383" i="31" s="1"/>
  <c r="BU384" i="31" s="1"/>
  <c r="BU385" i="31" s="1"/>
  <c r="BU386" i="31" s="1"/>
  <c r="BU387" i="31" s="1"/>
  <c r="BU388" i="31" s="1"/>
  <c r="BU389" i="31" s="1"/>
  <c r="BU390" i="31" s="1"/>
  <c r="BU391" i="31" s="1"/>
  <c r="BU392" i="31" s="1"/>
  <c r="BU393" i="31" s="1"/>
  <c r="BU394" i="31" s="1"/>
  <c r="BU395" i="31" s="1"/>
  <c r="BU396" i="31" s="1"/>
  <c r="BU397" i="31" s="1"/>
  <c r="BU398" i="31" s="1"/>
  <c r="BU399" i="31" s="1"/>
  <c r="BU400" i="31" s="1"/>
  <c r="BU401" i="31" s="1"/>
  <c r="BU402" i="31" s="1"/>
  <c r="BU403" i="31" s="1"/>
  <c r="BU404" i="31" s="1"/>
  <c r="BU405" i="31" s="1"/>
  <c r="BU406" i="31" s="1"/>
  <c r="BU407" i="31" s="1"/>
  <c r="BU408" i="31" s="1"/>
  <c r="BU409" i="31" s="1"/>
  <c r="BU410" i="31" s="1"/>
  <c r="BU411" i="31" s="1"/>
  <c r="BU412" i="31" s="1"/>
  <c r="BU413" i="31" s="1"/>
  <c r="BU414" i="31" s="1"/>
  <c r="BU415" i="31" s="1"/>
  <c r="BU416" i="31" s="1"/>
  <c r="BU417" i="31" s="1"/>
  <c r="BU418" i="31" s="1"/>
  <c r="BU419" i="31" s="1"/>
  <c r="BU420" i="31" s="1"/>
  <c r="BU421" i="31" s="1"/>
  <c r="BU422" i="31" s="1"/>
  <c r="BU423" i="31" s="1"/>
  <c r="BU424" i="31" s="1"/>
  <c r="BU425" i="31" s="1"/>
  <c r="BU426" i="31" s="1"/>
  <c r="BU427" i="31" s="1"/>
  <c r="BU428" i="31" s="1"/>
  <c r="BU429" i="31" s="1"/>
  <c r="BU430" i="31" s="1"/>
  <c r="BU431" i="31" s="1"/>
  <c r="BU432" i="31" s="1"/>
  <c r="BU433" i="31" s="1"/>
  <c r="BU434" i="31" s="1"/>
  <c r="BU435" i="31" s="1"/>
  <c r="BU436" i="31" s="1"/>
  <c r="BU437" i="31" s="1"/>
  <c r="BU438" i="31" s="1"/>
  <c r="BU439" i="31" s="1"/>
  <c r="BU440" i="31" s="1"/>
  <c r="BU441" i="31" s="1"/>
  <c r="BU442" i="31" s="1"/>
  <c r="BU443" i="31" s="1"/>
  <c r="BU444" i="31" s="1"/>
  <c r="BU445" i="31" s="1"/>
  <c r="BU446" i="31" s="1"/>
  <c r="BU447" i="31" s="1"/>
  <c r="BU448" i="31" s="1"/>
  <c r="BU449" i="31" s="1"/>
  <c r="BU450" i="31" s="1"/>
  <c r="BU451" i="31" s="1"/>
  <c r="BU452" i="31" s="1"/>
  <c r="BU453" i="31" s="1"/>
  <c r="BU454" i="31" s="1"/>
  <c r="BU455" i="31" s="1"/>
  <c r="BU456" i="31" s="1"/>
  <c r="BU457" i="31" s="1"/>
  <c r="BU458" i="31" s="1"/>
  <c r="BU459" i="31" s="1"/>
  <c r="BU460" i="31" s="1"/>
  <c r="BU461" i="31" s="1"/>
  <c r="BU462" i="31" s="1"/>
  <c r="BU463" i="31" s="1"/>
  <c r="BU464" i="31" s="1"/>
  <c r="BU465" i="31" s="1"/>
  <c r="BU466" i="31" s="1"/>
  <c r="BU467" i="31" s="1"/>
  <c r="BU468" i="31" s="1"/>
  <c r="BU469" i="31" s="1"/>
  <c r="BU470" i="31" s="1"/>
  <c r="BU471" i="31" s="1"/>
  <c r="BU472" i="31" s="1"/>
  <c r="BU473" i="31" s="1"/>
  <c r="BU474" i="31" s="1"/>
  <c r="BU475" i="31" s="1"/>
  <c r="BU476" i="31" s="1"/>
  <c r="BU477" i="31" s="1"/>
  <c r="BU478" i="31" s="1"/>
  <c r="BU479" i="31" s="1"/>
  <c r="BU480" i="31" s="1"/>
  <c r="BU481" i="31" s="1"/>
  <c r="BU482" i="31" s="1"/>
  <c r="BU483" i="31" s="1"/>
  <c r="BU484" i="31" s="1"/>
  <c r="BU485" i="31" s="1"/>
  <c r="BU486" i="31" s="1"/>
  <c r="BU487" i="31" s="1"/>
  <c r="BU488" i="31" s="1"/>
  <c r="BU489" i="31" s="1"/>
  <c r="BU490" i="31" s="1"/>
  <c r="BU491" i="31" s="1"/>
  <c r="BU492" i="31" s="1"/>
  <c r="BU493" i="31" s="1"/>
  <c r="BU494" i="31" s="1"/>
  <c r="BU495" i="31" s="1"/>
  <c r="BU496" i="31" s="1"/>
  <c r="BU497" i="31" s="1"/>
  <c r="BU498" i="31" s="1"/>
  <c r="BU499" i="31" s="1"/>
  <c r="BU500" i="31" s="1"/>
  <c r="BU501" i="31" s="1"/>
  <c r="BU502" i="31" s="1"/>
  <c r="BU503" i="31" s="1"/>
  <c r="BU504" i="31" s="1"/>
  <c r="BU505" i="31" s="1"/>
  <c r="BU506" i="31" s="1"/>
  <c r="BU507" i="31" s="1"/>
  <c r="BU508" i="31" s="1"/>
  <c r="BU509" i="31" s="1"/>
  <c r="BU510" i="31" s="1"/>
  <c r="BU511" i="31" s="1"/>
  <c r="BU512" i="31" s="1"/>
  <c r="BU513" i="31" s="1"/>
  <c r="BU514" i="31" s="1"/>
  <c r="BU515" i="31" s="1"/>
  <c r="BU516" i="31" s="1"/>
  <c r="BU517" i="31" s="1"/>
  <c r="BU518" i="31" s="1"/>
  <c r="BU519" i="31" s="1"/>
  <c r="BU520" i="31" s="1"/>
  <c r="BU521" i="31" s="1"/>
  <c r="BU522" i="31" s="1"/>
  <c r="BU523" i="31" s="1"/>
  <c r="BU524" i="31" s="1"/>
  <c r="BU525" i="31" s="1"/>
  <c r="BU526" i="31" s="1"/>
  <c r="BU527" i="31" s="1"/>
  <c r="BU528" i="31" s="1"/>
  <c r="BU529" i="31" s="1"/>
  <c r="BU530" i="31" s="1"/>
  <c r="BU531" i="31" s="1"/>
  <c r="BU532" i="31" s="1"/>
  <c r="BU533" i="31" s="1"/>
  <c r="BU534" i="31" s="1"/>
  <c r="BU535" i="31" s="1"/>
  <c r="BU536" i="31" s="1"/>
  <c r="BU537" i="31" s="1"/>
  <c r="BU538" i="31" s="1"/>
  <c r="BU539" i="31" s="1"/>
  <c r="BU540" i="31" s="1"/>
  <c r="BU541" i="31" s="1"/>
  <c r="BU542" i="31" s="1"/>
  <c r="BU543" i="31" s="1"/>
  <c r="BU544" i="31" s="1"/>
  <c r="BU545" i="31" s="1"/>
  <c r="BU546" i="31" s="1"/>
  <c r="BU547" i="31" s="1"/>
  <c r="BU548" i="31" s="1"/>
  <c r="BU549" i="31" s="1"/>
  <c r="BU550" i="31" s="1"/>
  <c r="BU551" i="31" s="1"/>
  <c r="BU552" i="31" s="1"/>
  <c r="BU553" i="31" s="1"/>
  <c r="BU554" i="31" s="1"/>
  <c r="BU555" i="31" s="1"/>
  <c r="BU556" i="31" s="1"/>
  <c r="BU557" i="31" s="1"/>
  <c r="BU558" i="31" s="1"/>
  <c r="BU559" i="31" s="1"/>
  <c r="BU560" i="31" s="1"/>
  <c r="BU561" i="31" s="1"/>
  <c r="BU562" i="31" s="1"/>
  <c r="BU563" i="31" s="1"/>
  <c r="BU564" i="31" s="1"/>
  <c r="BU565" i="31" s="1"/>
  <c r="BU566" i="31" s="1"/>
  <c r="BU567" i="31" s="1"/>
  <c r="BU568" i="31" s="1"/>
  <c r="BU569" i="31" s="1"/>
  <c r="BU570" i="31" s="1"/>
  <c r="BU571" i="31" s="1"/>
  <c r="BU572" i="31" s="1"/>
  <c r="BU573" i="31" s="1"/>
  <c r="BU574" i="31" s="1"/>
  <c r="BU575" i="31" s="1"/>
  <c r="BU576" i="31" s="1"/>
  <c r="BU577" i="31" s="1"/>
  <c r="BU578" i="31" s="1"/>
  <c r="BU579" i="31" s="1"/>
  <c r="BU580" i="31" s="1"/>
  <c r="BU581" i="31" s="1"/>
  <c r="BU582" i="31" s="1"/>
  <c r="BU583" i="31" s="1"/>
  <c r="BU584" i="31" s="1"/>
  <c r="BU585" i="31" s="1"/>
  <c r="BU586" i="31" s="1"/>
  <c r="BU587" i="31" s="1"/>
  <c r="BU588" i="31" s="1"/>
  <c r="BU589" i="31" s="1"/>
  <c r="BU590" i="31" s="1"/>
  <c r="BU591" i="31" s="1"/>
  <c r="BU592" i="31" s="1"/>
  <c r="BU593" i="31" s="1"/>
  <c r="BU594" i="31" s="1"/>
  <c r="BU595" i="31" s="1"/>
  <c r="BU596" i="31" s="1"/>
  <c r="BU597" i="31" s="1"/>
  <c r="BU598" i="31" s="1"/>
  <c r="BU599" i="31" s="1"/>
  <c r="BU600" i="31" s="1"/>
  <c r="BU601" i="31" s="1"/>
  <c r="BU602" i="31" s="1"/>
  <c r="BU603" i="31" s="1"/>
  <c r="BU604" i="31" s="1"/>
  <c r="BU605" i="31" s="1"/>
  <c r="BU606" i="31" s="1"/>
  <c r="BU607" i="31" s="1"/>
  <c r="BU608" i="31" s="1"/>
  <c r="BU609" i="31" s="1"/>
  <c r="BU610" i="31" s="1"/>
  <c r="BU611" i="31" s="1"/>
  <c r="BU612" i="31" s="1"/>
  <c r="BU613" i="31" s="1"/>
  <c r="BU614" i="31" s="1"/>
  <c r="BU615" i="31" s="1"/>
  <c r="BU616" i="31" s="1"/>
  <c r="BU617" i="31" s="1"/>
  <c r="BU618" i="31" s="1"/>
  <c r="BU619" i="31" s="1"/>
  <c r="BU620" i="31" s="1"/>
  <c r="BU621" i="31" s="1"/>
  <c r="BU622" i="31" s="1"/>
  <c r="BU623" i="31" s="1"/>
  <c r="BN26" i="31"/>
  <c r="BO52" i="31" s="1"/>
  <c r="BN24" i="31"/>
  <c r="BO50" i="31" s="1"/>
  <c r="BN20" i="31"/>
  <c r="BO46" i="31" s="1"/>
  <c r="BN16" i="31"/>
  <c r="BO42" i="31" s="1"/>
  <c r="BN12" i="31"/>
  <c r="BO38" i="31" s="1"/>
  <c r="BN8" i="31"/>
  <c r="BO34" i="31" s="1"/>
  <c r="BN4" i="31"/>
  <c r="BO30" i="31" s="1"/>
  <c r="BN27" i="31"/>
  <c r="BO53" i="31" s="1"/>
  <c r="BN25" i="31"/>
  <c r="BO51" i="31" s="1"/>
  <c r="BN23" i="31"/>
  <c r="BO49" i="31" s="1"/>
  <c r="BN21" i="31"/>
  <c r="BO47" i="31" s="1"/>
  <c r="BN19" i="31"/>
  <c r="BO45" i="31" s="1"/>
  <c r="BN17" i="31"/>
  <c r="BO43" i="31" s="1"/>
  <c r="BN15" i="31"/>
  <c r="BO41" i="31" s="1"/>
  <c r="BN13" i="31"/>
  <c r="BO39" i="31" s="1"/>
  <c r="BN11" i="31"/>
  <c r="BO37" i="31" s="1"/>
  <c r="BN9" i="31"/>
  <c r="BN7" i="31"/>
  <c r="BO33" i="31" s="1"/>
  <c r="BN5" i="31"/>
  <c r="BO31" i="31" s="1"/>
  <c r="BN3" i="31"/>
  <c r="BO29" i="31" s="1"/>
  <c r="BN28" i="31"/>
  <c r="BO54" i="31" s="1"/>
  <c r="BN22" i="31"/>
  <c r="BO48" i="31" s="1"/>
  <c r="BN18" i="31"/>
  <c r="BO44" i="31" s="1"/>
  <c r="BN14" i="31"/>
  <c r="BO40" i="31" s="1"/>
  <c r="BN10" i="31"/>
  <c r="BO36" i="31" s="1"/>
  <c r="BN6" i="31"/>
  <c r="BO32" i="31" s="1"/>
  <c r="BO27" i="31"/>
  <c r="BN53" i="31" s="1"/>
  <c r="BO25" i="31"/>
  <c r="BN51" i="31" s="1"/>
  <c r="BO23" i="31"/>
  <c r="BN49" i="31" s="1"/>
  <c r="BO21" i="31"/>
  <c r="BN47" i="31" s="1"/>
  <c r="BO19" i="31"/>
  <c r="BN45" i="31" s="1"/>
  <c r="BO17" i="31"/>
  <c r="BN43" i="31" s="1"/>
  <c r="BO15" i="31"/>
  <c r="BN41" i="31" s="1"/>
  <c r="BO13" i="31"/>
  <c r="BN39" i="31" s="1"/>
  <c r="BO11" i="31"/>
  <c r="BN37" i="31" s="1"/>
  <c r="BO9" i="31"/>
  <c r="BN35" i="31" s="1"/>
  <c r="BO7" i="31"/>
  <c r="BO5" i="31"/>
  <c r="BN31" i="31" s="1"/>
  <c r="BO3" i="31"/>
  <c r="BN29" i="31" s="1"/>
  <c r="BO26" i="31"/>
  <c r="BN52" i="31" s="1"/>
  <c r="BO24" i="31"/>
  <c r="BN50" i="31" s="1"/>
  <c r="BO20" i="31"/>
  <c r="BN46" i="31" s="1"/>
  <c r="BO16" i="31"/>
  <c r="BO14" i="31"/>
  <c r="BN40" i="31" s="1"/>
  <c r="BO10" i="31"/>
  <c r="BN36" i="31" s="1"/>
  <c r="BO6" i="31"/>
  <c r="BN32" i="31" s="1"/>
  <c r="BO28" i="31"/>
  <c r="BN54" i="31" s="1"/>
  <c r="BO22" i="31"/>
  <c r="BN48" i="31" s="1"/>
  <c r="BO18" i="31"/>
  <c r="BN44" i="31" s="1"/>
  <c r="BO12" i="31"/>
  <c r="BN38" i="31" s="1"/>
  <c r="BO8" i="31"/>
  <c r="BN34" i="31" s="1"/>
  <c r="BO4" i="31"/>
  <c r="BN30" i="31" s="1"/>
  <c r="BX12" i="31"/>
  <c r="BY12" i="31" s="1"/>
  <c r="BX14" i="31"/>
  <c r="BY14" i="31" s="1"/>
  <c r="BX16" i="31"/>
  <c r="BY16" i="31" s="1"/>
  <c r="BX18" i="31"/>
  <c r="BY18" i="31" s="1"/>
  <c r="A47" i="1"/>
  <c r="K46" i="1"/>
  <c r="L46" i="1"/>
  <c r="A10" i="1"/>
  <c r="H9" i="1"/>
  <c r="I9" i="1"/>
  <c r="H138" i="31"/>
  <c r="G137" i="31"/>
  <c r="F137" i="31"/>
  <c r="I111" i="31"/>
  <c r="I57" i="31"/>
  <c r="T137" i="31"/>
  <c r="S137" i="31"/>
  <c r="R137" i="31"/>
  <c r="U111" i="31"/>
  <c r="U57" i="31"/>
  <c r="P138" i="31"/>
  <c r="O138" i="31"/>
  <c r="N138" i="31"/>
  <c r="Q58" i="31"/>
  <c r="Q112" i="31"/>
  <c r="D141" i="31"/>
  <c r="C141" i="31"/>
  <c r="B141" i="31"/>
  <c r="E115" i="31"/>
  <c r="E61" i="31"/>
  <c r="H142" i="31"/>
  <c r="G141" i="31"/>
  <c r="F141" i="31"/>
  <c r="I115" i="31"/>
  <c r="I61" i="31"/>
  <c r="L141" i="31"/>
  <c r="K141" i="31"/>
  <c r="J141" i="31"/>
  <c r="M115" i="31"/>
  <c r="M61" i="31"/>
  <c r="P141" i="31"/>
  <c r="O141" i="31"/>
  <c r="N141" i="31"/>
  <c r="Q115" i="31"/>
  <c r="Q61" i="31"/>
  <c r="T141" i="31"/>
  <c r="S141" i="31"/>
  <c r="R141" i="31"/>
  <c r="U115" i="31"/>
  <c r="U61" i="31"/>
  <c r="X141" i="31"/>
  <c r="W141" i="31"/>
  <c r="V141" i="31"/>
  <c r="Y115" i="31"/>
  <c r="Y61" i="31"/>
  <c r="E137" i="31"/>
  <c r="C83" i="31"/>
  <c r="D111" i="31"/>
  <c r="B83" i="31"/>
  <c r="D57" i="31"/>
  <c r="I137" i="31"/>
  <c r="F83" i="31"/>
  <c r="H112" i="31"/>
  <c r="G83" i="31"/>
  <c r="H57" i="31"/>
  <c r="M137" i="31"/>
  <c r="K83" i="31"/>
  <c r="J83" i="31"/>
  <c r="L111" i="31"/>
  <c r="L57" i="31"/>
  <c r="Q137" i="31"/>
  <c r="P111" i="31"/>
  <c r="O83" i="31"/>
  <c r="N83" i="31"/>
  <c r="P57" i="31"/>
  <c r="U137" i="31"/>
  <c r="S83" i="31"/>
  <c r="T111" i="31"/>
  <c r="R83" i="31"/>
  <c r="T57" i="31"/>
  <c r="Y137" i="31"/>
  <c r="V83" i="31"/>
  <c r="X111" i="31"/>
  <c r="W83" i="31"/>
  <c r="X57" i="31"/>
  <c r="B84" i="31"/>
  <c r="E138" i="31"/>
  <c r="D112" i="31"/>
  <c r="C84" i="31"/>
  <c r="D58" i="31"/>
  <c r="F84" i="31"/>
  <c r="I138" i="31"/>
  <c r="H113" i="31"/>
  <c r="G84" i="31"/>
  <c r="H58" i="31"/>
  <c r="J84" i="31"/>
  <c r="M138" i="31"/>
  <c r="L112" i="31"/>
  <c r="K84" i="31"/>
  <c r="L58" i="31"/>
  <c r="N84" i="31"/>
  <c r="Q138" i="31"/>
  <c r="P112" i="31"/>
  <c r="O84" i="31"/>
  <c r="P58" i="31"/>
  <c r="R84" i="31"/>
  <c r="U138" i="31"/>
  <c r="T112" i="31"/>
  <c r="S84" i="31"/>
  <c r="T58" i="31"/>
  <c r="V84" i="31"/>
  <c r="Y138" i="31"/>
  <c r="X112" i="31"/>
  <c r="W84" i="31"/>
  <c r="X58" i="31"/>
  <c r="D85" i="31"/>
  <c r="C59" i="31"/>
  <c r="E85" i="31"/>
  <c r="C113" i="31"/>
  <c r="B31" i="31"/>
  <c r="H85" i="31"/>
  <c r="I85" i="31"/>
  <c r="G59" i="31"/>
  <c r="G113" i="31"/>
  <c r="F31" i="31"/>
  <c r="L85" i="31"/>
  <c r="K59" i="31"/>
  <c r="M85" i="31"/>
  <c r="K113" i="31"/>
  <c r="J31" i="31"/>
  <c r="P85" i="31"/>
  <c r="Q85" i="31"/>
  <c r="O59" i="31"/>
  <c r="O113" i="31"/>
  <c r="N31" i="31"/>
  <c r="T85" i="31"/>
  <c r="S59" i="31"/>
  <c r="U85" i="31"/>
  <c r="S113" i="31"/>
  <c r="R31" i="31"/>
  <c r="X85" i="31"/>
  <c r="Y85" i="31"/>
  <c r="W59" i="31"/>
  <c r="W113" i="31"/>
  <c r="V31" i="31"/>
  <c r="B60" i="31"/>
  <c r="B114" i="31" s="1"/>
  <c r="C32" i="31"/>
  <c r="E32" i="31"/>
  <c r="D32" i="31"/>
  <c r="F60" i="31"/>
  <c r="F114" i="31" s="1"/>
  <c r="G32" i="31"/>
  <c r="I32" i="31"/>
  <c r="H32" i="31"/>
  <c r="J60" i="31"/>
  <c r="J114" i="31" s="1"/>
  <c r="K32" i="31"/>
  <c r="M32" i="31"/>
  <c r="L32" i="31"/>
  <c r="N60" i="31"/>
  <c r="N114" i="31" s="1"/>
  <c r="O32" i="31"/>
  <c r="Q32" i="31"/>
  <c r="P32" i="31"/>
  <c r="R60" i="31"/>
  <c r="R114" i="31" s="1"/>
  <c r="S32" i="31"/>
  <c r="U32" i="31"/>
  <c r="T32" i="31"/>
  <c r="V60" i="31"/>
  <c r="V114" i="31" s="1"/>
  <c r="W32" i="31"/>
  <c r="Y32" i="31"/>
  <c r="X32" i="31"/>
  <c r="B61" i="31"/>
  <c r="B115" i="31" s="1"/>
  <c r="D33" i="31"/>
  <c r="C33" i="31"/>
  <c r="E33" i="31"/>
  <c r="F61" i="31"/>
  <c r="F115" i="31" s="1"/>
  <c r="H33" i="31"/>
  <c r="G33" i="31"/>
  <c r="I33" i="31"/>
  <c r="J61" i="31"/>
  <c r="J115" i="31" s="1"/>
  <c r="L33" i="31"/>
  <c r="K33" i="31"/>
  <c r="M33" i="31"/>
  <c r="N61" i="31"/>
  <c r="N115" i="31" s="1"/>
  <c r="P33" i="31"/>
  <c r="O33" i="31"/>
  <c r="Q33" i="31"/>
  <c r="R61" i="31"/>
  <c r="R115" i="31" s="1"/>
  <c r="T33" i="31"/>
  <c r="S33" i="31"/>
  <c r="U33" i="31"/>
  <c r="V61" i="31"/>
  <c r="V115" i="31" s="1"/>
  <c r="X33" i="31"/>
  <c r="W33" i="31"/>
  <c r="Y33" i="31"/>
  <c r="B62" i="31"/>
  <c r="B116" i="31" s="1"/>
  <c r="E34" i="31"/>
  <c r="D34" i="31"/>
  <c r="C34" i="31"/>
  <c r="F62" i="31"/>
  <c r="F116" i="31" s="1"/>
  <c r="I34" i="31"/>
  <c r="H34" i="31"/>
  <c r="G34" i="31"/>
  <c r="J62" i="31"/>
  <c r="J116" i="31" s="1"/>
  <c r="M34" i="31"/>
  <c r="L34" i="31"/>
  <c r="K34" i="31"/>
  <c r="N62" i="31"/>
  <c r="N116" i="31" s="1"/>
  <c r="Q34" i="31"/>
  <c r="P34" i="31"/>
  <c r="O34" i="31"/>
  <c r="R62" i="31"/>
  <c r="R116" i="31" s="1"/>
  <c r="U34" i="31"/>
  <c r="T34" i="31"/>
  <c r="S34" i="31"/>
  <c r="V62" i="31"/>
  <c r="V116" i="31" s="1"/>
  <c r="Y34" i="31"/>
  <c r="X34" i="31"/>
  <c r="W34" i="31"/>
  <c r="D89" i="31"/>
  <c r="E89" i="31"/>
  <c r="C63" i="31"/>
  <c r="C117" i="31"/>
  <c r="B35" i="31"/>
  <c r="H89" i="31"/>
  <c r="G63" i="31"/>
  <c r="G117" i="31"/>
  <c r="I89" i="31"/>
  <c r="F35" i="31"/>
  <c r="L89" i="31"/>
  <c r="M89" i="31"/>
  <c r="K63" i="31"/>
  <c r="K117" i="31"/>
  <c r="J35" i="31"/>
  <c r="BO35" i="31"/>
  <c r="D146" i="31"/>
  <c r="C146" i="31"/>
  <c r="B146" i="31"/>
  <c r="E120" i="31"/>
  <c r="E66" i="31"/>
  <c r="H147" i="31"/>
  <c r="G146" i="31"/>
  <c r="F146" i="31"/>
  <c r="I120" i="31"/>
  <c r="I66" i="31"/>
  <c r="L146" i="31"/>
  <c r="K146" i="31"/>
  <c r="J146" i="31"/>
  <c r="M120" i="31"/>
  <c r="M66" i="31"/>
  <c r="P146" i="31"/>
  <c r="O146" i="31"/>
  <c r="N146" i="31"/>
  <c r="Q120" i="31"/>
  <c r="Q66" i="31"/>
  <c r="T146" i="31"/>
  <c r="S146" i="31"/>
  <c r="R146" i="31"/>
  <c r="U120" i="31"/>
  <c r="U66" i="31"/>
  <c r="X146" i="31"/>
  <c r="W146" i="31"/>
  <c r="V146" i="31"/>
  <c r="Y120" i="31"/>
  <c r="Y66" i="31"/>
  <c r="B149" i="31"/>
  <c r="D149" i="31"/>
  <c r="C149" i="31"/>
  <c r="E69" i="31"/>
  <c r="E123" i="31"/>
  <c r="F149" i="31"/>
  <c r="H150" i="31"/>
  <c r="G149" i="31"/>
  <c r="I123" i="31"/>
  <c r="I69" i="31"/>
  <c r="J149" i="31"/>
  <c r="L149" i="31"/>
  <c r="K149" i="31"/>
  <c r="M123" i="31"/>
  <c r="M69" i="31"/>
  <c r="N149" i="31"/>
  <c r="P149" i="31"/>
  <c r="O149" i="31"/>
  <c r="Q123" i="31"/>
  <c r="Q69" i="31"/>
  <c r="R149" i="31"/>
  <c r="T149" i="31"/>
  <c r="S149" i="31"/>
  <c r="U69" i="31"/>
  <c r="U123" i="31"/>
  <c r="V149" i="31"/>
  <c r="X149" i="31"/>
  <c r="W149" i="31"/>
  <c r="Y123" i="31"/>
  <c r="Y69" i="31"/>
  <c r="C124" i="31"/>
  <c r="E96" i="31"/>
  <c r="D96" i="31"/>
  <c r="C70" i="31"/>
  <c r="B42" i="31"/>
  <c r="G124" i="31"/>
  <c r="H96" i="31"/>
  <c r="G70" i="31"/>
  <c r="I96" i="31"/>
  <c r="F42" i="31"/>
  <c r="K124" i="31"/>
  <c r="M96" i="31"/>
  <c r="L96" i="31"/>
  <c r="K70" i="31"/>
  <c r="J42" i="31"/>
  <c r="O124" i="31"/>
  <c r="P96" i="31"/>
  <c r="O70" i="31"/>
  <c r="Q96" i="31"/>
  <c r="N42" i="31"/>
  <c r="S124" i="31"/>
  <c r="U96" i="31"/>
  <c r="T96" i="31"/>
  <c r="S70" i="31"/>
  <c r="R42" i="31"/>
  <c r="W124" i="31"/>
  <c r="X96" i="31"/>
  <c r="W70" i="31"/>
  <c r="Y96" i="31"/>
  <c r="V42" i="31"/>
  <c r="H114" i="31"/>
  <c r="G85" i="31"/>
  <c r="I139" i="31"/>
  <c r="F85" i="31"/>
  <c r="H59" i="31"/>
  <c r="P113" i="31"/>
  <c r="O85" i="31"/>
  <c r="Q139" i="31"/>
  <c r="N85" i="31"/>
  <c r="P59" i="31"/>
  <c r="X113" i="31"/>
  <c r="W85" i="31"/>
  <c r="Y139" i="31"/>
  <c r="V85" i="31"/>
  <c r="X59" i="31"/>
  <c r="D86" i="31"/>
  <c r="E86" i="31"/>
  <c r="C114" i="31"/>
  <c r="C60" i="31"/>
  <c r="B32" i="31"/>
  <c r="H86" i="31"/>
  <c r="I86" i="31"/>
  <c r="G114" i="31"/>
  <c r="G60" i="31"/>
  <c r="F32" i="31"/>
  <c r="L86" i="31"/>
  <c r="M86" i="31"/>
  <c r="K114" i="31"/>
  <c r="K60" i="31"/>
  <c r="J32" i="31"/>
  <c r="P86" i="31"/>
  <c r="Q86" i="31"/>
  <c r="O114" i="31"/>
  <c r="O60" i="31"/>
  <c r="N32" i="31"/>
  <c r="T86" i="31"/>
  <c r="U86" i="31"/>
  <c r="S114" i="31"/>
  <c r="S60" i="31"/>
  <c r="R32" i="31"/>
  <c r="X86" i="31"/>
  <c r="Y86" i="31"/>
  <c r="W114" i="31"/>
  <c r="W60" i="31"/>
  <c r="V32" i="31"/>
  <c r="E87" i="31"/>
  <c r="C115" i="31"/>
  <c r="D87" i="31"/>
  <c r="C61" i="31"/>
  <c r="B33" i="31"/>
  <c r="Q87" i="31"/>
  <c r="O115" i="31"/>
  <c r="O61" i="31"/>
  <c r="P87" i="31"/>
  <c r="N33" i="31"/>
  <c r="C116" i="31"/>
  <c r="E88" i="31"/>
  <c r="D88" i="31"/>
  <c r="C62" i="31"/>
  <c r="B34" i="31"/>
  <c r="G116" i="31"/>
  <c r="H88" i="31"/>
  <c r="G62" i="31"/>
  <c r="I88" i="31"/>
  <c r="F34" i="31"/>
  <c r="K116" i="31"/>
  <c r="M88" i="31"/>
  <c r="L88" i="31"/>
  <c r="K62" i="31"/>
  <c r="J34" i="31"/>
  <c r="O116" i="31"/>
  <c r="P88" i="31"/>
  <c r="O62" i="31"/>
  <c r="Q88" i="31"/>
  <c r="N34" i="31"/>
  <c r="S116" i="31"/>
  <c r="U88" i="31"/>
  <c r="T88" i="31"/>
  <c r="S62" i="31"/>
  <c r="R34" i="31"/>
  <c r="W116" i="31"/>
  <c r="X88" i="31"/>
  <c r="W62" i="31"/>
  <c r="Y88" i="31"/>
  <c r="V34" i="31"/>
  <c r="D117" i="31"/>
  <c r="C89" i="31"/>
  <c r="E143" i="31"/>
  <c r="B89" i="31"/>
  <c r="D63" i="31"/>
  <c r="H118" i="31"/>
  <c r="G89" i="31"/>
  <c r="I143" i="31"/>
  <c r="F89" i="31"/>
  <c r="H63" i="31"/>
  <c r="L117" i="31"/>
  <c r="K89" i="31"/>
  <c r="M143" i="31"/>
  <c r="J89" i="31"/>
  <c r="L63" i="31"/>
  <c r="P117" i="31"/>
  <c r="O89" i="31"/>
  <c r="Q143" i="31"/>
  <c r="N89" i="31"/>
  <c r="P63" i="31"/>
  <c r="T117" i="31"/>
  <c r="S89" i="31"/>
  <c r="U143" i="31"/>
  <c r="R89" i="31"/>
  <c r="T63" i="31"/>
  <c r="X117" i="31"/>
  <c r="W89" i="31"/>
  <c r="Y143" i="31"/>
  <c r="V89" i="31"/>
  <c r="X63" i="31"/>
  <c r="D90" i="31"/>
  <c r="C118" i="31"/>
  <c r="E90" i="31"/>
  <c r="C64" i="31"/>
  <c r="B36" i="31"/>
  <c r="H90" i="31"/>
  <c r="G118" i="31"/>
  <c r="I90" i="31"/>
  <c r="G64" i="31"/>
  <c r="F36" i="31"/>
  <c r="L90" i="31"/>
  <c r="K118" i="31"/>
  <c r="M90" i="31"/>
  <c r="K64" i="31"/>
  <c r="J36" i="31"/>
  <c r="P90" i="31"/>
  <c r="O118" i="31"/>
  <c r="Q90" i="31"/>
  <c r="O64" i="31"/>
  <c r="N36" i="31"/>
  <c r="T90" i="31"/>
  <c r="S118" i="31"/>
  <c r="U90" i="31"/>
  <c r="S64" i="31"/>
  <c r="R36" i="31"/>
  <c r="X90" i="31"/>
  <c r="W118" i="31"/>
  <c r="Y90" i="31"/>
  <c r="W64" i="31"/>
  <c r="V36" i="31"/>
  <c r="E145" i="31"/>
  <c r="D119" i="31"/>
  <c r="B91" i="31"/>
  <c r="C91" i="31"/>
  <c r="D65" i="31"/>
  <c r="I145" i="31"/>
  <c r="H120" i="31"/>
  <c r="F91" i="31"/>
  <c r="G91" i="31"/>
  <c r="H65" i="31"/>
  <c r="M145" i="31"/>
  <c r="L119" i="31"/>
  <c r="J91" i="31"/>
  <c r="K91" i="31"/>
  <c r="L65" i="31"/>
  <c r="Q145" i="31"/>
  <c r="P119" i="31"/>
  <c r="N91" i="31"/>
  <c r="O91" i="31"/>
  <c r="P65" i="31"/>
  <c r="U145" i="31"/>
  <c r="T119" i="31"/>
  <c r="R91" i="31"/>
  <c r="S91" i="31"/>
  <c r="T65" i="31"/>
  <c r="Y145" i="31"/>
  <c r="X119" i="31"/>
  <c r="V91" i="31"/>
  <c r="W91" i="31"/>
  <c r="X65" i="31"/>
  <c r="D93" i="31"/>
  <c r="C67" i="31"/>
  <c r="E93" i="31"/>
  <c r="C121" i="31"/>
  <c r="B39" i="31"/>
  <c r="H93" i="31"/>
  <c r="I93" i="31"/>
  <c r="G67" i="31"/>
  <c r="G121" i="31"/>
  <c r="F39" i="31"/>
  <c r="L93" i="31"/>
  <c r="K67" i="31"/>
  <c r="K121" i="31"/>
  <c r="M93" i="31"/>
  <c r="J39" i="31"/>
  <c r="P93" i="31"/>
  <c r="O121" i="31"/>
  <c r="Q93" i="31"/>
  <c r="O67" i="31"/>
  <c r="N39" i="31"/>
  <c r="T93" i="31"/>
  <c r="S67" i="31"/>
  <c r="U93" i="31"/>
  <c r="S121" i="31"/>
  <c r="R39" i="31"/>
  <c r="X93" i="31"/>
  <c r="Y93" i="31"/>
  <c r="W67" i="31"/>
  <c r="W121" i="31"/>
  <c r="V39" i="31"/>
  <c r="D148" i="31"/>
  <c r="E122" i="31"/>
  <c r="C148" i="31"/>
  <c r="B148" i="31"/>
  <c r="E68" i="31"/>
  <c r="H149" i="31"/>
  <c r="I122" i="31"/>
  <c r="G148" i="31"/>
  <c r="F148" i="31"/>
  <c r="I68" i="31"/>
  <c r="L148" i="31"/>
  <c r="M122" i="31"/>
  <c r="K148" i="31"/>
  <c r="J148" i="31"/>
  <c r="M68" i="31"/>
  <c r="P148" i="31"/>
  <c r="Q122" i="31"/>
  <c r="O148" i="31"/>
  <c r="N148" i="31"/>
  <c r="Q68" i="31"/>
  <c r="T148" i="31"/>
  <c r="U122" i="31"/>
  <c r="S148" i="31"/>
  <c r="R148" i="31"/>
  <c r="U68" i="31"/>
  <c r="X148" i="31"/>
  <c r="Y122" i="31"/>
  <c r="W148" i="31"/>
  <c r="V148" i="31"/>
  <c r="Y68" i="31"/>
  <c r="BN42" i="31"/>
  <c r="B151" i="31"/>
  <c r="D151" i="31"/>
  <c r="C151" i="31"/>
  <c r="E125" i="31"/>
  <c r="E71" i="31"/>
  <c r="F151" i="31"/>
  <c r="H152" i="31"/>
  <c r="G151" i="31"/>
  <c r="I125" i="31"/>
  <c r="I71" i="31"/>
  <c r="J151" i="31"/>
  <c r="L151" i="31"/>
  <c r="K151" i="31"/>
  <c r="M125" i="31"/>
  <c r="M71" i="31"/>
  <c r="N151" i="31"/>
  <c r="P151" i="31"/>
  <c r="O151" i="31"/>
  <c r="Q125" i="31"/>
  <c r="Q71" i="31"/>
  <c r="R151" i="31"/>
  <c r="T151" i="31"/>
  <c r="S151" i="31"/>
  <c r="U125" i="31"/>
  <c r="U71" i="31"/>
  <c r="V151" i="31"/>
  <c r="X151" i="31"/>
  <c r="W151" i="31"/>
  <c r="Y125" i="31"/>
  <c r="Y71" i="31"/>
  <c r="C126" i="31"/>
  <c r="D98" i="31"/>
  <c r="E98" i="31"/>
  <c r="C72" i="31"/>
  <c r="B44" i="31"/>
  <c r="G126" i="31"/>
  <c r="H98" i="31"/>
  <c r="I98" i="31"/>
  <c r="G72" i="31"/>
  <c r="F44" i="31"/>
  <c r="K126" i="31"/>
  <c r="L98" i="31"/>
  <c r="M98" i="31"/>
  <c r="K72" i="31"/>
  <c r="J44" i="31"/>
  <c r="O126" i="31"/>
  <c r="P98" i="31"/>
  <c r="Q98" i="31"/>
  <c r="O72" i="31"/>
  <c r="N44" i="31"/>
  <c r="S126" i="31"/>
  <c r="T98" i="31"/>
  <c r="U98" i="31"/>
  <c r="S72" i="31"/>
  <c r="R44" i="31"/>
  <c r="W126" i="31"/>
  <c r="X98" i="31"/>
  <c r="Y98" i="31"/>
  <c r="W72" i="31"/>
  <c r="V44" i="31"/>
  <c r="L137" i="31"/>
  <c r="K137" i="31"/>
  <c r="J137" i="31"/>
  <c r="M111" i="31"/>
  <c r="M57" i="31"/>
  <c r="X137" i="31"/>
  <c r="W137" i="31"/>
  <c r="V137" i="31"/>
  <c r="Y111" i="31"/>
  <c r="Y57" i="31"/>
  <c r="D138" i="31"/>
  <c r="C138" i="31"/>
  <c r="B138" i="31"/>
  <c r="E112" i="31"/>
  <c r="E58" i="31"/>
  <c r="L138" i="31"/>
  <c r="K138" i="31"/>
  <c r="J138" i="31"/>
  <c r="M112" i="31"/>
  <c r="M58" i="31"/>
  <c r="T138" i="31"/>
  <c r="S138" i="31"/>
  <c r="R138" i="31"/>
  <c r="U112" i="31"/>
  <c r="U58" i="31"/>
  <c r="X138" i="31"/>
  <c r="W138" i="31"/>
  <c r="V138" i="31"/>
  <c r="Y58" i="31"/>
  <c r="Y112" i="31"/>
  <c r="D113" i="31"/>
  <c r="C85" i="31"/>
  <c r="E139" i="31"/>
  <c r="B85" i="31"/>
  <c r="D59" i="31"/>
  <c r="L113" i="31"/>
  <c r="K85" i="31"/>
  <c r="M139" i="31"/>
  <c r="J85" i="31"/>
  <c r="L59" i="31"/>
  <c r="T113" i="31"/>
  <c r="S85" i="31"/>
  <c r="U139" i="31"/>
  <c r="R85" i="31"/>
  <c r="T59" i="31"/>
  <c r="I87" i="31"/>
  <c r="G115" i="31"/>
  <c r="G61" i="31"/>
  <c r="H87" i="31"/>
  <c r="F33" i="31"/>
  <c r="M87" i="31"/>
  <c r="K115" i="31"/>
  <c r="L87" i="31"/>
  <c r="K61" i="31"/>
  <c r="J33" i="31"/>
  <c r="U87" i="31"/>
  <c r="S115" i="31"/>
  <c r="T87" i="31"/>
  <c r="S61" i="31"/>
  <c r="R33" i="31"/>
  <c r="Y87" i="31"/>
  <c r="W115" i="31"/>
  <c r="W61" i="31"/>
  <c r="X87" i="31"/>
  <c r="V33" i="31"/>
  <c r="BN33" i="31"/>
  <c r="B57" i="31"/>
  <c r="B111" i="31" s="1"/>
  <c r="D29" i="31"/>
  <c r="C29" i="31"/>
  <c r="E29" i="31"/>
  <c r="F57" i="31"/>
  <c r="F111" i="31" s="1"/>
  <c r="H29" i="31"/>
  <c r="G29" i="31"/>
  <c r="I29" i="31"/>
  <c r="J57" i="31"/>
  <c r="J111" i="31" s="1"/>
  <c r="L29" i="31"/>
  <c r="K29" i="31"/>
  <c r="M29" i="31"/>
  <c r="N57" i="31"/>
  <c r="N111" i="31" s="1"/>
  <c r="P29" i="31"/>
  <c r="O29" i="31"/>
  <c r="Q29" i="31"/>
  <c r="R57" i="31"/>
  <c r="R111" i="31" s="1"/>
  <c r="T29" i="31"/>
  <c r="S29" i="31"/>
  <c r="U29" i="31"/>
  <c r="V57" i="31"/>
  <c r="V111" i="31" s="1"/>
  <c r="X29" i="31"/>
  <c r="W29" i="31"/>
  <c r="Y29" i="31"/>
  <c r="B58" i="31"/>
  <c r="B112" i="31" s="1"/>
  <c r="E30" i="31"/>
  <c r="D30" i="31"/>
  <c r="C30" i="31"/>
  <c r="F58" i="31"/>
  <c r="F112" i="31" s="1"/>
  <c r="I30" i="31"/>
  <c r="H30" i="31"/>
  <c r="G30" i="31"/>
  <c r="J58" i="31"/>
  <c r="J112" i="31" s="1"/>
  <c r="M30" i="31"/>
  <c r="L30" i="31"/>
  <c r="K30" i="31"/>
  <c r="N58" i="31"/>
  <c r="N112" i="31" s="1"/>
  <c r="Q30" i="31"/>
  <c r="P30" i="31"/>
  <c r="O30" i="31"/>
  <c r="R58" i="31"/>
  <c r="R112" i="31" s="1"/>
  <c r="U30" i="31"/>
  <c r="T30" i="31"/>
  <c r="S30" i="31"/>
  <c r="V58" i="31"/>
  <c r="V112" i="31" s="1"/>
  <c r="Y30" i="31"/>
  <c r="X30" i="31"/>
  <c r="W30" i="31"/>
  <c r="D139" i="31"/>
  <c r="C139" i="31"/>
  <c r="B139" i="31"/>
  <c r="E113" i="31"/>
  <c r="E59" i="31"/>
  <c r="H140" i="31"/>
  <c r="G139" i="31"/>
  <c r="F139" i="31"/>
  <c r="I113" i="31"/>
  <c r="I59" i="31"/>
  <c r="L139" i="31"/>
  <c r="K139" i="31"/>
  <c r="J139" i="31"/>
  <c r="M113" i="31"/>
  <c r="M59" i="31"/>
  <c r="P139" i="31"/>
  <c r="O139" i="31"/>
  <c r="N139" i="31"/>
  <c r="Q113" i="31"/>
  <c r="Q59" i="31"/>
  <c r="T139" i="31"/>
  <c r="S139" i="31"/>
  <c r="R139" i="31"/>
  <c r="U113" i="31"/>
  <c r="U59" i="31"/>
  <c r="X139" i="31"/>
  <c r="W139" i="31"/>
  <c r="V139" i="31"/>
  <c r="Y113" i="31"/>
  <c r="Y59" i="31"/>
  <c r="E140" i="31"/>
  <c r="C86" i="31"/>
  <c r="D114" i="31"/>
  <c r="B86" i="31"/>
  <c r="D60" i="31"/>
  <c r="I140" i="31"/>
  <c r="H60" i="31"/>
  <c r="G86" i="31"/>
  <c r="H115" i="31"/>
  <c r="F86" i="31"/>
  <c r="M140" i="31"/>
  <c r="K86" i="31"/>
  <c r="L114" i="31"/>
  <c r="J86" i="31"/>
  <c r="L60" i="31"/>
  <c r="Q140" i="31"/>
  <c r="P60" i="31"/>
  <c r="O86" i="31"/>
  <c r="P114" i="31"/>
  <c r="N86" i="31"/>
  <c r="U140" i="31"/>
  <c r="S86" i="31"/>
  <c r="T114" i="31"/>
  <c r="R86" i="31"/>
  <c r="T60" i="31"/>
  <c r="Y140" i="31"/>
  <c r="X60" i="31"/>
  <c r="W86" i="31"/>
  <c r="X114" i="31"/>
  <c r="V86" i="31"/>
  <c r="E141" i="31"/>
  <c r="B87" i="31"/>
  <c r="C87" i="31"/>
  <c r="D115" i="31"/>
  <c r="D61" i="31"/>
  <c r="I141" i="31"/>
  <c r="F87" i="31"/>
  <c r="H116" i="31"/>
  <c r="G87" i="31"/>
  <c r="H61" i="31"/>
  <c r="M141" i="31"/>
  <c r="J87" i="31"/>
  <c r="K87" i="31"/>
  <c r="L115" i="31"/>
  <c r="L61" i="31"/>
  <c r="Q141" i="31"/>
  <c r="N87" i="31"/>
  <c r="P115" i="31"/>
  <c r="O87" i="31"/>
  <c r="P61" i="31"/>
  <c r="U141" i="31"/>
  <c r="R87" i="31"/>
  <c r="S87" i="31"/>
  <c r="T115" i="31"/>
  <c r="T61" i="31"/>
  <c r="Y141" i="31"/>
  <c r="V87" i="31"/>
  <c r="X115" i="31"/>
  <c r="W87" i="31"/>
  <c r="X61" i="31"/>
  <c r="B88" i="31"/>
  <c r="E142" i="31"/>
  <c r="D116" i="31"/>
  <c r="C88" i="31"/>
  <c r="D62" i="31"/>
  <c r="F88" i="31"/>
  <c r="I142" i="31"/>
  <c r="H117" i="31"/>
  <c r="G88" i="31"/>
  <c r="H62" i="31"/>
  <c r="J88" i="31"/>
  <c r="M142" i="31"/>
  <c r="L116" i="31"/>
  <c r="K88" i="31"/>
  <c r="L62" i="31"/>
  <c r="N88" i="31"/>
  <c r="Q142" i="31"/>
  <c r="P116" i="31"/>
  <c r="O88" i="31"/>
  <c r="P62" i="31"/>
  <c r="R88" i="31"/>
  <c r="U142" i="31"/>
  <c r="T116" i="31"/>
  <c r="S88" i="31"/>
  <c r="T62" i="31"/>
  <c r="V88" i="31"/>
  <c r="Y142" i="31"/>
  <c r="X116" i="31"/>
  <c r="W88" i="31"/>
  <c r="X62" i="31"/>
  <c r="D143" i="31"/>
  <c r="C143" i="31"/>
  <c r="B143" i="31"/>
  <c r="E117" i="31"/>
  <c r="E63" i="31"/>
  <c r="H144" i="31"/>
  <c r="G143" i="31"/>
  <c r="F143" i="31"/>
  <c r="I117" i="31"/>
  <c r="I63" i="31"/>
  <c r="L143" i="31"/>
  <c r="K143" i="31"/>
  <c r="J143" i="31"/>
  <c r="M117" i="31"/>
  <c r="M63" i="31"/>
  <c r="P143" i="31"/>
  <c r="O143" i="31"/>
  <c r="N143" i="31"/>
  <c r="Q117" i="31"/>
  <c r="Q63" i="31"/>
  <c r="T143" i="31"/>
  <c r="S143" i="31"/>
  <c r="R143" i="31"/>
  <c r="U117" i="31"/>
  <c r="U63" i="31"/>
  <c r="X143" i="31"/>
  <c r="W143" i="31"/>
  <c r="V143" i="31"/>
  <c r="Y117" i="31"/>
  <c r="Y63" i="31"/>
  <c r="C120" i="31"/>
  <c r="D92" i="31"/>
  <c r="C66" i="31"/>
  <c r="E92" i="31"/>
  <c r="B38" i="31"/>
  <c r="G120" i="31"/>
  <c r="I92" i="31"/>
  <c r="H92" i="31"/>
  <c r="G66" i="31"/>
  <c r="F38" i="31"/>
  <c r="K120" i="31"/>
  <c r="L92" i="31"/>
  <c r="K66" i="31"/>
  <c r="M92" i="31"/>
  <c r="J38" i="31"/>
  <c r="O120" i="31"/>
  <c r="Q92" i="31"/>
  <c r="P92" i="31"/>
  <c r="O66" i="31"/>
  <c r="N38" i="31"/>
  <c r="S120" i="31"/>
  <c r="T92" i="31"/>
  <c r="S66" i="31"/>
  <c r="U92" i="31"/>
  <c r="R38" i="31"/>
  <c r="W120" i="31"/>
  <c r="Y92" i="31"/>
  <c r="X92" i="31"/>
  <c r="W66" i="31"/>
  <c r="V38" i="31"/>
  <c r="E95" i="31"/>
  <c r="C123" i="31"/>
  <c r="D95" i="31"/>
  <c r="C69" i="31"/>
  <c r="B41" i="31"/>
  <c r="I95" i="31"/>
  <c r="G123" i="31"/>
  <c r="G69" i="31"/>
  <c r="H95" i="31"/>
  <c r="F41" i="31"/>
  <c r="M95" i="31"/>
  <c r="K123" i="31"/>
  <c r="L95" i="31"/>
  <c r="K69" i="31"/>
  <c r="J41" i="31"/>
  <c r="Q95" i="31"/>
  <c r="O123" i="31"/>
  <c r="O69" i="31"/>
  <c r="P95" i="31"/>
  <c r="N41" i="31"/>
  <c r="U95" i="31"/>
  <c r="S123" i="31"/>
  <c r="T95" i="31"/>
  <c r="S69" i="31"/>
  <c r="R41" i="31"/>
  <c r="Y95" i="31"/>
  <c r="W123" i="31"/>
  <c r="W69" i="31"/>
  <c r="X95" i="31"/>
  <c r="V41" i="31"/>
  <c r="D150" i="31"/>
  <c r="C150" i="31"/>
  <c r="B150" i="31"/>
  <c r="E124" i="31"/>
  <c r="E70" i="31"/>
  <c r="H151" i="31"/>
  <c r="G150" i="31"/>
  <c r="F150" i="31"/>
  <c r="I124" i="31"/>
  <c r="I70" i="31"/>
  <c r="L150" i="31"/>
  <c r="K150" i="31"/>
  <c r="J150" i="31"/>
  <c r="M124" i="31"/>
  <c r="M70" i="31"/>
  <c r="P150" i="31"/>
  <c r="O150" i="31"/>
  <c r="N150" i="31"/>
  <c r="Q124" i="31"/>
  <c r="Q70" i="31"/>
  <c r="T150" i="31"/>
  <c r="S150" i="31"/>
  <c r="R150" i="31"/>
  <c r="U124" i="31"/>
  <c r="U70" i="31"/>
  <c r="X150" i="31"/>
  <c r="W150" i="31"/>
  <c r="V150" i="31"/>
  <c r="Y124" i="31"/>
  <c r="Y70" i="31"/>
  <c r="D137" i="31"/>
  <c r="C137" i="31"/>
  <c r="B137" i="31"/>
  <c r="E111" i="31"/>
  <c r="E57" i="31"/>
  <c r="P137" i="31"/>
  <c r="O137" i="31"/>
  <c r="N137" i="31"/>
  <c r="Q111" i="31"/>
  <c r="Q57" i="31"/>
  <c r="H139" i="31"/>
  <c r="G138" i="31"/>
  <c r="F138" i="31"/>
  <c r="I58" i="31"/>
  <c r="I112" i="31"/>
  <c r="E83" i="31"/>
  <c r="C111" i="31"/>
  <c r="C57" i="31"/>
  <c r="D83" i="31"/>
  <c r="B29" i="31"/>
  <c r="I83" i="31"/>
  <c r="G111" i="31"/>
  <c r="G57" i="31"/>
  <c r="H83" i="31"/>
  <c r="F29" i="31"/>
  <c r="M83" i="31"/>
  <c r="K111" i="31"/>
  <c r="K57" i="31"/>
  <c r="L83" i="31"/>
  <c r="J29" i="31"/>
  <c r="Q83" i="31"/>
  <c r="O111" i="31"/>
  <c r="P83" i="31"/>
  <c r="O57" i="31"/>
  <c r="N29" i="31"/>
  <c r="U83" i="31"/>
  <c r="S111" i="31"/>
  <c r="S57" i="31"/>
  <c r="T83" i="31"/>
  <c r="R29" i="31"/>
  <c r="Y83" i="31"/>
  <c r="W111" i="31"/>
  <c r="W57" i="31"/>
  <c r="X83" i="31"/>
  <c r="V29" i="31"/>
  <c r="C112" i="31"/>
  <c r="D84" i="31"/>
  <c r="C58" i="31"/>
  <c r="E84" i="31"/>
  <c r="B30" i="31"/>
  <c r="G112" i="31"/>
  <c r="I84" i="31"/>
  <c r="H84" i="31"/>
  <c r="G58" i="31"/>
  <c r="F30" i="31"/>
  <c r="K112" i="31"/>
  <c r="L84" i="31"/>
  <c r="K58" i="31"/>
  <c r="M84" i="31"/>
  <c r="J30" i="31"/>
  <c r="O112" i="31"/>
  <c r="Q84" i="31"/>
  <c r="P84" i="31"/>
  <c r="O58" i="31"/>
  <c r="N30" i="31"/>
  <c r="S112" i="31"/>
  <c r="T84" i="31"/>
  <c r="S58" i="31"/>
  <c r="U84" i="31"/>
  <c r="R30" i="31"/>
  <c r="W112" i="31"/>
  <c r="Y84" i="31"/>
  <c r="X84" i="31"/>
  <c r="W58" i="31"/>
  <c r="V30" i="31"/>
  <c r="B59" i="31"/>
  <c r="B113" i="31" s="1"/>
  <c r="E31" i="31"/>
  <c r="D31" i="31"/>
  <c r="C31" i="31"/>
  <c r="F59" i="31"/>
  <c r="F113" i="31" s="1"/>
  <c r="I31" i="31"/>
  <c r="H31" i="31"/>
  <c r="G31" i="31"/>
  <c r="J59" i="31"/>
  <c r="J113" i="31" s="1"/>
  <c r="M31" i="31"/>
  <c r="L31" i="31"/>
  <c r="K31" i="31"/>
  <c r="N59" i="31"/>
  <c r="N113" i="31" s="1"/>
  <c r="Q31" i="31"/>
  <c r="P31" i="31"/>
  <c r="O31" i="31"/>
  <c r="R59" i="31"/>
  <c r="R113" i="31" s="1"/>
  <c r="U31" i="31"/>
  <c r="T31" i="31"/>
  <c r="S31" i="31"/>
  <c r="V59" i="31"/>
  <c r="V113" i="31" s="1"/>
  <c r="Y31" i="31"/>
  <c r="X31" i="31"/>
  <c r="W31" i="31"/>
  <c r="D140" i="31"/>
  <c r="E114" i="31"/>
  <c r="C140" i="31"/>
  <c r="B140" i="31"/>
  <c r="E60" i="31"/>
  <c r="H141" i="31"/>
  <c r="I114" i="31"/>
  <c r="G140" i="31"/>
  <c r="F140" i="31"/>
  <c r="I60" i="31"/>
  <c r="L140" i="31"/>
  <c r="M114" i="31"/>
  <c r="K140" i="31"/>
  <c r="J140" i="31"/>
  <c r="M60" i="31"/>
  <c r="P140" i="31"/>
  <c r="Q114" i="31"/>
  <c r="O140" i="31"/>
  <c r="N140" i="31"/>
  <c r="Q60" i="31"/>
  <c r="T140" i="31"/>
  <c r="U114" i="31"/>
  <c r="S140" i="31"/>
  <c r="R140" i="31"/>
  <c r="U60" i="31"/>
  <c r="X140" i="31"/>
  <c r="Y114" i="31"/>
  <c r="W140" i="31"/>
  <c r="V140" i="31"/>
  <c r="Y60" i="31"/>
  <c r="D142" i="31"/>
  <c r="C142" i="31"/>
  <c r="B142" i="31"/>
  <c r="E116" i="31"/>
  <c r="E62" i="31"/>
  <c r="H143" i="31"/>
  <c r="G142" i="31"/>
  <c r="F142" i="31"/>
  <c r="I62" i="31"/>
  <c r="I116" i="31"/>
  <c r="L142" i="31"/>
  <c r="K142" i="31"/>
  <c r="J142" i="31"/>
  <c r="M116" i="31"/>
  <c r="M62" i="31"/>
  <c r="P142" i="31"/>
  <c r="O142" i="31"/>
  <c r="N142" i="31"/>
  <c r="Q62" i="31"/>
  <c r="Q116" i="31"/>
  <c r="T142" i="31"/>
  <c r="S142" i="31"/>
  <c r="R142" i="31"/>
  <c r="U116" i="31"/>
  <c r="U62" i="31"/>
  <c r="X142" i="31"/>
  <c r="W142" i="31"/>
  <c r="V142" i="31"/>
  <c r="Y62" i="31"/>
  <c r="Y116" i="31"/>
  <c r="B63" i="31"/>
  <c r="B117" i="31" s="1"/>
  <c r="E35" i="31"/>
  <c r="D35" i="31"/>
  <c r="C35" i="31"/>
  <c r="F63" i="31"/>
  <c r="F117" i="31" s="1"/>
  <c r="I35" i="31"/>
  <c r="H35" i="31"/>
  <c r="G35" i="31"/>
  <c r="J63" i="31"/>
  <c r="J117" i="31" s="1"/>
  <c r="M35" i="31"/>
  <c r="L35" i="31"/>
  <c r="K35" i="31"/>
  <c r="N63" i="31"/>
  <c r="N117" i="31" s="1"/>
  <c r="Q35" i="31"/>
  <c r="P35" i="31"/>
  <c r="O35" i="31"/>
  <c r="R63" i="31"/>
  <c r="R117" i="31" s="1"/>
  <c r="U35" i="31"/>
  <c r="T35" i="31"/>
  <c r="S35" i="31"/>
  <c r="V63" i="31"/>
  <c r="V117" i="31" s="1"/>
  <c r="Y35" i="31"/>
  <c r="X35" i="31"/>
  <c r="W35" i="31"/>
  <c r="D144" i="31"/>
  <c r="E118" i="31"/>
  <c r="C144" i="31"/>
  <c r="B144" i="31"/>
  <c r="E64" i="31"/>
  <c r="H145" i="31"/>
  <c r="I118" i="31"/>
  <c r="G144" i="31"/>
  <c r="F144" i="31"/>
  <c r="I64" i="31"/>
  <c r="L144" i="31"/>
  <c r="M118" i="31"/>
  <c r="K144" i="31"/>
  <c r="J144" i="31"/>
  <c r="M64" i="31"/>
  <c r="P144" i="31"/>
  <c r="Q118" i="31"/>
  <c r="O144" i="31"/>
  <c r="N144" i="31"/>
  <c r="Q64" i="31"/>
  <c r="T144" i="31"/>
  <c r="U118" i="31"/>
  <c r="S144" i="31"/>
  <c r="R144" i="31"/>
  <c r="U64" i="31"/>
  <c r="X144" i="31"/>
  <c r="Y118" i="31"/>
  <c r="W144" i="31"/>
  <c r="V144" i="31"/>
  <c r="Y64" i="31"/>
  <c r="B65" i="31"/>
  <c r="B119" i="31" s="1"/>
  <c r="D37" i="31"/>
  <c r="C37" i="31"/>
  <c r="E37" i="31"/>
  <c r="F65" i="31"/>
  <c r="F119" i="31" s="1"/>
  <c r="H37" i="31"/>
  <c r="G37" i="31"/>
  <c r="I37" i="31"/>
  <c r="J65" i="31"/>
  <c r="J119" i="31" s="1"/>
  <c r="L37" i="31"/>
  <c r="K37" i="31"/>
  <c r="M37" i="31"/>
  <c r="N65" i="31"/>
  <c r="N119" i="31" s="1"/>
  <c r="P37" i="31"/>
  <c r="O37" i="31"/>
  <c r="Q37" i="31"/>
  <c r="R65" i="31"/>
  <c r="R119" i="31" s="1"/>
  <c r="T37" i="31"/>
  <c r="S37" i="31"/>
  <c r="U37" i="31"/>
  <c r="V65" i="31"/>
  <c r="V119" i="31" s="1"/>
  <c r="X37" i="31"/>
  <c r="W37" i="31"/>
  <c r="Y37" i="31"/>
  <c r="B147" i="31"/>
  <c r="D147" i="31"/>
  <c r="C147" i="31"/>
  <c r="E121" i="31"/>
  <c r="E67" i="31"/>
  <c r="F147" i="31"/>
  <c r="H148" i="31"/>
  <c r="G147" i="31"/>
  <c r="I121" i="31"/>
  <c r="I67" i="31"/>
  <c r="J147" i="31"/>
  <c r="L147" i="31"/>
  <c r="K147" i="31"/>
  <c r="M121" i="31"/>
  <c r="M67" i="31"/>
  <c r="N147" i="31"/>
  <c r="P147" i="31"/>
  <c r="O147" i="31"/>
  <c r="Q121" i="31"/>
  <c r="Q67" i="31"/>
  <c r="R147" i="31"/>
  <c r="T147" i="31"/>
  <c r="S147" i="31"/>
  <c r="U121" i="31"/>
  <c r="U67" i="31"/>
  <c r="V147" i="31"/>
  <c r="X147" i="31"/>
  <c r="W147" i="31"/>
  <c r="Y121" i="31"/>
  <c r="Y67" i="31"/>
  <c r="D94" i="31"/>
  <c r="C122" i="31"/>
  <c r="E94" i="31"/>
  <c r="C68" i="31"/>
  <c r="B40" i="31"/>
  <c r="H94" i="31"/>
  <c r="G122" i="31"/>
  <c r="I94" i="31"/>
  <c r="G68" i="31"/>
  <c r="F40" i="31"/>
  <c r="L94" i="31"/>
  <c r="K122" i="31"/>
  <c r="M94" i="31"/>
  <c r="K68" i="31"/>
  <c r="J40" i="31"/>
  <c r="P94" i="31"/>
  <c r="O122" i="31"/>
  <c r="Q94" i="31"/>
  <c r="O68" i="31"/>
  <c r="N40" i="31"/>
  <c r="T94" i="31"/>
  <c r="S122" i="31"/>
  <c r="U94" i="31"/>
  <c r="S68" i="31"/>
  <c r="R40" i="31"/>
  <c r="X94" i="31"/>
  <c r="W122" i="31"/>
  <c r="Y94" i="31"/>
  <c r="W68" i="31"/>
  <c r="V40" i="31"/>
  <c r="D97" i="31"/>
  <c r="E97" i="31"/>
  <c r="C71" i="31"/>
  <c r="B43" i="31"/>
  <c r="C125" i="31"/>
  <c r="H97" i="31"/>
  <c r="G125" i="31"/>
  <c r="G71" i="31"/>
  <c r="F43" i="31"/>
  <c r="I97" i="31"/>
  <c r="L97" i="31"/>
  <c r="M97" i="31"/>
  <c r="K71" i="31"/>
  <c r="J43" i="31"/>
  <c r="K125" i="31"/>
  <c r="P97" i="31"/>
  <c r="O71" i="31"/>
  <c r="N43" i="31"/>
  <c r="O125" i="31"/>
  <c r="Q97" i="31"/>
  <c r="T97" i="31"/>
  <c r="U97" i="31"/>
  <c r="S71" i="31"/>
  <c r="R43" i="31"/>
  <c r="S125" i="31"/>
  <c r="X97" i="31"/>
  <c r="W125" i="31"/>
  <c r="W71" i="31"/>
  <c r="V43" i="31"/>
  <c r="Y97" i="31"/>
  <c r="D152" i="31"/>
  <c r="E126" i="31"/>
  <c r="C152" i="31"/>
  <c r="B152" i="31"/>
  <c r="E72" i="31"/>
  <c r="H153" i="31"/>
  <c r="I126" i="31"/>
  <c r="G152" i="31"/>
  <c r="F152" i="31"/>
  <c r="I72" i="31"/>
  <c r="L152" i="31"/>
  <c r="M126" i="31"/>
  <c r="K152" i="31"/>
  <c r="J152" i="31"/>
  <c r="M72" i="31"/>
  <c r="P152" i="31"/>
  <c r="Q126" i="31"/>
  <c r="O152" i="31"/>
  <c r="N152" i="31"/>
  <c r="Q72" i="31"/>
  <c r="T152" i="31"/>
  <c r="U126" i="31"/>
  <c r="S152" i="31"/>
  <c r="R152" i="31"/>
  <c r="U72" i="31"/>
  <c r="X152" i="31"/>
  <c r="Y126" i="31"/>
  <c r="W152" i="31"/>
  <c r="V152" i="31"/>
  <c r="Y72" i="31"/>
  <c r="E91" i="31"/>
  <c r="C119" i="31"/>
  <c r="C65" i="31"/>
  <c r="D91" i="31"/>
  <c r="I91" i="31"/>
  <c r="G119" i="31"/>
  <c r="H91" i="31"/>
  <c r="G65" i="31"/>
  <c r="M91" i="31"/>
  <c r="K119" i="31"/>
  <c r="K65" i="31"/>
  <c r="L91" i="31"/>
  <c r="Q91" i="31"/>
  <c r="O119" i="31"/>
  <c r="P91" i="31"/>
  <c r="O65" i="31"/>
  <c r="U91" i="31"/>
  <c r="S119" i="31"/>
  <c r="S65" i="31"/>
  <c r="T91" i="31"/>
  <c r="Y91" i="31"/>
  <c r="W119" i="31"/>
  <c r="X91" i="31"/>
  <c r="W65" i="31"/>
  <c r="B92" i="31"/>
  <c r="E146" i="31"/>
  <c r="D120" i="31"/>
  <c r="C92" i="31"/>
  <c r="D66" i="31"/>
  <c r="F92" i="31"/>
  <c r="I146" i="31"/>
  <c r="H121" i="31"/>
  <c r="G92" i="31"/>
  <c r="H66" i="31"/>
  <c r="J92" i="31"/>
  <c r="M146" i="31"/>
  <c r="L120" i="31"/>
  <c r="K92" i="31"/>
  <c r="L66" i="31"/>
  <c r="N92" i="31"/>
  <c r="Q146" i="31"/>
  <c r="P120" i="31"/>
  <c r="O92" i="31"/>
  <c r="P66" i="31"/>
  <c r="R92" i="31"/>
  <c r="U146" i="31"/>
  <c r="T120" i="31"/>
  <c r="S92" i="31"/>
  <c r="T66" i="31"/>
  <c r="V92" i="31"/>
  <c r="Y146" i="31"/>
  <c r="X120" i="31"/>
  <c r="W92" i="31"/>
  <c r="X66" i="31"/>
  <c r="E148" i="31"/>
  <c r="C94" i="31"/>
  <c r="B94" i="31"/>
  <c r="D68" i="31"/>
  <c r="D122" i="31"/>
  <c r="I148" i="31"/>
  <c r="H68" i="31"/>
  <c r="H123" i="31"/>
  <c r="G94" i="31"/>
  <c r="F94" i="31"/>
  <c r="M148" i="31"/>
  <c r="K94" i="31"/>
  <c r="L122" i="31"/>
  <c r="J94" i="31"/>
  <c r="L68" i="31"/>
  <c r="Q148" i="31"/>
  <c r="P122" i="31"/>
  <c r="P68" i="31"/>
  <c r="O94" i="31"/>
  <c r="N94" i="31"/>
  <c r="U148" i="31"/>
  <c r="S94" i="31"/>
  <c r="R94" i="31"/>
  <c r="T68" i="31"/>
  <c r="T122" i="31"/>
  <c r="Y148" i="31"/>
  <c r="X68" i="31"/>
  <c r="X122" i="31"/>
  <c r="W94" i="31"/>
  <c r="V94" i="31"/>
  <c r="B96" i="31"/>
  <c r="E150" i="31"/>
  <c r="D124" i="31"/>
  <c r="C96" i="31"/>
  <c r="D70" i="31"/>
  <c r="F96" i="31"/>
  <c r="I150" i="31"/>
  <c r="H125" i="31"/>
  <c r="G96" i="31"/>
  <c r="H70" i="31"/>
  <c r="J96" i="31"/>
  <c r="M150" i="31"/>
  <c r="L124" i="31"/>
  <c r="K96" i="31"/>
  <c r="L70" i="31"/>
  <c r="N96" i="31"/>
  <c r="Q150" i="31"/>
  <c r="P124" i="31"/>
  <c r="O96" i="31"/>
  <c r="P70" i="31"/>
  <c r="R96" i="31"/>
  <c r="U150" i="31"/>
  <c r="T124" i="31"/>
  <c r="S96" i="31"/>
  <c r="T70" i="31"/>
  <c r="V96" i="31"/>
  <c r="Y150" i="31"/>
  <c r="X124" i="31"/>
  <c r="W96" i="31"/>
  <c r="X70" i="31"/>
  <c r="B71" i="31"/>
  <c r="B125" i="31" s="1"/>
  <c r="D43" i="31"/>
  <c r="F71" i="31"/>
  <c r="F125" i="31" s="1"/>
  <c r="H43" i="31"/>
  <c r="J71" i="31"/>
  <c r="J125" i="31" s="1"/>
  <c r="L43" i="31"/>
  <c r="N71" i="31"/>
  <c r="N125" i="31" s="1"/>
  <c r="P43" i="31"/>
  <c r="R71" i="31"/>
  <c r="R125" i="31" s="1"/>
  <c r="T43" i="31"/>
  <c r="V71" i="31"/>
  <c r="V125" i="31" s="1"/>
  <c r="X43" i="31"/>
  <c r="C98" i="31"/>
  <c r="E152" i="31"/>
  <c r="D126" i="31"/>
  <c r="D72" i="31"/>
  <c r="B98" i="31"/>
  <c r="G98" i="31"/>
  <c r="I152" i="31"/>
  <c r="H127" i="31"/>
  <c r="F98" i="31"/>
  <c r="H72" i="31"/>
  <c r="K98" i="31"/>
  <c r="M152" i="31"/>
  <c r="L72" i="31"/>
  <c r="L126" i="31"/>
  <c r="J98" i="31"/>
  <c r="O98" i="31"/>
  <c r="Q152" i="31"/>
  <c r="N98" i="31"/>
  <c r="P72" i="31"/>
  <c r="P126" i="31"/>
  <c r="S98" i="31"/>
  <c r="U152" i="31"/>
  <c r="T126" i="31"/>
  <c r="T72" i="31"/>
  <c r="R98" i="31"/>
  <c r="W98" i="31"/>
  <c r="Y152" i="31"/>
  <c r="X126" i="31"/>
  <c r="V98" i="31"/>
  <c r="X72" i="31"/>
  <c r="D45" i="31"/>
  <c r="B73" i="31"/>
  <c r="B127" i="31" s="1"/>
  <c r="C45" i="31"/>
  <c r="E45" i="31"/>
  <c r="H45" i="31"/>
  <c r="F73" i="31"/>
  <c r="F127" i="31" s="1"/>
  <c r="G45" i="31"/>
  <c r="I45" i="31"/>
  <c r="L45" i="31"/>
  <c r="J73" i="31"/>
  <c r="J127" i="31" s="1"/>
  <c r="K45" i="31"/>
  <c r="M45" i="31"/>
  <c r="P45" i="31"/>
  <c r="N73" i="31"/>
  <c r="N127" i="31" s="1"/>
  <c r="O45" i="31"/>
  <c r="Q45" i="31"/>
  <c r="T45" i="31"/>
  <c r="R73" i="31"/>
  <c r="R127" i="31" s="1"/>
  <c r="S45" i="31"/>
  <c r="U45" i="31"/>
  <c r="X45" i="31"/>
  <c r="V73" i="31"/>
  <c r="V127" i="31" s="1"/>
  <c r="W45" i="31"/>
  <c r="Y45" i="31"/>
  <c r="E154" i="31"/>
  <c r="C100" i="31"/>
  <c r="D128" i="31"/>
  <c r="D74" i="31"/>
  <c r="B100" i="31"/>
  <c r="I154" i="31"/>
  <c r="G100" i="31"/>
  <c r="H129" i="31"/>
  <c r="F100" i="31"/>
  <c r="H74" i="31"/>
  <c r="M154" i="31"/>
  <c r="K100" i="31"/>
  <c r="L128" i="31"/>
  <c r="L74" i="31"/>
  <c r="J100" i="31"/>
  <c r="Q154" i="31"/>
  <c r="O100" i="31"/>
  <c r="P128" i="31"/>
  <c r="N100" i="31"/>
  <c r="P74" i="31"/>
  <c r="U154" i="31"/>
  <c r="S100" i="31"/>
  <c r="T128" i="31"/>
  <c r="T74" i="31"/>
  <c r="R100" i="31"/>
  <c r="Y154" i="31"/>
  <c r="W100" i="31"/>
  <c r="X128" i="31"/>
  <c r="V100" i="31"/>
  <c r="X74" i="31"/>
  <c r="D101" i="31"/>
  <c r="E101" i="31"/>
  <c r="C75" i="31"/>
  <c r="B47" i="31"/>
  <c r="C129" i="31"/>
  <c r="H102" i="31"/>
  <c r="G75" i="31"/>
  <c r="F47" i="31"/>
  <c r="G129" i="31"/>
  <c r="I101" i="31"/>
  <c r="L101" i="31"/>
  <c r="M101" i="31"/>
  <c r="K75" i="31"/>
  <c r="J47" i="31"/>
  <c r="K129" i="31"/>
  <c r="P101" i="31"/>
  <c r="O129" i="31"/>
  <c r="O75" i="31"/>
  <c r="N47" i="31"/>
  <c r="Q101" i="31"/>
  <c r="T101" i="31"/>
  <c r="U101" i="31"/>
  <c r="S75" i="31"/>
  <c r="R47" i="31"/>
  <c r="S129" i="31"/>
  <c r="X101" i="31"/>
  <c r="W75" i="31"/>
  <c r="V47" i="31"/>
  <c r="W129" i="31"/>
  <c r="Y101" i="31"/>
  <c r="C48" i="31"/>
  <c r="E48" i="31"/>
  <c r="B76" i="31"/>
  <c r="B130" i="31" s="1"/>
  <c r="D48" i="31"/>
  <c r="G48" i="31"/>
  <c r="I48" i="31"/>
  <c r="F76" i="31"/>
  <c r="F130" i="31" s="1"/>
  <c r="H48" i="31"/>
  <c r="K48" i="31"/>
  <c r="M48" i="31"/>
  <c r="J76" i="31"/>
  <c r="J130" i="31" s="1"/>
  <c r="L48" i="31"/>
  <c r="O48" i="31"/>
  <c r="Q48" i="31"/>
  <c r="N76" i="31"/>
  <c r="N130" i="31" s="1"/>
  <c r="P48" i="31"/>
  <c r="S48" i="31"/>
  <c r="U48" i="31"/>
  <c r="R76" i="31"/>
  <c r="R130" i="31" s="1"/>
  <c r="T48" i="31"/>
  <c r="W48" i="31"/>
  <c r="Y48" i="31"/>
  <c r="V76" i="31"/>
  <c r="V130" i="31" s="1"/>
  <c r="X48" i="31"/>
  <c r="E77" i="31"/>
  <c r="E131" i="31"/>
  <c r="I131" i="31"/>
  <c r="I77" i="31"/>
  <c r="M131" i="31"/>
  <c r="M77" i="31"/>
  <c r="Q131" i="31"/>
  <c r="Q77" i="31"/>
  <c r="U77" i="31"/>
  <c r="U131" i="31"/>
  <c r="Y131" i="31"/>
  <c r="Y77" i="31"/>
  <c r="D132" i="31"/>
  <c r="D78" i="31"/>
  <c r="H133" i="31"/>
  <c r="H78" i="31"/>
  <c r="L132" i="31"/>
  <c r="L78" i="31"/>
  <c r="P132" i="31"/>
  <c r="P78" i="31"/>
  <c r="T132" i="31"/>
  <c r="T78" i="31"/>
  <c r="X132" i="31"/>
  <c r="X78" i="31"/>
  <c r="C133" i="31"/>
  <c r="C79" i="31"/>
  <c r="G133" i="31"/>
  <c r="G79" i="31"/>
  <c r="K133" i="31"/>
  <c r="K79" i="31"/>
  <c r="O133" i="31"/>
  <c r="O79" i="31"/>
  <c r="S133" i="31"/>
  <c r="S79" i="31"/>
  <c r="W133" i="31"/>
  <c r="W79" i="31"/>
  <c r="D36" i="31"/>
  <c r="H36" i="31"/>
  <c r="L36" i="31"/>
  <c r="P36" i="31"/>
  <c r="T36" i="31"/>
  <c r="X36" i="31"/>
  <c r="C39" i="31"/>
  <c r="G39" i="31"/>
  <c r="K39" i="31"/>
  <c r="O39" i="31"/>
  <c r="S39" i="31"/>
  <c r="W39" i="31"/>
  <c r="D40" i="31"/>
  <c r="H40" i="31"/>
  <c r="L40" i="31"/>
  <c r="P40" i="31"/>
  <c r="T40" i="31"/>
  <c r="X40" i="31"/>
  <c r="E41" i="31"/>
  <c r="I41" i="31"/>
  <c r="M41" i="31"/>
  <c r="Q41" i="31"/>
  <c r="U41" i="31"/>
  <c r="Y41" i="31"/>
  <c r="I43" i="31"/>
  <c r="Q43" i="31"/>
  <c r="Y43" i="31"/>
  <c r="CT141" i="31"/>
  <c r="CT183" i="31" s="1"/>
  <c r="CT225" i="31" s="1"/>
  <c r="CT267" i="31" s="1"/>
  <c r="CT309" i="31" s="1"/>
  <c r="CT351" i="31" s="1"/>
  <c r="CT393" i="31" s="1"/>
  <c r="CT435" i="31" s="1"/>
  <c r="CT477" i="31" s="1"/>
  <c r="CT519" i="31" s="1"/>
  <c r="CT561" i="31" s="1"/>
  <c r="CT603" i="31" s="1"/>
  <c r="CT145" i="31"/>
  <c r="CT187" i="31" s="1"/>
  <c r="CT229" i="31" s="1"/>
  <c r="CT271" i="31" s="1"/>
  <c r="CT313" i="31" s="1"/>
  <c r="CT355" i="31" s="1"/>
  <c r="CT397" i="31" s="1"/>
  <c r="CT439" i="31" s="1"/>
  <c r="CT481" i="31" s="1"/>
  <c r="CT523" i="31" s="1"/>
  <c r="CT565" i="31" s="1"/>
  <c r="CT607" i="31" s="1"/>
  <c r="CT149" i="31"/>
  <c r="CT191" i="31" s="1"/>
  <c r="CT233" i="31" s="1"/>
  <c r="CT275" i="31" s="1"/>
  <c r="CT317" i="31" s="1"/>
  <c r="CT359" i="31" s="1"/>
  <c r="CT401" i="31" s="1"/>
  <c r="CT443" i="31" s="1"/>
  <c r="CT485" i="31" s="1"/>
  <c r="CT527" i="31" s="1"/>
  <c r="CT569" i="31" s="1"/>
  <c r="CT611" i="31" s="1"/>
  <c r="CT153" i="31"/>
  <c r="CT195" i="31" s="1"/>
  <c r="CT237" i="31" s="1"/>
  <c r="CT279" i="31" s="1"/>
  <c r="CT321" i="31" s="1"/>
  <c r="CT363" i="31" s="1"/>
  <c r="CT405" i="31" s="1"/>
  <c r="CT447" i="31" s="1"/>
  <c r="CT489" i="31" s="1"/>
  <c r="CT531" i="31" s="1"/>
  <c r="CT573" i="31" s="1"/>
  <c r="CT615" i="31" s="1"/>
  <c r="C127" i="31"/>
  <c r="D99" i="31"/>
  <c r="E99" i="31"/>
  <c r="C73" i="31"/>
  <c r="B45" i="31"/>
  <c r="G127" i="31"/>
  <c r="H99" i="31"/>
  <c r="G73" i="31"/>
  <c r="I99" i="31"/>
  <c r="F45" i="31"/>
  <c r="K127" i="31"/>
  <c r="L99" i="31"/>
  <c r="M99" i="31"/>
  <c r="K73" i="31"/>
  <c r="J45" i="31"/>
  <c r="O127" i="31"/>
  <c r="P99" i="31"/>
  <c r="O73" i="31"/>
  <c r="Q99" i="31"/>
  <c r="N45" i="31"/>
  <c r="S127" i="31"/>
  <c r="T99" i="31"/>
  <c r="U99" i="31"/>
  <c r="S73" i="31"/>
  <c r="R45" i="31"/>
  <c r="W127" i="31"/>
  <c r="X99" i="31"/>
  <c r="W73" i="31"/>
  <c r="Y99" i="31"/>
  <c r="V45" i="31"/>
  <c r="D154" i="31"/>
  <c r="C154" i="31"/>
  <c r="B154" i="31"/>
  <c r="E128" i="31"/>
  <c r="E74" i="31"/>
  <c r="H155" i="31"/>
  <c r="G154" i="31"/>
  <c r="F154" i="31"/>
  <c r="I128" i="31"/>
  <c r="I74" i="31"/>
  <c r="L154" i="31"/>
  <c r="K154" i="31"/>
  <c r="J154" i="31"/>
  <c r="M128" i="31"/>
  <c r="M74" i="31"/>
  <c r="P154" i="31"/>
  <c r="O154" i="31"/>
  <c r="N154" i="31"/>
  <c r="Q128" i="31"/>
  <c r="Q74" i="31"/>
  <c r="T154" i="31"/>
  <c r="S154" i="31"/>
  <c r="R154" i="31"/>
  <c r="U128" i="31"/>
  <c r="U74" i="31"/>
  <c r="X154" i="31"/>
  <c r="W154" i="31"/>
  <c r="V154" i="31"/>
  <c r="Y128" i="31"/>
  <c r="Y74" i="31"/>
  <c r="E155" i="31"/>
  <c r="D129" i="31"/>
  <c r="C101" i="31"/>
  <c r="B101" i="31"/>
  <c r="D75" i="31"/>
  <c r="I155" i="31"/>
  <c r="H130" i="31"/>
  <c r="G101" i="31"/>
  <c r="F101" i="31"/>
  <c r="H75" i="31"/>
  <c r="M155" i="31"/>
  <c r="L129" i="31"/>
  <c r="K101" i="31"/>
  <c r="J101" i="31"/>
  <c r="L75" i="31"/>
  <c r="Q155" i="31"/>
  <c r="P129" i="31"/>
  <c r="O101" i="31"/>
  <c r="N101" i="31"/>
  <c r="P75" i="31"/>
  <c r="U155" i="31"/>
  <c r="T129" i="31"/>
  <c r="S101" i="31"/>
  <c r="R101" i="31"/>
  <c r="T75" i="31"/>
  <c r="Y155" i="31"/>
  <c r="X129" i="31"/>
  <c r="W101" i="31"/>
  <c r="V101" i="31"/>
  <c r="X75" i="31"/>
  <c r="C130" i="31"/>
  <c r="D102" i="31"/>
  <c r="B48" i="31"/>
  <c r="E102" i="31"/>
  <c r="C76" i="31"/>
  <c r="G130" i="31"/>
  <c r="I102" i="31"/>
  <c r="F48" i="31"/>
  <c r="G76" i="31"/>
  <c r="K130" i="31"/>
  <c r="L102" i="31"/>
  <c r="J48" i="31"/>
  <c r="M102" i="31"/>
  <c r="K76" i="31"/>
  <c r="O130" i="31"/>
  <c r="P102" i="31"/>
  <c r="Q102" i="31"/>
  <c r="N48" i="31"/>
  <c r="O76" i="31"/>
  <c r="S130" i="31"/>
  <c r="T102" i="31"/>
  <c r="R48" i="31"/>
  <c r="U102" i="31"/>
  <c r="S76" i="31"/>
  <c r="W130" i="31"/>
  <c r="X102" i="31"/>
  <c r="Y102" i="31"/>
  <c r="V48" i="31"/>
  <c r="W76" i="31"/>
  <c r="B77" i="31"/>
  <c r="B131" i="31" s="1"/>
  <c r="F77" i="31"/>
  <c r="F131" i="31" s="1"/>
  <c r="J77" i="31"/>
  <c r="J131" i="31" s="1"/>
  <c r="N77" i="31"/>
  <c r="N131" i="31" s="1"/>
  <c r="R77" i="31"/>
  <c r="R131" i="31" s="1"/>
  <c r="V77" i="31"/>
  <c r="V131" i="31" s="1"/>
  <c r="E132" i="31"/>
  <c r="E78" i="31"/>
  <c r="I132" i="31"/>
  <c r="I78" i="31"/>
  <c r="M132" i="31"/>
  <c r="M78" i="31"/>
  <c r="Q132" i="31"/>
  <c r="Q78" i="31"/>
  <c r="U132" i="31"/>
  <c r="U78" i="31"/>
  <c r="Y132" i="31"/>
  <c r="Y78" i="31"/>
  <c r="D133" i="31"/>
  <c r="D79" i="31"/>
  <c r="H137" i="31"/>
  <c r="H79" i="31"/>
  <c r="L133" i="31"/>
  <c r="L79" i="31"/>
  <c r="P133" i="31"/>
  <c r="P79" i="31"/>
  <c r="T133" i="31"/>
  <c r="T79" i="31"/>
  <c r="X133" i="31"/>
  <c r="X79" i="31"/>
  <c r="E36" i="31"/>
  <c r="I36" i="31"/>
  <c r="M36" i="31"/>
  <c r="Q36" i="31"/>
  <c r="U36" i="31"/>
  <c r="Y36" i="31"/>
  <c r="B37" i="31"/>
  <c r="F37" i="31"/>
  <c r="J37" i="31"/>
  <c r="N37" i="31"/>
  <c r="R37" i="31"/>
  <c r="V37" i="31"/>
  <c r="C38" i="31"/>
  <c r="G38" i="31"/>
  <c r="K38" i="31"/>
  <c r="O38" i="31"/>
  <c r="S38" i="31"/>
  <c r="W38" i="31"/>
  <c r="D39" i="31"/>
  <c r="H39" i="31"/>
  <c r="L39" i="31"/>
  <c r="P39" i="31"/>
  <c r="T39" i="31"/>
  <c r="X39" i="31"/>
  <c r="E40" i="31"/>
  <c r="I40" i="31"/>
  <c r="M40" i="31"/>
  <c r="Q40" i="31"/>
  <c r="U40" i="31"/>
  <c r="Y40" i="31"/>
  <c r="C43" i="31"/>
  <c r="K43" i="31"/>
  <c r="S43" i="31"/>
  <c r="P89" i="31"/>
  <c r="O63" i="31"/>
  <c r="O117" i="31"/>
  <c r="Q89" i="31"/>
  <c r="T89" i="31"/>
  <c r="U89" i="31"/>
  <c r="S63" i="31"/>
  <c r="S117" i="31"/>
  <c r="X89" i="31"/>
  <c r="W117" i="31"/>
  <c r="W63" i="31"/>
  <c r="Y89" i="31"/>
  <c r="E144" i="31"/>
  <c r="D118" i="31"/>
  <c r="D64" i="31"/>
  <c r="C90" i="31"/>
  <c r="B90" i="31"/>
  <c r="I144" i="31"/>
  <c r="H119" i="31"/>
  <c r="G90" i="31"/>
  <c r="F90" i="31"/>
  <c r="H64" i="31"/>
  <c r="M144" i="31"/>
  <c r="L64" i="31"/>
  <c r="K90" i="31"/>
  <c r="L118" i="31"/>
  <c r="J90" i="31"/>
  <c r="Q144" i="31"/>
  <c r="O90" i="31"/>
  <c r="N90" i="31"/>
  <c r="P64" i="31"/>
  <c r="P118" i="31"/>
  <c r="U144" i="31"/>
  <c r="T118" i="31"/>
  <c r="T64" i="31"/>
  <c r="S90" i="31"/>
  <c r="R90" i="31"/>
  <c r="Y144" i="31"/>
  <c r="X118" i="31"/>
  <c r="W90" i="31"/>
  <c r="V90" i="31"/>
  <c r="X64" i="31"/>
  <c r="BX10" i="31"/>
  <c r="BY10" i="31" s="1"/>
  <c r="B145" i="31"/>
  <c r="D145" i="31"/>
  <c r="C145" i="31"/>
  <c r="E119" i="31"/>
  <c r="E65" i="31"/>
  <c r="F145" i="31"/>
  <c r="H146" i="31"/>
  <c r="G145" i="31"/>
  <c r="I119" i="31"/>
  <c r="I65" i="31"/>
  <c r="J145" i="31"/>
  <c r="L145" i="31"/>
  <c r="K145" i="31"/>
  <c r="M65" i="31"/>
  <c r="M119" i="31"/>
  <c r="N145" i="31"/>
  <c r="P145" i="31"/>
  <c r="O145" i="31"/>
  <c r="Q119" i="31"/>
  <c r="Q65" i="31"/>
  <c r="R145" i="31"/>
  <c r="T145" i="31"/>
  <c r="S145" i="31"/>
  <c r="U119" i="31"/>
  <c r="U65" i="31"/>
  <c r="V145" i="31"/>
  <c r="X145" i="31"/>
  <c r="W145" i="31"/>
  <c r="Y119" i="31"/>
  <c r="Y65" i="31"/>
  <c r="D121" i="31"/>
  <c r="C93" i="31"/>
  <c r="E147" i="31"/>
  <c r="B93" i="31"/>
  <c r="D67" i="31"/>
  <c r="H122" i="31"/>
  <c r="G93" i="31"/>
  <c r="I147" i="31"/>
  <c r="F93" i="31"/>
  <c r="H67" i="31"/>
  <c r="L121" i="31"/>
  <c r="K93" i="31"/>
  <c r="M147" i="31"/>
  <c r="J93" i="31"/>
  <c r="L67" i="31"/>
  <c r="P121" i="31"/>
  <c r="O93" i="31"/>
  <c r="Q147" i="31"/>
  <c r="N93" i="31"/>
  <c r="P67" i="31"/>
  <c r="T121" i="31"/>
  <c r="S93" i="31"/>
  <c r="U147" i="31"/>
  <c r="R93" i="31"/>
  <c r="T67" i="31"/>
  <c r="X121" i="31"/>
  <c r="W93" i="31"/>
  <c r="Y147" i="31"/>
  <c r="V93" i="31"/>
  <c r="X67" i="31"/>
  <c r="BX13" i="31"/>
  <c r="BY13" i="31" s="1"/>
  <c r="E149" i="31"/>
  <c r="D123" i="31"/>
  <c r="B95" i="31"/>
  <c r="C95" i="31"/>
  <c r="D69" i="31"/>
  <c r="I149" i="31"/>
  <c r="H124" i="31"/>
  <c r="F95" i="31"/>
  <c r="G95" i="31"/>
  <c r="H69" i="31"/>
  <c r="M149" i="31"/>
  <c r="L123" i="31"/>
  <c r="J95" i="31"/>
  <c r="K95" i="31"/>
  <c r="L69" i="31"/>
  <c r="Q149" i="31"/>
  <c r="P123" i="31"/>
  <c r="N95" i="31"/>
  <c r="O95" i="31"/>
  <c r="P69" i="31"/>
  <c r="U149" i="31"/>
  <c r="T123" i="31"/>
  <c r="R95" i="31"/>
  <c r="S95" i="31"/>
  <c r="T69" i="31"/>
  <c r="Y149" i="31"/>
  <c r="X123" i="31"/>
  <c r="V95" i="31"/>
  <c r="W95" i="31"/>
  <c r="X69" i="31"/>
  <c r="BX15" i="31"/>
  <c r="BY15" i="31" s="1"/>
  <c r="E42" i="31"/>
  <c r="C42" i="31"/>
  <c r="B70" i="31"/>
  <c r="B124" i="31" s="1"/>
  <c r="I42" i="31"/>
  <c r="G42" i="31"/>
  <c r="F70" i="31"/>
  <c r="F124" i="31" s="1"/>
  <c r="M42" i="31"/>
  <c r="K42" i="31"/>
  <c r="J70" i="31"/>
  <c r="J124" i="31" s="1"/>
  <c r="Q42" i="31"/>
  <c r="O42" i="31"/>
  <c r="N70" i="31"/>
  <c r="N124" i="31" s="1"/>
  <c r="U42" i="31"/>
  <c r="S42" i="31"/>
  <c r="R70" i="31"/>
  <c r="R124" i="31" s="1"/>
  <c r="Y42" i="31"/>
  <c r="W42" i="31"/>
  <c r="V70" i="31"/>
  <c r="V124" i="31" s="1"/>
  <c r="D125" i="31"/>
  <c r="C97" i="31"/>
  <c r="E151" i="31"/>
  <c r="B97" i="31"/>
  <c r="D71" i="31"/>
  <c r="H126" i="31"/>
  <c r="G97" i="31"/>
  <c r="I151" i="31"/>
  <c r="F97" i="31"/>
  <c r="H71" i="31"/>
  <c r="L125" i="31"/>
  <c r="K97" i="31"/>
  <c r="M151" i="31"/>
  <c r="J97" i="31"/>
  <c r="L71" i="31"/>
  <c r="P125" i="31"/>
  <c r="O97" i="31"/>
  <c r="Q151" i="31"/>
  <c r="N97" i="31"/>
  <c r="P71" i="31"/>
  <c r="T125" i="31"/>
  <c r="S97" i="31"/>
  <c r="U151" i="31"/>
  <c r="R97" i="31"/>
  <c r="T71" i="31"/>
  <c r="X125" i="31"/>
  <c r="W97" i="31"/>
  <c r="Y151" i="31"/>
  <c r="V97" i="31"/>
  <c r="X71" i="31"/>
  <c r="BX17" i="31"/>
  <c r="BY17" i="31" s="1"/>
  <c r="C44" i="31"/>
  <c r="E44" i="31"/>
  <c r="B72" i="31"/>
  <c r="B126" i="31" s="1"/>
  <c r="G44" i="31"/>
  <c r="I44" i="31"/>
  <c r="F72" i="31"/>
  <c r="F126" i="31" s="1"/>
  <c r="K44" i="31"/>
  <c r="M44" i="31"/>
  <c r="J72" i="31"/>
  <c r="J126" i="31" s="1"/>
  <c r="O44" i="31"/>
  <c r="Q44" i="31"/>
  <c r="N72" i="31"/>
  <c r="N126" i="31" s="1"/>
  <c r="S44" i="31"/>
  <c r="U44" i="31"/>
  <c r="R72" i="31"/>
  <c r="R126" i="31" s="1"/>
  <c r="W44" i="31"/>
  <c r="Y44" i="31"/>
  <c r="V72" i="31"/>
  <c r="V126" i="31" s="1"/>
  <c r="E153" i="31"/>
  <c r="C99" i="31"/>
  <c r="D127" i="31"/>
  <c r="B99" i="31"/>
  <c r="D73" i="31"/>
  <c r="I153" i="31"/>
  <c r="G99" i="31"/>
  <c r="H128" i="31"/>
  <c r="F99" i="31"/>
  <c r="H73" i="31"/>
  <c r="M153" i="31"/>
  <c r="K99" i="31"/>
  <c r="L127" i="31"/>
  <c r="J99" i="31"/>
  <c r="L73" i="31"/>
  <c r="Q153" i="31"/>
  <c r="O99" i="31"/>
  <c r="P127" i="31"/>
  <c r="N99" i="31"/>
  <c r="P73" i="31"/>
  <c r="U153" i="31"/>
  <c r="S99" i="31"/>
  <c r="T127" i="31"/>
  <c r="R99" i="31"/>
  <c r="T73" i="31"/>
  <c r="Y153" i="31"/>
  <c r="W99" i="31"/>
  <c r="X127" i="31"/>
  <c r="V99" i="31"/>
  <c r="X73" i="31"/>
  <c r="BX19" i="31"/>
  <c r="BY19" i="31" s="1"/>
  <c r="E46" i="31"/>
  <c r="D46" i="31"/>
  <c r="C46" i="31"/>
  <c r="B74" i="31"/>
  <c r="B128" i="31" s="1"/>
  <c r="I46" i="31"/>
  <c r="H46" i="31"/>
  <c r="G46" i="31"/>
  <c r="F74" i="31"/>
  <c r="F128" i="31" s="1"/>
  <c r="M46" i="31"/>
  <c r="L46" i="31"/>
  <c r="K46" i="31"/>
  <c r="J74" i="31"/>
  <c r="J128" i="31" s="1"/>
  <c r="Q46" i="31"/>
  <c r="P46" i="31"/>
  <c r="O46" i="31"/>
  <c r="N74" i="31"/>
  <c r="N128" i="31" s="1"/>
  <c r="U46" i="31"/>
  <c r="T46" i="31"/>
  <c r="S46" i="31"/>
  <c r="R74" i="31"/>
  <c r="R128" i="31" s="1"/>
  <c r="Y46" i="31"/>
  <c r="X46" i="31"/>
  <c r="W46" i="31"/>
  <c r="V74" i="31"/>
  <c r="V128" i="31" s="1"/>
  <c r="B155" i="31"/>
  <c r="D155" i="31"/>
  <c r="C155" i="31"/>
  <c r="E129" i="31"/>
  <c r="E75" i="31"/>
  <c r="F155" i="31"/>
  <c r="H156" i="31"/>
  <c r="G155" i="31"/>
  <c r="I129" i="31"/>
  <c r="I75" i="31"/>
  <c r="J155" i="31"/>
  <c r="L155" i="31"/>
  <c r="K155" i="31"/>
  <c r="M129" i="31"/>
  <c r="M75" i="31"/>
  <c r="N155" i="31"/>
  <c r="P155" i="31"/>
  <c r="O155" i="31"/>
  <c r="Q129" i="31"/>
  <c r="Q75" i="31"/>
  <c r="R155" i="31"/>
  <c r="T155" i="31"/>
  <c r="S155" i="31"/>
  <c r="U129" i="31"/>
  <c r="U75" i="31"/>
  <c r="V155" i="31"/>
  <c r="X155" i="31"/>
  <c r="W155" i="31"/>
  <c r="Y129" i="31"/>
  <c r="Y75" i="31"/>
  <c r="E156" i="31"/>
  <c r="C102" i="31"/>
  <c r="D76" i="31"/>
  <c r="D130" i="31"/>
  <c r="B102" i="31"/>
  <c r="I156" i="31"/>
  <c r="G102" i="31"/>
  <c r="F102" i="31"/>
  <c r="H76" i="31"/>
  <c r="H131" i="31"/>
  <c r="M156" i="31"/>
  <c r="K102" i="31"/>
  <c r="L130" i="31"/>
  <c r="L76" i="31"/>
  <c r="J102" i="31"/>
  <c r="Q156" i="31"/>
  <c r="O102" i="31"/>
  <c r="P130" i="31"/>
  <c r="N102" i="31"/>
  <c r="P76" i="31"/>
  <c r="U156" i="31"/>
  <c r="S102" i="31"/>
  <c r="T76" i="31"/>
  <c r="T130" i="31"/>
  <c r="R102" i="31"/>
  <c r="Y156" i="31"/>
  <c r="W102" i="31"/>
  <c r="V102" i="31"/>
  <c r="X76" i="31"/>
  <c r="X130" i="31"/>
  <c r="BX22" i="31"/>
  <c r="BY22" i="31" s="1"/>
  <c r="C131" i="31"/>
  <c r="C77" i="31"/>
  <c r="G131" i="31"/>
  <c r="G77" i="31"/>
  <c r="K131" i="31"/>
  <c r="K77" i="31"/>
  <c r="O131" i="31"/>
  <c r="O77" i="31"/>
  <c r="S131" i="31"/>
  <c r="S77" i="31"/>
  <c r="W131" i="31"/>
  <c r="W77" i="31"/>
  <c r="B78" i="31"/>
  <c r="B132" i="31" s="1"/>
  <c r="F78" i="31"/>
  <c r="F132" i="31" s="1"/>
  <c r="J78" i="31"/>
  <c r="J132" i="31" s="1"/>
  <c r="N78" i="31"/>
  <c r="N132" i="31" s="1"/>
  <c r="R78" i="31"/>
  <c r="R132" i="31" s="1"/>
  <c r="V78" i="31"/>
  <c r="V132" i="31" s="1"/>
  <c r="E133" i="31"/>
  <c r="E79" i="31"/>
  <c r="I133" i="31"/>
  <c r="I79" i="31"/>
  <c r="M133" i="31"/>
  <c r="M79" i="31"/>
  <c r="Q133" i="31"/>
  <c r="Q79" i="31"/>
  <c r="U133" i="31"/>
  <c r="U79" i="31"/>
  <c r="Y133" i="31"/>
  <c r="Y79" i="31"/>
  <c r="D38" i="31"/>
  <c r="H38" i="31"/>
  <c r="L38" i="31"/>
  <c r="P38" i="31"/>
  <c r="T38" i="31"/>
  <c r="X38" i="31"/>
  <c r="E39" i="31"/>
  <c r="I39" i="31"/>
  <c r="M39" i="31"/>
  <c r="Q39" i="31"/>
  <c r="U39" i="31"/>
  <c r="Y39" i="31"/>
  <c r="C41" i="31"/>
  <c r="G41" i="31"/>
  <c r="K41" i="31"/>
  <c r="O41" i="31"/>
  <c r="S41" i="31"/>
  <c r="W41" i="31"/>
  <c r="H42" i="31"/>
  <c r="P42" i="31"/>
  <c r="X42" i="31"/>
  <c r="E43" i="31"/>
  <c r="M43" i="31"/>
  <c r="U43" i="31"/>
  <c r="B153" i="31"/>
  <c r="C153" i="31"/>
  <c r="D153" i="31"/>
  <c r="E127" i="31"/>
  <c r="E73" i="31"/>
  <c r="F153" i="31"/>
  <c r="G153" i="31"/>
  <c r="H154" i="31"/>
  <c r="I127" i="31"/>
  <c r="I73" i="31"/>
  <c r="J153" i="31"/>
  <c r="K153" i="31"/>
  <c r="L153" i="31"/>
  <c r="M73" i="31"/>
  <c r="M127" i="31"/>
  <c r="N153" i="31"/>
  <c r="O153" i="31"/>
  <c r="P153" i="31"/>
  <c r="Q127" i="31"/>
  <c r="Q73" i="31"/>
  <c r="R153" i="31"/>
  <c r="T153" i="31"/>
  <c r="S153" i="31"/>
  <c r="U127" i="31"/>
  <c r="U73" i="31"/>
  <c r="V153" i="31"/>
  <c r="X153" i="31"/>
  <c r="W153" i="31"/>
  <c r="Y127" i="31"/>
  <c r="Y73" i="31"/>
  <c r="C128" i="31"/>
  <c r="D100" i="31"/>
  <c r="E100" i="31"/>
  <c r="C74" i="31"/>
  <c r="B46" i="31"/>
  <c r="G128" i="31"/>
  <c r="H101" i="31"/>
  <c r="I100" i="31"/>
  <c r="G74" i="31"/>
  <c r="F46" i="31"/>
  <c r="K128" i="31"/>
  <c r="L100" i="31"/>
  <c r="M100" i="31"/>
  <c r="K74" i="31"/>
  <c r="J46" i="31"/>
  <c r="O128" i="31"/>
  <c r="P100" i="31"/>
  <c r="Q100" i="31"/>
  <c r="O74" i="31"/>
  <c r="N46" i="31"/>
  <c r="S128" i="31"/>
  <c r="T100" i="31"/>
  <c r="U100" i="31"/>
  <c r="S74" i="31"/>
  <c r="R46" i="31"/>
  <c r="W128" i="31"/>
  <c r="X100" i="31"/>
  <c r="Y100" i="31"/>
  <c r="W74" i="31"/>
  <c r="V46" i="31"/>
  <c r="B75" i="31"/>
  <c r="B129" i="31" s="1"/>
  <c r="E47" i="31"/>
  <c r="D47" i="31"/>
  <c r="C47" i="31"/>
  <c r="F75" i="31"/>
  <c r="F129" i="31" s="1"/>
  <c r="I47" i="31"/>
  <c r="H47" i="31"/>
  <c r="G47" i="31"/>
  <c r="J75" i="31"/>
  <c r="J129" i="31" s="1"/>
  <c r="M47" i="31"/>
  <c r="L47" i="31"/>
  <c r="K47" i="31"/>
  <c r="N75" i="31"/>
  <c r="N129" i="31" s="1"/>
  <c r="Q47" i="31"/>
  <c r="P47" i="31"/>
  <c r="O47" i="31"/>
  <c r="R75" i="31"/>
  <c r="R129" i="31" s="1"/>
  <c r="U47" i="31"/>
  <c r="T47" i="31"/>
  <c r="S47" i="31"/>
  <c r="V75" i="31"/>
  <c r="V129" i="31" s="1"/>
  <c r="Y47" i="31"/>
  <c r="X47" i="31"/>
  <c r="W47" i="31"/>
  <c r="D156" i="31"/>
  <c r="C156" i="31"/>
  <c r="B156" i="31"/>
  <c r="E130" i="31"/>
  <c r="E76" i="31"/>
  <c r="G156" i="31"/>
  <c r="F156" i="31"/>
  <c r="I130" i="31"/>
  <c r="I76" i="31"/>
  <c r="L156" i="31"/>
  <c r="K156" i="31"/>
  <c r="J156" i="31"/>
  <c r="M130" i="31"/>
  <c r="M76" i="31"/>
  <c r="P156" i="31"/>
  <c r="O156" i="31"/>
  <c r="N156" i="31"/>
  <c r="Q130" i="31"/>
  <c r="Q76" i="31"/>
  <c r="T156" i="31"/>
  <c r="S156" i="31"/>
  <c r="R156" i="31"/>
  <c r="U130" i="31"/>
  <c r="U76" i="31"/>
  <c r="X156" i="31"/>
  <c r="W156" i="31"/>
  <c r="V156" i="31"/>
  <c r="Y130" i="31"/>
  <c r="Y76" i="31"/>
  <c r="D131" i="31"/>
  <c r="D77" i="31"/>
  <c r="H132" i="31"/>
  <c r="H77" i="31"/>
  <c r="L131" i="31"/>
  <c r="L77" i="31"/>
  <c r="P131" i="31"/>
  <c r="P77" i="31"/>
  <c r="T131" i="31"/>
  <c r="T77" i="31"/>
  <c r="X131" i="31"/>
  <c r="X77" i="31"/>
  <c r="C132" i="31"/>
  <c r="C78" i="31"/>
  <c r="G132" i="31"/>
  <c r="G78" i="31"/>
  <c r="K132" i="31"/>
  <c r="K78" i="31"/>
  <c r="O132" i="31"/>
  <c r="O78" i="31"/>
  <c r="S132" i="31"/>
  <c r="S78" i="31"/>
  <c r="W132" i="31"/>
  <c r="W78" i="31"/>
  <c r="B79" i="31"/>
  <c r="B133" i="31" s="1"/>
  <c r="F79" i="31"/>
  <c r="F133" i="31" s="1"/>
  <c r="J79" i="31"/>
  <c r="J133" i="31" s="1"/>
  <c r="N79" i="31"/>
  <c r="N133" i="31" s="1"/>
  <c r="R79" i="31"/>
  <c r="R133" i="31" s="1"/>
  <c r="V79" i="31"/>
  <c r="V133" i="31" s="1"/>
  <c r="N35" i="31"/>
  <c r="R35" i="31"/>
  <c r="V35" i="31"/>
  <c r="C36" i="31"/>
  <c r="G36" i="31"/>
  <c r="K36" i="31"/>
  <c r="O36" i="31"/>
  <c r="S36" i="31"/>
  <c r="W36" i="31"/>
  <c r="E38" i="31"/>
  <c r="I38" i="31"/>
  <c r="M38" i="31"/>
  <c r="Q38" i="31"/>
  <c r="U38" i="31"/>
  <c r="Y38" i="31"/>
  <c r="C40" i="31"/>
  <c r="G40" i="31"/>
  <c r="K40" i="31"/>
  <c r="O40" i="31"/>
  <c r="S40" i="31"/>
  <c r="W40" i="31"/>
  <c r="D41" i="31"/>
  <c r="H41" i="31"/>
  <c r="L41" i="31"/>
  <c r="P41" i="31"/>
  <c r="T41" i="31"/>
  <c r="X41" i="31"/>
  <c r="G43" i="31"/>
  <c r="O43" i="31"/>
  <c r="W43" i="31"/>
  <c r="H44" i="31"/>
  <c r="P44" i="31"/>
  <c r="X44" i="31"/>
  <c r="CT117" i="31"/>
  <c r="CT162" i="31"/>
  <c r="CT204" i="31" s="1"/>
  <c r="CT246" i="31" s="1"/>
  <c r="CT288" i="31" s="1"/>
  <c r="CT330" i="31" s="1"/>
  <c r="CT372" i="31" s="1"/>
  <c r="CT414" i="31" s="1"/>
  <c r="CT456" i="31" s="1"/>
  <c r="CT498" i="31" s="1"/>
  <c r="CT540" i="31" s="1"/>
  <c r="CT582" i="31" s="1"/>
  <c r="CT624" i="31" s="1"/>
  <c r="CT125" i="31"/>
  <c r="CT167" i="31" s="1"/>
  <c r="CT209" i="31" s="1"/>
  <c r="CT251" i="31" s="1"/>
  <c r="CT293" i="31" s="1"/>
  <c r="CT335" i="31" s="1"/>
  <c r="CT377" i="31" s="1"/>
  <c r="CT419" i="31" s="1"/>
  <c r="CT461" i="31" s="1"/>
  <c r="CT503" i="31" s="1"/>
  <c r="CT545" i="31" s="1"/>
  <c r="CT587" i="31" s="1"/>
  <c r="CT629" i="31" s="1"/>
  <c r="CU130" i="31"/>
  <c r="CU132" i="31"/>
  <c r="CU134" i="31"/>
  <c r="CU136" i="31"/>
  <c r="CU138" i="31"/>
  <c r="CU142" i="31"/>
  <c r="CU146" i="31"/>
  <c r="CU154" i="31"/>
  <c r="CT160" i="31"/>
  <c r="CT202" i="31" s="1"/>
  <c r="CT244" i="31" s="1"/>
  <c r="CT286" i="31" s="1"/>
  <c r="CT328" i="31" s="1"/>
  <c r="CT370" i="31" s="1"/>
  <c r="CT412" i="31" s="1"/>
  <c r="CT454" i="31" s="1"/>
  <c r="CT496" i="31" s="1"/>
  <c r="CT538" i="31" s="1"/>
  <c r="CT580" i="31" s="1"/>
  <c r="CT622" i="31" s="1"/>
  <c r="CT89" i="31"/>
  <c r="CT131" i="31" s="1"/>
  <c r="CT173" i="31" s="1"/>
  <c r="CT215" i="31" s="1"/>
  <c r="CT257" i="31" s="1"/>
  <c r="CT299" i="31" s="1"/>
  <c r="CT341" i="31" s="1"/>
  <c r="CT383" i="31" s="1"/>
  <c r="CT425" i="31" s="1"/>
  <c r="CT467" i="31" s="1"/>
  <c r="CT509" i="31" s="1"/>
  <c r="CT551" i="31" s="1"/>
  <c r="CT593" i="31" s="1"/>
  <c r="CU181" i="31"/>
  <c r="CU185" i="31"/>
  <c r="CT114" i="31"/>
  <c r="CT121" i="31"/>
  <c r="CT163" i="31" s="1"/>
  <c r="CT205" i="31" s="1"/>
  <c r="CT247" i="31" s="1"/>
  <c r="CT289" i="31" s="1"/>
  <c r="CT331" i="31" s="1"/>
  <c r="CT373" i="31" s="1"/>
  <c r="CT415" i="31" s="1"/>
  <c r="CT457" i="31" s="1"/>
  <c r="CT499" i="31" s="1"/>
  <c r="CT541" i="31" s="1"/>
  <c r="CT583" i="31" s="1"/>
  <c r="CT625" i="31" s="1"/>
  <c r="CT129" i="31"/>
  <c r="CT171" i="31" s="1"/>
  <c r="CT213" i="31" s="1"/>
  <c r="CT255" i="31" s="1"/>
  <c r="CT297" i="31" s="1"/>
  <c r="CT339" i="31" s="1"/>
  <c r="CT381" i="31" s="1"/>
  <c r="CT423" i="31" s="1"/>
  <c r="CT465" i="31" s="1"/>
  <c r="CT507" i="31" s="1"/>
  <c r="CT549" i="31" s="1"/>
  <c r="CT591" i="31" s="1"/>
  <c r="CT633" i="31" s="1"/>
  <c r="CU131" i="31"/>
  <c r="CU133" i="31"/>
  <c r="CU135" i="31"/>
  <c r="CU137" i="31"/>
  <c r="CU150" i="31"/>
  <c r="CU158" i="31"/>
  <c r="CT148" i="31"/>
  <c r="CT190" i="31" s="1"/>
  <c r="CT232" i="31" s="1"/>
  <c r="CT274" i="31" s="1"/>
  <c r="CT316" i="31" s="1"/>
  <c r="CT358" i="31" s="1"/>
  <c r="CT400" i="31" s="1"/>
  <c r="CT442" i="31" s="1"/>
  <c r="CT484" i="31" s="1"/>
  <c r="CT526" i="31" s="1"/>
  <c r="CT568" i="31" s="1"/>
  <c r="CT610" i="31" s="1"/>
  <c r="CT152" i="31"/>
  <c r="CT194" i="31" s="1"/>
  <c r="CT236" i="31" s="1"/>
  <c r="CT278" i="31" s="1"/>
  <c r="CT320" i="31" s="1"/>
  <c r="CT362" i="31" s="1"/>
  <c r="CT404" i="31" s="1"/>
  <c r="CT446" i="31" s="1"/>
  <c r="CT488" i="31" s="1"/>
  <c r="CT530" i="31" s="1"/>
  <c r="CT572" i="31" s="1"/>
  <c r="CT614" i="31" s="1"/>
  <c r="CU182" i="31"/>
  <c r="CU186" i="31"/>
  <c r="CU190" i="31"/>
  <c r="CU194" i="31"/>
  <c r="CU198" i="31"/>
  <c r="CU202" i="31"/>
  <c r="CU189" i="31"/>
  <c r="CU193" i="31"/>
  <c r="CU197" i="31"/>
  <c r="CU201" i="31"/>
  <c r="CU205" i="31"/>
  <c r="CU206" i="31"/>
  <c r="CU207" i="31"/>
  <c r="CU208" i="31"/>
  <c r="CU209" i="31"/>
  <c r="CU210" i="31"/>
  <c r="CU211" i="31"/>
  <c r="CU212" i="31"/>
  <c r="CU204" i="31"/>
  <c r="CU183" i="31"/>
  <c r="CU187" i="31"/>
  <c r="CU191" i="31"/>
  <c r="CU195" i="31"/>
  <c r="CU199" i="31"/>
  <c r="CU203" i="31"/>
  <c r="CU213" i="31"/>
  <c r="BZ133" i="31" l="1"/>
  <c r="BV133" i="31"/>
  <c r="A11" i="1"/>
  <c r="I10" i="1"/>
  <c r="H10" i="1"/>
  <c r="A48" i="1"/>
  <c r="H47" i="1"/>
  <c r="I47" i="1"/>
  <c r="L47" i="1"/>
  <c r="K47" i="1"/>
  <c r="CU229" i="31"/>
  <c r="CU232" i="31"/>
  <c r="CT156" i="31"/>
  <c r="CU247" i="31"/>
  <c r="CU245" i="31"/>
  <c r="CU240" i="31"/>
  <c r="CU224" i="31"/>
  <c r="CU175" i="31"/>
  <c r="CU176" i="31"/>
  <c r="CU253" i="31"/>
  <c r="CU249" i="31"/>
  <c r="CU231" i="31"/>
  <c r="CU177" i="31"/>
  <c r="CU178" i="31"/>
  <c r="CU241" i="31"/>
  <c r="CU233" i="31"/>
  <c r="CU236" i="31"/>
  <c r="CU228" i="31"/>
  <c r="CU200" i="31"/>
  <c r="CU192" i="31"/>
  <c r="CU173" i="31"/>
  <c r="CU196" i="31"/>
  <c r="CU188" i="31"/>
  <c r="CU184" i="31"/>
  <c r="CU172" i="31"/>
  <c r="CU237" i="31"/>
  <c r="CT159" i="31"/>
  <c r="CU246" i="31"/>
  <c r="CU251" i="31"/>
  <c r="CU239" i="31"/>
  <c r="CU244" i="31"/>
  <c r="CU227" i="31"/>
  <c r="CU255" i="31"/>
  <c r="CU225" i="31"/>
  <c r="CU254" i="31"/>
  <c r="CU252" i="31"/>
  <c r="CU250" i="31"/>
  <c r="CU248" i="31"/>
  <c r="CU243" i="31"/>
  <c r="CU235" i="31"/>
  <c r="CU179" i="31"/>
  <c r="CU223" i="31"/>
  <c r="CU180" i="31"/>
  <c r="CU174" i="31"/>
  <c r="BV159" i="31" l="1"/>
  <c r="BZ159" i="31"/>
  <c r="A49" i="1"/>
  <c r="K48" i="1"/>
  <c r="I48" i="1"/>
  <c r="L48" i="1"/>
  <c r="H48" i="1"/>
  <c r="A12" i="1"/>
  <c r="H11" i="1"/>
  <c r="I11" i="1"/>
  <c r="CU221" i="31"/>
  <c r="CU267" i="31"/>
  <c r="CU269" i="31"/>
  <c r="CU286" i="31"/>
  <c r="CU293" i="31"/>
  <c r="CU279" i="31"/>
  <c r="CU289" i="31"/>
  <c r="CU274" i="31"/>
  <c r="CU265" i="31"/>
  <c r="CU285" i="31"/>
  <c r="CU292" i="31"/>
  <c r="CU296" i="31"/>
  <c r="CU214" i="31"/>
  <c r="CU230" i="31"/>
  <c r="CU234" i="31"/>
  <c r="CU270" i="31"/>
  <c r="CU283" i="31"/>
  <c r="CU219" i="31"/>
  <c r="CU273" i="31"/>
  <c r="CU295" i="31"/>
  <c r="CU218" i="31"/>
  <c r="CU282" i="31"/>
  <c r="CU216" i="31"/>
  <c r="CU290" i="31"/>
  <c r="CU294" i="31"/>
  <c r="CU297" i="31"/>
  <c r="CU281" i="31"/>
  <c r="CU288" i="31"/>
  <c r="CU226" i="31"/>
  <c r="CT198" i="31"/>
  <c r="CU271" i="31"/>
  <c r="CU222" i="31"/>
  <c r="CU277" i="31"/>
  <c r="CT201" i="31"/>
  <c r="CU238" i="31"/>
  <c r="CU215" i="31"/>
  <c r="CU242" i="31"/>
  <c r="CU278" i="31"/>
  <c r="CU275" i="31"/>
  <c r="CU220" i="31"/>
  <c r="CU291" i="31"/>
  <c r="CU217" i="31"/>
  <c r="CU266" i="31"/>
  <c r="CU287" i="31"/>
  <c r="EK7" i="2"/>
  <c r="BZ185" i="31" l="1"/>
  <c r="BV185" i="31"/>
  <c r="A13" i="1"/>
  <c r="I12" i="1"/>
  <c r="H12" i="1"/>
  <c r="A50" i="1"/>
  <c r="I49" i="1"/>
  <c r="K49" i="1"/>
  <c r="L49" i="1"/>
  <c r="H49" i="1"/>
  <c r="CU308" i="31"/>
  <c r="CU333" i="31"/>
  <c r="CU320" i="31"/>
  <c r="CU257" i="31"/>
  <c r="CU264" i="31"/>
  <c r="CT240" i="31"/>
  <c r="CU323" i="31"/>
  <c r="CU334" i="31"/>
  <c r="CU331" i="31"/>
  <c r="CU321" i="31"/>
  <c r="CU329" i="31"/>
  <c r="CU259" i="31"/>
  <c r="CU262" i="31"/>
  <c r="CU317" i="31"/>
  <c r="CU284" i="31"/>
  <c r="CU280" i="31"/>
  <c r="CU330" i="31"/>
  <c r="CU336" i="31"/>
  <c r="CU324" i="31"/>
  <c r="CU260" i="31"/>
  <c r="CU337" i="31"/>
  <c r="CU261" i="31"/>
  <c r="CU312" i="31"/>
  <c r="CU272" i="31"/>
  <c r="CU307" i="31"/>
  <c r="CU316" i="31"/>
  <c r="CU335" i="31"/>
  <c r="CU311" i="31"/>
  <c r="CU263" i="31"/>
  <c r="CT243" i="31"/>
  <c r="CU319" i="31"/>
  <c r="CU313" i="31"/>
  <c r="CU268" i="31"/>
  <c r="CU338" i="31"/>
  <c r="CU339" i="31"/>
  <c r="CU332" i="31"/>
  <c r="CU258" i="31"/>
  <c r="CU315" i="31"/>
  <c r="CU325" i="31"/>
  <c r="CU276" i="31"/>
  <c r="CU256" i="31"/>
  <c r="CU327" i="31"/>
  <c r="CU328" i="31"/>
  <c r="CU309" i="31"/>
  <c r="F9" i="1"/>
  <c r="BV211" i="31" l="1"/>
  <c r="BZ211" i="31"/>
  <c r="A51" i="1"/>
  <c r="K50" i="1"/>
  <c r="L50" i="1"/>
  <c r="I50" i="1"/>
  <c r="H50" i="1"/>
  <c r="A14" i="1"/>
  <c r="H13" i="1"/>
  <c r="I13" i="1"/>
  <c r="E9" i="1"/>
  <c r="E12" i="28"/>
  <c r="D12" i="28" s="1"/>
  <c r="CU298" i="31"/>
  <c r="CT285" i="31"/>
  <c r="CU353" i="31"/>
  <c r="CU354" i="31"/>
  <c r="CU322" i="31"/>
  <c r="CU326" i="31"/>
  <c r="CU363" i="31"/>
  <c r="CU373" i="31"/>
  <c r="CU350" i="31"/>
  <c r="CU370" i="31"/>
  <c r="CU367" i="31"/>
  <c r="CU357" i="31"/>
  <c r="CU300" i="31"/>
  <c r="CU381" i="31"/>
  <c r="CU379" i="31"/>
  <c r="CU366" i="31"/>
  <c r="CU378" i="31"/>
  <c r="CU304" i="31"/>
  <c r="CU371" i="31"/>
  <c r="CU306" i="31"/>
  <c r="CU362" i="31"/>
  <c r="CU375" i="31"/>
  <c r="CU318" i="31"/>
  <c r="CU355" i="31"/>
  <c r="CU361" i="31"/>
  <c r="CU314" i="31"/>
  <c r="CU302" i="31"/>
  <c r="CU376" i="31"/>
  <c r="CU365" i="31"/>
  <c r="CT282" i="31"/>
  <c r="CU351" i="31"/>
  <c r="CU369" i="31"/>
  <c r="CU374" i="31"/>
  <c r="CU380" i="31"/>
  <c r="CU310" i="31"/>
  <c r="CU305" i="31"/>
  <c r="CU377" i="31"/>
  <c r="CU358" i="31"/>
  <c r="CU349" i="31"/>
  <c r="CU303" i="31"/>
  <c r="CU372" i="31"/>
  <c r="CU359" i="31"/>
  <c r="CU301" i="31"/>
  <c r="CU299" i="31"/>
  <c r="F56" i="1"/>
  <c r="F48" i="1"/>
  <c r="F40" i="1"/>
  <c r="F36" i="1"/>
  <c r="F32" i="1"/>
  <c r="F28" i="1"/>
  <c r="F24" i="1"/>
  <c r="F20" i="1"/>
  <c r="F16" i="1"/>
  <c r="F12" i="1"/>
  <c r="F8" i="1"/>
  <c r="F7" i="1"/>
  <c r="F55" i="1"/>
  <c r="F51" i="1"/>
  <c r="F47" i="1"/>
  <c r="F39" i="1"/>
  <c r="F35" i="1"/>
  <c r="F31" i="1"/>
  <c r="F27" i="1"/>
  <c r="F23" i="1"/>
  <c r="F19" i="1"/>
  <c r="F15" i="1"/>
  <c r="F11" i="1"/>
  <c r="F52" i="1"/>
  <c r="F44" i="1"/>
  <c r="F58" i="1"/>
  <c r="F54" i="1"/>
  <c r="F50" i="1"/>
  <c r="F46" i="1"/>
  <c r="F42" i="1"/>
  <c r="F38" i="1"/>
  <c r="F34" i="1"/>
  <c r="F30" i="1"/>
  <c r="F26" i="1"/>
  <c r="F22" i="1"/>
  <c r="F18" i="1"/>
  <c r="F14" i="1"/>
  <c r="F10" i="1"/>
  <c r="F57" i="1"/>
  <c r="F53" i="1"/>
  <c r="F49" i="1"/>
  <c r="F45" i="1"/>
  <c r="F41" i="1"/>
  <c r="F37" i="1"/>
  <c r="F33" i="1"/>
  <c r="F29" i="1"/>
  <c r="F25" i="1"/>
  <c r="F21" i="1"/>
  <c r="F17" i="1"/>
  <c r="F13" i="1"/>
  <c r="B46" i="24"/>
  <c r="B47" i="24"/>
  <c r="B48" i="24"/>
  <c r="B49" i="24"/>
  <c r="B50" i="24"/>
  <c r="B51" i="24"/>
  <c r="B52" i="24"/>
  <c r="B53" i="24"/>
  <c r="B54" i="24"/>
  <c r="B55" i="24"/>
  <c r="B56" i="24"/>
  <c r="B57" i="24"/>
  <c r="B58" i="24"/>
  <c r="B59" i="24"/>
  <c r="B60" i="24"/>
  <c r="B61" i="24"/>
  <c r="B62" i="24"/>
  <c r="B63" i="24"/>
  <c r="B64" i="24"/>
  <c r="B65" i="24"/>
  <c r="B66" i="24"/>
  <c r="B67" i="24"/>
  <c r="B68" i="24"/>
  <c r="B69" i="24"/>
  <c r="B70" i="24"/>
  <c r="B71" i="24"/>
  <c r="B72" i="24"/>
  <c r="B73" i="24"/>
  <c r="B74" i="24"/>
  <c r="B75" i="24"/>
  <c r="B76" i="24"/>
  <c r="B77" i="24"/>
  <c r="B78" i="24"/>
  <c r="B79" i="24"/>
  <c r="B80" i="24"/>
  <c r="B81" i="24"/>
  <c r="B82" i="24"/>
  <c r="B83" i="24"/>
  <c r="B84" i="24"/>
  <c r="B85" i="24"/>
  <c r="B86" i="24"/>
  <c r="B87" i="24"/>
  <c r="B88" i="24"/>
  <c r="B89" i="24"/>
  <c r="B90" i="24"/>
  <c r="B91" i="24"/>
  <c r="B92" i="24"/>
  <c r="B93" i="24"/>
  <c r="H1" i="24"/>
  <c r="B4" i="24"/>
  <c r="B5" i="24"/>
  <c r="B6" i="24"/>
  <c r="B7" i="24"/>
  <c r="B8" i="24"/>
  <c r="B9" i="24"/>
  <c r="B10" i="24"/>
  <c r="B11" i="24"/>
  <c r="B12" i="24"/>
  <c r="B13" i="24"/>
  <c r="B14" i="24"/>
  <c r="B15" i="24"/>
  <c r="B16" i="24"/>
  <c r="B17" i="24"/>
  <c r="B18" i="24"/>
  <c r="B19" i="24"/>
  <c r="B20" i="24"/>
  <c r="B21" i="24"/>
  <c r="B22" i="24"/>
  <c r="B23" i="24"/>
  <c r="B24" i="24"/>
  <c r="B25" i="24"/>
  <c r="B26" i="24"/>
  <c r="B27" i="24"/>
  <c r="B28" i="24"/>
  <c r="B29" i="24"/>
  <c r="B30" i="24"/>
  <c r="B31" i="24"/>
  <c r="B32" i="24"/>
  <c r="B33" i="24"/>
  <c r="B34" i="24"/>
  <c r="B35" i="24"/>
  <c r="B36" i="24"/>
  <c r="B37" i="24"/>
  <c r="B38" i="24"/>
  <c r="B39" i="24"/>
  <c r="B40" i="24"/>
  <c r="B41" i="24"/>
  <c r="B42" i="24"/>
  <c r="B43" i="24"/>
  <c r="B44" i="24"/>
  <c r="B45" i="24"/>
  <c r="B3" i="24"/>
  <c r="J42" i="1" l="1"/>
  <c r="J38" i="1"/>
  <c r="J36" i="1"/>
  <c r="J34" i="1"/>
  <c r="J32" i="1"/>
  <c r="J30" i="1"/>
  <c r="J28" i="1"/>
  <c r="J26" i="1"/>
  <c r="J24" i="1"/>
  <c r="J22" i="1"/>
  <c r="DC18" i="2" s="1"/>
  <c r="J20" i="1"/>
  <c r="J18" i="1"/>
  <c r="J16" i="1"/>
  <c r="J14" i="1"/>
  <c r="J12" i="1"/>
  <c r="J8" i="1"/>
  <c r="O46" i="1"/>
  <c r="G42" i="1"/>
  <c r="G40" i="1"/>
  <c r="F74" i="28" s="1"/>
  <c r="G38" i="1"/>
  <c r="F70" i="28" s="1"/>
  <c r="G36" i="1"/>
  <c r="G32" i="1"/>
  <c r="G30" i="1"/>
  <c r="G26" i="1"/>
  <c r="G24" i="1"/>
  <c r="G22" i="1"/>
  <c r="G20" i="1"/>
  <c r="G18" i="1"/>
  <c r="G16" i="1"/>
  <c r="G12" i="1"/>
  <c r="G10" i="1"/>
  <c r="G8" i="1"/>
  <c r="B3" i="1"/>
  <c r="J41" i="1"/>
  <c r="J39" i="1"/>
  <c r="J35" i="1"/>
  <c r="J33" i="1"/>
  <c r="J31" i="1"/>
  <c r="J29" i="1"/>
  <c r="J27" i="1"/>
  <c r="J23" i="1"/>
  <c r="J19" i="1"/>
  <c r="J17" i="1"/>
  <c r="J15" i="1"/>
  <c r="J13" i="1"/>
  <c r="J11" i="1"/>
  <c r="J7" i="1"/>
  <c r="G41" i="1"/>
  <c r="F76" i="28" s="1"/>
  <c r="G39" i="1"/>
  <c r="G37" i="1"/>
  <c r="G35" i="1"/>
  <c r="G31" i="1"/>
  <c r="F56" i="28" s="1"/>
  <c r="G29" i="1"/>
  <c r="G27" i="1"/>
  <c r="G25" i="1"/>
  <c r="G23" i="1"/>
  <c r="G19" i="1"/>
  <c r="G17" i="1"/>
  <c r="G13" i="1"/>
  <c r="G11" i="1"/>
  <c r="G9" i="1"/>
  <c r="G7" i="1"/>
  <c r="J52" i="1"/>
  <c r="G56" i="1"/>
  <c r="G52" i="1"/>
  <c r="J55" i="1"/>
  <c r="G55" i="1"/>
  <c r="G53" i="1"/>
  <c r="J53" i="1"/>
  <c r="G54" i="1"/>
  <c r="B3" i="28"/>
  <c r="F71" i="28"/>
  <c r="F77" i="28"/>
  <c r="F73" i="28"/>
  <c r="F69" i="28"/>
  <c r="F57" i="28"/>
  <c r="F68" i="28"/>
  <c r="F79" i="28"/>
  <c r="F59" i="28"/>
  <c r="F78" i="28"/>
  <c r="F58" i="28"/>
  <c r="F72" i="28"/>
  <c r="F75" i="28"/>
  <c r="BZ237" i="31"/>
  <c r="BV237" i="31"/>
  <c r="A15" i="1"/>
  <c r="H14" i="1"/>
  <c r="I14" i="1"/>
  <c r="A53" i="1"/>
  <c r="I51" i="1"/>
  <c r="H51" i="1"/>
  <c r="K51" i="1"/>
  <c r="L51" i="1"/>
  <c r="B3" i="29"/>
  <c r="E13" i="1"/>
  <c r="E20" i="28"/>
  <c r="D20" i="28" s="1"/>
  <c r="E29" i="1"/>
  <c r="E52" i="28"/>
  <c r="D52" i="28" s="1"/>
  <c r="E45" i="1"/>
  <c r="E9" i="29"/>
  <c r="D9" i="29" s="1"/>
  <c r="E10" i="1"/>
  <c r="E14" i="28"/>
  <c r="D14" i="28" s="1"/>
  <c r="E26" i="1"/>
  <c r="E46" i="28"/>
  <c r="D46" i="28" s="1"/>
  <c r="E42" i="1"/>
  <c r="E78" i="28"/>
  <c r="D78" i="28" s="1"/>
  <c r="E58" i="1"/>
  <c r="E44" i="29"/>
  <c r="D44" i="29" s="1"/>
  <c r="E15" i="1"/>
  <c r="E24" i="28"/>
  <c r="D24" i="28" s="1"/>
  <c r="E31" i="1"/>
  <c r="E56" i="28"/>
  <c r="D56" i="28" s="1"/>
  <c r="E47" i="1"/>
  <c r="E13" i="29"/>
  <c r="D13" i="29" s="1"/>
  <c r="E8" i="1"/>
  <c r="E10" i="28"/>
  <c r="D10" i="28" s="1"/>
  <c r="E24" i="1"/>
  <c r="E42" i="28"/>
  <c r="D42" i="28" s="1"/>
  <c r="E40" i="1"/>
  <c r="E74" i="28"/>
  <c r="D74" i="28" s="1"/>
  <c r="E51" i="1"/>
  <c r="E21" i="29"/>
  <c r="D21" i="29" s="1"/>
  <c r="E17" i="1"/>
  <c r="E28" i="28"/>
  <c r="D28" i="28" s="1"/>
  <c r="E33" i="1"/>
  <c r="E60" i="28"/>
  <c r="D60" i="28" s="1"/>
  <c r="E49" i="1"/>
  <c r="E17" i="29"/>
  <c r="D17" i="29" s="1"/>
  <c r="E14" i="1"/>
  <c r="E22" i="28"/>
  <c r="D22" i="28" s="1"/>
  <c r="E30" i="1"/>
  <c r="E54" i="28"/>
  <c r="D54" i="28" s="1"/>
  <c r="E46" i="1"/>
  <c r="E11" i="29"/>
  <c r="D11" i="29" s="1"/>
  <c r="E44" i="1"/>
  <c r="E7" i="29"/>
  <c r="D7" i="29" s="1"/>
  <c r="E19" i="1"/>
  <c r="E32" i="28"/>
  <c r="D32" i="28" s="1"/>
  <c r="E35" i="1"/>
  <c r="E64" i="28"/>
  <c r="D64" i="28" s="1"/>
  <c r="E12" i="1"/>
  <c r="E18" i="28"/>
  <c r="D18" i="28" s="1"/>
  <c r="E28" i="1"/>
  <c r="E50" i="28"/>
  <c r="D50" i="28" s="1"/>
  <c r="E48" i="1"/>
  <c r="E15" i="29"/>
  <c r="D15" i="29" s="1"/>
  <c r="E21" i="1"/>
  <c r="E36" i="28"/>
  <c r="D36" i="28" s="1"/>
  <c r="E37" i="1"/>
  <c r="E68" i="28"/>
  <c r="D68" i="28" s="1"/>
  <c r="E53" i="1"/>
  <c r="E28" i="29"/>
  <c r="D28" i="29" s="1"/>
  <c r="E18" i="1"/>
  <c r="E30" i="28"/>
  <c r="D30" i="28" s="1"/>
  <c r="E34" i="1"/>
  <c r="E62" i="28"/>
  <c r="D62" i="28" s="1"/>
  <c r="E50" i="1"/>
  <c r="E19" i="29"/>
  <c r="D19" i="29" s="1"/>
  <c r="E52" i="1"/>
  <c r="E26" i="29"/>
  <c r="D26" i="29" s="1"/>
  <c r="E23" i="1"/>
  <c r="E40" i="28"/>
  <c r="D40" i="28" s="1"/>
  <c r="E39" i="1"/>
  <c r="E72" i="28"/>
  <c r="D72" i="28" s="1"/>
  <c r="E55" i="1"/>
  <c r="E32" i="29"/>
  <c r="D32" i="29" s="1"/>
  <c r="E16" i="1"/>
  <c r="E26" i="28"/>
  <c r="D26" i="28" s="1"/>
  <c r="E32" i="1"/>
  <c r="E58" i="28"/>
  <c r="D58" i="28" s="1"/>
  <c r="E56" i="1"/>
  <c r="E37" i="29"/>
  <c r="D37" i="29" s="1"/>
  <c r="E25" i="1"/>
  <c r="E44" i="28"/>
  <c r="D44" i="28" s="1"/>
  <c r="E41" i="1"/>
  <c r="E76" i="28"/>
  <c r="D76" i="28" s="1"/>
  <c r="E57" i="1"/>
  <c r="E39" i="29"/>
  <c r="D39" i="29" s="1"/>
  <c r="E22" i="1"/>
  <c r="E38" i="28"/>
  <c r="D38" i="28" s="1"/>
  <c r="E38" i="1"/>
  <c r="E70" i="28"/>
  <c r="D70" i="28" s="1"/>
  <c r="E54" i="1"/>
  <c r="E30" i="29"/>
  <c r="D30" i="29" s="1"/>
  <c r="E11" i="1"/>
  <c r="E16" i="28"/>
  <c r="D16" i="28" s="1"/>
  <c r="E27" i="1"/>
  <c r="E48" i="28"/>
  <c r="D48" i="28" s="1"/>
  <c r="E7" i="1"/>
  <c r="E8" i="28"/>
  <c r="D8" i="28" s="1"/>
  <c r="E20" i="1"/>
  <c r="E34" i="28"/>
  <c r="D34" i="28" s="1"/>
  <c r="E36" i="1"/>
  <c r="E66" i="28"/>
  <c r="D66" i="28" s="1"/>
  <c r="CU341" i="31"/>
  <c r="CU401" i="31"/>
  <c r="CU414" i="31"/>
  <c r="CU400" i="31"/>
  <c r="CU416" i="31"/>
  <c r="CU393" i="31"/>
  <c r="CU418" i="31"/>
  <c r="CU356" i="31"/>
  <c r="CU403" i="31"/>
  <c r="CU404" i="31"/>
  <c r="CU346" i="31"/>
  <c r="CU342" i="31"/>
  <c r="CU396" i="31"/>
  <c r="CU395" i="31"/>
  <c r="CU347" i="31"/>
  <c r="CU422" i="31"/>
  <c r="CT324" i="31"/>
  <c r="CU397" i="31"/>
  <c r="CU421" i="31"/>
  <c r="CU409" i="31"/>
  <c r="CU415" i="31"/>
  <c r="CU368" i="31"/>
  <c r="CU343" i="31"/>
  <c r="CU407" i="31"/>
  <c r="CU344" i="31"/>
  <c r="CT327" i="31"/>
  <c r="CU340" i="31"/>
  <c r="CU345" i="31"/>
  <c r="CU391" i="31"/>
  <c r="CU419" i="31"/>
  <c r="CU352" i="31"/>
  <c r="CU411" i="31"/>
  <c r="CU360" i="31"/>
  <c r="CU417" i="31"/>
  <c r="CU348" i="31"/>
  <c r="CU413" i="31"/>
  <c r="CU420" i="31"/>
  <c r="CU408" i="31"/>
  <c r="CU423" i="31"/>
  <c r="CU399" i="31"/>
  <c r="CU412" i="31"/>
  <c r="CU392" i="31"/>
  <c r="CU405" i="31"/>
  <c r="CU364" i="31"/>
  <c r="C44" i="1"/>
  <c r="B7" i="29" s="1"/>
  <c r="C52" i="1"/>
  <c r="B26" i="29" s="1"/>
  <c r="C56" i="1"/>
  <c r="B37" i="29" s="1"/>
  <c r="B48" i="29"/>
  <c r="C58" i="1"/>
  <c r="B44" i="29" s="1"/>
  <c r="H93" i="24"/>
  <c r="H92" i="24"/>
  <c r="H91" i="24"/>
  <c r="H90" i="24"/>
  <c r="H89" i="24"/>
  <c r="H88" i="24"/>
  <c r="H87" i="24"/>
  <c r="H86" i="24"/>
  <c r="H85" i="24"/>
  <c r="H84" i="24"/>
  <c r="H83" i="24"/>
  <c r="H82" i="24"/>
  <c r="H81" i="24"/>
  <c r="H80" i="24"/>
  <c r="H79" i="24"/>
  <c r="H78" i="24"/>
  <c r="H77" i="24"/>
  <c r="H76" i="24"/>
  <c r="H75" i="24"/>
  <c r="H74" i="24"/>
  <c r="H73" i="24"/>
  <c r="H72" i="24"/>
  <c r="H71" i="24"/>
  <c r="H70" i="24"/>
  <c r="H69" i="24"/>
  <c r="H68" i="24"/>
  <c r="H67" i="24"/>
  <c r="H66" i="24"/>
  <c r="H65" i="24"/>
  <c r="H64" i="24"/>
  <c r="H63" i="24"/>
  <c r="H62" i="24"/>
  <c r="H61" i="24"/>
  <c r="H60" i="24"/>
  <c r="H59" i="24"/>
  <c r="H58" i="24"/>
  <c r="H57" i="24"/>
  <c r="H56" i="24"/>
  <c r="H55" i="24"/>
  <c r="H54" i="24"/>
  <c r="H53" i="24"/>
  <c r="H52" i="24"/>
  <c r="H51" i="24"/>
  <c r="H50" i="24"/>
  <c r="H49" i="24"/>
  <c r="H48" i="24"/>
  <c r="H47" i="24"/>
  <c r="H46" i="24"/>
  <c r="H45" i="24"/>
  <c r="H44" i="24"/>
  <c r="H43" i="24"/>
  <c r="H42" i="24"/>
  <c r="H41" i="24"/>
  <c r="H40" i="24"/>
  <c r="H39" i="24"/>
  <c r="H38" i="24"/>
  <c r="H37" i="24"/>
  <c r="H36" i="24"/>
  <c r="H35" i="24"/>
  <c r="H34" i="24"/>
  <c r="H33" i="24"/>
  <c r="H32" i="24"/>
  <c r="H31" i="24"/>
  <c r="H30" i="24"/>
  <c r="H29" i="24"/>
  <c r="H28" i="24"/>
  <c r="H27" i="24"/>
  <c r="J54" i="1" l="1"/>
  <c r="BV263" i="31"/>
  <c r="BZ263" i="31"/>
  <c r="A54" i="1"/>
  <c r="L53" i="1"/>
  <c r="H53" i="1"/>
  <c r="I53" i="1"/>
  <c r="K53" i="1"/>
  <c r="A16" i="1"/>
  <c r="H15" i="1"/>
  <c r="I15" i="1"/>
  <c r="CU438" i="31"/>
  <c r="CU384" i="31"/>
  <c r="CU442" i="31"/>
  <c r="CU456" i="31"/>
  <c r="CU446" i="31"/>
  <c r="CU398" i="31"/>
  <c r="CU435" i="31"/>
  <c r="CU443" i="31"/>
  <c r="CU447" i="31"/>
  <c r="CU450" i="31"/>
  <c r="CU453" i="31"/>
  <c r="CU461" i="31"/>
  <c r="CU382" i="31"/>
  <c r="CT369" i="31"/>
  <c r="CU451" i="31"/>
  <c r="CU434" i="31"/>
  <c r="CU465" i="31"/>
  <c r="CU386" i="31"/>
  <c r="CU449" i="31"/>
  <c r="CU457" i="31"/>
  <c r="CT366" i="31"/>
  <c r="CU389" i="31"/>
  <c r="CU437" i="31"/>
  <c r="CU383" i="31"/>
  <c r="CU406" i="31"/>
  <c r="CU454" i="31"/>
  <c r="CU441" i="31"/>
  <c r="CU455" i="31"/>
  <c r="CU459" i="31"/>
  <c r="CU385" i="31"/>
  <c r="CU410" i="31"/>
  <c r="CU439" i="31"/>
  <c r="CU464" i="31"/>
  <c r="CU462" i="31"/>
  <c r="CU390" i="31"/>
  <c r="CU402" i="31"/>
  <c r="CU394" i="31"/>
  <c r="CU433" i="31"/>
  <c r="CU387" i="31"/>
  <c r="CU463" i="31"/>
  <c r="CU388" i="31"/>
  <c r="CU445" i="31"/>
  <c r="CU460" i="31"/>
  <c r="CU458" i="31"/>
  <c r="O5" i="1"/>
  <c r="B6" i="1"/>
  <c r="B43" i="1"/>
  <c r="B5" i="1"/>
  <c r="C5" i="28" s="1"/>
  <c r="P38" i="1"/>
  <c r="O37" i="1"/>
  <c r="J56" i="1" l="1"/>
  <c r="BZ289" i="31"/>
  <c r="BV289" i="31"/>
  <c r="A17" i="1"/>
  <c r="I16" i="1"/>
  <c r="H16" i="1"/>
  <c r="A55" i="1"/>
  <c r="H54" i="1"/>
  <c r="K54" i="1"/>
  <c r="I54" i="1"/>
  <c r="L54" i="1"/>
  <c r="CU432" i="31"/>
  <c r="CU506" i="31"/>
  <c r="CT408" i="31"/>
  <c r="CU499" i="31"/>
  <c r="CU428" i="31"/>
  <c r="CU424" i="31"/>
  <c r="CU503" i="31"/>
  <c r="CU495" i="31"/>
  <c r="CU492" i="31"/>
  <c r="CU485" i="31"/>
  <c r="CU477" i="31"/>
  <c r="CU440" i="31"/>
  <c r="CU497" i="31"/>
  <c r="CU502" i="31"/>
  <c r="CU452" i="31"/>
  <c r="CU427" i="31"/>
  <c r="CU501" i="31"/>
  <c r="CU496" i="31"/>
  <c r="CU448" i="31"/>
  <c r="CU488" i="31"/>
  <c r="CU484" i="31"/>
  <c r="CU475" i="31"/>
  <c r="CU483" i="31"/>
  <c r="CU487" i="31"/>
  <c r="CU500" i="31"/>
  <c r="CU430" i="31"/>
  <c r="CU505" i="31"/>
  <c r="CU429" i="31"/>
  <c r="CU436" i="31"/>
  <c r="CU444" i="31"/>
  <c r="CU504" i="31"/>
  <c r="CU481" i="31"/>
  <c r="CU431" i="31"/>
  <c r="CU491" i="31"/>
  <c r="CU507" i="31"/>
  <c r="CU476" i="31"/>
  <c r="CU493" i="31"/>
  <c r="CT411" i="31"/>
  <c r="CU489" i="31"/>
  <c r="CU480" i="31"/>
  <c r="CU425" i="31"/>
  <c r="CU479" i="31"/>
  <c r="CU498" i="31"/>
  <c r="CU426" i="31"/>
  <c r="O6" i="1"/>
  <c r="O11" i="1"/>
  <c r="O16" i="1"/>
  <c r="O21" i="1"/>
  <c r="G57" i="1" l="1"/>
  <c r="BV315" i="31"/>
  <c r="BZ315" i="31"/>
  <c r="A57" i="1"/>
  <c r="H55" i="1"/>
  <c r="I55" i="1"/>
  <c r="K55" i="1"/>
  <c r="L55" i="1"/>
  <c r="A18" i="1"/>
  <c r="H17" i="1"/>
  <c r="I17" i="1"/>
  <c r="CU540" i="31"/>
  <c r="CU467" i="31"/>
  <c r="CU533" i="31"/>
  <c r="CU471" i="31"/>
  <c r="CU549" i="31"/>
  <c r="CU486" i="31"/>
  <c r="CU542" i="31"/>
  <c r="CU529" i="31"/>
  <c r="CU517" i="31"/>
  <c r="CU473" i="31"/>
  <c r="CU472" i="31"/>
  <c r="CU490" i="31"/>
  <c r="CU519" i="31"/>
  <c r="CU534" i="31"/>
  <c r="CU545" i="31"/>
  <c r="CU468" i="31"/>
  <c r="CU521" i="31"/>
  <c r="CU522" i="31"/>
  <c r="CU531" i="31"/>
  <c r="CT453" i="31"/>
  <c r="CU535" i="31"/>
  <c r="CU518" i="31"/>
  <c r="CU523" i="31"/>
  <c r="CU546" i="31"/>
  <c r="CU478" i="31"/>
  <c r="CU547" i="31"/>
  <c r="CU525" i="31"/>
  <c r="CU543" i="31"/>
  <c r="CU494" i="31"/>
  <c r="CU482" i="31"/>
  <c r="CU544" i="31"/>
  <c r="CU527" i="31"/>
  <c r="CU537" i="31"/>
  <c r="CU466" i="31"/>
  <c r="CU541" i="31"/>
  <c r="CT450" i="31"/>
  <c r="CU474" i="31"/>
  <c r="CU526" i="31"/>
  <c r="CU530" i="31"/>
  <c r="CU538" i="31"/>
  <c r="CU469" i="31"/>
  <c r="CU539" i="31"/>
  <c r="CU470" i="31"/>
  <c r="CU548" i="31"/>
  <c r="O31" i="1"/>
  <c r="O26" i="1"/>
  <c r="M5" i="1"/>
  <c r="H5" i="1"/>
  <c r="H5" i="28" s="1"/>
  <c r="J5" i="1"/>
  <c r="G5" i="1"/>
  <c r="F5" i="28" s="1"/>
  <c r="B5" i="30" s="1"/>
  <c r="F5" i="1"/>
  <c r="E5" i="28" s="1"/>
  <c r="E5" i="1"/>
  <c r="D5" i="28" s="1"/>
  <c r="J57" i="1" l="1"/>
  <c r="BZ341" i="31"/>
  <c r="BV341" i="31"/>
  <c r="A19" i="1"/>
  <c r="H18" i="1"/>
  <c r="I18" i="1"/>
  <c r="K57" i="1"/>
  <c r="H57" i="1"/>
  <c r="I57" i="1"/>
  <c r="L57" i="1"/>
  <c r="CU511" i="31"/>
  <c r="CU572" i="31"/>
  <c r="CU516" i="31"/>
  <c r="CU577" i="31"/>
  <c r="CU573" i="31"/>
  <c r="CU563" i="31"/>
  <c r="CU587" i="31"/>
  <c r="CU561" i="31"/>
  <c r="CU528" i="31"/>
  <c r="CU513" i="31"/>
  <c r="CU512" i="31"/>
  <c r="CT492" i="31"/>
  <c r="CU508" i="31"/>
  <c r="CU569" i="31"/>
  <c r="CU586" i="31"/>
  <c r="CU585" i="31"/>
  <c r="CU589" i="31"/>
  <c r="CU588" i="31"/>
  <c r="CU564" i="31"/>
  <c r="CU515" i="31"/>
  <c r="CU559" i="31"/>
  <c r="CU571" i="31"/>
  <c r="CU509" i="31"/>
  <c r="CU581" i="31"/>
  <c r="CU568" i="31"/>
  <c r="CU524" i="31"/>
  <c r="CU536" i="31"/>
  <c r="CU520" i="31"/>
  <c r="CU560" i="31"/>
  <c r="CT495" i="31"/>
  <c r="CU510" i="31"/>
  <c r="CU576" i="31"/>
  <c r="CU532" i="31"/>
  <c r="CU591" i="31"/>
  <c r="CU575" i="31"/>
  <c r="CU590" i="31"/>
  <c r="CU580" i="31"/>
  <c r="CU583" i="31"/>
  <c r="CU579" i="31"/>
  <c r="CU567" i="31"/>
  <c r="CU565" i="31"/>
  <c r="CU514" i="31"/>
  <c r="CU584" i="31"/>
  <c r="CU582" i="31"/>
  <c r="H26" i="24"/>
  <c r="H25" i="24"/>
  <c r="H24" i="24"/>
  <c r="H23" i="24"/>
  <c r="H22" i="24"/>
  <c r="H21" i="24"/>
  <c r="H20" i="24"/>
  <c r="H19" i="24"/>
  <c r="H18" i="24"/>
  <c r="H17" i="24"/>
  <c r="H16" i="24"/>
  <c r="H15" i="24"/>
  <c r="H14" i="24"/>
  <c r="H13" i="24"/>
  <c r="H12" i="24"/>
  <c r="H11" i="24"/>
  <c r="H10" i="24"/>
  <c r="H9" i="24"/>
  <c r="H8" i="24"/>
  <c r="H7" i="24"/>
  <c r="H4" i="24"/>
  <c r="H3" i="24"/>
  <c r="BX218" i="31"/>
  <c r="BX155" i="31"/>
  <c r="BX460" i="31"/>
  <c r="BX257" i="31"/>
  <c r="BX322" i="31"/>
  <c r="CA34" i="31"/>
  <c r="BX466" i="31"/>
  <c r="BX138" i="31"/>
  <c r="BX386" i="31"/>
  <c r="BX560" i="31"/>
  <c r="BX107" i="31"/>
  <c r="BX299" i="31"/>
  <c r="BX192" i="31"/>
  <c r="BX82" i="31"/>
  <c r="BX58" i="31"/>
  <c r="BX437" i="31"/>
  <c r="BX513" i="31"/>
  <c r="BX220" i="31"/>
  <c r="CA133" i="31"/>
  <c r="BX544" i="31"/>
  <c r="BX94" i="31"/>
  <c r="BX353" i="31"/>
  <c r="BX242" i="31"/>
  <c r="BX461" i="31"/>
  <c r="BX584" i="31"/>
  <c r="BX226" i="31"/>
  <c r="BX587" i="31"/>
  <c r="BX449" i="31"/>
  <c r="BX34" i="31"/>
  <c r="BX505" i="31"/>
  <c r="BX402" i="31"/>
  <c r="CA51" i="31"/>
  <c r="BX167" i="31"/>
  <c r="BX553" i="31"/>
  <c r="BX481" i="31"/>
  <c r="BX532" i="31"/>
  <c r="BX337" i="31"/>
  <c r="BX562" i="31"/>
  <c r="BX420" i="31"/>
  <c r="BX487" i="31"/>
  <c r="BX284" i="31"/>
  <c r="BX241" i="31"/>
  <c r="BX171" i="31"/>
  <c r="BX231" i="31"/>
  <c r="BX421" i="31"/>
  <c r="BX343" i="31"/>
  <c r="BX92" i="31"/>
  <c r="BX540" i="31"/>
  <c r="BX474" i="31"/>
  <c r="BX116" i="31"/>
  <c r="BX273" i="31"/>
  <c r="CA42" i="31"/>
  <c r="BX349" i="31"/>
  <c r="BX427" i="31"/>
  <c r="BX565" i="31"/>
  <c r="BX168" i="31"/>
  <c r="BX512" i="31"/>
  <c r="BX91" i="31"/>
  <c r="BX191" i="31"/>
  <c r="BX552" i="31"/>
  <c r="BX163" i="31"/>
  <c r="BX329" i="31"/>
  <c r="BX87" i="31"/>
  <c r="BX289" i="31"/>
  <c r="BX465" i="31"/>
  <c r="BX103" i="31"/>
  <c r="BX186" i="31"/>
  <c r="BX249" i="31"/>
  <c r="BX127" i="31"/>
  <c r="BX121" i="31"/>
  <c r="BX378" i="31"/>
  <c r="BX476" i="31"/>
  <c r="BX452" i="31"/>
  <c r="BX407" i="31"/>
  <c r="BX448" i="31"/>
  <c r="BX240" i="31"/>
  <c r="BX227" i="31"/>
  <c r="BX173" i="31"/>
  <c r="BX126" i="31"/>
  <c r="BX272" i="31"/>
  <c r="BX335" i="31"/>
  <c r="BX61" i="31"/>
  <c r="BX507" i="31"/>
  <c r="BX200" i="31"/>
  <c r="BX356" i="31"/>
  <c r="BX291" i="31"/>
  <c r="BX362" i="31"/>
  <c r="BX479" i="31"/>
  <c r="BX355" i="31"/>
  <c r="BX434" i="31"/>
  <c r="CA48" i="31"/>
  <c r="BX591" i="31"/>
  <c r="BX110" i="31"/>
  <c r="BX98" i="31"/>
  <c r="BX264" i="31"/>
  <c r="BX559" i="31"/>
  <c r="BX174" i="31"/>
  <c r="BX480" i="31"/>
  <c r="BX588" i="31"/>
  <c r="BX594" i="31"/>
  <c r="BX212" i="31"/>
  <c r="BX225" i="31"/>
  <c r="BX50" i="31"/>
  <c r="BX501" i="31"/>
  <c r="BX150" i="31"/>
  <c r="BX321" i="31"/>
  <c r="BX403" i="31"/>
  <c r="BX217" i="31"/>
  <c r="BX311" i="31"/>
  <c r="BX38" i="31"/>
  <c r="BX477" i="31"/>
  <c r="BX37" i="31"/>
  <c r="BX67" i="31"/>
  <c r="BX323" i="31"/>
  <c r="BX75" i="31"/>
  <c r="BX542" i="31"/>
  <c r="BX344" i="31"/>
  <c r="BX582" i="31"/>
  <c r="BX334" i="31"/>
  <c r="BX464" i="31"/>
  <c r="BX65" i="31"/>
  <c r="BX387" i="31"/>
  <c r="BX363" i="31"/>
  <c r="BX308" i="31"/>
  <c r="BX253" i="31"/>
  <c r="CA44" i="31"/>
  <c r="BX222" i="31"/>
  <c r="BX108" i="31"/>
  <c r="BX70" i="31"/>
  <c r="BX270" i="31"/>
  <c r="BX585" i="31"/>
  <c r="BX459" i="31"/>
  <c r="BX147" i="31"/>
  <c r="BX454" i="31"/>
  <c r="BX196" i="31"/>
  <c r="BX125" i="31"/>
  <c r="BX206" i="31"/>
  <c r="CA159" i="31"/>
  <c r="CA49" i="31"/>
  <c r="BX246" i="31"/>
  <c r="BX534" i="31"/>
  <c r="BX36" i="31"/>
  <c r="BX172" i="31"/>
  <c r="BX165" i="31"/>
  <c r="BX301" i="31"/>
  <c r="BX269" i="31"/>
  <c r="BX360" i="31"/>
  <c r="BX90" i="31"/>
  <c r="BX302" i="31"/>
  <c r="BX134" i="31"/>
  <c r="BX423" i="31"/>
  <c r="BX295" i="31"/>
  <c r="BX283" i="31"/>
  <c r="BX256" i="31"/>
  <c r="BX177" i="31"/>
  <c r="BX303" i="31"/>
  <c r="BX89" i="31"/>
  <c r="BX64" i="31"/>
  <c r="BX570" i="31"/>
  <c r="BX166" i="31"/>
  <c r="BX153" i="31"/>
  <c r="BX162" i="31"/>
  <c r="CA41" i="31"/>
  <c r="BX56" i="31"/>
  <c r="BX74" i="31"/>
  <c r="BX354" i="31"/>
  <c r="BX388" i="31"/>
  <c r="BX389" i="31"/>
  <c r="BX245" i="31"/>
  <c r="BX211" i="31"/>
  <c r="BX285" i="31"/>
  <c r="BX328" i="31"/>
  <c r="BX297" i="31"/>
  <c r="BX244" i="31"/>
  <c r="BX526" i="31"/>
  <c r="BX40" i="31"/>
  <c r="BX160" i="31"/>
  <c r="BX399" i="31"/>
  <c r="BX551" i="31"/>
  <c r="BX441" i="31"/>
  <c r="BX492" i="31"/>
  <c r="BX539" i="31"/>
  <c r="BX187" i="31"/>
  <c r="BX128" i="31"/>
  <c r="BX436" i="31"/>
  <c r="BX375" i="31"/>
  <c r="CA81" i="31"/>
  <c r="BX294" i="31"/>
  <c r="CA35" i="31"/>
  <c r="BX371" i="31"/>
  <c r="BX258" i="31"/>
  <c r="BX556" i="31"/>
  <c r="CA237" i="31"/>
  <c r="BX472" i="31"/>
  <c r="BX550" i="31"/>
  <c r="BX88" i="31"/>
  <c r="BX536" i="31"/>
  <c r="BX346" i="31"/>
  <c r="BX569" i="31"/>
  <c r="BX42" i="31"/>
  <c r="BX310" i="31"/>
  <c r="BX31" i="31"/>
  <c r="BX254" i="31"/>
  <c r="BX451" i="31"/>
  <c r="BX317" i="31"/>
  <c r="BX383" i="31"/>
  <c r="BX95" i="31"/>
  <c r="BX385" i="31"/>
  <c r="BX446" i="31"/>
  <c r="CA46" i="31"/>
  <c r="BX408" i="31"/>
  <c r="BX296" i="31"/>
  <c r="BX233" i="31"/>
  <c r="BX248" i="31"/>
  <c r="BX112" i="31"/>
  <c r="BX528" i="31"/>
  <c r="CA32" i="31"/>
  <c r="BX32" i="31"/>
  <c r="BX358" i="31"/>
  <c r="BX66" i="31"/>
  <c r="BX361" i="31"/>
  <c r="BX113" i="31"/>
  <c r="BX415" i="31"/>
  <c r="BX493" i="31"/>
  <c r="BX237" i="31"/>
  <c r="BX410" i="31"/>
  <c r="BX484" i="31"/>
  <c r="BX458" i="31"/>
  <c r="BX566" i="31"/>
  <c r="BX422" i="31"/>
  <c r="BX499" i="31"/>
  <c r="BX589" i="31"/>
  <c r="BX304" i="31"/>
  <c r="BX369" i="31"/>
  <c r="BX558" i="31"/>
  <c r="BX514" i="31"/>
  <c r="BX379" i="31"/>
  <c r="BX86" i="31"/>
  <c r="BX69" i="31"/>
  <c r="BX194" i="31"/>
  <c r="BX453" i="31"/>
  <c r="BX377" i="31"/>
  <c r="BX298" i="31"/>
  <c r="BX411" i="31"/>
  <c r="BX537" i="31"/>
  <c r="BX205" i="31"/>
  <c r="BX326" i="31"/>
  <c r="BX135" i="31"/>
  <c r="BX118" i="31"/>
  <c r="BX382" i="31"/>
  <c r="BX84" i="31"/>
  <c r="BX347" i="31"/>
  <c r="BX202" i="31"/>
  <c r="BX506" i="31"/>
  <c r="BX185" i="31"/>
  <c r="BX511" i="31"/>
  <c r="BX576" i="31"/>
  <c r="BX142" i="31"/>
  <c r="BX190" i="31"/>
  <c r="BX447" i="31"/>
  <c r="BX43" i="31"/>
  <c r="BX122" i="31"/>
  <c r="BX62" i="31"/>
  <c r="BX332" i="31"/>
  <c r="BX519" i="31"/>
  <c r="BX48" i="31"/>
  <c r="BX352" i="31"/>
  <c r="BX250" i="31"/>
  <c r="BX348" i="31"/>
  <c r="CA263" i="31"/>
  <c r="BX374" i="31"/>
  <c r="BX384" i="31"/>
  <c r="BX188" i="31"/>
  <c r="BX175" i="31"/>
  <c r="BX342" i="31"/>
  <c r="BX430" i="31"/>
  <c r="BX144" i="31"/>
  <c r="BX405" i="31"/>
  <c r="BX530" i="31"/>
  <c r="BX351" i="31"/>
  <c r="BX413" i="31"/>
  <c r="BX400" i="31"/>
  <c r="BX275" i="31"/>
  <c r="BX276" i="31"/>
  <c r="BX214" i="31"/>
  <c r="BX517" i="31"/>
  <c r="BX198" i="31"/>
  <c r="BX247" i="31"/>
  <c r="BX568" i="31"/>
  <c r="CA38" i="31"/>
  <c r="BX524" i="31"/>
  <c r="BX277" i="31"/>
  <c r="BX109" i="31"/>
  <c r="BX164" i="31"/>
  <c r="BX428" i="31"/>
  <c r="BX456" i="31"/>
  <c r="BX145" i="31"/>
  <c r="BX324" i="31"/>
  <c r="BX224" i="31"/>
  <c r="BX30" i="31"/>
  <c r="BX406" i="31"/>
  <c r="BX336" i="31"/>
  <c r="BX567" i="31"/>
  <c r="BX577" i="31"/>
  <c r="BX111" i="31"/>
  <c r="BX541" i="31"/>
  <c r="BX176" i="31"/>
  <c r="BX35" i="31"/>
  <c r="BX485" i="31"/>
  <c r="BX101" i="31"/>
  <c r="BX498" i="31"/>
  <c r="BX83" i="31"/>
  <c r="BX509" i="31"/>
  <c r="BX203" i="31"/>
  <c r="BX230" i="31"/>
  <c r="BX120" i="31"/>
  <c r="BX486" i="31"/>
  <c r="BX117" i="31"/>
  <c r="BX57" i="31"/>
  <c r="CA37" i="31"/>
  <c r="BX195" i="31"/>
  <c r="CA39" i="31"/>
  <c r="BX45" i="31"/>
  <c r="CA47" i="31"/>
  <c r="BX123" i="31"/>
  <c r="BX318" i="31"/>
  <c r="BX518" i="31"/>
  <c r="BX325" i="31"/>
  <c r="BX435" i="31"/>
  <c r="BX201" i="31"/>
  <c r="BX395" i="31"/>
  <c r="BX259" i="31"/>
  <c r="BX252" i="31"/>
  <c r="BX373" i="31"/>
  <c r="BX136" i="31"/>
  <c r="BX99" i="31"/>
  <c r="BX73" i="31"/>
  <c r="BX455" i="31"/>
  <c r="BX219" i="31"/>
  <c r="BX315" i="31"/>
  <c r="BX267" i="31"/>
  <c r="BX178" i="31"/>
  <c r="BX462" i="31"/>
  <c r="BX271" i="31"/>
  <c r="BX216" i="31"/>
  <c r="BX592" i="31"/>
  <c r="BX197" i="31"/>
  <c r="BX538" i="31"/>
  <c r="BX146" i="31"/>
  <c r="BX503" i="31"/>
  <c r="BX119" i="31"/>
  <c r="BX159" i="31"/>
  <c r="BX124" i="31"/>
  <c r="BX372" i="31"/>
  <c r="BX33" i="31"/>
  <c r="BX51" i="31"/>
  <c r="BX281" i="31"/>
  <c r="BX516" i="31"/>
  <c r="BX137" i="31"/>
  <c r="BX510" i="31"/>
  <c r="BX357" i="31"/>
  <c r="BX380" i="31"/>
  <c r="BX215" i="31"/>
  <c r="BX490" i="31"/>
  <c r="BX263" i="31"/>
  <c r="BX97" i="31"/>
  <c r="BX424" i="31"/>
  <c r="BX140" i="31"/>
  <c r="BX425" i="31"/>
  <c r="BX483" i="31"/>
  <c r="BX597" i="31"/>
  <c r="BX525" i="31"/>
  <c r="BX397" i="31"/>
  <c r="BX500" i="31"/>
  <c r="BX394" i="31"/>
  <c r="BX426" i="31"/>
  <c r="BX396" i="31"/>
  <c r="BX133" i="31"/>
  <c r="BX439" i="31"/>
  <c r="BX320" i="31"/>
  <c r="BX278" i="31"/>
  <c r="BX39" i="31"/>
  <c r="BX555" i="31"/>
  <c r="BX143" i="31"/>
  <c r="BX438" i="31"/>
  <c r="BX204" i="31"/>
  <c r="BX330" i="31"/>
  <c r="BX29" i="31"/>
  <c r="BX350" i="31"/>
  <c r="BX489" i="31"/>
  <c r="BX457" i="31"/>
  <c r="BX293" i="31"/>
  <c r="BX46" i="31"/>
  <c r="BX179" i="31"/>
  <c r="BX414" i="31"/>
  <c r="BX114" i="31"/>
  <c r="BX595" i="31"/>
  <c r="BX432" i="31"/>
  <c r="BX170" i="31"/>
  <c r="BX504" i="31"/>
  <c r="BX331" i="31"/>
  <c r="BX463" i="31"/>
  <c r="BX578" i="31"/>
  <c r="BX401" i="31"/>
  <c r="BX596" i="31"/>
  <c r="CA211" i="31"/>
  <c r="BX180" i="31"/>
  <c r="BX467" i="31"/>
  <c r="BX583" i="31"/>
  <c r="BX527" i="31"/>
  <c r="BX376" i="31"/>
  <c r="BX169" i="31"/>
  <c r="BX404" i="31"/>
  <c r="BX102" i="31"/>
  <c r="BX232" i="31"/>
  <c r="BX473" i="31"/>
  <c r="BX238" i="31"/>
  <c r="BX491" i="31"/>
  <c r="BX100" i="31"/>
  <c r="BX316" i="31"/>
  <c r="BX488" i="31"/>
  <c r="BX429" i="31"/>
  <c r="BX561" i="31"/>
  <c r="BX290" i="31"/>
  <c r="BX63" i="31"/>
  <c r="BX440" i="31"/>
  <c r="BX515" i="31"/>
  <c r="BX292" i="31"/>
  <c r="BX152" i="31"/>
  <c r="BX305" i="31"/>
  <c r="BX359" i="31"/>
  <c r="BX545" i="31"/>
  <c r="BX154" i="31"/>
  <c r="BX580" i="31"/>
  <c r="BX482" i="31"/>
  <c r="BX41" i="31"/>
  <c r="BX535" i="31"/>
  <c r="BX85" i="31"/>
  <c r="CA36" i="31"/>
  <c r="BX280" i="31"/>
  <c r="BX327" i="31"/>
  <c r="BX381" i="31"/>
  <c r="BX554" i="31"/>
  <c r="BX309" i="31"/>
  <c r="BX223" i="31"/>
  <c r="CA185" i="31"/>
  <c r="CA50" i="31"/>
  <c r="BX543" i="31"/>
  <c r="BX579" i="31"/>
  <c r="BX431" i="31"/>
  <c r="BX181" i="31"/>
  <c r="CA43" i="31"/>
  <c r="BX529" i="31"/>
  <c r="CA315" i="31"/>
  <c r="BX265" i="31"/>
  <c r="BX274" i="31"/>
  <c r="BX581" i="31"/>
  <c r="BX72" i="31"/>
  <c r="BX193" i="31"/>
  <c r="BX300" i="31"/>
  <c r="BX71" i="31"/>
  <c r="BX139" i="31"/>
  <c r="BX333" i="31"/>
  <c r="CA289" i="31"/>
  <c r="BX255" i="31"/>
  <c r="BX279" i="31"/>
  <c r="BX557" i="31"/>
  <c r="BX475" i="31"/>
  <c r="CA45" i="31"/>
  <c r="BX502" i="31"/>
  <c r="BX243" i="31"/>
  <c r="BX251" i="31"/>
  <c r="BX55" i="31"/>
  <c r="BX151" i="31"/>
  <c r="BX306" i="31"/>
  <c r="BX149" i="31"/>
  <c r="BX368" i="31"/>
  <c r="BX571" i="31"/>
  <c r="BX189" i="31"/>
  <c r="BX533" i="31"/>
  <c r="BX593" i="31"/>
  <c r="BX319" i="31"/>
  <c r="BX59" i="31"/>
  <c r="BX148" i="31"/>
  <c r="BX282" i="31"/>
  <c r="BX531" i="31"/>
  <c r="BX229" i="31"/>
  <c r="BX93" i="31"/>
  <c r="BX115" i="31"/>
  <c r="BX221" i="31"/>
  <c r="BX345" i="31"/>
  <c r="BX409" i="31"/>
  <c r="BX228" i="31"/>
  <c r="BX586" i="31"/>
  <c r="BX398" i="31"/>
  <c r="BX266" i="31"/>
  <c r="BX161" i="31"/>
  <c r="BX478" i="31"/>
  <c r="BX96" i="31"/>
  <c r="BX44" i="31"/>
  <c r="BX590" i="31"/>
  <c r="BX450" i="31"/>
  <c r="BX60" i="31"/>
  <c r="BX47" i="31"/>
  <c r="BX307" i="31"/>
  <c r="BX68" i="31"/>
  <c r="BX49" i="31"/>
  <c r="CA107" i="31"/>
  <c r="BX508" i="31"/>
  <c r="BX213" i="31"/>
  <c r="BX433" i="31"/>
  <c r="BX76" i="31"/>
  <c r="BX370" i="31"/>
  <c r="CA40" i="31"/>
  <c r="BX129" i="31"/>
  <c r="BX563" i="31"/>
  <c r="BX564" i="31"/>
  <c r="BX239" i="31"/>
  <c r="BX77" i="31"/>
  <c r="BX141" i="31"/>
  <c r="BX207" i="31"/>
  <c r="BX199" i="31"/>
  <c r="BX268" i="31"/>
  <c r="BX81" i="31"/>
  <c r="BX412" i="31"/>
  <c r="CA341" i="31"/>
  <c r="BX341" i="31"/>
  <c r="BY412" i="31" l="1"/>
  <c r="BY81" i="31"/>
  <c r="BY268" i="31"/>
  <c r="BY199" i="31"/>
  <c r="BY207" i="31"/>
  <c r="BY141" i="31"/>
  <c r="BY77" i="31"/>
  <c r="BY239" i="31"/>
  <c r="BY564" i="31"/>
  <c r="BY563" i="31"/>
  <c r="BY129" i="31"/>
  <c r="BY370" i="31"/>
  <c r="BY76" i="31"/>
  <c r="BY433" i="31"/>
  <c r="BY213" i="31"/>
  <c r="BY508" i="31"/>
  <c r="BY49" i="31"/>
  <c r="BY68" i="31"/>
  <c r="BY307" i="31"/>
  <c r="BY47" i="31"/>
  <c r="BY60" i="31"/>
  <c r="BY450" i="31"/>
  <c r="BY590" i="31"/>
  <c r="BY44" i="31"/>
  <c r="BY96" i="31"/>
  <c r="BY478" i="31"/>
  <c r="BY161" i="31"/>
  <c r="BY266" i="31"/>
  <c r="BY398" i="31"/>
  <c r="BY586" i="31"/>
  <c r="BY228" i="31"/>
  <c r="BY409" i="31"/>
  <c r="BY345" i="31"/>
  <c r="BY221" i="31"/>
  <c r="BY115" i="31"/>
  <c r="BY93" i="31"/>
  <c r="BY229" i="31"/>
  <c r="BY531" i="31"/>
  <c r="BY282" i="31"/>
  <c r="BY148" i="31"/>
  <c r="BY59" i="31"/>
  <c r="BY319" i="31"/>
  <c r="BY593" i="31"/>
  <c r="BY533" i="31"/>
  <c r="BY189" i="31"/>
  <c r="BY571" i="31"/>
  <c r="BY368" i="31"/>
  <c r="BY149" i="31"/>
  <c r="BY306" i="31"/>
  <c r="BY151" i="31"/>
  <c r="BY55" i="31"/>
  <c r="BY251" i="31"/>
  <c r="BY243" i="31"/>
  <c r="BY502" i="31"/>
  <c r="BY475" i="31"/>
  <c r="BY557" i="31"/>
  <c r="BY279" i="31"/>
  <c r="BY255" i="31"/>
  <c r="BY333" i="31"/>
  <c r="BY139" i="31"/>
  <c r="BY71" i="31"/>
  <c r="BY300" i="31"/>
  <c r="BY193" i="31"/>
  <c r="BY72" i="31"/>
  <c r="BY581" i="31"/>
  <c r="BY274" i="31"/>
  <c r="BY265" i="31"/>
  <c r="BY529" i="31"/>
  <c r="BY181" i="31"/>
  <c r="BY431" i="31"/>
  <c r="BY579" i="31"/>
  <c r="BY543" i="31"/>
  <c r="BY223" i="31"/>
  <c r="BY309" i="31"/>
  <c r="BY554" i="31"/>
  <c r="BY381" i="31"/>
  <c r="BY327" i="31"/>
  <c r="BY280" i="31"/>
  <c r="BY85" i="31"/>
  <c r="BY535" i="31"/>
  <c r="BY41" i="31"/>
  <c r="BY482" i="31"/>
  <c r="BY580" i="31"/>
  <c r="BY154" i="31"/>
  <c r="BY545" i="31"/>
  <c r="BY359" i="31"/>
  <c r="BY305" i="31"/>
  <c r="BY152" i="31"/>
  <c r="BY292" i="31"/>
  <c r="BY515" i="31"/>
  <c r="BY440" i="31"/>
  <c r="BY63" i="31"/>
  <c r="BY290" i="31"/>
  <c r="BY561" i="31"/>
  <c r="BY429" i="31"/>
  <c r="BY488" i="31"/>
  <c r="BY316" i="31"/>
  <c r="BY100" i="31"/>
  <c r="BY491" i="31"/>
  <c r="BY238" i="31"/>
  <c r="BY473" i="31"/>
  <c r="BY232" i="31"/>
  <c r="BY102" i="31"/>
  <c r="BY404" i="31"/>
  <c r="BY169" i="31"/>
  <c r="BY376" i="31"/>
  <c r="BY527" i="31"/>
  <c r="BY583" i="31"/>
  <c r="BY467" i="31"/>
  <c r="BY180" i="31"/>
  <c r="BY596" i="31"/>
  <c r="BY401" i="31"/>
  <c r="BY578" i="31"/>
  <c r="BY463" i="31"/>
  <c r="BY331" i="31"/>
  <c r="BY504" i="31"/>
  <c r="BY170" i="31"/>
  <c r="BY432" i="31"/>
  <c r="BY595" i="31"/>
  <c r="BY114" i="31"/>
  <c r="BY414" i="31"/>
  <c r="BY179" i="31"/>
  <c r="BY46" i="31"/>
  <c r="BY293" i="31"/>
  <c r="BY457" i="31"/>
  <c r="BY489" i="31"/>
  <c r="BY350" i="31"/>
  <c r="BY29" i="31"/>
  <c r="BY330" i="31"/>
  <c r="BY204" i="31"/>
  <c r="BY438" i="31"/>
  <c r="BY143" i="31"/>
  <c r="BY555" i="31"/>
  <c r="BY39" i="31"/>
  <c r="BY278" i="31"/>
  <c r="BY320" i="31"/>
  <c r="BY439" i="31"/>
  <c r="BY133" i="31"/>
  <c r="BY396" i="31"/>
  <c r="BY426" i="31"/>
  <c r="BY394" i="31"/>
  <c r="BY500" i="31"/>
  <c r="BY397" i="31"/>
  <c r="BY525" i="31"/>
  <c r="BY597" i="31"/>
  <c r="BY483" i="31"/>
  <c r="BY425" i="31"/>
  <c r="BY140" i="31"/>
  <c r="BY424" i="31"/>
  <c r="BY97" i="31"/>
  <c r="BY263" i="31"/>
  <c r="BY490" i="31"/>
  <c r="BY215" i="31"/>
  <c r="BY380" i="31"/>
  <c r="BY357" i="31"/>
  <c r="BY510" i="31"/>
  <c r="BY137" i="31"/>
  <c r="BY516" i="31"/>
  <c r="BY281" i="31"/>
  <c r="BY51" i="31"/>
  <c r="BY33" i="31"/>
  <c r="BY372" i="31"/>
  <c r="BY124" i="31"/>
  <c r="BY159" i="31"/>
  <c r="BY119" i="31"/>
  <c r="BY503" i="31"/>
  <c r="BY146" i="31"/>
  <c r="BY538" i="31"/>
  <c r="BY197" i="31"/>
  <c r="BY592" i="31"/>
  <c r="BY216" i="31"/>
  <c r="BY271" i="31"/>
  <c r="BY462" i="31"/>
  <c r="BY178" i="31"/>
  <c r="BY267" i="31"/>
  <c r="BY315" i="31"/>
  <c r="BY219" i="31"/>
  <c r="BY455" i="31"/>
  <c r="BY73" i="31"/>
  <c r="BY99" i="31"/>
  <c r="BY136" i="31"/>
  <c r="BY373" i="31"/>
  <c r="BY252" i="31"/>
  <c r="BY259" i="31"/>
  <c r="BY395" i="31"/>
  <c r="BY201" i="31"/>
  <c r="BY435" i="31"/>
  <c r="BY325" i="31"/>
  <c r="BY518" i="31"/>
  <c r="BY318" i="31"/>
  <c r="BY123" i="31"/>
  <c r="BY45" i="31"/>
  <c r="BY195" i="31"/>
  <c r="BY57" i="31"/>
  <c r="BY117" i="31"/>
  <c r="BY486" i="31"/>
  <c r="BY120" i="31"/>
  <c r="BY230" i="31"/>
  <c r="BY203" i="31"/>
  <c r="BY509" i="31"/>
  <c r="BY83" i="31"/>
  <c r="BY498" i="31"/>
  <c r="BY101" i="31"/>
  <c r="BY485" i="31"/>
  <c r="BY35" i="31"/>
  <c r="BY176" i="31"/>
  <c r="BY541" i="31"/>
  <c r="BY111" i="31"/>
  <c r="BY577" i="31"/>
  <c r="BY567" i="31"/>
  <c r="BY336" i="31"/>
  <c r="BY406" i="31"/>
  <c r="BY30" i="31"/>
  <c r="BY224" i="31"/>
  <c r="BY324" i="31"/>
  <c r="BY145" i="31"/>
  <c r="BY456" i="31"/>
  <c r="BY428" i="31"/>
  <c r="BY164" i="31"/>
  <c r="BY109" i="31"/>
  <c r="BY277" i="31"/>
  <c r="BY524" i="31"/>
  <c r="BY568" i="31"/>
  <c r="BY247" i="31"/>
  <c r="BY198" i="31"/>
  <c r="BY517" i="31"/>
  <c r="BY214" i="31"/>
  <c r="BY276" i="31"/>
  <c r="BY275" i="31"/>
  <c r="BY400" i="31"/>
  <c r="BY413" i="31"/>
  <c r="BY351" i="31"/>
  <c r="BY530" i="31"/>
  <c r="BY405" i="31"/>
  <c r="BY144" i="31"/>
  <c r="BY430" i="31"/>
  <c r="BY342" i="31"/>
  <c r="BY175" i="31"/>
  <c r="BY188" i="31"/>
  <c r="BY384" i="31"/>
  <c r="BY374" i="31"/>
  <c r="BY348" i="31"/>
  <c r="BY250" i="31"/>
  <c r="BY352" i="31"/>
  <c r="BY48" i="31"/>
  <c r="BY519" i="31"/>
  <c r="BY332" i="31"/>
  <c r="BY62" i="31"/>
  <c r="BY122" i="31"/>
  <c r="BY43" i="31"/>
  <c r="BY447" i="31"/>
  <c r="BY190" i="31"/>
  <c r="BY142" i="31"/>
  <c r="BY576" i="31"/>
  <c r="BY511" i="31"/>
  <c r="BY185" i="31"/>
  <c r="BY506" i="31"/>
  <c r="BY202" i="31"/>
  <c r="BY347" i="31"/>
  <c r="BY84" i="31"/>
  <c r="BY382" i="31"/>
  <c r="BY118" i="31"/>
  <c r="BY135" i="31"/>
  <c r="BY326" i="31"/>
  <c r="BY205" i="31"/>
  <c r="BY537" i="31"/>
  <c r="BY411" i="31"/>
  <c r="BY298" i="31"/>
  <c r="BY377" i="31"/>
  <c r="BY453" i="31"/>
  <c r="BY194" i="31"/>
  <c r="BY69" i="31"/>
  <c r="BY86" i="31"/>
  <c r="BY379" i="31"/>
  <c r="BY514" i="31"/>
  <c r="BY558" i="31"/>
  <c r="BY369" i="31"/>
  <c r="BY304" i="31"/>
  <c r="BY589" i="31"/>
  <c r="BY499" i="31"/>
  <c r="BY422" i="31"/>
  <c r="BY566" i="31"/>
  <c r="BY458" i="31"/>
  <c r="BY484" i="31"/>
  <c r="BY410" i="31"/>
  <c r="BY237" i="31"/>
  <c r="BY493" i="31"/>
  <c r="BY415" i="31"/>
  <c r="BY113" i="31"/>
  <c r="BY361" i="31"/>
  <c r="BY66" i="31"/>
  <c r="BY358" i="31"/>
  <c r="BY32" i="31"/>
  <c r="BY528" i="31"/>
  <c r="BY112" i="31"/>
  <c r="BY248" i="31"/>
  <c r="BY233" i="31"/>
  <c r="BY296" i="31"/>
  <c r="BY408" i="31"/>
  <c r="BY446" i="31"/>
  <c r="BY385" i="31"/>
  <c r="BY95" i="31"/>
  <c r="BY383" i="31"/>
  <c r="BY317" i="31"/>
  <c r="BY451" i="31"/>
  <c r="BY254" i="31"/>
  <c r="BY31" i="31"/>
  <c r="BY310" i="31"/>
  <c r="BY42" i="31"/>
  <c r="BY569" i="31"/>
  <c r="BY346" i="31"/>
  <c r="BY536" i="31"/>
  <c r="BY88" i="31"/>
  <c r="BY550" i="31"/>
  <c r="BY472" i="31"/>
  <c r="BY556" i="31"/>
  <c r="BY258" i="31"/>
  <c r="BY371" i="31"/>
  <c r="BY294" i="31"/>
  <c r="BY375" i="31"/>
  <c r="BY436" i="31"/>
  <c r="BY128" i="31"/>
  <c r="BY187" i="31"/>
  <c r="BY539" i="31"/>
  <c r="BY492" i="31"/>
  <c r="BY441" i="31"/>
  <c r="BY551" i="31"/>
  <c r="BY399" i="31"/>
  <c r="BY160" i="31"/>
  <c r="BY40" i="31"/>
  <c r="BY526" i="31"/>
  <c r="BY244" i="31"/>
  <c r="BY297" i="31"/>
  <c r="BY328" i="31"/>
  <c r="BY285" i="31"/>
  <c r="BY211" i="31"/>
  <c r="BY245" i="31"/>
  <c r="BY389" i="31"/>
  <c r="BY388" i="31"/>
  <c r="BY354" i="31"/>
  <c r="BY74" i="31"/>
  <c r="BY56" i="31"/>
  <c r="BY162" i="31"/>
  <c r="BY153" i="31"/>
  <c r="BY166" i="31"/>
  <c r="BY570" i="31"/>
  <c r="BY64" i="31"/>
  <c r="BY89" i="31"/>
  <c r="BY303" i="31"/>
  <c r="BY177" i="31"/>
  <c r="BY256" i="31"/>
  <c r="BY283" i="31"/>
  <c r="BY295" i="31"/>
  <c r="BY423" i="31"/>
  <c r="BY134" i="31"/>
  <c r="BY302" i="31"/>
  <c r="BY90" i="31"/>
  <c r="BY360" i="31"/>
  <c r="BY269" i="31"/>
  <c r="BY301" i="31"/>
  <c r="BY165" i="31"/>
  <c r="BY172" i="31"/>
  <c r="BY36" i="31"/>
  <c r="BY534" i="31"/>
  <c r="BY246" i="31"/>
  <c r="BY206" i="31"/>
  <c r="BY125" i="31"/>
  <c r="BY196" i="31"/>
  <c r="BY454" i="31"/>
  <c r="BY147" i="31"/>
  <c r="BY459" i="31"/>
  <c r="BY585" i="31"/>
  <c r="BY270" i="31"/>
  <c r="BY70" i="31"/>
  <c r="BY108" i="31"/>
  <c r="BY222" i="31"/>
  <c r="BY253" i="31"/>
  <c r="BY308" i="31"/>
  <c r="BY363" i="31"/>
  <c r="BY387" i="31"/>
  <c r="BY65" i="31"/>
  <c r="BY464" i="31"/>
  <c r="BY334" i="31"/>
  <c r="BY582" i="31"/>
  <c r="BY344" i="31"/>
  <c r="BY542" i="31"/>
  <c r="BY75" i="31"/>
  <c r="BY323" i="31"/>
  <c r="BY67" i="31"/>
  <c r="BY37" i="31"/>
  <c r="BY477" i="31"/>
  <c r="BY38" i="31"/>
  <c r="BY311" i="31"/>
  <c r="BY217" i="31"/>
  <c r="BY403" i="31"/>
  <c r="BY321" i="31"/>
  <c r="BY150" i="31"/>
  <c r="BY501" i="31"/>
  <c r="BY50" i="31"/>
  <c r="BY225" i="31"/>
  <c r="BY212" i="31"/>
  <c r="BY594" i="31"/>
  <c r="BY588" i="31"/>
  <c r="BY480" i="31"/>
  <c r="BY174" i="31"/>
  <c r="BY559" i="31"/>
  <c r="BY264" i="31"/>
  <c r="BY98" i="31"/>
  <c r="BY110" i="31"/>
  <c r="BY591" i="31"/>
  <c r="BY434" i="31"/>
  <c r="BY355" i="31"/>
  <c r="BY479" i="31"/>
  <c r="BY362" i="31"/>
  <c r="BY291" i="31"/>
  <c r="BY356" i="31"/>
  <c r="BY200" i="31"/>
  <c r="BY507" i="31"/>
  <c r="BY61" i="31"/>
  <c r="BY335" i="31"/>
  <c r="BY272" i="31"/>
  <c r="BY126" i="31"/>
  <c r="BY173" i="31"/>
  <c r="BY227" i="31"/>
  <c r="BY240" i="31"/>
  <c r="BY448" i="31"/>
  <c r="BY407" i="31"/>
  <c r="BY452" i="31"/>
  <c r="BY476" i="31"/>
  <c r="BY378" i="31"/>
  <c r="BY121" i="31"/>
  <c r="BY127" i="31"/>
  <c r="BY249" i="31"/>
  <c r="BY186" i="31"/>
  <c r="BY103" i="31"/>
  <c r="BY465" i="31"/>
  <c r="BY289" i="31"/>
  <c r="BY87" i="31"/>
  <c r="BY329" i="31"/>
  <c r="BY163" i="31"/>
  <c r="BY552" i="31"/>
  <c r="BY191" i="31"/>
  <c r="BY91" i="31"/>
  <c r="BY512" i="31"/>
  <c r="BY168" i="31"/>
  <c r="BY565" i="31"/>
  <c r="BY427" i="31"/>
  <c r="BY349" i="31"/>
  <c r="BY273" i="31"/>
  <c r="BY116" i="31"/>
  <c r="BY474" i="31"/>
  <c r="BY540" i="31"/>
  <c r="BY92" i="31"/>
  <c r="BY343" i="31"/>
  <c r="BY421" i="31"/>
  <c r="BY231" i="31"/>
  <c r="BY171" i="31"/>
  <c r="BY241" i="31"/>
  <c r="BY284" i="31"/>
  <c r="BY487" i="31"/>
  <c r="BY420" i="31"/>
  <c r="BY562" i="31"/>
  <c r="BY337" i="31"/>
  <c r="BY532" i="31"/>
  <c r="BY481" i="31"/>
  <c r="BY553" i="31"/>
  <c r="BY167" i="31"/>
  <c r="BY402" i="31"/>
  <c r="BY505" i="31"/>
  <c r="BY34" i="31"/>
  <c r="BY449" i="31"/>
  <c r="BY587" i="31"/>
  <c r="BY226" i="31"/>
  <c r="BY584" i="31"/>
  <c r="BY461" i="31"/>
  <c r="BY242" i="31"/>
  <c r="BY353" i="31"/>
  <c r="BY94" i="31"/>
  <c r="BY544" i="31"/>
  <c r="BY220" i="31"/>
  <c r="BY513" i="31"/>
  <c r="BY437" i="31"/>
  <c r="BY58" i="31"/>
  <c r="BY82" i="31"/>
  <c r="BY192" i="31"/>
  <c r="BY299" i="31"/>
  <c r="BY107" i="31"/>
  <c r="BY560" i="31"/>
  <c r="BY386" i="31"/>
  <c r="BY138" i="31"/>
  <c r="BY466" i="31"/>
  <c r="BY322" i="31"/>
  <c r="BY257" i="31"/>
  <c r="BY460" i="31"/>
  <c r="BY155" i="31"/>
  <c r="BY218" i="31"/>
  <c r="J58" i="1"/>
  <c r="BY341" i="31"/>
  <c r="BV367" i="31"/>
  <c r="BZ367" i="31"/>
  <c r="A20" i="1"/>
  <c r="I19" i="1"/>
  <c r="H19" i="1"/>
  <c r="CU624" i="31"/>
  <c r="CU556" i="31"/>
  <c r="CU617" i="31"/>
  <c r="CU633" i="31"/>
  <c r="CU618" i="31"/>
  <c r="CU570" i="31"/>
  <c r="CU558" i="31"/>
  <c r="CU607" i="31"/>
  <c r="CU625" i="31"/>
  <c r="CU574" i="31"/>
  <c r="CU552" i="31"/>
  <c r="CU601" i="31"/>
  <c r="CU631" i="31"/>
  <c r="CU611" i="31"/>
  <c r="CT534" i="31"/>
  <c r="CU555" i="31"/>
  <c r="CU629" i="31"/>
  <c r="CU605" i="31"/>
  <c r="CU619" i="31"/>
  <c r="CU626" i="31"/>
  <c r="CU609" i="31"/>
  <c r="CU621" i="31"/>
  <c r="CU622" i="31"/>
  <c r="CU632" i="31"/>
  <c r="CT537" i="31"/>
  <c r="CU578" i="31"/>
  <c r="CU566" i="31"/>
  <c r="CU623" i="31"/>
  <c r="CU551" i="31"/>
  <c r="CU630" i="31"/>
  <c r="CU554" i="31"/>
  <c r="CU553" i="31"/>
  <c r="CU602" i="31"/>
  <c r="CU562" i="31"/>
  <c r="CU610" i="31"/>
  <c r="CU613" i="31"/>
  <c r="CU557" i="31"/>
  <c r="CU606" i="31"/>
  <c r="CU627" i="31"/>
  <c r="CU628" i="31"/>
  <c r="CU550" i="31"/>
  <c r="CU603" i="31"/>
  <c r="CU615" i="31"/>
  <c r="CU614" i="31"/>
  <c r="F24" i="28"/>
  <c r="F8" i="28"/>
  <c r="H6" i="24"/>
  <c r="F47" i="28" s="1"/>
  <c r="F31" i="28"/>
  <c r="F11" i="28"/>
  <c r="H5" i="24"/>
  <c r="F17" i="28" s="1"/>
  <c r="F52" i="28"/>
  <c r="F35" i="28"/>
  <c r="F40" i="28"/>
  <c r="F12" i="28"/>
  <c r="F65" i="28"/>
  <c r="F67" i="28"/>
  <c r="F14" i="28"/>
  <c r="F41" i="28"/>
  <c r="F48" i="28"/>
  <c r="F16" i="28"/>
  <c r="F28" i="28"/>
  <c r="F34" i="28"/>
  <c r="F19" i="28"/>
  <c r="F39" i="28"/>
  <c r="F60" i="28"/>
  <c r="F32" i="28"/>
  <c r="F13" i="28"/>
  <c r="F66" i="28"/>
  <c r="F62" i="28"/>
  <c r="F21" i="28"/>
  <c r="F38" i="28"/>
  <c r="F49" i="28"/>
  <c r="F22" i="28"/>
  <c r="F23" i="28"/>
  <c r="F30" i="28"/>
  <c r="F61" i="28"/>
  <c r="F42" i="28"/>
  <c r="F20" i="28"/>
  <c r="F15" i="28"/>
  <c r="F64" i="28"/>
  <c r="F33" i="28"/>
  <c r="F44" i="28"/>
  <c r="F27" i="28"/>
  <c r="F43" i="28"/>
  <c r="F63" i="28"/>
  <c r="F18" i="28"/>
  <c r="DA14" i="2"/>
  <c r="DA12" i="2"/>
  <c r="DA10" i="2"/>
  <c r="DA8" i="2"/>
  <c r="DA6" i="2"/>
  <c r="DA4" i="2"/>
  <c r="CA367" i="31"/>
  <c r="BX367" i="31"/>
  <c r="BY367" i="31" l="1"/>
  <c r="BZ393" i="31"/>
  <c r="BV393" i="31"/>
  <c r="A21" i="1"/>
  <c r="H20" i="1"/>
  <c r="I20" i="1"/>
  <c r="CU595" i="31"/>
  <c r="CU616" i="31"/>
  <c r="CU612" i="31"/>
  <c r="CU592" i="31"/>
  <c r="CU599" i="31"/>
  <c r="CU604" i="31"/>
  <c r="CU596" i="31"/>
  <c r="CU593" i="31"/>
  <c r="CU620" i="31"/>
  <c r="CT579" i="31"/>
  <c r="CU597" i="31"/>
  <c r="CT576" i="31"/>
  <c r="CU594" i="31"/>
  <c r="CU600" i="31"/>
  <c r="CU608" i="31"/>
  <c r="CU598" i="31"/>
  <c r="F9" i="28"/>
  <c r="F29" i="28"/>
  <c r="F51" i="28"/>
  <c r="F55" i="28"/>
  <c r="F37" i="28"/>
  <c r="F46" i="28"/>
  <c r="F53" i="28"/>
  <c r="F36" i="28"/>
  <c r="F54" i="28"/>
  <c r="F45" i="28"/>
  <c r="F50" i="28"/>
  <c r="DB13" i="2"/>
  <c r="DB9" i="2"/>
  <c r="DB4" i="2"/>
  <c r="DB6" i="2"/>
  <c r="DD6" i="2" s="1"/>
  <c r="DB8" i="2"/>
  <c r="DD8" i="2" s="1"/>
  <c r="DB10" i="2"/>
  <c r="DB12" i="2"/>
  <c r="DB14" i="2"/>
  <c r="DD14" i="2" s="1"/>
  <c r="DA3" i="2"/>
  <c r="DA5" i="2"/>
  <c r="DA7" i="2"/>
  <c r="DA9" i="2"/>
  <c r="DA11" i="2"/>
  <c r="DA13" i="2"/>
  <c r="DA15" i="2"/>
  <c r="DB7" i="2"/>
  <c r="DB11" i="2"/>
  <c r="DB15" i="2"/>
  <c r="DB5" i="2"/>
  <c r="DB3" i="2"/>
  <c r="BX393" i="31"/>
  <c r="CA393" i="31"/>
  <c r="DB16" i="2" l="1"/>
  <c r="BY393" i="31"/>
  <c r="BV419" i="31"/>
  <c r="BZ419" i="31"/>
  <c r="DA16" i="2"/>
  <c r="A22" i="1"/>
  <c r="I21" i="1"/>
  <c r="H21" i="1"/>
  <c r="B19" i="2"/>
  <c r="L5" i="30"/>
  <c r="B21" i="2"/>
  <c r="N5" i="30"/>
  <c r="B12" i="2"/>
  <c r="H5" i="30"/>
  <c r="B33" i="2"/>
  <c r="U5" i="30"/>
  <c r="T2" i="31" s="1"/>
  <c r="B18" i="2"/>
  <c r="K5" i="30"/>
  <c r="B4" i="2"/>
  <c r="C5" i="30"/>
  <c r="B14" i="2"/>
  <c r="J5" i="30"/>
  <c r="B32" i="2"/>
  <c r="T5" i="30"/>
  <c r="S2" i="31" s="1"/>
  <c r="B38" i="2"/>
  <c r="X5" i="30"/>
  <c r="W2" i="31" s="1"/>
  <c r="B11" i="2"/>
  <c r="G5" i="30"/>
  <c r="F10" i="28"/>
  <c r="B7" i="2"/>
  <c r="F5" i="30"/>
  <c r="B27" i="2"/>
  <c r="Q5" i="30"/>
  <c r="B20" i="2"/>
  <c r="M5" i="30"/>
  <c r="B40" i="2"/>
  <c r="Z5" i="30"/>
  <c r="Y2" i="31" s="1"/>
  <c r="B26" i="2"/>
  <c r="P5" i="30"/>
  <c r="B5" i="2"/>
  <c r="D5" i="30"/>
  <c r="B25" i="2"/>
  <c r="O5" i="30"/>
  <c r="B39" i="2"/>
  <c r="Y5" i="30"/>
  <c r="X2" i="31" s="1"/>
  <c r="F26" i="28"/>
  <c r="B13" i="2"/>
  <c r="I5" i="30"/>
  <c r="B37" i="2"/>
  <c r="W5" i="30"/>
  <c r="V2" i="31" s="1"/>
  <c r="B28" i="2"/>
  <c r="R5" i="30"/>
  <c r="Q2" i="31" s="1"/>
  <c r="F25" i="28"/>
  <c r="CT618" i="31"/>
  <c r="CT621" i="31"/>
  <c r="DD15" i="2"/>
  <c r="DD4" i="2"/>
  <c r="DD13" i="2"/>
  <c r="DD12" i="2"/>
  <c r="DD5" i="2"/>
  <c r="DD10" i="2"/>
  <c r="DD3" i="2"/>
  <c r="DD11" i="2"/>
  <c r="DD7" i="2"/>
  <c r="DD9" i="2"/>
  <c r="CA29" i="31"/>
  <c r="CA419" i="31"/>
  <c r="BX419" i="31"/>
  <c r="CA30" i="31"/>
  <c r="CA31" i="31"/>
  <c r="CA33" i="31"/>
  <c r="DD16" i="2" l="1"/>
  <c r="BY419" i="31"/>
  <c r="BT596" i="31"/>
  <c r="BT586" i="31"/>
  <c r="BT576" i="31"/>
  <c r="BT598" i="31"/>
  <c r="BT592" i="31"/>
  <c r="BT582" i="31"/>
  <c r="BT588" i="31"/>
  <c r="BT578" i="31"/>
  <c r="BT600" i="31"/>
  <c r="BT594" i="31"/>
  <c r="BT584" i="31"/>
  <c r="BT589" i="31"/>
  <c r="BT581" i="31"/>
  <c r="BT577" i="31"/>
  <c r="BT597" i="31"/>
  <c r="BT593" i="31"/>
  <c r="BT575" i="31"/>
  <c r="BT579" i="31"/>
  <c r="BT580" i="31"/>
  <c r="BT585" i="31"/>
  <c r="BT587" i="31"/>
  <c r="BT595" i="31"/>
  <c r="BT599" i="31"/>
  <c r="BT591" i="31"/>
  <c r="BT583" i="31"/>
  <c r="BT590" i="31"/>
  <c r="BT570" i="31"/>
  <c r="BT566" i="31"/>
  <c r="BT556" i="31"/>
  <c r="BT572" i="31"/>
  <c r="BT562" i="31"/>
  <c r="BT552" i="31"/>
  <c r="BT568" i="31"/>
  <c r="BT550" i="31"/>
  <c r="BT574" i="31"/>
  <c r="BT560" i="31"/>
  <c r="BT558" i="31"/>
  <c r="BT571" i="31"/>
  <c r="BT551" i="31"/>
  <c r="BT555" i="31"/>
  <c r="BT549" i="31"/>
  <c r="BT563" i="31"/>
  <c r="BT567" i="31"/>
  <c r="BT554" i="31"/>
  <c r="BT565" i="31"/>
  <c r="BT553" i="31"/>
  <c r="BT573" i="31"/>
  <c r="BT561" i="31"/>
  <c r="BT569" i="31"/>
  <c r="BT559" i="31"/>
  <c r="BT564" i="31"/>
  <c r="BT557" i="31"/>
  <c r="BT404" i="31"/>
  <c r="BT418" i="31"/>
  <c r="BT400" i="31"/>
  <c r="BT394" i="31"/>
  <c r="BT414" i="31"/>
  <c r="BT396" i="31"/>
  <c r="BT416" i="31"/>
  <c r="BT410" i="31"/>
  <c r="BT412" i="31"/>
  <c r="BT406" i="31"/>
  <c r="BT402" i="31"/>
  <c r="BT395" i="31"/>
  <c r="BT393" i="31"/>
  <c r="BT415" i="31"/>
  <c r="BT399" i="31"/>
  <c r="BT407" i="31"/>
  <c r="BT411" i="31"/>
  <c r="BT398" i="31"/>
  <c r="BT405" i="31"/>
  <c r="BT409" i="31"/>
  <c r="BT397" i="31"/>
  <c r="BT413" i="31"/>
  <c r="BT403" i="31"/>
  <c r="BT401" i="31"/>
  <c r="BT417" i="31"/>
  <c r="BT408" i="31"/>
  <c r="BT546" i="31"/>
  <c r="BT544" i="31"/>
  <c r="BT530" i="31"/>
  <c r="BT542" i="31"/>
  <c r="BT540" i="31"/>
  <c r="BT526" i="31"/>
  <c r="BT534" i="31"/>
  <c r="BT536" i="31"/>
  <c r="BT524" i="31"/>
  <c r="BT548" i="31"/>
  <c r="BT532" i="31"/>
  <c r="BT537" i="31"/>
  <c r="BT545" i="31"/>
  <c r="BT523" i="31"/>
  <c r="BT529" i="31"/>
  <c r="BT525" i="31"/>
  <c r="BT541" i="31"/>
  <c r="BT533" i="31"/>
  <c r="BT527" i="31"/>
  <c r="BT539" i="31"/>
  <c r="BT528" i="31"/>
  <c r="BT531" i="31"/>
  <c r="BT543" i="31"/>
  <c r="BT535" i="31"/>
  <c r="BT538" i="31"/>
  <c r="BT547" i="31"/>
  <c r="BT458" i="31"/>
  <c r="BT448" i="31"/>
  <c r="BT464" i="31"/>
  <c r="BT446" i="31"/>
  <c r="BT470" i="31"/>
  <c r="BT456" i="31"/>
  <c r="BT466" i="31"/>
  <c r="BT462" i="31"/>
  <c r="BT452" i="31"/>
  <c r="BT468" i="31"/>
  <c r="BT454" i="31"/>
  <c r="BT459" i="31"/>
  <c r="BT463" i="31"/>
  <c r="BT467" i="31"/>
  <c r="BT447" i="31"/>
  <c r="BT451" i="31"/>
  <c r="BT445" i="31"/>
  <c r="BT455" i="31"/>
  <c r="BT460" i="31"/>
  <c r="BT453" i="31"/>
  <c r="BT450" i="31"/>
  <c r="BT461" i="31"/>
  <c r="BT449" i="31"/>
  <c r="BT469" i="31"/>
  <c r="BT457" i="31"/>
  <c r="BT465" i="31"/>
  <c r="BT484" i="31"/>
  <c r="BT474" i="31"/>
  <c r="BT494" i="31"/>
  <c r="BT496" i="31"/>
  <c r="BT490" i="31"/>
  <c r="BT492" i="31"/>
  <c r="BT482" i="31"/>
  <c r="BT472" i="31"/>
  <c r="BT488" i="31"/>
  <c r="BT478" i="31"/>
  <c r="BT480" i="31"/>
  <c r="BT489" i="31"/>
  <c r="BT471" i="31"/>
  <c r="BT485" i="31"/>
  <c r="BT477" i="31"/>
  <c r="BT473" i="31"/>
  <c r="BT493" i="31"/>
  <c r="BT476" i="31"/>
  <c r="BT486" i="31"/>
  <c r="BT495" i="31"/>
  <c r="BT487" i="31"/>
  <c r="BT479" i="31"/>
  <c r="BT481" i="31"/>
  <c r="BT491" i="31"/>
  <c r="BT483" i="31"/>
  <c r="BT475" i="31"/>
  <c r="BZ445" i="31"/>
  <c r="BT620" i="31"/>
  <c r="BT622" i="31"/>
  <c r="BT612" i="31"/>
  <c r="BT618" i="31"/>
  <c r="BT604" i="31"/>
  <c r="BT608" i="31"/>
  <c r="BT614" i="31"/>
  <c r="BT602" i="31"/>
  <c r="BT610" i="31"/>
  <c r="BT615" i="31"/>
  <c r="BT601" i="31"/>
  <c r="BT607" i="31"/>
  <c r="BT619" i="31"/>
  <c r="BT623" i="31"/>
  <c r="BT603" i="31"/>
  <c r="BT616" i="31"/>
  <c r="BT613" i="31"/>
  <c r="BT609" i="31"/>
  <c r="BT611" i="31"/>
  <c r="BT617" i="31"/>
  <c r="BT606" i="31"/>
  <c r="BT621" i="31"/>
  <c r="BT605" i="31"/>
  <c r="BV445" i="31"/>
  <c r="B2" i="31"/>
  <c r="BT3" i="31" s="1"/>
  <c r="BT4" i="31" s="1"/>
  <c r="BT5" i="31" s="1"/>
  <c r="BT6" i="31" s="1"/>
  <c r="BT7" i="31" s="1"/>
  <c r="BT8" i="31" s="1"/>
  <c r="BT9" i="31" s="1"/>
  <c r="BT10" i="31" s="1"/>
  <c r="BT11" i="31" s="1"/>
  <c r="BT12" i="31" s="1"/>
  <c r="BT13" i="31" s="1"/>
  <c r="BT14" i="31" s="1"/>
  <c r="BT15" i="31" s="1"/>
  <c r="BT16" i="31" s="1"/>
  <c r="BT17" i="31" s="1"/>
  <c r="BT18" i="31" s="1"/>
  <c r="BT19" i="31" s="1"/>
  <c r="BT20" i="31" s="1"/>
  <c r="BT21" i="31" s="1"/>
  <c r="BT22" i="31" s="1"/>
  <c r="BT23" i="31" s="1"/>
  <c r="BT24" i="31" s="1"/>
  <c r="BT25" i="31" s="1"/>
  <c r="BT26" i="31" s="1"/>
  <c r="BT27" i="31" s="1"/>
  <c r="BT28" i="31" s="1"/>
  <c r="P2" i="31"/>
  <c r="N2" i="31"/>
  <c r="O2" i="31"/>
  <c r="L2" i="31"/>
  <c r="E2" i="31"/>
  <c r="F2" i="31"/>
  <c r="M2" i="31"/>
  <c r="H2" i="31"/>
  <c r="C2" i="31"/>
  <c r="BT42" i="31" s="1"/>
  <c r="I2" i="31"/>
  <c r="J2" i="31"/>
  <c r="G2" i="31"/>
  <c r="K2" i="31"/>
  <c r="DA17" i="2"/>
  <c r="DB17" i="2"/>
  <c r="A23" i="1"/>
  <c r="H22" i="1"/>
  <c r="I22" i="1"/>
  <c r="B6" i="2"/>
  <c r="E5" i="30"/>
  <c r="B34" i="2"/>
  <c r="V5" i="30"/>
  <c r="U2" i="31" s="1"/>
  <c r="B31" i="2"/>
  <c r="S5" i="30"/>
  <c r="R2" i="31" s="1"/>
  <c r="DC31" i="2"/>
  <c r="DC19" i="2"/>
  <c r="CZ26" i="2"/>
  <c r="DC24" i="2"/>
  <c r="DC32" i="2"/>
  <c r="CZ38" i="2"/>
  <c r="CZ20" i="2"/>
  <c r="CZ27" i="2"/>
  <c r="CZ31" i="2"/>
  <c r="DC29" i="2"/>
  <c r="CZ37" i="2"/>
  <c r="CZ36" i="2"/>
  <c r="CZ35" i="2"/>
  <c r="CZ34" i="2"/>
  <c r="CZ33" i="2"/>
  <c r="CZ32" i="2"/>
  <c r="CZ30" i="2"/>
  <c r="CZ29" i="2"/>
  <c r="CZ28" i="2"/>
  <c r="CZ25" i="2"/>
  <c r="CZ24" i="2"/>
  <c r="CZ23" i="2"/>
  <c r="CZ21" i="2"/>
  <c r="CZ19" i="2"/>
  <c r="CZ18" i="2"/>
  <c r="CZ17" i="2"/>
  <c r="CZ16" i="2"/>
  <c r="CZ15" i="2"/>
  <c r="CZ14" i="2"/>
  <c r="CZ13" i="2"/>
  <c r="CZ12" i="2"/>
  <c r="CZ11" i="2"/>
  <c r="CZ9" i="2"/>
  <c r="CZ8" i="2"/>
  <c r="CZ7" i="2"/>
  <c r="CZ6" i="2"/>
  <c r="CZ5" i="2"/>
  <c r="CZ3" i="2"/>
  <c r="DC38" i="2"/>
  <c r="DC36" i="2"/>
  <c r="DC35" i="2"/>
  <c r="DC34" i="2"/>
  <c r="DC30" i="2"/>
  <c r="DC27" i="2"/>
  <c r="DC26" i="2"/>
  <c r="DC25" i="2"/>
  <c r="DC23" i="2"/>
  <c r="DC22" i="2"/>
  <c r="DC20" i="2"/>
  <c r="DC17" i="2"/>
  <c r="DC16" i="2"/>
  <c r="DC15" i="2"/>
  <c r="DC13" i="2"/>
  <c r="DC11" i="2"/>
  <c r="DC10" i="2"/>
  <c r="DC8" i="2"/>
  <c r="DC7" i="2"/>
  <c r="DC6" i="2"/>
  <c r="DC5" i="2"/>
  <c r="DC4" i="2"/>
  <c r="DC3" i="2"/>
  <c r="CA55" i="31"/>
  <c r="CA445" i="31"/>
  <c r="BX445" i="31"/>
  <c r="DD17" i="2" l="1"/>
  <c r="BY445" i="31"/>
  <c r="BT194" i="31"/>
  <c r="BT204" i="31"/>
  <c r="BT192" i="31"/>
  <c r="BT196" i="31"/>
  <c r="BT198" i="31"/>
  <c r="BT186" i="31"/>
  <c r="BT188" i="31"/>
  <c r="BT208" i="31"/>
  <c r="BT210" i="31"/>
  <c r="BT202" i="31"/>
  <c r="BT206" i="31"/>
  <c r="BT191" i="31"/>
  <c r="BT199" i="31"/>
  <c r="BT203" i="31"/>
  <c r="BT187" i="31"/>
  <c r="BT185" i="31"/>
  <c r="BT207" i="31"/>
  <c r="BT201" i="31"/>
  <c r="BT189" i="31"/>
  <c r="BT205" i="31"/>
  <c r="BT195" i="31"/>
  <c r="BT193" i="31"/>
  <c r="BT209" i="31"/>
  <c r="BT200" i="31"/>
  <c r="BT190" i="31"/>
  <c r="BT197" i="31"/>
  <c r="BT130" i="31"/>
  <c r="BT108" i="31"/>
  <c r="BT132" i="31"/>
  <c r="BT120" i="31"/>
  <c r="BT126" i="31"/>
  <c r="BT114" i="31"/>
  <c r="BT124" i="31"/>
  <c r="BT116" i="31"/>
  <c r="BT128" i="31"/>
  <c r="BT110" i="31"/>
  <c r="BT118" i="31"/>
  <c r="BT121" i="31"/>
  <c r="BT129" i="31"/>
  <c r="BT107" i="31"/>
  <c r="BT113" i="31"/>
  <c r="BT109" i="31"/>
  <c r="BT125" i="31"/>
  <c r="BT119" i="31"/>
  <c r="BT123" i="31"/>
  <c r="BT112" i="31"/>
  <c r="BT115" i="31"/>
  <c r="BT127" i="31"/>
  <c r="BT117" i="31"/>
  <c r="BT122" i="31"/>
  <c r="BT131" i="31"/>
  <c r="BT111" i="31"/>
  <c r="BT430" i="31"/>
  <c r="BT432" i="31"/>
  <c r="BT420" i="31"/>
  <c r="BT444" i="31"/>
  <c r="BT442" i="31"/>
  <c r="BT440" i="31"/>
  <c r="BT426" i="31"/>
  <c r="BT422" i="31"/>
  <c r="BT436" i="31"/>
  <c r="BT438" i="31"/>
  <c r="BT428" i="31"/>
  <c r="BT421" i="31"/>
  <c r="BT437" i="31"/>
  <c r="BT433" i="31"/>
  <c r="BT441" i="31"/>
  <c r="BT419" i="31"/>
  <c r="BT425" i="31"/>
  <c r="BT431" i="31"/>
  <c r="BT434" i="31"/>
  <c r="BT443" i="31"/>
  <c r="BT429" i="31"/>
  <c r="BT423" i="31"/>
  <c r="BT435" i="31"/>
  <c r="BT424" i="31"/>
  <c r="BT427" i="31"/>
  <c r="BT439" i="31"/>
  <c r="BT258" i="31"/>
  <c r="BT256" i="31"/>
  <c r="BT260" i="31"/>
  <c r="BT248" i="31"/>
  <c r="BT250" i="31"/>
  <c r="BT254" i="31"/>
  <c r="BT262" i="31"/>
  <c r="BT240" i="31"/>
  <c r="BT244" i="31"/>
  <c r="BT246" i="31"/>
  <c r="BT238" i="31"/>
  <c r="BT259" i="31"/>
  <c r="BT239" i="31"/>
  <c r="BT243" i="31"/>
  <c r="BT237" i="31"/>
  <c r="BT251" i="31"/>
  <c r="BT255" i="31"/>
  <c r="BT247" i="31"/>
  <c r="BT252" i="31"/>
  <c r="BT245" i="31"/>
  <c r="BT242" i="31"/>
  <c r="BT253" i="31"/>
  <c r="BT241" i="31"/>
  <c r="BT261" i="31"/>
  <c r="BT249" i="31"/>
  <c r="BT257" i="31"/>
  <c r="BT51" i="31"/>
  <c r="BT52" i="31"/>
  <c r="BT54" i="31"/>
  <c r="BT53" i="31"/>
  <c r="BT81" i="31"/>
  <c r="BT98" i="31"/>
  <c r="BT103" i="31"/>
  <c r="BT95" i="31"/>
  <c r="BT87" i="31"/>
  <c r="BT106" i="31"/>
  <c r="BT100" i="31"/>
  <c r="BT88" i="31"/>
  <c r="BT102" i="31"/>
  <c r="BT90" i="31"/>
  <c r="BT94" i="31"/>
  <c r="BT82" i="31"/>
  <c r="BT92" i="31"/>
  <c r="BT99" i="31"/>
  <c r="BT83" i="31"/>
  <c r="BT84" i="31"/>
  <c r="BT104" i="31"/>
  <c r="BT85" i="31"/>
  <c r="BT101" i="31"/>
  <c r="BT91" i="31"/>
  <c r="BT89" i="31"/>
  <c r="BT105" i="31"/>
  <c r="BT96" i="31"/>
  <c r="BT86" i="31"/>
  <c r="BT93" i="31"/>
  <c r="BT97" i="31"/>
  <c r="BT388" i="31"/>
  <c r="BT378" i="31"/>
  <c r="BT368" i="31"/>
  <c r="BT384" i="31"/>
  <c r="BT374" i="31"/>
  <c r="BT380" i="31"/>
  <c r="BT370" i="31"/>
  <c r="BT390" i="31"/>
  <c r="BT392" i="31"/>
  <c r="BT386" i="31"/>
  <c r="BT376" i="31"/>
  <c r="BT369" i="31"/>
  <c r="BT389" i="31"/>
  <c r="BT385" i="31"/>
  <c r="BT367" i="31"/>
  <c r="BT381" i="31"/>
  <c r="BT373" i="31"/>
  <c r="BT377" i="31"/>
  <c r="BT387" i="31"/>
  <c r="BT379" i="31"/>
  <c r="BT371" i="31"/>
  <c r="BT372" i="31"/>
  <c r="BT382" i="31"/>
  <c r="BT391" i="31"/>
  <c r="BT383" i="31"/>
  <c r="BT375" i="31"/>
  <c r="BT140" i="31"/>
  <c r="BT152" i="31"/>
  <c r="BT134" i="31"/>
  <c r="BT154" i="31"/>
  <c r="BT146" i="31"/>
  <c r="BT156" i="31"/>
  <c r="BT144" i="31"/>
  <c r="BT158" i="31"/>
  <c r="BT142" i="31"/>
  <c r="BT136" i="31"/>
  <c r="BT150" i="31"/>
  <c r="BT155" i="31"/>
  <c r="BT135" i="31"/>
  <c r="BT139" i="31"/>
  <c r="BT133" i="31"/>
  <c r="BT147" i="31"/>
  <c r="BT151" i="31"/>
  <c r="BT157" i="31"/>
  <c r="BT153" i="31"/>
  <c r="BT143" i="31"/>
  <c r="BT148" i="31"/>
  <c r="BT141" i="31"/>
  <c r="BT138" i="31"/>
  <c r="BT149" i="31"/>
  <c r="BT145" i="31"/>
  <c r="BT137" i="31"/>
  <c r="BT162" i="31"/>
  <c r="BT172" i="31"/>
  <c r="BT160" i="31"/>
  <c r="BT184" i="31"/>
  <c r="BT166" i="31"/>
  <c r="BT180" i="31"/>
  <c r="BT178" i="31"/>
  <c r="BT176" i="31"/>
  <c r="BT168" i="31"/>
  <c r="BT182" i="31"/>
  <c r="BT170" i="31"/>
  <c r="BT161" i="31"/>
  <c r="BT181" i="31"/>
  <c r="BT177" i="31"/>
  <c r="BT159" i="31"/>
  <c r="BT173" i="31"/>
  <c r="BT165" i="31"/>
  <c r="BT183" i="31"/>
  <c r="BT175" i="31"/>
  <c r="BT167" i="31"/>
  <c r="BT169" i="31"/>
  <c r="BT179" i="31"/>
  <c r="BT171" i="31"/>
  <c r="BT163" i="31"/>
  <c r="BT164" i="31"/>
  <c r="BT174" i="31"/>
  <c r="BT276" i="31"/>
  <c r="BT286" i="31"/>
  <c r="BT288" i="31"/>
  <c r="BT272" i="31"/>
  <c r="BT282" i="31"/>
  <c r="BT284" i="31"/>
  <c r="BT274" i="31"/>
  <c r="BT280" i="31"/>
  <c r="BT266" i="31"/>
  <c r="BT270" i="31"/>
  <c r="BT264" i="31"/>
  <c r="BT269" i="31"/>
  <c r="BT265" i="31"/>
  <c r="BT285" i="31"/>
  <c r="BT281" i="31"/>
  <c r="BT263" i="31"/>
  <c r="BT277" i="31"/>
  <c r="BT273" i="31"/>
  <c r="BT283" i="31"/>
  <c r="BT275" i="31"/>
  <c r="BT267" i="31"/>
  <c r="BT268" i="31"/>
  <c r="BT278" i="31"/>
  <c r="BT287" i="31"/>
  <c r="BT279" i="31"/>
  <c r="BT271" i="31"/>
  <c r="BT500" i="31"/>
  <c r="BT520" i="31"/>
  <c r="BT514" i="31"/>
  <c r="BT516" i="31"/>
  <c r="BT510" i="31"/>
  <c r="BT508" i="31"/>
  <c r="BT522" i="31"/>
  <c r="BT498" i="31"/>
  <c r="BT504" i="31"/>
  <c r="BT518" i="31"/>
  <c r="BT506" i="31"/>
  <c r="BT497" i="31"/>
  <c r="BT519" i="31"/>
  <c r="BT503" i="31"/>
  <c r="BT511" i="31"/>
  <c r="BT515" i="31"/>
  <c r="BT499" i="31"/>
  <c r="BT501" i="31"/>
  <c r="BT517" i="31"/>
  <c r="BT507" i="31"/>
  <c r="BT505" i="31"/>
  <c r="BT521" i="31"/>
  <c r="BT512" i="31"/>
  <c r="BT502" i="31"/>
  <c r="BT509" i="31"/>
  <c r="BT513" i="31"/>
  <c r="BT236" i="31"/>
  <c r="BT224" i="31"/>
  <c r="BT228" i="31"/>
  <c r="BT230" i="31"/>
  <c r="BT218" i="31"/>
  <c r="BT222" i="31"/>
  <c r="BT232" i="31"/>
  <c r="BT220" i="31"/>
  <c r="BT212" i="31"/>
  <c r="BT234" i="31"/>
  <c r="BT214" i="31"/>
  <c r="BT229" i="31"/>
  <c r="BT225" i="31"/>
  <c r="BT233" i="31"/>
  <c r="BT211" i="31"/>
  <c r="BT217" i="31"/>
  <c r="BT213" i="31"/>
  <c r="BT215" i="31"/>
  <c r="BT227" i="31"/>
  <c r="BT216" i="31"/>
  <c r="BT219" i="31"/>
  <c r="BT231" i="31"/>
  <c r="BT223" i="31"/>
  <c r="BT226" i="31"/>
  <c r="BT235" i="31"/>
  <c r="BT221" i="31"/>
  <c r="BT312" i="31"/>
  <c r="BT292" i="31"/>
  <c r="BT306" i="31"/>
  <c r="BT308" i="31"/>
  <c r="BT302" i="31"/>
  <c r="BT300" i="31"/>
  <c r="BT314" i="31"/>
  <c r="BT298" i="31"/>
  <c r="BT296" i="31"/>
  <c r="BT290" i="31"/>
  <c r="BT310" i="31"/>
  <c r="BT307" i="31"/>
  <c r="BT291" i="31"/>
  <c r="BT289" i="31"/>
  <c r="BT311" i="31"/>
  <c r="BT295" i="31"/>
  <c r="BT303" i="31"/>
  <c r="BT293" i="31"/>
  <c r="BT309" i="31"/>
  <c r="BT299" i="31"/>
  <c r="BT297" i="31"/>
  <c r="BT313" i="31"/>
  <c r="BT304" i="31"/>
  <c r="BT294" i="31"/>
  <c r="BT301" i="31"/>
  <c r="BT305" i="31"/>
  <c r="BT362" i="31"/>
  <c r="BT358" i="31"/>
  <c r="BT348" i="31"/>
  <c r="BT364" i="31"/>
  <c r="BT354" i="31"/>
  <c r="BT344" i="31"/>
  <c r="BT360" i="31"/>
  <c r="BT342" i="31"/>
  <c r="BT366" i="31"/>
  <c r="BT352" i="31"/>
  <c r="BT350" i="31"/>
  <c r="BT347" i="31"/>
  <c r="BT341" i="31"/>
  <c r="BT355" i="31"/>
  <c r="BT359" i="31"/>
  <c r="BT363" i="31"/>
  <c r="BT343" i="31"/>
  <c r="BT351" i="31"/>
  <c r="BT356" i="31"/>
  <c r="BT349" i="31"/>
  <c r="BT346" i="31"/>
  <c r="BT357" i="31"/>
  <c r="BT345" i="31"/>
  <c r="BT365" i="31"/>
  <c r="BT353" i="31"/>
  <c r="BT361" i="31"/>
  <c r="BV471" i="31"/>
  <c r="BZ471" i="31"/>
  <c r="BT338" i="31"/>
  <c r="BT336" i="31"/>
  <c r="BT322" i="31"/>
  <c r="BT334" i="31"/>
  <c r="BT332" i="31"/>
  <c r="BT318" i="31"/>
  <c r="BT326" i="31"/>
  <c r="BT328" i="31"/>
  <c r="BT340" i="31"/>
  <c r="BT324" i="31"/>
  <c r="BT316" i="31"/>
  <c r="BT321" i="31"/>
  <c r="BT317" i="31"/>
  <c r="BT333" i="31"/>
  <c r="BT329" i="31"/>
  <c r="BT337" i="31"/>
  <c r="BT315" i="31"/>
  <c r="BT323" i="31"/>
  <c r="BT335" i="31"/>
  <c r="BT327" i="31"/>
  <c r="BT330" i="31"/>
  <c r="BT339" i="31"/>
  <c r="BT325" i="31"/>
  <c r="BT319" i="31"/>
  <c r="BT331" i="31"/>
  <c r="BT320" i="31"/>
  <c r="BT34" i="31"/>
  <c r="BT46" i="31"/>
  <c r="BT30" i="31"/>
  <c r="BT48" i="31"/>
  <c r="D2" i="31"/>
  <c r="BT55" i="31" s="1"/>
  <c r="BT50" i="31"/>
  <c r="BT29" i="31"/>
  <c r="BT31" i="31"/>
  <c r="BT33" i="31"/>
  <c r="BT41" i="31"/>
  <c r="BT35" i="31"/>
  <c r="BT39" i="31"/>
  <c r="BT43" i="31"/>
  <c r="BT36" i="31"/>
  <c r="BT47" i="31"/>
  <c r="BT40" i="31"/>
  <c r="BT44" i="31"/>
  <c r="BT32" i="31"/>
  <c r="BT49" i="31"/>
  <c r="BT37" i="31"/>
  <c r="BT45" i="31"/>
  <c r="BT38" i="31"/>
  <c r="DB18" i="2"/>
  <c r="DA18" i="2"/>
  <c r="A24" i="1"/>
  <c r="I23" i="1"/>
  <c r="H23" i="1"/>
  <c r="DE14" i="2"/>
  <c r="DE13" i="2"/>
  <c r="DC33" i="2"/>
  <c r="CZ22" i="2"/>
  <c r="DC28" i="2"/>
  <c r="DC21" i="2"/>
  <c r="DC37" i="2"/>
  <c r="DC9" i="2"/>
  <c r="DC14" i="2"/>
  <c r="CZ10" i="2"/>
  <c r="DC12" i="2"/>
  <c r="CZ4" i="2"/>
  <c r="CA471" i="31"/>
  <c r="BX471" i="31"/>
  <c r="DE17" i="2" l="1"/>
  <c r="BY471" i="31"/>
  <c r="BT72" i="31"/>
  <c r="BT70" i="31"/>
  <c r="BT69" i="31"/>
  <c r="BT68" i="31"/>
  <c r="BT73" i="31"/>
  <c r="BT79" i="31"/>
  <c r="BT71" i="31"/>
  <c r="BT63" i="31"/>
  <c r="BT64" i="31"/>
  <c r="BT62" i="31"/>
  <c r="BT61" i="31"/>
  <c r="BT66" i="31"/>
  <c r="BT57" i="31"/>
  <c r="BT56" i="31"/>
  <c r="BT65" i="31"/>
  <c r="BT80" i="31"/>
  <c r="BT58" i="31"/>
  <c r="BT67" i="31"/>
  <c r="BT60" i="31"/>
  <c r="BT75" i="31"/>
  <c r="BT74" i="31"/>
  <c r="BT78" i="31"/>
  <c r="BT59" i="31"/>
  <c r="BT77" i="31"/>
  <c r="BT76" i="31"/>
  <c r="BV497" i="31"/>
  <c r="BZ497" i="31"/>
  <c r="DB19" i="2"/>
  <c r="DD18" i="2"/>
  <c r="A25" i="1"/>
  <c r="H24" i="1"/>
  <c r="I24" i="1"/>
  <c r="DA19" i="2"/>
  <c r="DE8" i="2"/>
  <c r="DE10" i="2"/>
  <c r="DE12" i="2"/>
  <c r="DE5" i="2"/>
  <c r="DE7" i="2"/>
  <c r="DE16" i="2"/>
  <c r="DE9" i="2"/>
  <c r="DE11" i="2"/>
  <c r="DE4" i="2"/>
  <c r="DE6" i="2"/>
  <c r="DE15" i="2"/>
  <c r="DE3" i="2"/>
  <c r="BX497" i="31"/>
  <c r="CA497" i="31"/>
  <c r="DE18" i="2" l="1"/>
  <c r="BY497" i="31"/>
  <c r="BZ523" i="31"/>
  <c r="BV523" i="31"/>
  <c r="DB20" i="2"/>
  <c r="DD19" i="2"/>
  <c r="DA20" i="2"/>
  <c r="A26" i="1"/>
  <c r="I25" i="1"/>
  <c r="H25" i="1"/>
  <c r="BX523" i="31"/>
  <c r="CA523" i="31"/>
  <c r="DE19" i="2" l="1"/>
  <c r="BY523" i="31"/>
  <c r="BV549" i="31"/>
  <c r="BZ549" i="31"/>
  <c r="DD20" i="2"/>
  <c r="DE20" i="2" s="1"/>
  <c r="DB21" i="2"/>
  <c r="A27" i="1"/>
  <c r="H26" i="1"/>
  <c r="I26" i="1"/>
  <c r="DA21" i="2"/>
  <c r="CA549" i="31"/>
  <c r="BX549" i="31"/>
  <c r="DD21" i="2" l="1"/>
  <c r="BY549" i="31"/>
  <c r="BZ575" i="31"/>
  <c r="BV575" i="31"/>
  <c r="A28" i="1"/>
  <c r="H27" i="1"/>
  <c r="I27" i="1"/>
  <c r="DA22" i="2"/>
  <c r="DB22" i="2"/>
  <c r="S37" i="2"/>
  <c r="S31" i="2"/>
  <c r="BX575" i="31"/>
  <c r="CA575" i="31"/>
  <c r="DE21" i="2" l="1"/>
  <c r="BY575" i="31"/>
  <c r="BV601" i="31"/>
  <c r="BZ601" i="31"/>
  <c r="DB23" i="2"/>
  <c r="DD22" i="2"/>
  <c r="DE22" i="2" s="1"/>
  <c r="DA23" i="2"/>
  <c r="A29" i="1"/>
  <c r="H28" i="1"/>
  <c r="I28" i="1"/>
  <c r="CC34" i="2"/>
  <c r="S32" i="2"/>
  <c r="CC40" i="2"/>
  <c r="S38" i="2"/>
  <c r="S25" i="2"/>
  <c r="S26" i="2" s="1"/>
  <c r="CA601" i="31"/>
  <c r="BX601" i="31"/>
  <c r="CQ40" i="2" l="1"/>
  <c r="CL40" i="2"/>
  <c r="CT40" i="2"/>
  <c r="CP40" i="2"/>
  <c r="CK40" i="2"/>
  <c r="CS40" i="2"/>
  <c r="CO40" i="2"/>
  <c r="CR40" i="2"/>
  <c r="CM40" i="2"/>
  <c r="CR34" i="2"/>
  <c r="CM34" i="2"/>
  <c r="CV34" i="2"/>
  <c r="CQ34" i="2"/>
  <c r="CL34" i="2"/>
  <c r="CT34" i="2"/>
  <c r="CP34" i="2"/>
  <c r="CK34" i="2"/>
  <c r="CS34" i="2"/>
  <c r="CO34" i="2"/>
  <c r="BY601" i="31"/>
  <c r="DD23" i="2"/>
  <c r="DE23" i="2" s="1"/>
  <c r="DB24" i="2"/>
  <c r="A30" i="1"/>
  <c r="I29" i="1"/>
  <c r="H29" i="1"/>
  <c r="DA24" i="2"/>
  <c r="CJ40" i="2"/>
  <c r="CN40" i="2" s="1"/>
  <c r="CJ34" i="2"/>
  <c r="CN34" i="2" s="1"/>
  <c r="CU34" i="2"/>
  <c r="CV40" i="2"/>
  <c r="CU40" i="2"/>
  <c r="S4" i="2"/>
  <c r="S5" i="2" s="1"/>
  <c r="S11" i="2"/>
  <c r="CC14" i="2" s="1"/>
  <c r="S18" i="2"/>
  <c r="CC28" i="2"/>
  <c r="CQ14" i="2" l="1"/>
  <c r="CL14" i="2"/>
  <c r="CT14" i="2"/>
  <c r="CP14" i="2"/>
  <c r="CK14" i="2"/>
  <c r="CS14" i="2"/>
  <c r="CO14" i="2"/>
  <c r="CR14" i="2"/>
  <c r="CM14" i="2"/>
  <c r="CR28" i="2"/>
  <c r="CM28" i="2"/>
  <c r="CQ28" i="2"/>
  <c r="CL28" i="2"/>
  <c r="CT28" i="2"/>
  <c r="CP28" i="2"/>
  <c r="CK28" i="2"/>
  <c r="CS28" i="2"/>
  <c r="CO28" i="2"/>
  <c r="DD24" i="2"/>
  <c r="DE24" i="2" s="1"/>
  <c r="DA25" i="2"/>
  <c r="DB25" i="2"/>
  <c r="A31" i="1"/>
  <c r="H30" i="1"/>
  <c r="I30" i="1"/>
  <c r="CJ28" i="2"/>
  <c r="CN28" i="2" s="1"/>
  <c r="CJ14" i="2"/>
  <c r="CN14" i="2" s="1"/>
  <c r="S12" i="2"/>
  <c r="CC7" i="2"/>
  <c r="S19" i="2"/>
  <c r="CC21" i="2"/>
  <c r="CT7" i="2" l="1"/>
  <c r="CP7" i="2"/>
  <c r="CK7" i="2"/>
  <c r="CS7" i="2"/>
  <c r="CO7" i="2"/>
  <c r="CR7" i="2"/>
  <c r="CM7" i="2"/>
  <c r="CL7" i="2"/>
  <c r="CQ7" i="2"/>
  <c r="CQ21" i="2"/>
  <c r="CL21" i="2"/>
  <c r="CT21" i="2"/>
  <c r="CO21" i="2"/>
  <c r="CS21" i="2"/>
  <c r="CM21" i="2"/>
  <c r="CR21" i="2"/>
  <c r="CK21" i="2"/>
  <c r="CP21" i="2"/>
  <c r="DD25" i="2"/>
  <c r="DB26" i="2"/>
  <c r="DA26" i="2"/>
  <c r="A32" i="1"/>
  <c r="I31" i="1"/>
  <c r="H31" i="1"/>
  <c r="CJ21" i="2"/>
  <c r="CN21" i="2" s="1"/>
  <c r="CJ7" i="2"/>
  <c r="CN7" i="2" s="1"/>
  <c r="CU7" i="2"/>
  <c r="DE25" i="2" l="1"/>
  <c r="DA27" i="2"/>
  <c r="DB27" i="2"/>
  <c r="A33" i="1"/>
  <c r="H32" i="1"/>
  <c r="I32" i="1"/>
  <c r="DD26" i="2"/>
  <c r="F7" i="2" l="1"/>
  <c r="G4" i="2"/>
  <c r="G7" i="2"/>
  <c r="F4" i="2"/>
  <c r="DD27" i="2"/>
  <c r="A34" i="1"/>
  <c r="I33" i="1"/>
  <c r="H33" i="1"/>
  <c r="DE26" i="2"/>
  <c r="DB28" i="2"/>
  <c r="DA28" i="2"/>
  <c r="CU14" i="2"/>
  <c r="CV14" i="2"/>
  <c r="CC30" i="2"/>
  <c r="DE27" i="2" l="1"/>
  <c r="F5" i="2"/>
  <c r="G6" i="2"/>
  <c r="G5" i="2"/>
  <c r="F6" i="2"/>
  <c r="DD28" i="2"/>
  <c r="DE28" i="2" s="1"/>
  <c r="DA29" i="2"/>
  <c r="DB29" i="2"/>
  <c r="A35" i="1"/>
  <c r="H34" i="1"/>
  <c r="I34" i="1"/>
  <c r="CU21" i="2"/>
  <c r="CV21" i="2"/>
  <c r="G12" i="2" l="1"/>
  <c r="F13" i="2"/>
  <c r="G13" i="2"/>
  <c r="F12" i="2"/>
  <c r="DB30" i="2"/>
  <c r="A36" i="1"/>
  <c r="I35" i="1"/>
  <c r="H35" i="1"/>
  <c r="DD29" i="2"/>
  <c r="DA30" i="2"/>
  <c r="CV7" i="2"/>
  <c r="F14" i="2" l="1"/>
  <c r="G11" i="2"/>
  <c r="G14" i="2"/>
  <c r="F11" i="2"/>
  <c r="DD30" i="2"/>
  <c r="DA31" i="2"/>
  <c r="DB31" i="2"/>
  <c r="A37" i="1"/>
  <c r="H36" i="1"/>
  <c r="I36" i="1"/>
  <c r="DE29" i="2"/>
  <c r="G19" i="2" l="1"/>
  <c r="F20" i="2"/>
  <c r="G20" i="2"/>
  <c r="F19" i="2"/>
  <c r="DE30" i="2"/>
  <c r="DD31" i="2"/>
  <c r="DE31" i="2" s="1"/>
  <c r="DB32" i="2"/>
  <c r="DA32" i="2"/>
  <c r="A38" i="1"/>
  <c r="I37" i="1"/>
  <c r="H37" i="1"/>
  <c r="CU28" i="2"/>
  <c r="CV28" i="2" s="1"/>
  <c r="CV29" i="2" s="1"/>
  <c r="G21" i="2" l="1"/>
  <c r="F18" i="2"/>
  <c r="F21" i="2"/>
  <c r="G18" i="2"/>
  <c r="DB33" i="2"/>
  <c r="H12" i="2"/>
  <c r="DD32" i="2"/>
  <c r="DE32" i="2" s="1"/>
  <c r="A39" i="1"/>
  <c r="H38" i="1"/>
  <c r="I38" i="1"/>
  <c r="DA33" i="2"/>
  <c r="F27" i="2" l="1"/>
  <c r="G26" i="2"/>
  <c r="G27" i="2"/>
  <c r="F26" i="2"/>
  <c r="H18" i="2"/>
  <c r="H11" i="2"/>
  <c r="DD33" i="2"/>
  <c r="DE33" i="2" s="1"/>
  <c r="DB34" i="2"/>
  <c r="DA34" i="2"/>
  <c r="A40" i="1"/>
  <c r="I39" i="1"/>
  <c r="H39" i="1"/>
  <c r="F25" i="2" l="1"/>
  <c r="G28" i="2"/>
  <c r="F28" i="2"/>
  <c r="G25" i="2"/>
  <c r="DD34" i="2"/>
  <c r="DE34" i="2" s="1"/>
  <c r="DB35" i="2"/>
  <c r="A41" i="1"/>
  <c r="H40" i="1"/>
  <c r="I40" i="1"/>
  <c r="DA35" i="2"/>
  <c r="H28" i="2" l="1"/>
  <c r="F32" i="2"/>
  <c r="G33" i="2"/>
  <c r="G32" i="2"/>
  <c r="F33" i="2"/>
  <c r="H14" i="2"/>
  <c r="H27" i="2"/>
  <c r="H21" i="2"/>
  <c r="DD35" i="2"/>
  <c r="DE35" i="2" s="1"/>
  <c r="DB36" i="2"/>
  <c r="DA36" i="2"/>
  <c r="A42" i="1"/>
  <c r="H41" i="1"/>
  <c r="I41" i="1"/>
  <c r="CE30" i="31" a="1"/>
  <c r="CE30" i="31" s="1"/>
  <c r="CJ43" i="31" a="1"/>
  <c r="CJ43" i="31" s="1"/>
  <c r="CJ44" i="31" a="1"/>
  <c r="CJ44" i="31" s="1"/>
  <c r="CD34" i="31" a="1"/>
  <c r="CD34" i="31" s="1"/>
  <c r="CC34" i="31" a="1"/>
  <c r="CC34" i="31" s="1"/>
  <c r="CM35" i="31" a="1"/>
  <c r="CM35" i="31" s="1"/>
  <c r="CK41" i="31" a="1"/>
  <c r="CK41" i="31" s="1"/>
  <c r="CL26" i="31" a="1"/>
  <c r="CL26" i="31" s="1"/>
  <c r="CI37" i="31" a="1"/>
  <c r="CI37" i="31" s="1"/>
  <c r="CG26" i="31" a="1"/>
  <c r="CG26" i="31" s="1"/>
  <c r="CI8" i="31" a="1"/>
  <c r="CI8" i="31" s="1"/>
  <c r="CO47" i="31" a="1"/>
  <c r="CO47" i="31" s="1"/>
  <c r="CI22" i="31" a="1"/>
  <c r="CI22" i="31" s="1"/>
  <c r="CG9" i="31" a="1"/>
  <c r="CG9" i="31" s="1"/>
  <c r="CF36" i="31" a="1"/>
  <c r="CF36" i="31" s="1"/>
  <c r="CK12" i="31" a="1"/>
  <c r="CK12" i="31" s="1"/>
  <c r="CM27" i="31" a="1"/>
  <c r="CM27" i="31" s="1"/>
  <c r="CH15" i="31" a="1"/>
  <c r="CH15" i="31" s="1"/>
  <c r="CQ36" i="31" a="1"/>
  <c r="CQ36" i="31" s="1"/>
  <c r="CV36" i="31" s="1"/>
  <c r="CJ39" i="31" a="1"/>
  <c r="CJ39" i="31" s="1"/>
  <c r="CI21" i="31" a="1"/>
  <c r="CI21" i="31" s="1"/>
  <c r="CJ21" i="31" a="1"/>
  <c r="CJ21" i="31" s="1"/>
  <c r="CC93" i="31" a="1"/>
  <c r="CC93" i="31" s="1"/>
  <c r="CK43" i="31" a="1"/>
  <c r="CK43" i="31" s="1"/>
  <c r="CO34" i="31" a="1"/>
  <c r="CO34" i="31" s="1"/>
  <c r="CL43" i="31" a="1"/>
  <c r="CL43" i="31" s="1"/>
  <c r="CQ44" i="31" a="1"/>
  <c r="CQ44" i="31" s="1"/>
  <c r="CV44" i="31" s="1"/>
  <c r="CG48" i="31" a="1"/>
  <c r="CG48" i="31" s="1"/>
  <c r="CC21" i="31" a="1"/>
  <c r="CC21" i="31" s="1"/>
  <c r="CM37" i="31" a="1"/>
  <c r="CM37" i="31" s="1"/>
  <c r="CC16" i="31" a="1"/>
  <c r="CC16" i="31" s="1"/>
  <c r="CD16" i="31" a="1"/>
  <c r="CD16" i="31" s="1"/>
  <c r="CE43" i="31" a="1"/>
  <c r="CE43" i="31" s="1"/>
  <c r="CL11" i="31" a="1"/>
  <c r="CL11" i="31" s="1"/>
  <c r="CL36" i="31" a="1"/>
  <c r="CL36" i="31" s="1"/>
  <c r="CC116" i="31" a="1"/>
  <c r="CC116" i="31" s="1"/>
  <c r="CC49" i="31" a="1"/>
  <c r="CC49" i="31" s="1"/>
  <c r="CK46" i="31" a="1"/>
  <c r="CK46" i="31" s="1"/>
  <c r="CC125" i="31" a="1"/>
  <c r="CC125" i="31" s="1"/>
  <c r="CL23" i="31" a="1"/>
  <c r="CL23" i="31" s="1"/>
  <c r="CM44" i="31" a="1"/>
  <c r="CM44" i="31" s="1"/>
  <c r="CC117" i="31" a="1"/>
  <c r="CC117" i="31" s="1"/>
  <c r="CC118" i="31" a="1"/>
  <c r="CC118" i="31" s="1"/>
  <c r="CH14" i="31" a="1"/>
  <c r="CH14" i="31" s="1"/>
  <c r="CQ48" i="31" a="1"/>
  <c r="CQ48" i="31" s="1"/>
  <c r="CP6" i="31" a="1"/>
  <c r="CP6" i="31" s="1"/>
  <c r="CH43" i="31" a="1"/>
  <c r="CH43" i="31" s="1"/>
  <c r="CL16" i="31" a="1"/>
  <c r="CL16" i="31" s="1"/>
  <c r="CK31" i="31" a="1"/>
  <c r="CK31" i="31" s="1"/>
  <c r="CL34" i="31" a="1"/>
  <c r="CL34" i="31" s="1"/>
  <c r="CN38" i="31" a="1"/>
  <c r="CN38" i="31" s="1"/>
  <c r="CE22" i="31" a="1"/>
  <c r="CE22" i="31" s="1"/>
  <c r="CC20" i="31" a="1"/>
  <c r="CC20" i="31" s="1"/>
  <c r="CC101" i="31" a="1"/>
  <c r="CC101" i="31" s="1"/>
  <c r="CC87" i="31" a="1"/>
  <c r="CC87" i="31" s="1"/>
  <c r="CQ21" i="31" a="1"/>
  <c r="CQ21" i="31" s="1"/>
  <c r="CV21" i="31" s="1"/>
  <c r="CH38" i="31" a="1"/>
  <c r="CH38" i="31" s="1"/>
  <c r="CH48" i="31" a="1"/>
  <c r="CH48" i="31" s="1"/>
  <c r="CO35" i="31" a="1"/>
  <c r="CO35" i="31" s="1"/>
  <c r="CD36" i="31" a="1"/>
  <c r="CD36" i="31" s="1"/>
  <c r="CO27" i="31" a="1"/>
  <c r="CO27" i="31" s="1"/>
  <c r="CM46" i="31" a="1"/>
  <c r="CM46" i="31" s="1"/>
  <c r="CD14" i="31" a="1"/>
  <c r="CD14" i="31" s="1"/>
  <c r="CI46" i="31" a="1"/>
  <c r="CI46" i="31" s="1"/>
  <c r="CK7" i="31" a="1"/>
  <c r="CK7" i="31" s="1"/>
  <c r="CG20" i="31" a="1"/>
  <c r="CG20" i="31" s="1"/>
  <c r="CD10" i="31" a="1"/>
  <c r="CD10" i="31" s="1"/>
  <c r="CC50" i="31" a="1"/>
  <c r="CC50" i="31" s="1"/>
  <c r="CC122" i="31" a="1"/>
  <c r="CC122" i="31" s="1"/>
  <c r="CJ35" i="31" a="1"/>
  <c r="CJ35" i="31" s="1"/>
  <c r="CE31" i="31" a="1"/>
  <c r="CE31" i="31" s="1"/>
  <c r="CH12" i="31" a="1"/>
  <c r="CH12" i="31" s="1"/>
  <c r="CI45" i="31" a="1"/>
  <c r="CI45" i="31" s="1"/>
  <c r="CQ42" i="31" a="1"/>
  <c r="CQ42" i="31" s="1"/>
  <c r="CV42" i="31" s="1"/>
  <c r="CC43" i="31" a="1"/>
  <c r="CC43" i="31" s="1"/>
  <c r="CC45" i="31" a="1"/>
  <c r="CC45" i="31" s="1"/>
  <c r="CC100" i="31" a="1"/>
  <c r="CC100" i="31" s="1"/>
  <c r="CK36" i="31" a="1"/>
  <c r="CK36" i="31" s="1"/>
  <c r="CK8" i="31" a="1"/>
  <c r="CK8" i="31" s="1"/>
  <c r="CL12" i="31" a="1"/>
  <c r="CL12" i="31" s="1"/>
  <c r="CO40" i="31" a="1"/>
  <c r="CO40" i="31" s="1"/>
  <c r="CC123" i="31" a="1"/>
  <c r="CC123" i="31" s="1"/>
  <c r="CD20" i="31" a="1"/>
  <c r="CD20" i="31" s="1"/>
  <c r="CQ43" i="31" a="1"/>
  <c r="CQ43" i="31" s="1"/>
  <c r="CV43" i="31" s="1"/>
  <c r="CP15" i="31" a="1"/>
  <c r="CP15" i="31" s="1"/>
  <c r="CC119" i="31" a="1"/>
  <c r="CC119" i="31" s="1"/>
  <c r="CP9" i="31" a="1"/>
  <c r="CP9" i="31" s="1"/>
  <c r="CJ16" i="31" a="1"/>
  <c r="CJ16" i="31" s="1"/>
  <c r="CE28" i="31" a="1"/>
  <c r="CE28" i="31" s="1"/>
  <c r="CG15" i="31" a="1"/>
  <c r="CG15" i="31" s="1"/>
  <c r="CN10" i="31" a="1"/>
  <c r="CN10" i="31" s="1"/>
  <c r="CI33" i="31" a="1"/>
  <c r="CI33" i="31" s="1"/>
  <c r="CG31" i="31" a="1"/>
  <c r="CG31" i="31" s="1"/>
  <c r="CC79" i="31" a="1"/>
  <c r="CC79" i="31" s="1"/>
  <c r="CM43" i="31" a="1"/>
  <c r="CM43" i="31" s="1"/>
  <c r="CO39" i="31" a="1"/>
  <c r="CO39" i="31" s="1"/>
  <c r="CC108" i="31" a="1"/>
  <c r="CC108" i="31" s="1"/>
  <c r="CI48" i="31" a="1"/>
  <c r="CI48" i="31" s="1"/>
  <c r="CD26" i="31" a="1"/>
  <c r="CD26" i="31" s="1"/>
  <c r="CP48" i="31" a="1"/>
  <c r="CP48" i="31" s="1"/>
  <c r="CD48" i="31" a="1"/>
  <c r="CD48" i="31" s="1"/>
  <c r="CP18" i="31" a="1"/>
  <c r="CP18" i="31" s="1"/>
  <c r="CN23" i="31" a="1"/>
  <c r="CN23" i="31" s="1"/>
  <c r="CM23" i="31" a="1"/>
  <c r="CM23" i="31" s="1"/>
  <c r="CO10" i="31" a="1"/>
  <c r="CO10" i="31" s="1"/>
  <c r="CO46" i="31" a="1"/>
  <c r="CO46" i="31" s="1"/>
  <c r="CH44" i="31" a="1"/>
  <c r="CH44" i="31" s="1"/>
  <c r="CG14" i="31" a="1"/>
  <c r="CG14" i="31" s="1"/>
  <c r="CC80" i="31" a="1"/>
  <c r="CC80" i="31" s="1"/>
  <c r="CC95" i="31" a="1"/>
  <c r="CC95" i="31" s="1"/>
  <c r="CH27" i="31" a="1"/>
  <c r="CH27" i="31" s="1"/>
  <c r="CE48" i="31" a="1"/>
  <c r="CE48" i="31" s="1"/>
  <c r="CJ34" i="31" a="1"/>
  <c r="CJ34" i="31" s="1"/>
  <c r="CP21" i="31" a="1"/>
  <c r="CP21" i="31" s="1"/>
  <c r="CM11" i="31" a="1"/>
  <c r="CM11" i="31" s="1"/>
  <c r="CC106" i="31" a="1"/>
  <c r="CC106" i="31" s="1"/>
  <c r="CJ42" i="31" a="1"/>
  <c r="CJ42" i="31" s="1"/>
  <c r="CC35" i="31" a="1"/>
  <c r="CC35" i="31" s="1"/>
  <c r="CF15" i="31" a="1"/>
  <c r="CF15" i="31" s="1"/>
  <c r="CH28" i="31" a="1"/>
  <c r="CH28" i="31" s="1"/>
  <c r="CJ10" i="31" a="1"/>
  <c r="CJ10" i="31" s="1"/>
  <c r="CH30" i="31" a="1"/>
  <c r="CH30" i="31" s="1"/>
  <c r="CC53" i="31" a="1"/>
  <c r="CC53" i="31" s="1"/>
  <c r="CD38" i="31" a="1"/>
  <c r="CD38" i="31" s="1"/>
  <c r="CE4" i="31" a="1"/>
  <c r="CE4" i="31" s="1"/>
  <c r="CO42" i="31" a="1"/>
  <c r="CO42" i="31" s="1"/>
  <c r="CL10" i="31" a="1"/>
  <c r="CL10" i="31" s="1"/>
  <c r="CQ46" i="31" a="1"/>
  <c r="CQ46" i="31" s="1"/>
  <c r="CQ5" i="31" a="1"/>
  <c r="CQ5" i="31" s="1"/>
  <c r="CV5" i="31" s="1"/>
  <c r="CF9" i="31" a="1"/>
  <c r="CF9" i="31" s="1"/>
  <c r="CL39" i="31" a="1"/>
  <c r="CL39" i="31" s="1"/>
  <c r="CD33" i="31" a="1"/>
  <c r="CD33" i="31" s="1"/>
  <c r="CP40" i="31" a="1"/>
  <c r="CP40" i="31" s="1"/>
  <c r="CF10" i="31" a="1"/>
  <c r="CF10" i="31" s="1"/>
  <c r="CE7" i="31" a="1"/>
  <c r="CE7" i="31" s="1"/>
  <c r="CP13" i="31" a="1"/>
  <c r="CP13" i="31" s="1"/>
  <c r="CO31" i="31" a="1"/>
  <c r="CO31" i="31" s="1"/>
  <c r="CO5" i="31" a="1"/>
  <c r="CO5" i="31" s="1"/>
  <c r="CE38" i="31" a="1"/>
  <c r="CE38" i="31" s="1"/>
  <c r="CH4" i="31" a="1"/>
  <c r="CH4" i="31" s="1"/>
  <c r="CG35" i="31" a="1"/>
  <c r="CG35" i="31" s="1"/>
  <c r="CC111" i="31" a="1"/>
  <c r="CC111" i="31" s="1"/>
  <c r="CM45" i="31" a="1"/>
  <c r="CM45" i="31" s="1"/>
  <c r="CI29" i="31" a="1"/>
  <c r="CI29" i="31" s="1"/>
  <c r="CG38" i="31" a="1"/>
  <c r="CG38" i="31" s="1"/>
  <c r="CC112" i="31" a="1"/>
  <c r="CC112" i="31" s="1"/>
  <c r="CD13" i="31" a="1"/>
  <c r="CD13" i="31" s="1"/>
  <c r="CH21" i="31" a="1"/>
  <c r="CH21" i="31" s="1"/>
  <c r="CD21" i="31" a="1"/>
  <c r="CD21" i="31" s="1"/>
  <c r="CC113" i="31" a="1"/>
  <c r="CC113" i="31" s="1"/>
  <c r="CC105" i="31" a="1"/>
  <c r="CC105" i="31" s="1"/>
  <c r="CF16" i="31" a="1"/>
  <c r="CF16" i="31" s="1"/>
  <c r="CN46" i="31" a="1"/>
  <c r="CN46" i="31" s="1"/>
  <c r="CC11" i="31" a="1"/>
  <c r="CC11" i="31" s="1"/>
  <c r="CC65" i="31" a="1"/>
  <c r="CC65" i="31" s="1"/>
  <c r="CI34" i="31" a="1"/>
  <c r="CI34" i="31" s="1"/>
  <c r="CH40" i="31" a="1"/>
  <c r="CH40" i="31" s="1"/>
  <c r="CM42" i="31" a="1"/>
  <c r="CM42" i="31" s="1"/>
  <c r="CC10" i="31" a="1"/>
  <c r="CC10" i="31" s="1"/>
  <c r="CH25" i="31" a="1"/>
  <c r="CH25" i="31" s="1"/>
  <c r="CC9" i="31" a="1"/>
  <c r="CC9" i="31" s="1"/>
  <c r="CH45" i="31" a="1"/>
  <c r="CH45" i="31" s="1"/>
  <c r="CJ8" i="31" a="1"/>
  <c r="CJ8" i="31" s="1"/>
  <c r="CC31" i="31" a="1"/>
  <c r="CC31" i="31" s="1"/>
  <c r="CK47" i="31" a="1"/>
  <c r="CK47" i="31" s="1"/>
  <c r="CC26" i="31" a="1"/>
  <c r="CC26" i="31" s="1"/>
  <c r="CG13" i="31" a="1"/>
  <c r="CG13" i="31" s="1"/>
  <c r="CL21" i="31" a="1"/>
  <c r="CL21" i="31" s="1"/>
  <c r="CJ9" i="31" a="1"/>
  <c r="CJ9" i="31" s="1"/>
  <c r="CN34" i="31" a="1"/>
  <c r="CN34" i="31" s="1"/>
  <c r="CJ48" i="31" a="1"/>
  <c r="CJ48" i="31" s="1"/>
  <c r="CC104" i="31" a="1"/>
  <c r="CC104" i="31" s="1"/>
  <c r="CO23" i="31" a="1"/>
  <c r="CO23" i="31" s="1"/>
  <c r="CM12" i="31" a="1"/>
  <c r="CM12" i="31" s="1"/>
  <c r="CM30" i="31" a="1"/>
  <c r="CM30" i="31" s="1"/>
  <c r="CD39" i="31" a="1"/>
  <c r="CD39" i="31" s="1"/>
  <c r="CC115" i="31" a="1"/>
  <c r="CC115" i="31" s="1"/>
  <c r="CK19" i="31" a="1"/>
  <c r="CK19" i="31" s="1"/>
  <c r="CP19" i="31" a="1"/>
  <c r="CP19" i="31" s="1"/>
  <c r="CG6" i="31" a="1"/>
  <c r="CG6" i="31" s="1"/>
  <c r="CC67" i="31" a="1"/>
  <c r="CC67" i="31" s="1"/>
  <c r="CE46" i="31" a="1"/>
  <c r="CE46" i="31" s="1"/>
  <c r="CD35" i="31" a="1"/>
  <c r="CD35" i="31" s="1"/>
  <c r="CC4" i="31" a="1"/>
  <c r="CC4" i="31" s="1"/>
  <c r="CG42" i="31" a="1"/>
  <c r="CG42" i="31" s="1"/>
  <c r="CI18" i="31" a="1"/>
  <c r="CI18" i="31" s="1"/>
  <c r="CP22" i="31" a="1"/>
  <c r="CP22" i="31" s="1"/>
  <c r="CM6" i="31" a="1"/>
  <c r="CM6" i="31" s="1"/>
  <c r="CN19" i="31" a="1"/>
  <c r="CN19" i="31" s="1"/>
  <c r="CG44" i="31" a="1"/>
  <c r="CG44" i="31" s="1"/>
  <c r="CH23" i="31" a="1"/>
  <c r="CH23" i="31" s="1"/>
  <c r="CE10" i="31" a="1"/>
  <c r="CE10" i="31" s="1"/>
  <c r="CJ33" i="31" a="1"/>
  <c r="CJ33" i="31" s="1"/>
  <c r="CQ20" i="31" a="1"/>
  <c r="CQ20" i="31" s="1"/>
  <c r="CV20" i="31" s="1"/>
  <c r="CP12" i="31" a="1"/>
  <c r="CP12" i="31" s="1"/>
  <c r="CC71" i="31" a="1"/>
  <c r="CC71" i="31" s="1"/>
  <c r="CK22" i="31" a="1"/>
  <c r="CK22" i="31" s="1"/>
  <c r="CC78" i="31" a="1"/>
  <c r="CC78" i="31" s="1"/>
  <c r="CF48" i="31" a="1"/>
  <c r="CF48" i="31" s="1"/>
  <c r="CN42" i="31" a="1"/>
  <c r="CN42" i="31" s="1"/>
  <c r="CI36" i="31" a="1"/>
  <c r="CI36" i="31" s="1"/>
  <c r="CO4" i="31" a="1"/>
  <c r="CO4" i="31" s="1"/>
  <c r="CC76" i="31" a="1"/>
  <c r="CC76" i="31" s="1"/>
  <c r="CC99" i="31" a="1"/>
  <c r="CC99" i="31" s="1"/>
  <c r="CK45" i="31" a="1"/>
  <c r="CK45" i="31" s="1"/>
  <c r="CL6" i="31" a="1"/>
  <c r="CL6" i="31" s="1"/>
  <c r="CE12" i="31" a="1"/>
  <c r="CE12" i="31" s="1"/>
  <c r="CI10" i="31" a="1"/>
  <c r="CI10" i="31" s="1"/>
  <c r="CC94" i="31" a="1"/>
  <c r="CC94" i="31" s="1"/>
  <c r="CP35" i="31" a="1"/>
  <c r="CP35" i="31" s="1"/>
  <c r="CH31" i="31" a="1"/>
  <c r="CH31" i="31" s="1"/>
  <c r="CN35" i="31" a="1"/>
  <c r="CN35" i="31" s="1"/>
  <c r="CK28" i="31" a="1"/>
  <c r="CK28" i="31" s="1"/>
  <c r="CC47" i="31" a="1"/>
  <c r="CC47" i="31" s="1"/>
  <c r="CL19" i="31" a="1"/>
  <c r="CL19" i="31" s="1"/>
  <c r="CI38" i="31" a="1"/>
  <c r="CI38" i="31" s="1"/>
  <c r="CE45" i="31" a="1"/>
  <c r="CE45" i="31" s="1"/>
  <c r="CM13" i="31" a="1"/>
  <c r="CM13" i="31" s="1"/>
  <c r="CN8" i="31" a="1"/>
  <c r="CN8" i="31" s="1"/>
  <c r="CJ25" i="31" a="1"/>
  <c r="CJ25" i="31" s="1"/>
  <c r="CP27" i="31" a="1"/>
  <c r="CP27" i="31" s="1"/>
  <c r="CN41" i="31" a="1"/>
  <c r="CN41" i="31" s="1"/>
  <c r="CF19" i="31" a="1"/>
  <c r="CF19" i="31" s="1"/>
  <c r="CD19" i="31" a="1"/>
  <c r="CD19" i="31" s="1"/>
  <c r="CO21" i="31" a="1"/>
  <c r="CO21" i="31" s="1"/>
  <c r="CC44" i="31" a="1"/>
  <c r="CC44" i="31" s="1"/>
  <c r="CJ14" i="31" a="1"/>
  <c r="CJ14" i="31" s="1"/>
  <c r="CH22" i="31" a="1"/>
  <c r="CH22" i="31" s="1"/>
  <c r="CC55" i="31" a="1"/>
  <c r="CC55" i="31" s="1"/>
  <c r="CL42" i="31" a="1"/>
  <c r="CL42" i="31" s="1"/>
  <c r="CJ6" i="31" a="1"/>
  <c r="CJ6" i="31" s="1"/>
  <c r="CQ30" i="31" a="1"/>
  <c r="CQ30" i="31" s="1"/>
  <c r="CV30" i="31" s="1"/>
  <c r="CG45" i="31" a="1"/>
  <c r="CG45" i="31" s="1"/>
  <c r="CG47" i="31" a="1"/>
  <c r="CG47" i="31" s="1"/>
  <c r="CI41" i="31" a="1"/>
  <c r="CI41" i="31" s="1"/>
  <c r="CC33" i="31" a="1"/>
  <c r="CC33" i="31" s="1"/>
  <c r="CG25" i="31" a="1"/>
  <c r="CG25" i="31" s="1"/>
  <c r="CO41" i="31" a="1"/>
  <c r="CO41" i="31" s="1"/>
  <c r="CC59" i="31" a="1"/>
  <c r="CC59" i="31" s="1"/>
  <c r="CE33" i="31" a="1"/>
  <c r="CE33" i="31" s="1"/>
  <c r="CH7" i="31" a="1"/>
  <c r="CH7" i="31" s="1"/>
  <c r="CN21" i="31" a="1"/>
  <c r="CN21" i="31" s="1"/>
  <c r="CK34" i="31" a="1"/>
  <c r="CK34" i="31" s="1"/>
  <c r="CE36" i="31" a="1"/>
  <c r="CE36" i="31" s="1"/>
  <c r="CJ26" i="31" a="1"/>
  <c r="CJ26" i="31" s="1"/>
  <c r="CK9" i="31" a="1"/>
  <c r="CK9" i="31" s="1"/>
  <c r="CL20" i="31" a="1"/>
  <c r="CL20" i="31" s="1"/>
  <c r="CI35" i="31" a="1"/>
  <c r="CI35" i="31" s="1"/>
  <c r="CL18" i="31" a="1"/>
  <c r="CL18" i="31" s="1"/>
  <c r="CC81" i="31" a="1"/>
  <c r="CC81" i="31" s="1"/>
  <c r="CJ47" i="31" a="1"/>
  <c r="CJ47" i="31" s="1"/>
  <c r="CI20" i="31" a="1"/>
  <c r="CI20" i="31" s="1"/>
  <c r="CD23" i="31" a="1"/>
  <c r="CD23" i="31" s="1"/>
  <c r="CO26" i="31" a="1"/>
  <c r="CO26" i="31" s="1"/>
  <c r="CF30" i="31" a="1"/>
  <c r="CF30" i="31" s="1"/>
  <c r="CI27" i="31" a="1"/>
  <c r="CI27" i="31" s="1"/>
  <c r="CP11" i="31" a="1"/>
  <c r="CP11" i="31" s="1"/>
  <c r="CQ25" i="31" a="1"/>
  <c r="CQ25" i="31" s="1"/>
  <c r="CV25" i="31" s="1"/>
  <c r="CF8" i="31" a="1"/>
  <c r="CF8" i="31" s="1"/>
  <c r="CK42" i="31" a="1"/>
  <c r="CK42" i="31" s="1"/>
  <c r="CM28" i="31" a="1"/>
  <c r="CM28" i="31" s="1"/>
  <c r="CC12" i="31" a="1"/>
  <c r="CC12" i="31" s="1"/>
  <c r="CF14" i="31" a="1"/>
  <c r="CF14" i="31" s="1"/>
  <c r="CI44" i="31" a="1"/>
  <c r="CI44" i="31" s="1"/>
  <c r="CH5" i="31" a="1"/>
  <c r="CH5" i="31" s="1"/>
  <c r="CK25" i="31" a="1"/>
  <c r="CK25" i="31" s="1"/>
  <c r="CG11" i="31" a="1"/>
  <c r="CG11" i="31" s="1"/>
  <c r="CC97" i="31" a="1"/>
  <c r="CC97" i="31" s="1"/>
  <c r="CL46" i="31" a="1"/>
  <c r="CL46" i="31" s="1"/>
  <c r="CC107" i="31" a="1"/>
  <c r="CC107" i="31" s="1"/>
  <c r="CC68" i="31" a="1"/>
  <c r="CC68" i="31" s="1"/>
  <c r="CO19" i="31" a="1"/>
  <c r="CO19" i="31" s="1"/>
  <c r="CE20" i="31" a="1"/>
  <c r="CE20" i="31" s="1"/>
  <c r="CN40" i="31" a="1"/>
  <c r="CN40" i="31" s="1"/>
  <c r="CC127" i="31" a="1"/>
  <c r="CC127" i="31" s="1"/>
  <c r="CC28" i="31" a="1"/>
  <c r="CC28" i="31" s="1"/>
  <c r="CQ22" i="31" a="1"/>
  <c r="CQ22" i="31" s="1"/>
  <c r="CV22" i="31" s="1"/>
  <c r="CQ32" i="31" a="1"/>
  <c r="CQ32" i="31" s="1"/>
  <c r="CV32" i="31" s="1"/>
  <c r="CC18" i="31" a="1"/>
  <c r="CC18" i="31" s="1"/>
  <c r="CL5" i="31" a="1"/>
  <c r="CL5" i="31" s="1"/>
  <c r="CP42" i="31" a="1"/>
  <c r="CP42" i="31" s="1"/>
  <c r="CC17" i="31" a="1"/>
  <c r="CC17" i="31" s="1"/>
  <c r="CK32" i="31" a="1"/>
  <c r="CK32" i="31" s="1"/>
  <c r="CK10" i="31" a="1"/>
  <c r="CK10" i="31" s="1"/>
  <c r="CC24" i="31" a="1"/>
  <c r="CC24" i="31" s="1"/>
  <c r="CO36" i="31" a="1"/>
  <c r="CO36" i="31" s="1"/>
  <c r="CP7" i="31" a="1"/>
  <c r="CP7" i="31" s="1"/>
  <c r="CE29" i="31" a="1"/>
  <c r="CE29" i="31" s="1"/>
  <c r="CD45" i="31" a="1"/>
  <c r="CD45" i="31" s="1"/>
  <c r="CG33" i="31" a="1"/>
  <c r="CG33" i="31" s="1"/>
  <c r="CI43" i="31" a="1"/>
  <c r="CI43" i="31" s="1"/>
  <c r="CP38" i="31" a="1"/>
  <c r="CP38" i="31" s="1"/>
  <c r="CD32" i="31" a="1"/>
  <c r="CD32" i="31" s="1"/>
  <c r="CK18" i="31" a="1"/>
  <c r="CK18" i="31" s="1"/>
  <c r="CM33" i="31" a="1"/>
  <c r="CM33" i="31" s="1"/>
  <c r="CF28" i="31" a="1"/>
  <c r="CF28" i="31" s="1"/>
  <c r="CM47" i="31" a="1"/>
  <c r="CM47" i="31" s="1"/>
  <c r="CC52" i="31" a="1"/>
  <c r="CC52" i="31" s="1"/>
  <c r="CL27" i="31" a="1"/>
  <c r="CL27" i="31" s="1"/>
  <c r="CN12" i="31" a="1"/>
  <c r="CN12" i="31" s="1"/>
  <c r="CN45" i="31" a="1"/>
  <c r="CN45" i="31" s="1"/>
  <c r="CM20" i="31" a="1"/>
  <c r="CM20" i="31" s="1"/>
  <c r="CC27" i="31" a="1"/>
  <c r="CC27" i="31" s="1"/>
  <c r="CF26" i="31" a="1"/>
  <c r="CF26" i="31" s="1"/>
  <c r="CQ10" i="31" a="1"/>
  <c r="CQ10" i="31" s="1"/>
  <c r="CV10" i="31" s="1"/>
  <c r="CJ32" i="31" a="1"/>
  <c r="CJ32" i="31" s="1"/>
  <c r="CC6" i="31" a="1"/>
  <c r="CC6" i="31" s="1"/>
  <c r="CK44" i="31" a="1"/>
  <c r="CK44" i="31" s="1"/>
  <c r="CC32" i="31" a="1"/>
  <c r="CC32" i="31" s="1"/>
  <c r="CN15" i="31" a="1"/>
  <c r="CN15" i="31" s="1"/>
  <c r="CM7" i="31" a="1"/>
  <c r="CM7" i="31" s="1"/>
  <c r="CQ8" i="31" a="1"/>
  <c r="CQ8" i="31" s="1"/>
  <c r="CV8" i="31" s="1"/>
  <c r="CH16" i="31" a="1"/>
  <c r="CH16" i="31" s="1"/>
  <c r="CK33" i="31" a="1"/>
  <c r="CK33" i="31" s="1"/>
  <c r="CC14" i="31" a="1"/>
  <c r="CC14" i="31" s="1"/>
  <c r="CC5" i="31" a="1"/>
  <c r="CC5" i="31" s="1"/>
  <c r="CM26" i="31" a="1"/>
  <c r="CM26" i="31" s="1"/>
  <c r="CH32" i="31" a="1"/>
  <c r="CH32" i="31" s="1"/>
  <c r="CG23" i="31" a="1"/>
  <c r="CG23" i="31" s="1"/>
  <c r="CE8" i="31" a="1"/>
  <c r="CE8" i="31" s="1"/>
  <c r="CL29" i="31" a="1"/>
  <c r="CL29" i="31" s="1"/>
  <c r="CH42" i="31" a="1"/>
  <c r="CH42" i="31" s="1"/>
  <c r="CM5" i="31" a="1"/>
  <c r="CM5" i="31" s="1"/>
  <c r="CP29" i="31" a="1"/>
  <c r="CP29" i="31" s="1"/>
  <c r="CN47" i="31" a="1"/>
  <c r="CN47" i="31" s="1"/>
  <c r="CC128" i="31" a="1"/>
  <c r="CC128" i="31" s="1"/>
  <c r="CJ4" i="31" a="1"/>
  <c r="CJ4" i="31" s="1"/>
  <c r="CK40" i="31" a="1"/>
  <c r="CK40" i="31" s="1"/>
  <c r="CD12" i="31" a="1"/>
  <c r="CD12" i="31" s="1"/>
  <c r="CL38" i="31" a="1"/>
  <c r="CL38" i="31" s="1"/>
  <c r="CL8" i="31" a="1"/>
  <c r="CL8" i="31" s="1"/>
  <c r="CF43" i="31" a="1"/>
  <c r="CF43" i="31" s="1"/>
  <c r="CJ19" i="31" a="1"/>
  <c r="CJ19" i="31" s="1"/>
  <c r="CI13" i="31" a="1"/>
  <c r="CI13" i="31" s="1"/>
  <c r="CM19" i="31" a="1"/>
  <c r="CM19" i="31" s="1"/>
  <c r="CN20" i="31" a="1"/>
  <c r="CN20" i="31" s="1"/>
  <c r="CF27" i="31" a="1"/>
  <c r="CF27" i="31" s="1"/>
  <c r="CI23" i="31" a="1"/>
  <c r="CI23" i="31" s="1"/>
  <c r="CQ28" i="31" a="1"/>
  <c r="CQ28" i="31" s="1"/>
  <c r="CV28" i="31" s="1"/>
  <c r="CM15" i="31" a="1"/>
  <c r="CM15" i="31" s="1"/>
  <c r="CC56" i="31" a="1"/>
  <c r="CC56" i="31" s="1"/>
  <c r="CC77" i="31" a="1"/>
  <c r="CC77" i="31" s="1"/>
  <c r="CH47" i="31" a="1"/>
  <c r="CH47" i="31" s="1"/>
  <c r="CI15" i="31" a="1"/>
  <c r="CI15" i="31" s="1"/>
  <c r="CH33" i="31" a="1"/>
  <c r="CH33" i="31" s="1"/>
  <c r="CJ29" i="31" a="1"/>
  <c r="CJ29" i="31" s="1"/>
  <c r="CC74" i="31" a="1"/>
  <c r="CC74" i="31" s="1"/>
  <c r="CI39" i="31" a="1"/>
  <c r="CI39" i="31" s="1"/>
  <c r="CC54" i="31" a="1"/>
  <c r="CC54" i="31" s="1"/>
  <c r="CO9" i="31" a="1"/>
  <c r="CO9" i="31" s="1"/>
  <c r="CD37" i="31" a="1"/>
  <c r="CD37" i="31" s="1"/>
  <c r="CJ12" i="31" a="1"/>
  <c r="CJ12" i="31" s="1"/>
  <c r="CE15" i="31" a="1"/>
  <c r="CE15" i="31" s="1"/>
  <c r="CD46" i="31" a="1"/>
  <c r="CD46" i="31" s="1"/>
  <c r="CE24" i="31" a="1"/>
  <c r="CE24" i="31" s="1"/>
  <c r="CE32" i="31" a="1"/>
  <c r="CE32" i="31" s="1"/>
  <c r="CI25" i="31" a="1"/>
  <c r="CI25" i="31" s="1"/>
  <c r="CC92" i="31" a="1"/>
  <c r="CC92" i="31" s="1"/>
  <c r="CP5" i="31" a="1"/>
  <c r="CP5" i="31" s="1"/>
  <c r="CC89" i="31" a="1"/>
  <c r="CC89" i="31" s="1"/>
  <c r="CQ16" i="31" a="1"/>
  <c r="CQ16" i="31" s="1"/>
  <c r="CV16" i="31" s="1"/>
  <c r="CP37" i="31" a="1"/>
  <c r="CP37" i="31" s="1"/>
  <c r="CH20" i="31" a="1"/>
  <c r="CH20" i="31" s="1"/>
  <c r="CC121" i="31" a="1"/>
  <c r="CC121" i="31" s="1"/>
  <c r="CJ20" i="31" a="1"/>
  <c r="CJ20" i="31" s="1"/>
  <c r="CP32" i="31" a="1"/>
  <c r="CP32" i="31" s="1"/>
  <c r="CO25" i="31" a="1"/>
  <c r="CO25" i="31" s="1"/>
  <c r="CF38" i="31" a="1"/>
  <c r="CF38" i="31" s="1"/>
  <c r="CP14" i="31" a="1"/>
  <c r="CP14" i="31" s="1"/>
  <c r="CG36" i="31" a="1"/>
  <c r="CG36" i="31" s="1"/>
  <c r="CI30" i="31" a="1"/>
  <c r="CI30" i="31" s="1"/>
  <c r="CO20" i="31" a="1"/>
  <c r="CO20" i="31" s="1"/>
  <c r="CF33" i="31" a="1"/>
  <c r="CF33" i="31" s="1"/>
  <c r="CL22" i="31" a="1"/>
  <c r="CL22" i="31" s="1"/>
  <c r="CI26" i="31" a="1"/>
  <c r="CI26" i="31" s="1"/>
  <c r="CK37" i="31" a="1"/>
  <c r="CK37" i="31" s="1"/>
  <c r="CQ7" i="31" a="1"/>
  <c r="CQ7" i="31" s="1"/>
  <c r="CV7" i="31" s="1"/>
  <c r="CC15" i="31" a="1"/>
  <c r="CC15" i="31" s="1"/>
  <c r="CN13" i="31" a="1"/>
  <c r="CN13" i="31" s="1"/>
  <c r="CN48" i="31" a="1"/>
  <c r="CN48" i="31" s="1"/>
  <c r="CG28" i="31" a="1"/>
  <c r="CG28" i="31" s="1"/>
  <c r="CD29" i="31" a="1"/>
  <c r="CD29" i="31" s="1"/>
  <c r="CC30" i="31" a="1"/>
  <c r="CC30" i="31" s="1"/>
  <c r="CC86" i="31" a="1"/>
  <c r="CC86" i="31" s="1"/>
  <c r="CN31" i="31" a="1"/>
  <c r="CN31" i="31" s="1"/>
  <c r="CJ41" i="31" a="1"/>
  <c r="CJ41" i="31" s="1"/>
  <c r="CK30" i="31" a="1"/>
  <c r="CK30" i="31" s="1"/>
  <c r="CF23" i="31" a="1"/>
  <c r="CF23" i="31" s="1"/>
  <c r="CL7" i="31" a="1"/>
  <c r="CL7" i="31" s="1"/>
  <c r="CC48" i="31" a="1"/>
  <c r="CC48" i="31" s="1"/>
  <c r="CL4" i="31" a="1"/>
  <c r="CL4" i="31" s="1"/>
  <c r="CF39" i="31" a="1"/>
  <c r="CF39" i="31" s="1"/>
  <c r="CC114" i="31" a="1"/>
  <c r="CC114" i="31" s="1"/>
  <c r="CI19" i="31" a="1"/>
  <c r="CI19" i="31" s="1"/>
  <c r="CP25" i="31" a="1"/>
  <c r="CP25" i="31" s="1"/>
  <c r="CK24" i="31" a="1"/>
  <c r="CK24" i="31" s="1"/>
  <c r="CE34" i="31" a="1"/>
  <c r="CE34" i="31" s="1"/>
  <c r="CO43" i="31" a="1"/>
  <c r="CO43" i="31" s="1"/>
  <c r="CI4" i="31" a="1"/>
  <c r="CI4" i="31" s="1"/>
  <c r="CN5" i="31" a="1"/>
  <c r="CN5" i="31" s="1"/>
  <c r="CI24" i="31" a="1"/>
  <c r="CI24" i="31" s="1"/>
  <c r="CQ27" i="31" a="1"/>
  <c r="CQ27" i="31" s="1"/>
  <c r="CV27" i="31" s="1"/>
  <c r="CF44" i="31" a="1"/>
  <c r="CF44" i="31" s="1"/>
  <c r="CP41" i="31" a="1"/>
  <c r="CP41" i="31" s="1"/>
  <c r="CC64" i="31" a="1"/>
  <c r="CC64" i="31" s="1"/>
  <c r="CL13" i="31" a="1"/>
  <c r="CL13" i="31" s="1"/>
  <c r="CE19" i="31" a="1"/>
  <c r="CE19" i="31" s="1"/>
  <c r="CO16" i="31" a="1"/>
  <c r="CO16" i="31" s="1"/>
  <c r="CO32" i="31" a="1"/>
  <c r="CO32" i="31" s="1"/>
  <c r="CK14" i="31" a="1"/>
  <c r="CK14" i="31" s="1"/>
  <c r="CJ38" i="31" a="1"/>
  <c r="CJ38" i="31" s="1"/>
  <c r="CK48" i="31" a="1"/>
  <c r="CK48" i="31" s="1"/>
  <c r="CJ28" i="31" a="1"/>
  <c r="CJ28" i="31" s="1"/>
  <c r="CH26" i="31" a="1"/>
  <c r="CH26" i="31" s="1"/>
  <c r="CN30" i="31" a="1"/>
  <c r="CN30" i="31" s="1"/>
  <c r="CM48" i="31" a="1"/>
  <c r="CM48" i="31" s="1"/>
  <c r="CQ14" i="31" a="1"/>
  <c r="CQ14" i="31" s="1"/>
  <c r="CV14" i="31" s="1"/>
  <c r="CD30" i="31" a="1"/>
  <c r="CD30" i="31" s="1"/>
  <c r="CF40" i="31" a="1"/>
  <c r="CF40" i="31" s="1"/>
  <c r="CL24" i="31" a="1"/>
  <c r="CL24" i="31" s="1"/>
  <c r="CP43" i="31" a="1"/>
  <c r="CP43" i="31" s="1"/>
  <c r="CL33" i="31" a="1"/>
  <c r="CL33" i="31" s="1"/>
  <c r="CJ36" i="31" a="1"/>
  <c r="CJ36" i="31" s="1"/>
  <c r="CL15" i="31" a="1"/>
  <c r="CL15" i="31" s="1"/>
  <c r="CG27" i="31" a="1"/>
  <c r="CG27" i="31" s="1"/>
  <c r="CN6" i="31" a="1"/>
  <c r="CN6" i="31" s="1"/>
  <c r="CJ23" i="31" a="1"/>
  <c r="CJ23" i="31" s="1"/>
  <c r="CN18" i="31" a="1"/>
  <c r="CN18" i="31" s="1"/>
  <c r="CQ11" i="31" a="1"/>
  <c r="CQ11" i="31" s="1"/>
  <c r="CV11" i="31" s="1"/>
  <c r="CK38" i="31" a="1"/>
  <c r="CK38" i="31" s="1"/>
  <c r="CQ23" i="31" a="1"/>
  <c r="CQ23" i="31" s="1"/>
  <c r="CV23" i="31" s="1"/>
  <c r="CD41" i="31" a="1"/>
  <c r="CD41" i="31" s="1"/>
  <c r="CE16" i="31" a="1"/>
  <c r="CE16" i="31" s="1"/>
  <c r="CC66" i="31" a="1"/>
  <c r="CC66" i="31" s="1"/>
  <c r="CC60" i="31" a="1"/>
  <c r="CC60" i="31" s="1"/>
  <c r="CI28" i="31" a="1"/>
  <c r="CI28" i="31" s="1"/>
  <c r="CH41" i="31" a="1"/>
  <c r="CH41" i="31" s="1"/>
  <c r="CQ34" i="31" a="1"/>
  <c r="CQ34" i="31" s="1"/>
  <c r="CV34" i="31" s="1"/>
  <c r="CJ37" i="31" a="1"/>
  <c r="CJ37" i="31" s="1"/>
  <c r="CP46" i="31" a="1"/>
  <c r="CP46" i="31" s="1"/>
  <c r="CM4" i="31" a="1"/>
  <c r="CM4" i="31" s="1"/>
  <c r="CM24" i="31" a="1"/>
  <c r="CM24" i="31" s="1"/>
  <c r="CC82" i="31" a="1"/>
  <c r="CC82" i="31" s="1"/>
  <c r="CF24" i="31" a="1"/>
  <c r="CF24" i="31" s="1"/>
  <c r="CM38" i="31" a="1"/>
  <c r="CM38" i="31" s="1"/>
  <c r="CG22" i="31" a="1"/>
  <c r="CG22" i="31" s="1"/>
  <c r="CM31" i="31" a="1"/>
  <c r="CM31" i="31" s="1"/>
  <c r="CF17" i="31" a="1"/>
  <c r="CF17" i="31" s="1"/>
  <c r="CP45" i="31" a="1"/>
  <c r="CP45" i="31" s="1"/>
  <c r="CO8" i="31" a="1"/>
  <c r="CO8" i="31" s="1"/>
  <c r="CI5" i="31" a="1"/>
  <c r="CI5" i="31" s="1"/>
  <c r="CL17" i="31" a="1"/>
  <c r="CL17" i="31" s="1"/>
  <c r="CC19" i="31" a="1"/>
  <c r="CC19" i="31" s="1"/>
  <c r="CQ18" i="31" a="1"/>
  <c r="CQ18" i="31" s="1"/>
  <c r="CV18" i="31" s="1"/>
  <c r="CC70" i="31" a="1"/>
  <c r="CC70" i="31" s="1"/>
  <c r="CI7" i="31" a="1"/>
  <c r="CI7" i="31" s="1"/>
  <c r="CL31" i="31" a="1"/>
  <c r="CL31" i="31" s="1"/>
  <c r="CN7" i="31" a="1"/>
  <c r="CN7" i="31" s="1"/>
  <c r="CC126" i="31" a="1"/>
  <c r="CC126" i="31" s="1"/>
  <c r="CI16" i="31" a="1"/>
  <c r="CI16" i="31" s="1"/>
  <c r="CF31" i="31" a="1"/>
  <c r="CF31" i="31" s="1"/>
  <c r="CL40" i="31" a="1"/>
  <c r="CL40" i="31" s="1"/>
  <c r="CC36" i="31" a="1"/>
  <c r="CC36" i="31" s="1"/>
  <c r="CK6" i="31" a="1"/>
  <c r="CK6" i="31" s="1"/>
  <c r="CN14" i="31" a="1"/>
  <c r="CN14" i="31" s="1"/>
  <c r="CC37" i="31" a="1"/>
  <c r="CC37" i="31" s="1"/>
  <c r="CH13" i="31" a="1"/>
  <c r="CH13" i="31" s="1"/>
  <c r="CG10" i="31" a="1"/>
  <c r="CG10" i="31" s="1"/>
  <c r="CM39" i="31" a="1"/>
  <c r="CM39" i="31" s="1"/>
  <c r="CF46" i="31" a="1"/>
  <c r="CF46" i="31" s="1"/>
  <c r="CJ15" i="31" a="1"/>
  <c r="CJ15" i="31" s="1"/>
  <c r="CL9" i="31" a="1"/>
  <c r="CL9" i="31" s="1"/>
  <c r="CO33" i="31" a="1"/>
  <c r="CO33" i="31" s="1"/>
  <c r="CC22" i="31" a="1"/>
  <c r="CC22" i="31" s="1"/>
  <c r="CN4" i="31" a="1"/>
  <c r="CN4" i="31" s="1"/>
  <c r="CC72" i="31" a="1"/>
  <c r="CC72" i="31" s="1"/>
  <c r="CF37" i="31" a="1"/>
  <c r="CF37" i="31" s="1"/>
  <c r="CF18" i="31" a="1"/>
  <c r="CF18" i="31" s="1"/>
  <c r="CM36" i="31" a="1"/>
  <c r="CM36" i="31" s="1"/>
  <c r="CN28" i="31" a="1"/>
  <c r="CN28" i="31" s="1"/>
  <c r="CD31" i="31" a="1"/>
  <c r="CD31" i="31" s="1"/>
  <c r="CH19" i="31" a="1"/>
  <c r="CH19" i="31" s="1"/>
  <c r="CC73" i="31" a="1"/>
  <c r="CC73" i="31" s="1"/>
  <c r="CN37" i="31" a="1"/>
  <c r="CN37" i="31" s="1"/>
  <c r="CC109" i="31" a="1"/>
  <c r="CC109" i="31" s="1"/>
  <c r="CH17" i="31" a="1"/>
  <c r="CH17" i="31" s="1"/>
  <c r="CH18" i="31" a="1"/>
  <c r="CH18" i="31" s="1"/>
  <c r="CF6" i="31" a="1"/>
  <c r="CF6" i="31" s="1"/>
  <c r="CJ22" i="31" a="1"/>
  <c r="CJ22" i="31" s="1"/>
  <c r="CD6" i="31" a="1"/>
  <c r="CD6" i="31" s="1"/>
  <c r="CE18" i="31" a="1"/>
  <c r="CE18" i="31" s="1"/>
  <c r="CK5" i="31" a="1"/>
  <c r="CK5" i="31" s="1"/>
  <c r="CC69" i="31" a="1"/>
  <c r="CC69" i="31" s="1"/>
  <c r="CC42" i="31" a="1"/>
  <c r="CC42" i="31" s="1"/>
  <c r="CQ26" i="31" a="1"/>
  <c r="CQ26" i="31" s="1"/>
  <c r="CV26" i="31" s="1"/>
  <c r="CK11" i="31" a="1"/>
  <c r="CK11" i="31" s="1"/>
  <c r="CJ7" i="31" a="1"/>
  <c r="CJ7" i="31" s="1"/>
  <c r="CM17" i="31" a="1"/>
  <c r="CM17" i="31" s="1"/>
  <c r="CG46" i="31" a="1"/>
  <c r="CG46" i="31" s="1"/>
  <c r="CL48" i="31" a="1"/>
  <c r="CL48" i="31" s="1"/>
  <c r="CJ18" i="31" a="1"/>
  <c r="CJ18" i="31" s="1"/>
  <c r="CD8" i="31" a="1"/>
  <c r="CD8" i="31" s="1"/>
  <c r="CG7" i="31" a="1"/>
  <c r="CG7" i="31" s="1"/>
  <c r="CF47" i="31" a="1"/>
  <c r="CF47" i="31" s="1"/>
  <c r="CF25" i="31" a="1"/>
  <c r="CF25" i="31" s="1"/>
  <c r="CH10" i="31" a="1"/>
  <c r="CH10" i="31" s="1"/>
  <c r="CC57" i="31" a="1"/>
  <c r="CC57" i="31" s="1"/>
  <c r="CC85" i="31" a="1"/>
  <c r="CC85" i="31" s="1"/>
  <c r="CE9" i="31" a="1"/>
  <c r="CE9" i="31" s="1"/>
  <c r="CD7" i="31" a="1"/>
  <c r="CD7" i="31" s="1"/>
  <c r="CL45" i="31" a="1"/>
  <c r="CL45" i="31" s="1"/>
  <c r="CJ17" i="31" a="1"/>
  <c r="CJ17" i="31" s="1"/>
  <c r="CQ47" i="31" a="1"/>
  <c r="CQ47" i="31" s="1"/>
  <c r="CG34" i="31" a="1"/>
  <c r="CG34" i="31" s="1"/>
  <c r="CL28" i="31" a="1"/>
  <c r="CL28" i="31" s="1"/>
  <c r="CJ13" i="31" a="1"/>
  <c r="CJ13" i="31" s="1"/>
  <c r="CN17" i="31" a="1"/>
  <c r="CN17" i="31" s="1"/>
  <c r="CE40" i="31" a="1"/>
  <c r="CE40" i="31" s="1"/>
  <c r="CJ45" i="31" a="1"/>
  <c r="CJ45" i="31" s="1"/>
  <c r="CF34" i="31" a="1"/>
  <c r="CF34" i="31" s="1"/>
  <c r="CD28" i="31" a="1"/>
  <c r="CD28" i="31" s="1"/>
  <c r="CF11" i="31" a="1"/>
  <c r="CF11" i="31" s="1"/>
  <c r="CC29" i="31" a="1"/>
  <c r="CC29" i="31" s="1"/>
  <c r="CF13" i="31" a="1"/>
  <c r="CF13" i="31" s="1"/>
  <c r="CC96" i="31" a="1"/>
  <c r="CC96" i="31" s="1"/>
  <c r="CN22" i="31" a="1"/>
  <c r="CN22" i="31" s="1"/>
  <c r="CP4" i="31" a="1"/>
  <c r="CP4" i="31" s="1"/>
  <c r="CP20" i="31" a="1"/>
  <c r="CP20" i="31" s="1"/>
  <c r="CN33" i="31" a="1"/>
  <c r="CN33" i="31" s="1"/>
  <c r="CP31" i="31" a="1"/>
  <c r="CP31" i="31" s="1"/>
  <c r="CH24" i="31" a="1"/>
  <c r="CH24" i="31" s="1"/>
  <c r="CO22" i="31" a="1"/>
  <c r="CO22" i="31" s="1"/>
  <c r="CF5" i="31" a="1"/>
  <c r="CF5" i="31" s="1"/>
  <c r="CK17" i="31" a="1"/>
  <c r="CK17" i="31" s="1"/>
  <c r="CE27" i="31" a="1"/>
  <c r="CE27" i="31" s="1"/>
  <c r="CQ33" i="31" a="1"/>
  <c r="CQ33" i="31" s="1"/>
  <c r="CV33" i="31" s="1"/>
  <c r="CQ38" i="31" a="1"/>
  <c r="CQ38" i="31" s="1"/>
  <c r="CV38" i="31" s="1"/>
  <c r="CD25" i="31" a="1"/>
  <c r="CD25" i="31" s="1"/>
  <c r="CD15" i="31" a="1"/>
  <c r="CD15" i="31" s="1"/>
  <c r="CL47" i="31" a="1"/>
  <c r="CL47" i="31" s="1"/>
  <c r="CG18" i="31" a="1"/>
  <c r="CG18" i="31" s="1"/>
  <c r="CN44" i="31" a="1"/>
  <c r="CN44" i="31" s="1"/>
  <c r="CH6" i="31" a="1"/>
  <c r="CH6" i="31" s="1"/>
  <c r="CJ31" i="31" a="1"/>
  <c r="CJ31" i="31" s="1"/>
  <c r="CO37" i="31" a="1"/>
  <c r="CO37" i="31" s="1"/>
  <c r="CO14" i="31" a="1"/>
  <c r="CO14" i="31" s="1"/>
  <c r="CK23" i="31" a="1"/>
  <c r="CK23" i="31" s="1"/>
  <c r="CQ41" i="31" a="1"/>
  <c r="CQ41" i="31" s="1"/>
  <c r="CV41" i="31" s="1"/>
  <c r="CO13" i="31" a="1"/>
  <c r="CO13" i="31" s="1"/>
  <c r="CE11" i="31" a="1"/>
  <c r="CE11" i="31" s="1"/>
  <c r="CN32" i="31" a="1"/>
  <c r="CN32" i="31" s="1"/>
  <c r="CE17" i="31" a="1"/>
  <c r="CE17" i="31" s="1"/>
  <c r="CM8" i="31" a="1"/>
  <c r="CM8" i="31" s="1"/>
  <c r="CP39" i="31" a="1"/>
  <c r="CP39" i="31" s="1"/>
  <c r="CI17" i="31" a="1"/>
  <c r="CI17" i="31" s="1"/>
  <c r="CQ15" i="31" a="1"/>
  <c r="CQ15" i="31" s="1"/>
  <c r="CV15" i="31" s="1"/>
  <c r="CP34" i="31" a="1"/>
  <c r="CP34" i="31" s="1"/>
  <c r="CN39" i="31" a="1"/>
  <c r="CN39" i="31" s="1"/>
  <c r="CO24" i="31" a="1"/>
  <c r="CO24" i="31" s="1"/>
  <c r="CQ19" i="31" a="1"/>
  <c r="CQ19" i="31" s="1"/>
  <c r="CV19" i="31" s="1"/>
  <c r="CD22" i="31" a="1"/>
  <c r="CD22" i="31" s="1"/>
  <c r="CP10" i="31" a="1"/>
  <c r="CP10" i="31" s="1"/>
  <c r="CG39" i="31" a="1"/>
  <c r="CG39" i="31" s="1"/>
  <c r="CC41" i="31" a="1"/>
  <c r="CC41" i="31" s="1"/>
  <c r="CK35" i="31" a="1"/>
  <c r="CK35" i="31" s="1"/>
  <c r="CG17" i="31" a="1"/>
  <c r="CG17" i="31" s="1"/>
  <c r="CE39" i="31" a="1"/>
  <c r="CE39" i="31" s="1"/>
  <c r="CP23" i="31" a="1"/>
  <c r="CP23" i="31" s="1"/>
  <c r="CD43" i="31" a="1"/>
  <c r="CD43" i="31" s="1"/>
  <c r="CM34" i="31" a="1"/>
  <c r="CM34" i="31" s="1"/>
  <c r="CP24" i="31" a="1"/>
  <c r="CP24" i="31" s="1"/>
  <c r="CP36" i="31" a="1"/>
  <c r="CP36" i="31" s="1"/>
  <c r="CJ5" i="31" a="1"/>
  <c r="CJ5" i="31" s="1"/>
  <c r="CI6" i="31" a="1"/>
  <c r="CI6" i="31" s="1"/>
  <c r="CO48" i="31" a="1"/>
  <c r="CO48" i="31" s="1"/>
  <c r="CO15" i="31" a="1"/>
  <c r="CO15" i="31" s="1"/>
  <c r="CO44" i="31" a="1"/>
  <c r="CO44" i="31" s="1"/>
  <c r="CC98" i="31" a="1"/>
  <c r="CC98" i="31" s="1"/>
  <c r="CK21" i="31" a="1"/>
  <c r="CK21" i="31" s="1"/>
  <c r="CC51" i="31" a="1"/>
  <c r="CC51" i="31" s="1"/>
  <c r="CD9" i="31" a="1"/>
  <c r="CD9" i="31" s="1"/>
  <c r="CG32" i="31" a="1"/>
  <c r="CG32" i="31" s="1"/>
  <c r="CC61" i="31" a="1"/>
  <c r="CC61" i="31" s="1"/>
  <c r="CC90" i="31" a="1"/>
  <c r="CC90" i="31" s="1"/>
  <c r="CC25" i="31" a="1"/>
  <c r="CC25" i="31" s="1"/>
  <c r="CH35" i="31" a="1"/>
  <c r="CH35" i="31" s="1"/>
  <c r="CE14" i="31" a="1"/>
  <c r="CE14" i="31" s="1"/>
  <c r="CC40" i="31" a="1"/>
  <c r="CC40" i="31" s="1"/>
  <c r="CG24" i="31" a="1"/>
  <c r="CG24" i="31" s="1"/>
  <c r="CC91" i="31" a="1"/>
  <c r="CC91" i="31" s="1"/>
  <c r="CG16" i="31" a="1"/>
  <c r="CG16" i="31" s="1"/>
  <c r="CI14" i="31" a="1"/>
  <c r="CI14" i="31" s="1"/>
  <c r="CK27" i="31" a="1"/>
  <c r="CK27" i="31" s="1"/>
  <c r="CM10" i="31" a="1"/>
  <c r="CM10" i="31" s="1"/>
  <c r="CH37" i="31" a="1"/>
  <c r="CH37" i="31" s="1"/>
  <c r="CO6" i="31" a="1"/>
  <c r="CO6" i="31" s="1"/>
  <c r="CP44" i="31" a="1"/>
  <c r="CP44" i="31" s="1"/>
  <c r="CK13" i="31" a="1"/>
  <c r="CK13" i="31" s="1"/>
  <c r="CM25" i="31" a="1"/>
  <c r="CM25" i="31" s="1"/>
  <c r="CG30" i="31" a="1"/>
  <c r="CG30" i="31" s="1"/>
  <c r="CC7" i="31" a="1"/>
  <c r="CC7" i="31" s="1"/>
  <c r="CO38" i="31" a="1"/>
  <c r="CO38" i="31" s="1"/>
  <c r="CC88" i="31" a="1"/>
  <c r="CC88" i="31" s="1"/>
  <c r="CF4" i="31" a="1"/>
  <c r="CF4" i="31" s="1"/>
  <c r="CL41" i="31" a="1"/>
  <c r="CL41" i="31" s="1"/>
  <c r="CH46" i="31" a="1"/>
  <c r="CH46" i="31" s="1"/>
  <c r="CQ17" i="31" a="1"/>
  <c r="CQ17" i="31" s="1"/>
  <c r="CV17" i="31" s="1"/>
  <c r="CN24" i="31" a="1"/>
  <c r="CN24" i="31" s="1"/>
  <c r="CC75" i="31" a="1"/>
  <c r="CC75" i="31" s="1"/>
  <c r="CF35" i="31" a="1"/>
  <c r="CF35" i="31" s="1"/>
  <c r="CD44" i="31" a="1"/>
  <c r="CD44" i="31" s="1"/>
  <c r="CG5" i="31" a="1"/>
  <c r="CG5" i="31" s="1"/>
  <c r="CC38" i="31" a="1"/>
  <c r="CC38" i="31" s="1"/>
  <c r="CF41" i="31" a="1"/>
  <c r="CF41" i="31" s="1"/>
  <c r="CC58" i="31" a="1"/>
  <c r="CC58" i="31" s="1"/>
  <c r="CD11" i="31" a="1"/>
  <c r="CD11" i="31" s="1"/>
  <c r="CC102" i="31" a="1"/>
  <c r="CC102" i="31" s="1"/>
  <c r="CF21" i="31" a="1"/>
  <c r="CF21" i="31" s="1"/>
  <c r="CC39" i="31" a="1"/>
  <c r="CC39" i="31" s="1"/>
  <c r="CL30" i="31" a="1"/>
  <c r="CL30" i="31" s="1"/>
  <c r="CE42" i="31" a="1"/>
  <c r="CE42" i="31" s="1"/>
  <c r="CG43" i="31" a="1"/>
  <c r="CG43" i="31" s="1"/>
  <c r="CE44" i="31" a="1"/>
  <c r="CE44" i="31" s="1"/>
  <c r="CG12" i="31" a="1"/>
  <c r="CG12" i="31" s="1"/>
  <c r="CL32" i="31" a="1"/>
  <c r="CL32" i="31" s="1"/>
  <c r="CC83" i="31" a="1"/>
  <c r="CC83" i="31" s="1"/>
  <c r="CM40" i="31" a="1"/>
  <c r="CM40" i="31" s="1"/>
  <c r="CG29" i="31" a="1"/>
  <c r="CG29" i="31" s="1"/>
  <c r="CO7" i="31" a="1"/>
  <c r="CO7" i="31" s="1"/>
  <c r="CG4" i="31" a="1"/>
  <c r="CG4" i="31" s="1"/>
  <c r="CK26" i="31" a="1"/>
  <c r="CK26" i="31" s="1"/>
  <c r="CN9" i="31" a="1"/>
  <c r="CN9" i="31" s="1"/>
  <c r="CM9" i="31" a="1"/>
  <c r="CM9" i="31" s="1"/>
  <c r="CC110" i="31" a="1"/>
  <c r="CC110" i="31" s="1"/>
  <c r="CI12" i="31" a="1"/>
  <c r="CI12" i="31" s="1"/>
  <c r="CF20" i="31" a="1"/>
  <c r="CF20" i="31" s="1"/>
  <c r="CC62" i="31" a="1"/>
  <c r="CC62" i="31" s="1"/>
  <c r="CO30" i="31" a="1"/>
  <c r="CO30" i="31" s="1"/>
  <c r="CD17" i="31" a="1"/>
  <c r="CD17" i="31" s="1"/>
  <c r="CJ40" i="31" a="1"/>
  <c r="CJ40" i="31" s="1"/>
  <c r="CQ12" i="31" a="1"/>
  <c r="CQ12" i="31" s="1"/>
  <c r="CV12" i="31" s="1"/>
  <c r="CP30" i="31" a="1"/>
  <c r="CP30" i="31" s="1"/>
  <c r="CQ35" i="31" a="1"/>
  <c r="CQ35" i="31" s="1"/>
  <c r="CV35" i="31" s="1"/>
  <c r="CH36" i="31" a="1"/>
  <c r="CH36" i="31" s="1"/>
  <c r="CE35" i="31" a="1"/>
  <c r="CE35" i="31" s="1"/>
  <c r="CJ27" i="31" a="1"/>
  <c r="CJ27" i="31" s="1"/>
  <c r="CF12" i="31" a="1"/>
  <c r="CF12" i="31" s="1"/>
  <c r="CI47" i="31" a="1"/>
  <c r="CI47" i="31" s="1"/>
  <c r="CP28" i="31" a="1"/>
  <c r="CP28" i="31" s="1"/>
  <c r="CN26" i="31" a="1"/>
  <c r="CN26" i="31" s="1"/>
  <c r="CG19" i="31" a="1"/>
  <c r="CG19" i="31" s="1"/>
  <c r="CN36" i="31" a="1"/>
  <c r="CN36" i="31" s="1"/>
  <c r="CM21" i="31" a="1"/>
  <c r="CM21" i="31" s="1"/>
  <c r="CK29" i="31" a="1"/>
  <c r="CK29" i="31" s="1"/>
  <c r="CQ4" i="31" a="1"/>
  <c r="CQ4" i="31" s="1"/>
  <c r="CV4" i="31" s="1"/>
  <c r="CW4" i="31" s="1"/>
  <c r="CW5" i="31" s="1"/>
  <c r="CD24" i="31" a="1"/>
  <c r="CD24" i="31" s="1"/>
  <c r="CN25" i="31" a="1"/>
  <c r="CN25" i="31" s="1"/>
  <c r="CE25" i="31" a="1"/>
  <c r="CE25" i="31" s="1"/>
  <c r="CG41" i="31" a="1"/>
  <c r="CG41" i="31" s="1"/>
  <c r="CF32" i="31" a="1"/>
  <c r="CF32" i="31" s="1"/>
  <c r="CF45" i="31" a="1"/>
  <c r="CF45" i="31" s="1"/>
  <c r="CL14" i="31" a="1"/>
  <c r="CL14" i="31" s="1"/>
  <c r="CM32" i="31" a="1"/>
  <c r="CM32" i="31" s="1"/>
  <c r="CL44" i="31" a="1"/>
  <c r="CL44" i="31" s="1"/>
  <c r="CC46" i="31" a="1"/>
  <c r="CC46" i="31" s="1"/>
  <c r="CQ29" i="31" a="1"/>
  <c r="CQ29" i="31" s="1"/>
  <c r="CV29" i="31" s="1"/>
  <c r="CF7" i="31" a="1"/>
  <c r="CF7" i="31" s="1"/>
  <c r="CM16" i="31" a="1"/>
  <c r="CM16" i="31" s="1"/>
  <c r="CD47" i="31" a="1"/>
  <c r="CD47" i="31" s="1"/>
  <c r="CG21" i="31" a="1"/>
  <c r="CG21" i="31" s="1"/>
  <c r="CM14" i="31" a="1"/>
  <c r="CM14" i="31" s="1"/>
  <c r="CN27" i="31" a="1"/>
  <c r="CN27" i="31" s="1"/>
  <c r="CI11" i="31" a="1"/>
  <c r="CI11" i="31" s="1"/>
  <c r="CK20" i="31" a="1"/>
  <c r="CK20" i="31" s="1"/>
  <c r="CQ13" i="31" a="1"/>
  <c r="CQ13" i="31" s="1"/>
  <c r="CV13" i="31" s="1"/>
  <c r="CP8" i="31" a="1"/>
  <c r="CP8" i="31" s="1"/>
  <c r="CK4" i="31" a="1"/>
  <c r="CK4" i="31" s="1"/>
  <c r="CQ6" i="31" a="1"/>
  <c r="CQ6" i="31" s="1"/>
  <c r="CV6" i="31" s="1"/>
  <c r="CO29" i="31" a="1"/>
  <c r="CO29" i="31" s="1"/>
  <c r="CN11" i="31" a="1"/>
  <c r="CN11" i="31" s="1"/>
  <c r="CQ31" i="31" a="1"/>
  <c r="CQ31" i="31" s="1"/>
  <c r="CV31" i="31" s="1"/>
  <c r="CC23" i="31" a="1"/>
  <c r="CC23" i="31" s="1"/>
  <c r="CQ39" i="31" a="1"/>
  <c r="CQ39" i="31" s="1"/>
  <c r="CV39" i="31" s="1"/>
  <c r="CE13" i="31" a="1"/>
  <c r="CE13" i="31" s="1"/>
  <c r="CQ37" i="31" a="1"/>
  <c r="CQ37" i="31" s="1"/>
  <c r="CV37" i="31" s="1"/>
  <c r="CJ11" i="31" a="1"/>
  <c r="CJ11" i="31" s="1"/>
  <c r="CP26" i="31" a="1"/>
  <c r="CP26" i="31" s="1"/>
  <c r="CG8" i="31" a="1"/>
  <c r="CG8" i="31" s="1"/>
  <c r="CP47" i="31" a="1"/>
  <c r="CP47" i="31" s="1"/>
  <c r="CQ45" i="31" a="1"/>
  <c r="CQ45" i="31" s="1"/>
  <c r="CV45" i="31" s="1"/>
  <c r="CK16" i="31" a="1"/>
  <c r="CK16" i="31" s="1"/>
  <c r="CP16" i="31" a="1"/>
  <c r="CP16" i="31" s="1"/>
  <c r="CC124" i="31" a="1"/>
  <c r="CC124" i="31" s="1"/>
  <c r="CE23" i="31" a="1"/>
  <c r="CE23" i="31" s="1"/>
  <c r="CI32" i="31" a="1"/>
  <c r="CI32" i="31" s="1"/>
  <c r="CG40" i="31" a="1"/>
  <c r="CG40" i="31" s="1"/>
  <c r="CI40" i="31" a="1"/>
  <c r="CI40" i="31" s="1"/>
  <c r="CD18" i="31" a="1"/>
  <c r="CD18" i="31" s="1"/>
  <c r="CM18" i="31" a="1"/>
  <c r="CM18" i="31" s="1"/>
  <c r="CP17" i="31" a="1"/>
  <c r="CP17" i="31" s="1"/>
  <c r="CH11" i="31" a="1"/>
  <c r="CH11" i="31" s="1"/>
  <c r="CC63" i="31" a="1"/>
  <c r="CC63" i="31" s="1"/>
  <c r="CF42" i="31" a="1"/>
  <c r="CF42" i="31" s="1"/>
  <c r="CN16" i="31" a="1"/>
  <c r="CN16" i="31" s="1"/>
  <c r="CK39" i="31" a="1"/>
  <c r="CK39" i="31" s="1"/>
  <c r="CO45" i="31" a="1"/>
  <c r="CO45" i="31" s="1"/>
  <c r="CK15" i="31" a="1"/>
  <c r="CK15" i="31" s="1"/>
  <c r="CQ40" i="31" a="1"/>
  <c r="CQ40" i="31" s="1"/>
  <c r="CV40" i="31" s="1"/>
  <c r="CN43" i="31" a="1"/>
  <c r="CN43" i="31" s="1"/>
  <c r="CM22" i="31" a="1"/>
  <c r="CM22" i="31" s="1"/>
  <c r="CO18" i="31" a="1"/>
  <c r="CO18" i="31" s="1"/>
  <c r="CI42" i="31" a="1"/>
  <c r="CI42" i="31" s="1"/>
  <c r="CQ24" i="31" a="1"/>
  <c r="CQ24" i="31" s="1"/>
  <c r="CV24" i="31" s="1"/>
  <c r="CC84" i="31" a="1"/>
  <c r="CC84" i="31" s="1"/>
  <c r="CL25" i="31" a="1"/>
  <c r="CL25" i="31" s="1"/>
  <c r="CM41" i="31" a="1"/>
  <c r="CM41" i="31" s="1"/>
  <c r="CJ24" i="31" a="1"/>
  <c r="CJ24" i="31" s="1"/>
  <c r="CD42" i="31" a="1"/>
  <c r="CD42" i="31" s="1"/>
  <c r="CE47" i="31" a="1"/>
  <c r="CE47" i="31" s="1"/>
  <c r="CE21" i="31" a="1"/>
  <c r="CE21" i="31" s="1"/>
  <c r="CH39" i="31" a="1"/>
  <c r="CH39" i="31" s="1"/>
  <c r="CO17" i="31" a="1"/>
  <c r="CO17" i="31" s="1"/>
  <c r="CC13" i="31" a="1"/>
  <c r="CC13" i="31" s="1"/>
  <c r="CJ30" i="31" a="1"/>
  <c r="CJ30" i="31" s="1"/>
  <c r="CO28" i="31" a="1"/>
  <c r="CO28" i="31" s="1"/>
  <c r="CP33" i="31" a="1"/>
  <c r="CP33" i="31" s="1"/>
  <c r="CI9" i="31" a="1"/>
  <c r="CI9" i="31" s="1"/>
  <c r="CL35" i="31" a="1"/>
  <c r="CL35" i="31" s="1"/>
  <c r="CH9" i="31" a="1"/>
  <c r="CH9" i="31" s="1"/>
  <c r="CN29" i="31" a="1"/>
  <c r="CN29" i="31" s="1"/>
  <c r="CE37" i="31" a="1"/>
  <c r="CE37" i="31" s="1"/>
  <c r="CH34" i="31" a="1"/>
  <c r="CH34" i="31" s="1"/>
  <c r="CF22" i="31" a="1"/>
  <c r="CF22" i="31" s="1"/>
  <c r="CE41" i="31" a="1"/>
  <c r="CE41" i="31" s="1"/>
  <c r="CD5" i="31" a="1"/>
  <c r="CD5" i="31" s="1"/>
  <c r="CH8" i="31" a="1"/>
  <c r="CH8" i="31" s="1"/>
  <c r="CC8" i="31" a="1"/>
  <c r="CC8" i="31" s="1"/>
  <c r="CF29" i="31" a="1"/>
  <c r="CF29" i="31" s="1"/>
  <c r="CJ46" i="31" a="1"/>
  <c r="CJ46" i="31" s="1"/>
  <c r="CO11" i="31" a="1"/>
  <c r="CO11" i="31" s="1"/>
  <c r="CL37" i="31" a="1"/>
  <c r="CL37" i="31" s="1"/>
  <c r="CE5" i="31" a="1"/>
  <c r="CE5" i="31" s="1"/>
  <c r="CH29" i="31" a="1"/>
  <c r="CH29" i="31" s="1"/>
  <c r="CD40" i="31" a="1"/>
  <c r="CD40" i="31" s="1"/>
  <c r="CQ9" i="31" a="1"/>
  <c r="CQ9" i="31" s="1"/>
  <c r="CV9" i="31" s="1"/>
  <c r="CI31" i="31" a="1"/>
  <c r="CI31" i="31" s="1"/>
  <c r="CE26" i="31" a="1"/>
  <c r="CE26" i="31" s="1"/>
  <c r="CD27" i="31" a="1"/>
  <c r="CD27" i="31" s="1"/>
  <c r="CG37" i="31" a="1"/>
  <c r="CG37" i="31" s="1"/>
  <c r="CM29" i="31" a="1"/>
  <c r="CM29" i="31" s="1"/>
  <c r="CC103" i="31" a="1"/>
  <c r="CC103" i="31" s="1"/>
  <c r="CD4" i="31" a="1"/>
  <c r="CD4" i="31" s="1"/>
  <c r="CO12" i="31" a="1"/>
  <c r="CO12" i="31" s="1"/>
  <c r="CC120" i="31" a="1"/>
  <c r="CC120" i="31" s="1"/>
  <c r="CE6" i="31" a="1"/>
  <c r="CE6" i="31" s="1"/>
  <c r="CV227" i="31"/>
  <c r="CV390" i="31"/>
  <c r="CV382" i="31"/>
  <c r="CV598" i="31"/>
  <c r="CV169" i="31"/>
  <c r="CV425" i="31"/>
  <c r="CV516" i="31"/>
  <c r="CV108" i="31"/>
  <c r="CV435" i="31"/>
  <c r="CV161" i="31"/>
  <c r="CV317" i="31"/>
  <c r="CV566" i="31"/>
  <c r="CV605" i="31"/>
  <c r="CV531" i="31"/>
  <c r="CV166" i="31"/>
  <c r="CV350" i="31"/>
  <c r="CV236" i="31"/>
  <c r="CV105" i="31"/>
  <c r="CV217" i="31"/>
  <c r="CV146" i="31"/>
  <c r="CV546" i="31"/>
  <c r="CV501" i="31"/>
  <c r="CV575" i="31"/>
  <c r="CV607" i="31"/>
  <c r="CV111" i="31"/>
  <c r="CV434" i="31"/>
  <c r="CV215" i="31"/>
  <c r="CV349" i="31"/>
  <c r="CV251" i="31"/>
  <c r="CV155" i="31"/>
  <c r="CV518" i="31"/>
  <c r="CV140" i="31"/>
  <c r="CV137" i="31"/>
  <c r="CV188" i="31"/>
  <c r="CV374" i="31"/>
  <c r="CV592" i="31"/>
  <c r="CV294" i="31"/>
  <c r="CV414" i="31"/>
  <c r="CV477" i="31"/>
  <c r="CV558" i="31"/>
  <c r="CV509" i="31"/>
  <c r="CV216" i="31"/>
  <c r="CV422" i="31"/>
  <c r="CV551" i="31"/>
  <c r="CV412" i="31"/>
  <c r="CV232" i="31"/>
  <c r="CV125" i="31"/>
  <c r="CV624" i="31"/>
  <c r="CV322" i="31"/>
  <c r="CV219" i="31"/>
  <c r="CV220" i="31"/>
  <c r="CV489" i="31"/>
  <c r="CV238" i="31"/>
  <c r="CV418" i="31"/>
  <c r="CV99" i="31"/>
  <c r="CV436" i="31"/>
  <c r="CV94" i="31"/>
  <c r="CV266" i="31"/>
  <c r="CV307" i="31"/>
  <c r="CV540" i="31"/>
  <c r="CV468" i="31"/>
  <c r="CV441" i="31"/>
  <c r="CV201" i="31"/>
  <c r="CV300" i="31"/>
  <c r="CV160" i="31"/>
  <c r="CV423" i="31"/>
  <c r="CV391" i="31"/>
  <c r="CV286" i="31"/>
  <c r="CV497" i="31"/>
  <c r="CV388" i="31"/>
  <c r="CV143" i="31"/>
  <c r="CV541" i="31"/>
  <c r="CV181" i="31"/>
  <c r="CV327" i="31"/>
  <c r="CV320" i="31"/>
  <c r="CV530" i="31"/>
  <c r="CV162" i="31"/>
  <c r="CV572" i="31"/>
  <c r="CV83" i="31"/>
  <c r="CV101" i="31"/>
  <c r="CV396" i="31"/>
  <c r="CV124" i="31"/>
  <c r="CV152" i="31"/>
  <c r="CV544" i="31"/>
  <c r="CV271" i="31"/>
  <c r="CV474" i="31"/>
  <c r="CV82" i="31"/>
  <c r="CV213" i="31"/>
  <c r="CV313" i="31"/>
  <c r="CV247" i="31"/>
  <c r="CV239" i="31"/>
  <c r="CV77" i="31"/>
  <c r="CV554" i="31"/>
  <c r="CV403" i="31"/>
  <c r="CV65" i="31"/>
  <c r="CV410" i="31"/>
  <c r="CV464" i="31"/>
  <c r="CV287" i="31"/>
  <c r="CV312" i="31"/>
  <c r="CV207" i="31"/>
  <c r="CV409" i="31"/>
  <c r="CV427" i="31"/>
  <c r="CV612" i="31"/>
  <c r="CV537" i="31"/>
  <c r="CV502" i="31"/>
  <c r="CV407" i="31"/>
  <c r="CV228" i="31"/>
  <c r="CV74" i="31"/>
  <c r="CV272" i="31"/>
  <c r="CV187" i="31"/>
  <c r="CV258" i="31"/>
  <c r="CV515" i="31"/>
  <c r="CV355" i="31"/>
  <c r="CV170" i="31"/>
  <c r="CV465" i="31"/>
  <c r="CV455" i="31"/>
  <c r="CV623" i="31"/>
  <c r="CV429" i="31"/>
  <c r="CV79" i="31"/>
  <c r="CV318" i="31"/>
  <c r="CV278" i="31"/>
  <c r="CV180" i="31"/>
  <c r="CV504" i="31"/>
  <c r="CV394" i="31"/>
  <c r="CV522" i="31"/>
  <c r="CV426" i="31"/>
  <c r="CV269" i="31"/>
  <c r="CV498" i="31"/>
  <c r="CV353" i="31"/>
  <c r="CV50" i="31"/>
  <c r="CV485" i="31"/>
  <c r="CV573" i="31"/>
  <c r="CV315" i="31"/>
  <c r="CV617" i="31"/>
  <c r="CV104" i="31"/>
  <c r="CV69" i="31"/>
  <c r="CV173" i="31"/>
  <c r="CV306" i="31"/>
  <c r="CV284" i="31"/>
  <c r="CV249" i="31"/>
  <c r="CV360" i="31"/>
  <c r="CV46" i="31"/>
  <c r="CV361" i="31"/>
  <c r="CV505" i="31"/>
  <c r="CV556" i="31"/>
  <c r="CV608" i="31"/>
  <c r="CV460" i="31"/>
  <c r="CV221" i="31"/>
  <c r="CV200" i="31"/>
  <c r="CV132" i="31"/>
  <c r="CV625" i="31"/>
  <c r="CV416" i="31"/>
  <c r="CV78" i="31"/>
  <c r="CV387" i="31"/>
  <c r="CV331" i="31"/>
  <c r="CV62" i="31"/>
  <c r="CV159" i="31"/>
  <c r="CV172" i="31"/>
  <c r="CV229" i="31"/>
  <c r="CV377" i="31"/>
  <c r="CV242" i="31"/>
  <c r="CV308" i="31"/>
  <c r="CV168" i="31"/>
  <c r="CV443" i="31"/>
  <c r="CV633" i="31"/>
  <c r="CV363" i="31"/>
  <c r="CV601" i="31"/>
  <c r="CV112" i="31"/>
  <c r="CV591" i="31"/>
  <c r="CV615" i="31"/>
  <c r="CV430" i="31"/>
  <c r="CV580" i="31"/>
  <c r="CV494" i="31"/>
  <c r="CV204" i="31"/>
  <c r="CV365" i="31"/>
  <c r="CV385" i="31"/>
  <c r="CV299" i="31"/>
  <c r="CV578" i="31"/>
  <c r="CV264" i="31"/>
  <c r="CV184" i="31"/>
  <c r="CV139" i="31"/>
  <c r="CV154" i="31"/>
  <c r="CV561" i="31"/>
  <c r="CV379" i="31"/>
  <c r="CV80" i="31"/>
  <c r="CV629" i="31"/>
  <c r="CV512" i="31"/>
  <c r="CV206" i="31"/>
  <c r="CV386" i="31"/>
  <c r="CV411" i="31"/>
  <c r="CV611" i="31"/>
  <c r="CV311" i="31"/>
  <c r="CV538" i="31"/>
  <c r="CV593" i="31"/>
  <c r="CV463" i="31"/>
  <c r="CV302" i="31"/>
  <c r="CV142" i="31"/>
  <c r="CV126" i="31"/>
  <c r="CV469" i="31"/>
  <c r="CV171" i="31"/>
  <c r="CV136" i="31"/>
  <c r="CV547" i="31"/>
  <c r="CV448" i="31"/>
  <c r="CV283" i="31"/>
  <c r="CV156" i="31"/>
  <c r="CV310" i="31"/>
  <c r="CV183" i="31"/>
  <c r="CV342" i="31"/>
  <c r="CV260" i="31"/>
  <c r="CV254" i="31"/>
  <c r="CV527" i="31"/>
  <c r="CV352" i="31"/>
  <c r="CV144" i="31"/>
  <c r="CV351" i="31"/>
  <c r="CV323" i="31"/>
  <c r="CV141" i="31"/>
  <c r="CV324" i="31"/>
  <c r="CV517" i="31"/>
  <c r="CV449" i="31"/>
  <c r="CV205" i="31"/>
  <c r="CV276" i="31"/>
  <c r="CV437" i="31"/>
  <c r="CV560" i="31"/>
  <c r="CV51" i="31"/>
  <c r="CV491" i="31"/>
  <c r="CV100" i="31"/>
  <c r="CV274" i="31"/>
  <c r="CV234" i="31"/>
  <c r="CV237" i="31"/>
  <c r="CV194" i="31"/>
  <c r="CV314" i="31"/>
  <c r="CV395" i="31"/>
  <c r="CV466" i="31"/>
  <c r="CV301" i="31"/>
  <c r="CV631" i="31"/>
  <c r="CV595" i="31"/>
  <c r="CV470" i="31"/>
  <c r="CV627" i="31"/>
  <c r="CV397" i="31"/>
  <c r="CV370" i="31"/>
  <c r="CV452" i="31"/>
  <c r="CV602" i="31"/>
  <c r="CV446" i="31"/>
  <c r="CV510" i="31"/>
  <c r="CV476" i="31"/>
  <c r="CV291" i="31"/>
  <c r="CV71" i="31"/>
  <c r="CV548" i="31"/>
  <c r="CV174" i="31"/>
  <c r="CV53" i="31"/>
  <c r="CV281" i="31"/>
  <c r="CV376" i="31"/>
  <c r="CV61" i="31"/>
  <c r="CV600" i="31"/>
  <c r="CV149" i="31"/>
  <c r="CV117" i="31"/>
  <c r="CV581" i="31"/>
  <c r="CV56" i="31"/>
  <c r="CV134" i="31"/>
  <c r="CV343" i="31"/>
  <c r="CV582" i="31"/>
  <c r="CV586" i="31"/>
  <c r="CV428" i="31"/>
  <c r="CV63" i="31"/>
  <c r="CV85" i="31"/>
  <c r="CV373" i="31"/>
  <c r="CV110" i="31"/>
  <c r="CV95" i="31"/>
  <c r="CV88" i="31"/>
  <c r="CV555" i="31"/>
  <c r="CV185" i="31"/>
  <c r="CV472" i="31"/>
  <c r="CV333" i="31"/>
  <c r="CV628" i="31"/>
  <c r="CV190" i="31"/>
  <c r="CV618" i="31"/>
  <c r="CV199" i="31"/>
  <c r="CV589" i="31"/>
  <c r="CV393" i="31"/>
  <c r="CV620" i="31"/>
  <c r="CV268" i="31"/>
  <c r="CV328" i="31"/>
  <c r="CV514" i="31"/>
  <c r="CV357" i="31"/>
  <c r="CV84" i="31"/>
  <c r="CV334" i="31"/>
  <c r="CV106" i="31"/>
  <c r="CV226" i="31"/>
  <c r="CV224" i="31"/>
  <c r="CV60" i="31"/>
  <c r="CV326" i="31"/>
  <c r="CV135" i="31"/>
  <c r="CV405" i="31"/>
  <c r="CV81" i="31"/>
  <c r="CV478" i="31"/>
  <c r="CV280" i="31"/>
  <c r="CV557" i="31"/>
  <c r="CV532" i="31"/>
  <c r="CV511" i="31"/>
  <c r="CV503" i="31"/>
  <c r="CV358" i="31"/>
  <c r="CV457" i="31"/>
  <c r="CV577" i="31"/>
  <c r="CV151" i="31"/>
  <c r="CV348" i="31"/>
  <c r="CV113" i="31"/>
  <c r="CV179" i="31"/>
  <c r="CV526" i="31"/>
  <c r="CV454" i="31"/>
  <c r="CV64" i="31"/>
  <c r="CV438" i="31"/>
  <c r="CV366" i="31"/>
  <c r="CV450" i="31"/>
  <c r="CV305" i="31"/>
  <c r="CV255" i="31"/>
  <c r="CV263" i="31"/>
  <c r="CV282" i="31"/>
  <c r="CV86" i="31"/>
  <c r="CV48" i="31"/>
  <c r="CV495" i="31"/>
  <c r="CV630" i="31"/>
  <c r="CV167" i="31"/>
  <c r="CV285" i="31"/>
  <c r="CV123" i="31"/>
  <c r="CV458" i="31"/>
  <c r="CV632" i="31"/>
  <c r="CV614" i="31"/>
  <c r="CV576" i="31"/>
  <c r="CV569" i="31"/>
  <c r="CV484" i="31"/>
  <c r="CV109" i="31"/>
  <c r="CV563" i="31"/>
  <c r="CV549" i="31"/>
  <c r="CV525" i="31"/>
  <c r="CV529" i="31"/>
  <c r="CV244" i="31"/>
  <c r="CV129" i="31"/>
  <c r="CV364" i="31"/>
  <c r="CV336" i="31"/>
  <c r="CV270" i="31"/>
  <c r="CV367" i="31"/>
  <c r="CV622" i="31"/>
  <c r="CV222" i="31"/>
  <c r="CV259" i="31"/>
  <c r="CV402" i="31"/>
  <c r="CV337" i="31"/>
  <c r="CV610" i="31"/>
  <c r="CV120" i="31"/>
  <c r="CV594" i="31"/>
  <c r="CV292" i="31"/>
  <c r="CV408" i="31"/>
  <c r="CV552" i="31"/>
  <c r="CV288" i="31"/>
  <c r="CV121" i="31"/>
  <c r="CV192" i="31"/>
  <c r="CV116" i="31"/>
  <c r="CV490" i="31"/>
  <c r="CV208" i="31"/>
  <c r="CV488" i="31"/>
  <c r="CV253" i="31"/>
  <c r="CV252" i="31"/>
  <c r="CV212" i="31"/>
  <c r="CV346" i="31"/>
  <c r="CV559" i="31"/>
  <c r="CV553" i="31"/>
  <c r="CV496" i="31"/>
  <c r="CV92" i="31"/>
  <c r="CV279" i="31"/>
  <c r="CV197" i="31"/>
  <c r="CV182" i="31"/>
  <c r="CV223" i="31"/>
  <c r="CV256" i="31"/>
  <c r="CV262" i="31"/>
  <c r="CV442" i="31"/>
  <c r="CV177" i="31"/>
  <c r="CV543" i="31"/>
  <c r="CV49" i="31"/>
  <c r="CV309" i="31"/>
  <c r="CV130" i="31"/>
  <c r="CV415" i="31"/>
  <c r="CV444" i="31"/>
  <c r="CV265" i="31"/>
  <c r="CV524" i="31"/>
  <c r="CV66" i="31"/>
  <c r="CV597" i="31"/>
  <c r="CV599" i="31"/>
  <c r="CV567" i="31"/>
  <c r="CV456" i="31"/>
  <c r="CV47" i="31"/>
  <c r="CV616" i="31"/>
  <c r="CV384" i="31"/>
  <c r="CV389" i="31"/>
  <c r="CV562" i="31"/>
  <c r="CV480" i="31"/>
  <c r="CV90" i="31"/>
  <c r="CV153" i="31"/>
  <c r="CV295" i="31"/>
  <c r="CV536" i="31"/>
  <c r="CV261" i="31"/>
  <c r="CV225" i="31"/>
  <c r="CV57" i="31"/>
  <c r="CV345" i="31"/>
  <c r="CV304" i="31"/>
  <c r="CV486" i="31"/>
  <c r="CV186" i="31"/>
  <c r="CV246" i="31"/>
  <c r="CV508" i="31"/>
  <c r="CV590" i="31"/>
  <c r="CV103" i="31"/>
  <c r="CV87" i="31"/>
  <c r="CV588" i="31"/>
  <c r="CV338" i="31"/>
  <c r="CV424" i="31"/>
  <c r="CV96" i="31"/>
  <c r="CV417" i="31"/>
  <c r="CV473" i="31"/>
  <c r="CV145" i="31"/>
  <c r="CV214" i="31"/>
  <c r="CV72" i="31"/>
  <c r="CV243" i="31"/>
  <c r="CV59" i="31"/>
  <c r="CV451" i="31"/>
  <c r="CV603" i="31"/>
  <c r="CV55" i="31"/>
  <c r="CV115" i="31"/>
  <c r="CV267" i="31"/>
  <c r="CV584" i="31"/>
  <c r="CV372" i="31"/>
  <c r="CV293" i="31"/>
  <c r="CV445" i="31"/>
  <c r="CV68" i="31"/>
  <c r="CV193" i="31"/>
  <c r="CV240" i="31"/>
  <c r="CV335" i="31"/>
  <c r="CV133" i="31"/>
  <c r="CV52" i="31"/>
  <c r="CV118" i="31"/>
  <c r="CV585" i="31"/>
  <c r="CV492" i="31"/>
  <c r="CV371" i="31"/>
  <c r="CV189" i="31"/>
  <c r="CV114" i="31"/>
  <c r="CV520" i="31"/>
  <c r="CV319" i="31"/>
  <c r="CV250" i="31"/>
  <c r="CV533" i="31"/>
  <c r="CV102" i="31"/>
  <c r="CV621" i="31"/>
  <c r="CV195" i="31"/>
  <c r="CV148" i="31"/>
  <c r="CV241" i="31"/>
  <c r="CV378" i="31"/>
  <c r="CV521" i="31"/>
  <c r="CV432" i="31"/>
  <c r="CV362" i="31"/>
  <c r="CV479" i="31"/>
  <c r="CV76" i="31"/>
  <c r="CV290" i="31"/>
  <c r="CV574" i="31"/>
  <c r="CV347" i="31"/>
  <c r="CV330" i="31"/>
  <c r="CV483" i="31"/>
  <c r="CV97" i="31"/>
  <c r="CV487" i="31"/>
  <c r="CV519" i="31"/>
  <c r="CV587" i="31"/>
  <c r="CV89" i="31"/>
  <c r="CV158" i="31"/>
  <c r="CV93" i="31"/>
  <c r="CV406" i="31"/>
  <c r="CV571" i="31"/>
  <c r="CV138" i="31"/>
  <c r="CV447" i="31"/>
  <c r="CV210" i="31"/>
  <c r="CV513" i="31"/>
  <c r="CV257" i="31"/>
  <c r="CV467" i="31"/>
  <c r="CV248" i="31"/>
  <c r="CV122" i="31"/>
  <c r="CV439" i="31"/>
  <c r="CV198" i="31"/>
  <c r="CV528" i="31"/>
  <c r="CV596" i="31"/>
  <c r="CV459" i="31"/>
  <c r="CV157" i="31"/>
  <c r="CV211" i="31"/>
  <c r="CV164" i="31"/>
  <c r="CV400" i="31"/>
  <c r="CV500" i="31"/>
  <c r="CV461" i="31"/>
  <c r="CV356" i="31"/>
  <c r="CV277" i="31"/>
  <c r="CV604" i="31"/>
  <c r="CV413" i="31"/>
  <c r="CV67" i="31"/>
  <c r="CV619" i="31"/>
  <c r="CV420" i="31"/>
  <c r="CV375" i="31"/>
  <c r="CV150" i="31"/>
  <c r="CV506" i="31"/>
  <c r="CV401" i="31"/>
  <c r="CV475" i="31"/>
  <c r="CV131" i="31"/>
  <c r="CV609" i="31"/>
  <c r="CV583" i="31"/>
  <c r="CV297" i="31"/>
  <c r="CV534" i="31"/>
  <c r="CV354" i="31"/>
  <c r="CV545" i="31"/>
  <c r="CV493" i="31"/>
  <c r="CV341" i="31"/>
  <c r="CV399" i="31"/>
  <c r="CV321" i="31"/>
  <c r="CV564" i="31"/>
  <c r="CV191" i="31"/>
  <c r="CV344" i="31"/>
  <c r="CV209" i="31"/>
  <c r="CV231" i="31"/>
  <c r="CV298" i="31"/>
  <c r="CV54" i="31"/>
  <c r="CV175" i="31"/>
  <c r="CV178" i="31"/>
  <c r="CV539" i="31"/>
  <c r="CV431" i="31"/>
  <c r="CV579" i="31"/>
  <c r="CV75" i="31"/>
  <c r="CV107" i="31"/>
  <c r="CV368" i="31"/>
  <c r="CV119" i="31"/>
  <c r="CV440" i="31"/>
  <c r="CV147" i="31"/>
  <c r="CV202" i="31"/>
  <c r="CV165" i="31"/>
  <c r="CV98" i="31"/>
  <c r="CV340" i="31"/>
  <c r="CV433" i="31"/>
  <c r="CV70" i="31"/>
  <c r="CV329" i="31"/>
  <c r="CV359" i="31"/>
  <c r="CV325" i="31"/>
  <c r="CV91" i="31"/>
  <c r="CV275" i="31"/>
  <c r="CV230" i="31"/>
  <c r="CV568" i="31"/>
  <c r="CV565" i="31"/>
  <c r="CV481" i="31"/>
  <c r="CV462" i="31"/>
  <c r="CV235" i="31"/>
  <c r="CV471" i="31"/>
  <c r="CV203" i="31"/>
  <c r="CV404" i="31"/>
  <c r="CV542" i="31"/>
  <c r="CV296" i="31"/>
  <c r="CV535" i="31"/>
  <c r="CV381" i="31"/>
  <c r="CV380" i="31"/>
  <c r="CV613" i="31"/>
  <c r="CV245" i="31"/>
  <c r="CV316" i="31"/>
  <c r="CV419" i="31"/>
  <c r="CV127" i="31"/>
  <c r="CV398" i="31"/>
  <c r="CV369" i="31"/>
  <c r="CV499" i="31"/>
  <c r="CV176" i="31"/>
  <c r="CV73" i="31"/>
  <c r="CV273" i="31"/>
  <c r="CV303" i="31"/>
  <c r="CV58" i="31"/>
  <c r="CV626" i="31"/>
  <c r="CV453" i="31"/>
  <c r="CV196" i="31"/>
  <c r="CV523" i="31"/>
  <c r="CV128" i="31"/>
  <c r="CV606" i="31"/>
  <c r="CV507" i="31"/>
  <c r="CV570" i="31"/>
  <c r="CV163" i="31"/>
  <c r="CV550" i="31"/>
  <c r="CV383" i="31"/>
  <c r="CV482" i="31"/>
  <c r="CV339" i="31"/>
  <c r="CV392" i="31"/>
  <c r="CV421" i="31"/>
  <c r="CV332" i="31"/>
  <c r="CV289" i="31"/>
  <c r="CV218" i="31"/>
  <c r="CV233" i="31"/>
  <c r="F34" i="2" l="1"/>
  <c r="G31" i="2"/>
  <c r="G34" i="2"/>
  <c r="F31" i="2"/>
  <c r="H32" i="2"/>
  <c r="H19" i="2"/>
  <c r="H7" i="2"/>
  <c r="H25" i="2"/>
  <c r="DD36" i="2"/>
  <c r="DE36" i="2" s="1"/>
  <c r="DB37" i="2"/>
  <c r="H42" i="1"/>
  <c r="I42" i="1"/>
  <c r="DA37" i="2"/>
  <c r="CW6" i="31"/>
  <c r="CW7" i="31" s="1"/>
  <c r="CW8" i="31" s="1"/>
  <c r="CW9" i="31" s="1"/>
  <c r="CW10" i="31" s="1"/>
  <c r="CW11" i="31" s="1"/>
  <c r="CW12" i="31" s="1"/>
  <c r="CW13" i="31" s="1"/>
  <c r="CW14" i="31" s="1"/>
  <c r="CW15" i="31" s="1"/>
  <c r="CW16" i="31" s="1"/>
  <c r="CW17" i="31" s="1"/>
  <c r="CW18" i="31" s="1"/>
  <c r="CW19" i="31" s="1"/>
  <c r="CW20" i="31" s="1"/>
  <c r="CW21" i="31" s="1"/>
  <c r="CW22" i="31" s="1"/>
  <c r="CW23" i="31" s="1"/>
  <c r="CW24" i="31" s="1"/>
  <c r="CW25" i="31" s="1"/>
  <c r="CW26" i="31" s="1"/>
  <c r="CW27" i="31" s="1"/>
  <c r="CW28" i="31" s="1"/>
  <c r="CW29" i="31" s="1"/>
  <c r="CW30" i="31" s="1"/>
  <c r="CW31" i="31" s="1"/>
  <c r="CW32" i="31" s="1"/>
  <c r="CW33" i="31" s="1"/>
  <c r="CW34" i="31" s="1"/>
  <c r="CW35" i="31" s="1"/>
  <c r="CW36" i="31" s="1"/>
  <c r="CW37" i="31" s="1"/>
  <c r="CW38" i="31" s="1"/>
  <c r="CW39" i="31" s="1"/>
  <c r="CW40" i="31" s="1"/>
  <c r="CW41" i="31" s="1"/>
  <c r="CW42" i="31" s="1"/>
  <c r="CW43" i="31" s="1"/>
  <c r="CW44" i="31" s="1"/>
  <c r="CW45" i="31" s="1"/>
  <c r="CW46" i="31" s="1"/>
  <c r="CW47" i="31" s="1"/>
  <c r="CW48" i="31" s="1"/>
  <c r="CW49" i="31" s="1"/>
  <c r="CW50" i="31" s="1"/>
  <c r="CW51" i="31" s="1"/>
  <c r="CW52" i="31" s="1"/>
  <c r="CW53" i="31" s="1"/>
  <c r="CW54" i="31" s="1"/>
  <c r="CW55" i="31" s="1"/>
  <c r="CW56" i="31" s="1"/>
  <c r="CW57" i="31" s="1"/>
  <c r="CW58" i="31" s="1"/>
  <c r="CW59" i="31" s="1"/>
  <c r="CW60" i="31" s="1"/>
  <c r="CW61" i="31" s="1"/>
  <c r="CW62" i="31" s="1"/>
  <c r="CW63" i="31" s="1"/>
  <c r="CW64" i="31" s="1"/>
  <c r="CW65" i="31" s="1"/>
  <c r="CW66" i="31" s="1"/>
  <c r="CW67" i="31" s="1"/>
  <c r="CW68" i="31" s="1"/>
  <c r="CW69" i="31" s="1"/>
  <c r="CW70" i="31" s="1"/>
  <c r="CW71" i="31" s="1"/>
  <c r="CW72" i="31" s="1"/>
  <c r="CW73" i="31" s="1"/>
  <c r="CW74" i="31" s="1"/>
  <c r="CW75" i="31" s="1"/>
  <c r="CW76" i="31" s="1"/>
  <c r="CW77" i="31" s="1"/>
  <c r="CW78" i="31" s="1"/>
  <c r="CW79" i="31" s="1"/>
  <c r="CW80" i="31" s="1"/>
  <c r="CW81" i="31" s="1"/>
  <c r="CW82" i="31" s="1"/>
  <c r="CW83" i="31" s="1"/>
  <c r="CW84" i="31" s="1"/>
  <c r="CW85" i="31" s="1"/>
  <c r="CW86" i="31" s="1"/>
  <c r="CW87" i="31" s="1"/>
  <c r="CW88" i="31" s="1"/>
  <c r="CW89" i="31" s="1"/>
  <c r="CW90" i="31" s="1"/>
  <c r="CW91" i="31" s="1"/>
  <c r="CW92" i="31" s="1"/>
  <c r="CW93" i="31" s="1"/>
  <c r="CW94" i="31" s="1"/>
  <c r="CW95" i="31" s="1"/>
  <c r="CW96" i="31" s="1"/>
  <c r="CW97" i="31" s="1"/>
  <c r="CW98" i="31" s="1"/>
  <c r="CW99" i="31" s="1"/>
  <c r="CW100" i="31" s="1"/>
  <c r="CW101" i="31" s="1"/>
  <c r="CW102" i="31" s="1"/>
  <c r="CW103" i="31" s="1"/>
  <c r="CW104" i="31" s="1"/>
  <c r="CW105" i="31" s="1"/>
  <c r="CW106" i="31" s="1"/>
  <c r="CW107" i="31" s="1"/>
  <c r="CW108" i="31" s="1"/>
  <c r="CW109" i="31" s="1"/>
  <c r="CW110" i="31" s="1"/>
  <c r="CW111" i="31" s="1"/>
  <c r="CW112" i="31" s="1"/>
  <c r="CW113" i="31" s="1"/>
  <c r="CW114" i="31" s="1"/>
  <c r="CW115" i="31" s="1"/>
  <c r="CW116" i="31" s="1"/>
  <c r="CW117" i="31" s="1"/>
  <c r="CW118" i="31" s="1"/>
  <c r="CW119" i="31" s="1"/>
  <c r="CW120" i="31" s="1"/>
  <c r="CW121" i="31" s="1"/>
  <c r="CW122" i="31" s="1"/>
  <c r="CW123" i="31" s="1"/>
  <c r="CW124" i="31" s="1"/>
  <c r="CW125" i="31" s="1"/>
  <c r="CW126" i="31" s="1"/>
  <c r="CW127" i="31" s="1"/>
  <c r="CW128" i="31" s="1"/>
  <c r="CW129" i="31" s="1"/>
  <c r="CW130" i="31" s="1"/>
  <c r="CW131" i="31" s="1"/>
  <c r="CW132" i="31" s="1"/>
  <c r="CW133" i="31" s="1"/>
  <c r="CW134" i="31" s="1"/>
  <c r="CW135" i="31" s="1"/>
  <c r="CW136" i="31" s="1"/>
  <c r="CW137" i="31" s="1"/>
  <c r="CW138" i="31" s="1"/>
  <c r="CW139" i="31" s="1"/>
  <c r="CW140" i="31" s="1"/>
  <c r="CW141" i="31" s="1"/>
  <c r="CW142" i="31" s="1"/>
  <c r="CW143" i="31" s="1"/>
  <c r="CW144" i="31" s="1"/>
  <c r="CW145" i="31" s="1"/>
  <c r="CW146" i="31" s="1"/>
  <c r="CW147" i="31" s="1"/>
  <c r="CW148" i="31" s="1"/>
  <c r="CW149" i="31" s="1"/>
  <c r="CW150" i="31" s="1"/>
  <c r="CW151" i="31" s="1"/>
  <c r="CW152" i="31" s="1"/>
  <c r="CW153" i="31" s="1"/>
  <c r="CW154" i="31" s="1"/>
  <c r="CW155" i="31" s="1"/>
  <c r="CW156" i="31" s="1"/>
  <c r="CW157" i="31" s="1"/>
  <c r="CW158" i="31" s="1"/>
  <c r="CW159" i="31" s="1"/>
  <c r="CW160" i="31" s="1"/>
  <c r="CW161" i="31" s="1"/>
  <c r="CW162" i="31" s="1"/>
  <c r="CW163" i="31" s="1"/>
  <c r="CW164" i="31" s="1"/>
  <c r="CW165" i="31" s="1"/>
  <c r="CW166" i="31" s="1"/>
  <c r="CW167" i="31" s="1"/>
  <c r="CW168" i="31" s="1"/>
  <c r="CW169" i="31" s="1"/>
  <c r="CW170" i="31" s="1"/>
  <c r="CW171" i="31" s="1"/>
  <c r="CW172" i="31" s="1"/>
  <c r="CW173" i="31" s="1"/>
  <c r="CW174" i="31" s="1"/>
  <c r="CW175" i="31" s="1"/>
  <c r="CW176" i="31" s="1"/>
  <c r="CW177" i="31" s="1"/>
  <c r="CW178" i="31" s="1"/>
  <c r="CW179" i="31" s="1"/>
  <c r="CW180" i="31" s="1"/>
  <c r="CW181" i="31" s="1"/>
  <c r="CW182" i="31" s="1"/>
  <c r="CW183" i="31" s="1"/>
  <c r="CW184" i="31" s="1"/>
  <c r="CW185" i="31" s="1"/>
  <c r="CW186" i="31" s="1"/>
  <c r="CW187" i="31" s="1"/>
  <c r="CW188" i="31" s="1"/>
  <c r="CW189" i="31" s="1"/>
  <c r="CW190" i="31" s="1"/>
  <c r="CW191" i="31" s="1"/>
  <c r="CW192" i="31" s="1"/>
  <c r="CW193" i="31" s="1"/>
  <c r="CW194" i="31" s="1"/>
  <c r="CW195" i="31" s="1"/>
  <c r="CW196" i="31" s="1"/>
  <c r="CW197" i="31" s="1"/>
  <c r="CW198" i="31" s="1"/>
  <c r="CW199" i="31" s="1"/>
  <c r="CW200" i="31" s="1"/>
  <c r="CW201" i="31" s="1"/>
  <c r="CW202" i="31" s="1"/>
  <c r="CW203" i="31" s="1"/>
  <c r="CW204" i="31" s="1"/>
  <c r="CW205" i="31" s="1"/>
  <c r="CW206" i="31" s="1"/>
  <c r="CW207" i="31" s="1"/>
  <c r="CW208" i="31" s="1"/>
  <c r="CW209" i="31" s="1"/>
  <c r="CW210" i="31" s="1"/>
  <c r="CW211" i="31" s="1"/>
  <c r="CW212" i="31" s="1"/>
  <c r="CW213" i="31" s="1"/>
  <c r="CW214" i="31" s="1"/>
  <c r="CW215" i="31" s="1"/>
  <c r="CW216" i="31" s="1"/>
  <c r="CW217" i="31" s="1"/>
  <c r="CW218" i="31" s="1"/>
  <c r="CW219" i="31" s="1"/>
  <c r="CW220" i="31" s="1"/>
  <c r="CW221" i="31" s="1"/>
  <c r="CW222" i="31" s="1"/>
  <c r="CW223" i="31" s="1"/>
  <c r="CW224" i="31" s="1"/>
  <c r="CW225" i="31" s="1"/>
  <c r="CW226" i="31" s="1"/>
  <c r="CW227" i="31" s="1"/>
  <c r="CW228" i="31" s="1"/>
  <c r="CW229" i="31" s="1"/>
  <c r="CW230" i="31" s="1"/>
  <c r="CW231" i="31" s="1"/>
  <c r="CW232" i="31" s="1"/>
  <c r="CW233" i="31" s="1"/>
  <c r="CW234" i="31" s="1"/>
  <c r="CW235" i="31" s="1"/>
  <c r="CW236" i="31" s="1"/>
  <c r="CW237" i="31" s="1"/>
  <c r="CW238" i="31" s="1"/>
  <c r="CW239" i="31" s="1"/>
  <c r="CW240" i="31" s="1"/>
  <c r="CW241" i="31" s="1"/>
  <c r="CW242" i="31" s="1"/>
  <c r="CW243" i="31" s="1"/>
  <c r="CW244" i="31" s="1"/>
  <c r="CW245" i="31" s="1"/>
  <c r="CW246" i="31" s="1"/>
  <c r="CW247" i="31" s="1"/>
  <c r="CW248" i="31" s="1"/>
  <c r="CW249" i="31" s="1"/>
  <c r="CW250" i="31" s="1"/>
  <c r="CW251" i="31" s="1"/>
  <c r="CW252" i="31" s="1"/>
  <c r="CW253" i="31" s="1"/>
  <c r="CW254" i="31" s="1"/>
  <c r="CW255" i="31" s="1"/>
  <c r="CW256" i="31" s="1"/>
  <c r="CW257" i="31" s="1"/>
  <c r="CW258" i="31" s="1"/>
  <c r="CW259" i="31" s="1"/>
  <c r="CW260" i="31" s="1"/>
  <c r="CW261" i="31" s="1"/>
  <c r="CW262" i="31" s="1"/>
  <c r="CW263" i="31" s="1"/>
  <c r="CW264" i="31" s="1"/>
  <c r="CW265" i="31" s="1"/>
  <c r="CW266" i="31" s="1"/>
  <c r="CW267" i="31" s="1"/>
  <c r="CW268" i="31" s="1"/>
  <c r="CW269" i="31" s="1"/>
  <c r="CW270" i="31" s="1"/>
  <c r="CW271" i="31" s="1"/>
  <c r="CW272" i="31" s="1"/>
  <c r="CW273" i="31" s="1"/>
  <c r="CW274" i="31" s="1"/>
  <c r="CW275" i="31" s="1"/>
  <c r="CW276" i="31" s="1"/>
  <c r="CW277" i="31" s="1"/>
  <c r="CW278" i="31" s="1"/>
  <c r="CW279" i="31" s="1"/>
  <c r="CW280" i="31" s="1"/>
  <c r="CW281" i="31" s="1"/>
  <c r="CW282" i="31" s="1"/>
  <c r="CW283" i="31" s="1"/>
  <c r="CW284" i="31" s="1"/>
  <c r="CW285" i="31" s="1"/>
  <c r="CW286" i="31" s="1"/>
  <c r="CW287" i="31" s="1"/>
  <c r="CW288" i="31" s="1"/>
  <c r="CW289" i="31" s="1"/>
  <c r="CW290" i="31" s="1"/>
  <c r="CW291" i="31" s="1"/>
  <c r="CW292" i="31" s="1"/>
  <c r="CW293" i="31" s="1"/>
  <c r="CW294" i="31" s="1"/>
  <c r="CW295" i="31" s="1"/>
  <c r="CW296" i="31" s="1"/>
  <c r="CW297" i="31" s="1"/>
  <c r="CW298" i="31" s="1"/>
  <c r="CW299" i="31" s="1"/>
  <c r="CW300" i="31" s="1"/>
  <c r="CW301" i="31" s="1"/>
  <c r="CW302" i="31" s="1"/>
  <c r="CW303" i="31" s="1"/>
  <c r="CW304" i="31" s="1"/>
  <c r="CW305" i="31" s="1"/>
  <c r="CW306" i="31" s="1"/>
  <c r="CW307" i="31" s="1"/>
  <c r="CW308" i="31" s="1"/>
  <c r="CW309" i="31" s="1"/>
  <c r="CW310" i="31" s="1"/>
  <c r="CW311" i="31" s="1"/>
  <c r="CW312" i="31" s="1"/>
  <c r="CW313" i="31" s="1"/>
  <c r="CW314" i="31" s="1"/>
  <c r="CW315" i="31" s="1"/>
  <c r="CW316" i="31" s="1"/>
  <c r="CW317" i="31" s="1"/>
  <c r="CW318" i="31" s="1"/>
  <c r="CW319" i="31" s="1"/>
  <c r="CW320" i="31" s="1"/>
  <c r="CW321" i="31" s="1"/>
  <c r="CW322" i="31" s="1"/>
  <c r="CW323" i="31" s="1"/>
  <c r="CW324" i="31" s="1"/>
  <c r="CW325" i="31" s="1"/>
  <c r="CW326" i="31" s="1"/>
  <c r="CW327" i="31" s="1"/>
  <c r="CW328" i="31" s="1"/>
  <c r="CW329" i="31" s="1"/>
  <c r="CW330" i="31" s="1"/>
  <c r="CW331" i="31" s="1"/>
  <c r="CW332" i="31" s="1"/>
  <c r="CW333" i="31" s="1"/>
  <c r="CW334" i="31" s="1"/>
  <c r="CW335" i="31" s="1"/>
  <c r="CW336" i="31" s="1"/>
  <c r="CW337" i="31" s="1"/>
  <c r="CW338" i="31" s="1"/>
  <c r="CW339" i="31" s="1"/>
  <c r="CW340" i="31" s="1"/>
  <c r="CW341" i="31" s="1"/>
  <c r="CW342" i="31" s="1"/>
  <c r="CW343" i="31" s="1"/>
  <c r="CW344" i="31" s="1"/>
  <c r="CW345" i="31" s="1"/>
  <c r="CW346" i="31" s="1"/>
  <c r="CW347" i="31" s="1"/>
  <c r="CW348" i="31" s="1"/>
  <c r="CW349" i="31" s="1"/>
  <c r="CW350" i="31" s="1"/>
  <c r="CW351" i="31" s="1"/>
  <c r="CW352" i="31" s="1"/>
  <c r="CW353" i="31" s="1"/>
  <c r="CW354" i="31" s="1"/>
  <c r="CW355" i="31" s="1"/>
  <c r="CW356" i="31" s="1"/>
  <c r="CW357" i="31" s="1"/>
  <c r="CW358" i="31" s="1"/>
  <c r="CW359" i="31" s="1"/>
  <c r="CW360" i="31" s="1"/>
  <c r="CW361" i="31" s="1"/>
  <c r="CW362" i="31" s="1"/>
  <c r="CW363" i="31" s="1"/>
  <c r="CW364" i="31" s="1"/>
  <c r="CW365" i="31" s="1"/>
  <c r="CW366" i="31" s="1"/>
  <c r="CW367" i="31" s="1"/>
  <c r="CW368" i="31" s="1"/>
  <c r="CW369" i="31" s="1"/>
  <c r="CW370" i="31" s="1"/>
  <c r="CW371" i="31" s="1"/>
  <c r="CW372" i="31" s="1"/>
  <c r="CW373" i="31" s="1"/>
  <c r="CW374" i="31" s="1"/>
  <c r="CW375" i="31" s="1"/>
  <c r="CW376" i="31" s="1"/>
  <c r="CW377" i="31" s="1"/>
  <c r="CW378" i="31" s="1"/>
  <c r="CW379" i="31" s="1"/>
  <c r="CW380" i="31" s="1"/>
  <c r="CW381" i="31" s="1"/>
  <c r="CW382" i="31" s="1"/>
  <c r="CW383" i="31" s="1"/>
  <c r="CW384" i="31" s="1"/>
  <c r="CW385" i="31" s="1"/>
  <c r="CW386" i="31" s="1"/>
  <c r="CW387" i="31" s="1"/>
  <c r="CW388" i="31" s="1"/>
  <c r="CW389" i="31" s="1"/>
  <c r="CW390" i="31" s="1"/>
  <c r="CW391" i="31" s="1"/>
  <c r="CW392" i="31" s="1"/>
  <c r="CW393" i="31" s="1"/>
  <c r="CW394" i="31" s="1"/>
  <c r="CW395" i="31" s="1"/>
  <c r="CW396" i="31" s="1"/>
  <c r="CW397" i="31" s="1"/>
  <c r="CW398" i="31" s="1"/>
  <c r="CW399" i="31" s="1"/>
  <c r="CW400" i="31" s="1"/>
  <c r="CW401" i="31" s="1"/>
  <c r="CW402" i="31" s="1"/>
  <c r="CW403" i="31" s="1"/>
  <c r="CW404" i="31" s="1"/>
  <c r="CW405" i="31" s="1"/>
  <c r="CW406" i="31" s="1"/>
  <c r="CW407" i="31" s="1"/>
  <c r="CW408" i="31" s="1"/>
  <c r="CW409" i="31" s="1"/>
  <c r="CW410" i="31" s="1"/>
  <c r="CW411" i="31" s="1"/>
  <c r="CW412" i="31" s="1"/>
  <c r="CW413" i="31" s="1"/>
  <c r="CW414" i="31" s="1"/>
  <c r="CW415" i="31" s="1"/>
  <c r="CW416" i="31" s="1"/>
  <c r="CW417" i="31" s="1"/>
  <c r="CW418" i="31" s="1"/>
  <c r="CW419" i="31" s="1"/>
  <c r="CW420" i="31" s="1"/>
  <c r="CW421" i="31" s="1"/>
  <c r="CW422" i="31" s="1"/>
  <c r="CW423" i="31" s="1"/>
  <c r="CW424" i="31" s="1"/>
  <c r="CW425" i="31" s="1"/>
  <c r="CW426" i="31" s="1"/>
  <c r="CW427" i="31" s="1"/>
  <c r="CW428" i="31" s="1"/>
  <c r="CW429" i="31" s="1"/>
  <c r="CW430" i="31" s="1"/>
  <c r="CW431" i="31" s="1"/>
  <c r="CW432" i="31" s="1"/>
  <c r="CW433" i="31" s="1"/>
  <c r="CW434" i="31" s="1"/>
  <c r="CW435" i="31" s="1"/>
  <c r="CW436" i="31" s="1"/>
  <c r="CW437" i="31" s="1"/>
  <c r="CW438" i="31" s="1"/>
  <c r="CW439" i="31" s="1"/>
  <c r="CW440" i="31" s="1"/>
  <c r="CW441" i="31" s="1"/>
  <c r="CW442" i="31" s="1"/>
  <c r="CW443" i="31" s="1"/>
  <c r="CW444" i="31" s="1"/>
  <c r="CW445" i="31" s="1"/>
  <c r="CW446" i="31" s="1"/>
  <c r="CW447" i="31" s="1"/>
  <c r="CW448" i="31" s="1"/>
  <c r="CW449" i="31" s="1"/>
  <c r="CW450" i="31" s="1"/>
  <c r="CW451" i="31" s="1"/>
  <c r="CW452" i="31" s="1"/>
  <c r="CW453" i="31" s="1"/>
  <c r="CW454" i="31" s="1"/>
  <c r="CW455" i="31" s="1"/>
  <c r="CW456" i="31" s="1"/>
  <c r="CW457" i="31" s="1"/>
  <c r="CK2" i="31"/>
  <c r="CP2" i="31"/>
  <c r="CM2" i="31"/>
  <c r="CN2" i="31"/>
  <c r="CE2" i="31"/>
  <c r="CJ2" i="31"/>
  <c r="CL2" i="31"/>
  <c r="CC2" i="31"/>
  <c r="CF2" i="31"/>
  <c r="CI2" i="31"/>
  <c r="CH2" i="31"/>
  <c r="CQ2" i="31"/>
  <c r="CQ1" i="31" s="1"/>
  <c r="CO2" i="31"/>
  <c r="CD2" i="31"/>
  <c r="CG2" i="31"/>
  <c r="F37" i="2" l="1"/>
  <c r="G40" i="2"/>
  <c r="G37" i="2"/>
  <c r="F40" i="2"/>
  <c r="H33" i="2"/>
  <c r="H13" i="2"/>
  <c r="H20" i="2"/>
  <c r="H31" i="2"/>
  <c r="CP1" i="31"/>
  <c r="CO1" i="31" s="1"/>
  <c r="CN1" i="31" s="1"/>
  <c r="CM1" i="31" s="1"/>
  <c r="CL1" i="31" s="1"/>
  <c r="CK1" i="31" s="1"/>
  <c r="CJ1" i="31" s="1"/>
  <c r="CI1" i="31" s="1"/>
  <c r="CH1" i="31" s="1"/>
  <c r="CG1" i="31" s="1"/>
  <c r="CF1" i="31" s="1"/>
  <c r="CE1" i="31" s="1"/>
  <c r="CD1" i="31" s="1"/>
  <c r="CC1" i="31" s="1"/>
  <c r="DB38" i="2"/>
  <c r="H34" i="2"/>
  <c r="DD37" i="2"/>
  <c r="DE37" i="2" s="1"/>
  <c r="DA38" i="2"/>
  <c r="CW458" i="31"/>
  <c r="CW459" i="31" s="1"/>
  <c r="CW460" i="31" s="1"/>
  <c r="CW461" i="31" s="1"/>
  <c r="CW462" i="31" s="1"/>
  <c r="CW463" i="31" s="1"/>
  <c r="CW464" i="31" s="1"/>
  <c r="CW465" i="31" s="1"/>
  <c r="CW466" i="31" s="1"/>
  <c r="CW467" i="31" s="1"/>
  <c r="CW468" i="31" s="1"/>
  <c r="CW469" i="31" s="1"/>
  <c r="CW470" i="31" s="1"/>
  <c r="CW471" i="31" s="1"/>
  <c r="CW472" i="31" s="1"/>
  <c r="CW473" i="31" s="1"/>
  <c r="CW474" i="31" s="1"/>
  <c r="CW475" i="31" s="1"/>
  <c r="CW476" i="31" s="1"/>
  <c r="CW477" i="31" s="1"/>
  <c r="CW478" i="31" s="1"/>
  <c r="CW479" i="31" s="1"/>
  <c r="CW480" i="31" s="1"/>
  <c r="CW481" i="31" s="1"/>
  <c r="CW482" i="31" s="1"/>
  <c r="CW483" i="31" s="1"/>
  <c r="CW484" i="31" s="1"/>
  <c r="CW485" i="31" s="1"/>
  <c r="CW486" i="31" s="1"/>
  <c r="CW487" i="31" s="1"/>
  <c r="CW488" i="31" s="1"/>
  <c r="CW489" i="31" s="1"/>
  <c r="CW490" i="31" s="1"/>
  <c r="CW491" i="31" s="1"/>
  <c r="CW492" i="31" s="1"/>
  <c r="CW493" i="31" s="1"/>
  <c r="CW494" i="31" s="1"/>
  <c r="CW495" i="31" s="1"/>
  <c r="CW496" i="31" s="1"/>
  <c r="CW497" i="31" s="1"/>
  <c r="CW498" i="31" s="1"/>
  <c r="CW499" i="31" s="1"/>
  <c r="CW500" i="31" s="1"/>
  <c r="CW501" i="31" s="1"/>
  <c r="CW502" i="31" s="1"/>
  <c r="CW503" i="31" s="1"/>
  <c r="CW504" i="31" s="1"/>
  <c r="CW505" i="31" s="1"/>
  <c r="CW506" i="31" s="1"/>
  <c r="CW507" i="31" s="1"/>
  <c r="CW508" i="31" s="1"/>
  <c r="CW509" i="31" s="1"/>
  <c r="CW510" i="31" s="1"/>
  <c r="CW511" i="31" s="1"/>
  <c r="CW512" i="31" s="1"/>
  <c r="CW513" i="31" s="1"/>
  <c r="CW514" i="31" s="1"/>
  <c r="CW515" i="31" s="1"/>
  <c r="CW516" i="31" s="1"/>
  <c r="CW517" i="31" s="1"/>
  <c r="CW518" i="31" s="1"/>
  <c r="CW519" i="31" s="1"/>
  <c r="CW520" i="31" s="1"/>
  <c r="CW521" i="31" s="1"/>
  <c r="CW522" i="31" s="1"/>
  <c r="CW523" i="31" s="1"/>
  <c r="CW524" i="31" s="1"/>
  <c r="CW525" i="31" s="1"/>
  <c r="CW526" i="31" s="1"/>
  <c r="CW527" i="31" s="1"/>
  <c r="CW528" i="31" s="1"/>
  <c r="CW529" i="31" s="1"/>
  <c r="CW530" i="31" s="1"/>
  <c r="CW531" i="31" s="1"/>
  <c r="CW532" i="31" s="1"/>
  <c r="CW533" i="31" s="1"/>
  <c r="CW534" i="31" s="1"/>
  <c r="CW535" i="31" s="1"/>
  <c r="CW536" i="31" s="1"/>
  <c r="CW537" i="31" s="1"/>
  <c r="CW538" i="31" s="1"/>
  <c r="CW539" i="31" s="1"/>
  <c r="CW540" i="31" s="1"/>
  <c r="CW541" i="31" s="1"/>
  <c r="CW542" i="31" s="1"/>
  <c r="CW543" i="31" s="1"/>
  <c r="CW544" i="31" s="1"/>
  <c r="CW545" i="31" s="1"/>
  <c r="CW546" i="31" s="1"/>
  <c r="CW547" i="31" s="1"/>
  <c r="CW548" i="31" s="1"/>
  <c r="CW549" i="31" s="1"/>
  <c r="CW550" i="31" s="1"/>
  <c r="CW551" i="31" s="1"/>
  <c r="CW552" i="31" s="1"/>
  <c r="CW553" i="31" s="1"/>
  <c r="CW554" i="31" s="1"/>
  <c r="CW555" i="31" s="1"/>
  <c r="CW556" i="31" s="1"/>
  <c r="CW557" i="31" s="1"/>
  <c r="CW558" i="31" s="1"/>
  <c r="CW559" i="31" s="1"/>
  <c r="CW560" i="31" s="1"/>
  <c r="CW561" i="31" s="1"/>
  <c r="CW562" i="31" s="1"/>
  <c r="CW563" i="31" s="1"/>
  <c r="CW564" i="31" s="1"/>
  <c r="CW565" i="31" s="1"/>
  <c r="CW566" i="31" s="1"/>
  <c r="CW567" i="31" s="1"/>
  <c r="CW568" i="31" s="1"/>
  <c r="CW569" i="31" s="1"/>
  <c r="CW570" i="31" s="1"/>
  <c r="CW571" i="31" s="1"/>
  <c r="CW572" i="31" s="1"/>
  <c r="CW573" i="31" s="1"/>
  <c r="CW574" i="31" s="1"/>
  <c r="CW575" i="31" s="1"/>
  <c r="CW576" i="31" s="1"/>
  <c r="CW577" i="31" s="1"/>
  <c r="CW578" i="31" s="1"/>
  <c r="CW579" i="31" s="1"/>
  <c r="CW580" i="31" s="1"/>
  <c r="CW581" i="31" s="1"/>
  <c r="CW582" i="31" s="1"/>
  <c r="CW583" i="31" s="1"/>
  <c r="CW584" i="31" s="1"/>
  <c r="CW585" i="31" s="1"/>
  <c r="CW586" i="31" s="1"/>
  <c r="CW587" i="31" s="1"/>
  <c r="CW588" i="31" s="1"/>
  <c r="CW589" i="31" s="1"/>
  <c r="CW590" i="31" s="1"/>
  <c r="CW591" i="31" s="1"/>
  <c r="CW592" i="31" s="1"/>
  <c r="CW593" i="31" s="1"/>
  <c r="CW594" i="31" s="1"/>
  <c r="CW595" i="31" s="1"/>
  <c r="CW596" i="31" s="1"/>
  <c r="CW597" i="31" s="1"/>
  <c r="CW598" i="31" s="1"/>
  <c r="CW599" i="31" s="1"/>
  <c r="CW600" i="31" s="1"/>
  <c r="CW601" i="31" s="1"/>
  <c r="CW602" i="31" s="1"/>
  <c r="CW603" i="31" s="1"/>
  <c r="CW604" i="31" s="1"/>
  <c r="CW605" i="31" s="1"/>
  <c r="CW606" i="31" s="1"/>
  <c r="CW607" i="31" s="1"/>
  <c r="CW608" i="31" s="1"/>
  <c r="CW609" i="31" s="1"/>
  <c r="CW610" i="31" s="1"/>
  <c r="CW611" i="31" s="1"/>
  <c r="CW612" i="31" s="1"/>
  <c r="CW613" i="31" s="1"/>
  <c r="CW614" i="31" s="1"/>
  <c r="CW615" i="31" s="1"/>
  <c r="CW616" i="31" s="1"/>
  <c r="CW617" i="31" s="1"/>
  <c r="CW618" i="31" s="1"/>
  <c r="CW619" i="31" s="1"/>
  <c r="CW620" i="31" s="1"/>
  <c r="CW621" i="31" s="1"/>
  <c r="CW622" i="31" s="1"/>
  <c r="CW623" i="31" s="1"/>
  <c r="CW624" i="31" s="1"/>
  <c r="CW625" i="31" s="1"/>
  <c r="CW626" i="31" s="1"/>
  <c r="CW627" i="31" s="1"/>
  <c r="CW628" i="31" s="1"/>
  <c r="CW629" i="31" s="1"/>
  <c r="CW630" i="31" s="1"/>
  <c r="CW631" i="31" s="1"/>
  <c r="CW632" i="31" s="1"/>
  <c r="CW633" i="31" s="1"/>
  <c r="F39" i="2" l="1"/>
  <c r="G38" i="2"/>
  <c r="CH14" i="2"/>
  <c r="CH40" i="2"/>
  <c r="CH7" i="2"/>
  <c r="CH34" i="2"/>
  <c r="CH28" i="2"/>
  <c r="CH21" i="2"/>
  <c r="G39" i="2"/>
  <c r="F38" i="2"/>
  <c r="CG40" i="2"/>
  <c r="CG28" i="2"/>
  <c r="CI28" i="2" s="1"/>
  <c r="CG21" i="2"/>
  <c r="CG34" i="2"/>
  <c r="CG14" i="2"/>
  <c r="CG7" i="2"/>
  <c r="H37" i="2"/>
  <c r="H5" i="2"/>
  <c r="H26" i="2"/>
  <c r="DD38" i="2"/>
  <c r="H38" i="2"/>
  <c r="DA202" i="31"/>
  <c r="DD202" i="31" s="1"/>
  <c r="DA149" i="31"/>
  <c r="DB149" i="31" s="1"/>
  <c r="DA175" i="31"/>
  <c r="DD175" i="31" s="1"/>
  <c r="DA191" i="31"/>
  <c r="DA186" i="31"/>
  <c r="DB186" i="31" s="1"/>
  <c r="DA155" i="31"/>
  <c r="DC155" i="31" s="1"/>
  <c r="DA154" i="31"/>
  <c r="DC154" i="31" s="1"/>
  <c r="DA159" i="31"/>
  <c r="DD159" i="31" s="1"/>
  <c r="DA197" i="31"/>
  <c r="DB197" i="31" s="1"/>
  <c r="DA170" i="31"/>
  <c r="DC170" i="31" s="1"/>
  <c r="DA165" i="31"/>
  <c r="DB165" i="31" s="1"/>
  <c r="DA139" i="31"/>
  <c r="DA141" i="31"/>
  <c r="DB141" i="31" s="1"/>
  <c r="DA192" i="31"/>
  <c r="DC192" i="31" s="1"/>
  <c r="DA181" i="31"/>
  <c r="DB181" i="31" s="1"/>
  <c r="DA187" i="31"/>
  <c r="DB187" i="31" s="1"/>
  <c r="DA145" i="31"/>
  <c r="DB145" i="31" s="1"/>
  <c r="DA182" i="31"/>
  <c r="DD182" i="31" s="1"/>
  <c r="DA171" i="31"/>
  <c r="DD171" i="31" s="1"/>
  <c r="DA166" i="31"/>
  <c r="DC166" i="31" s="1"/>
  <c r="DA162" i="31"/>
  <c r="DC162" i="31" s="1"/>
  <c r="DA203" i="31"/>
  <c r="DB203" i="31" s="1"/>
  <c r="DA198" i="31"/>
  <c r="DB198" i="31" s="1"/>
  <c r="DA177" i="31"/>
  <c r="DC177" i="31" s="1"/>
  <c r="DA150" i="31"/>
  <c r="DC150" i="31" s="1"/>
  <c r="DA161" i="31"/>
  <c r="DB161" i="31" s="1"/>
  <c r="DA173" i="31"/>
  <c r="DD173" i="31" s="1"/>
  <c r="DA193" i="31"/>
  <c r="DD193" i="31" s="1"/>
  <c r="DA167" i="31"/>
  <c r="DC167" i="31" s="1"/>
  <c r="DA199" i="31"/>
  <c r="DB199" i="31" s="1"/>
  <c r="DA194" i="31"/>
  <c r="DB194" i="31" s="1"/>
  <c r="DA137" i="31"/>
  <c r="DD137" i="31" s="1"/>
  <c r="DA200" i="31"/>
  <c r="DC200" i="31" s="1"/>
  <c r="DA183" i="31"/>
  <c r="DB183" i="31" s="1"/>
  <c r="DA178" i="31"/>
  <c r="DD178" i="31" s="1"/>
  <c r="DA189" i="31"/>
  <c r="DC189" i="31" s="1"/>
  <c r="DA32" i="31"/>
  <c r="DC32" i="31" s="1"/>
  <c r="DA188" i="31"/>
  <c r="DD188" i="31" s="1"/>
  <c r="DA151" i="31"/>
  <c r="DD151" i="31" s="1"/>
  <c r="DA146" i="31"/>
  <c r="DD146" i="31" s="1"/>
  <c r="DA157" i="31"/>
  <c r="DB157" i="31" s="1"/>
  <c r="DA17" i="31"/>
  <c r="DD17" i="31" s="1"/>
  <c r="DA19" i="31"/>
  <c r="DC19" i="31" s="1"/>
  <c r="DA21" i="31"/>
  <c r="DD21" i="31" s="1"/>
  <c r="DA49" i="31"/>
  <c r="DD49" i="31" s="1"/>
  <c r="DA8" i="31"/>
  <c r="DD8" i="31" s="1"/>
  <c r="DA7" i="31"/>
  <c r="DD7" i="31" s="1"/>
  <c r="DA46" i="31"/>
  <c r="DD46" i="31" s="1"/>
  <c r="DA13" i="31"/>
  <c r="DB13" i="31" s="1"/>
  <c r="DA31" i="31"/>
  <c r="DB31" i="31" s="1"/>
  <c r="DA48" i="31"/>
  <c r="DB48" i="31" s="1"/>
  <c r="DA63" i="31"/>
  <c r="DD63" i="31" s="1"/>
  <c r="DA25" i="31"/>
  <c r="DD25" i="31" s="1"/>
  <c r="DA20" i="31"/>
  <c r="DC20" i="31" s="1"/>
  <c r="DA117" i="31"/>
  <c r="DD117" i="31" s="1"/>
  <c r="DA18" i="31"/>
  <c r="DC18" i="31" s="1"/>
  <c r="DA6" i="31"/>
  <c r="DD6" i="31" s="1"/>
  <c r="DA36" i="31"/>
  <c r="DB36" i="31" s="1"/>
  <c r="DA103" i="31"/>
  <c r="DD103" i="31" s="1"/>
  <c r="DA34" i="31"/>
  <c r="DD34" i="31" s="1"/>
  <c r="DA88" i="31"/>
  <c r="DC88" i="31" s="1"/>
  <c r="DA85" i="31"/>
  <c r="DB85" i="31" s="1"/>
  <c r="DA65" i="31"/>
  <c r="DC65" i="31" s="1"/>
  <c r="DA38" i="31"/>
  <c r="DC38" i="31" s="1"/>
  <c r="DA72" i="31"/>
  <c r="DC72" i="31" s="1"/>
  <c r="DA96" i="31"/>
  <c r="DC96" i="31" s="1"/>
  <c r="DA76" i="31"/>
  <c r="DD76" i="31" s="1"/>
  <c r="DA168" i="31"/>
  <c r="DB168" i="31" s="1"/>
  <c r="DA57" i="31"/>
  <c r="DD57" i="31" s="1"/>
  <c r="DA44" i="31"/>
  <c r="DB44" i="31" s="1"/>
  <c r="DA64" i="31"/>
  <c r="DB64" i="31" s="1"/>
  <c r="DA128" i="31"/>
  <c r="DD128" i="31" s="1"/>
  <c r="DA78" i="31"/>
  <c r="DD78" i="31" s="1"/>
  <c r="DA101" i="31"/>
  <c r="DB101" i="31" s="1"/>
  <c r="DA120" i="31"/>
  <c r="DC120" i="31" s="1"/>
  <c r="DA67" i="31"/>
  <c r="DD67" i="31" s="1"/>
  <c r="DA56" i="31"/>
  <c r="DB56" i="31" s="1"/>
  <c r="DA89" i="31"/>
  <c r="DC89" i="31" s="1"/>
  <c r="DA124" i="31"/>
  <c r="DB124" i="31" s="1"/>
  <c r="DA140" i="31"/>
  <c r="DB140" i="31" s="1"/>
  <c r="DA135" i="31"/>
  <c r="DC135" i="31" s="1"/>
  <c r="DA152" i="31"/>
  <c r="DD152" i="31" s="1"/>
  <c r="DA90" i="31"/>
  <c r="DC90" i="31" s="1"/>
  <c r="DA136" i="31"/>
  <c r="DD136" i="31" s="1"/>
  <c r="DA110" i="31"/>
  <c r="DC110" i="31" s="1"/>
  <c r="DA184" i="31"/>
  <c r="DB184" i="31" s="1"/>
  <c r="DA51" i="31"/>
  <c r="DC51" i="31" s="1"/>
  <c r="DA107" i="31"/>
  <c r="DB107" i="31" s="1"/>
  <c r="DA86" i="31"/>
  <c r="DB86" i="31" s="1"/>
  <c r="DA59" i="31"/>
  <c r="DB59" i="31" s="1"/>
  <c r="DA47" i="31"/>
  <c r="DB47" i="31" s="1"/>
  <c r="DA105" i="31"/>
  <c r="DD105" i="31" s="1"/>
  <c r="DA41" i="31"/>
  <c r="DD41" i="31" s="1"/>
  <c r="DA74" i="31"/>
  <c r="DC74" i="31" s="1"/>
  <c r="DA100" i="31"/>
  <c r="DB100" i="31" s="1"/>
  <c r="DA58" i="31"/>
  <c r="DB58" i="31" s="1"/>
  <c r="DA91" i="31"/>
  <c r="DD91" i="31" s="1"/>
  <c r="DA129" i="31"/>
  <c r="DB129" i="31" s="1"/>
  <c r="DA66" i="31"/>
  <c r="DD66" i="31" s="1"/>
  <c r="DA80" i="31"/>
  <c r="DB80" i="31" s="1"/>
  <c r="DA142" i="31"/>
  <c r="DC142" i="31" s="1"/>
  <c r="DA50" i="31"/>
  <c r="DB50" i="31" s="1"/>
  <c r="DA42" i="31"/>
  <c r="DB42" i="31" s="1"/>
  <c r="DA121" i="31"/>
  <c r="DB121" i="31" s="1"/>
  <c r="DA130" i="31"/>
  <c r="DC130" i="31" s="1"/>
  <c r="DA98" i="31"/>
  <c r="DC98" i="31" s="1"/>
  <c r="DA29" i="31"/>
  <c r="DD29" i="31" s="1"/>
  <c r="DA108" i="31"/>
  <c r="DC108" i="31" s="1"/>
  <c r="DA114" i="31"/>
  <c r="DC114" i="31" s="1"/>
  <c r="DA12" i="31"/>
  <c r="DD12" i="31" s="1"/>
  <c r="DA125" i="31"/>
  <c r="DD125" i="31" s="1"/>
  <c r="DA73" i="31"/>
  <c r="DD73" i="31" s="1"/>
  <c r="DA156" i="31"/>
  <c r="DD156" i="31" s="1"/>
  <c r="DA14" i="31"/>
  <c r="DC14" i="31" s="1"/>
  <c r="DA9" i="31"/>
  <c r="DB9" i="31" s="1"/>
  <c r="DA45" i="31"/>
  <c r="DB45" i="31" s="1"/>
  <c r="DA16" i="31"/>
  <c r="DC16" i="31" s="1"/>
  <c r="DA24" i="31"/>
  <c r="DD24" i="31" s="1"/>
  <c r="DA75" i="31"/>
  <c r="DC75" i="31" s="1"/>
  <c r="DA172" i="31"/>
  <c r="DC172" i="31" s="1"/>
  <c r="DA22" i="31"/>
  <c r="DC22" i="31" s="1"/>
  <c r="DA28" i="31"/>
  <c r="DB28" i="31" s="1"/>
  <c r="DA5" i="31"/>
  <c r="DD5" i="31" s="1"/>
  <c r="DA39" i="31"/>
  <c r="DB39" i="31" s="1"/>
  <c r="DA60" i="31"/>
  <c r="DB60" i="31" s="1"/>
  <c r="DA35" i="31"/>
  <c r="DB35" i="31" s="1"/>
  <c r="DA11" i="31"/>
  <c r="DD11" i="31" s="1"/>
  <c r="DA61" i="31"/>
  <c r="DC61" i="31" s="1"/>
  <c r="DA33" i="31"/>
  <c r="DD33" i="31" s="1"/>
  <c r="DA26" i="31"/>
  <c r="DC26" i="31" s="1"/>
  <c r="DA82" i="31"/>
  <c r="DB82" i="31" s="1"/>
  <c r="DA111" i="31"/>
  <c r="DD111" i="31" s="1"/>
  <c r="DA4" i="31"/>
  <c r="DB4" i="31" s="1"/>
  <c r="DA23" i="31"/>
  <c r="DD23" i="31" s="1"/>
  <c r="DA53" i="31"/>
  <c r="DD53" i="31" s="1"/>
  <c r="DA104" i="31"/>
  <c r="DC104" i="31" s="1"/>
  <c r="DA115" i="31"/>
  <c r="DC115" i="31" s="1"/>
  <c r="DA52" i="31"/>
  <c r="DB52" i="31" s="1"/>
  <c r="DA109" i="31"/>
  <c r="DD109" i="31" s="1"/>
  <c r="DA69" i="31"/>
  <c r="DB69" i="31" s="1"/>
  <c r="DA92" i="31"/>
  <c r="DB92" i="31" s="1"/>
  <c r="DA68" i="31"/>
  <c r="DC68" i="31" s="1"/>
  <c r="DA93" i="31"/>
  <c r="DB93" i="31" s="1"/>
  <c r="DA118" i="31"/>
  <c r="DC118" i="31" s="1"/>
  <c r="DA84" i="31"/>
  <c r="DD84" i="31" s="1"/>
  <c r="DA15" i="31"/>
  <c r="DD15" i="31" s="1"/>
  <c r="DA79" i="31"/>
  <c r="DC79" i="31" s="1"/>
  <c r="DA112" i="31"/>
  <c r="DC112" i="31" s="1"/>
  <c r="DA126" i="31"/>
  <c r="DB126" i="31" s="1"/>
  <c r="DA77" i="31"/>
  <c r="DD77" i="31" s="1"/>
  <c r="DA160" i="31"/>
  <c r="DC160" i="31" s="1"/>
  <c r="DA71" i="31"/>
  <c r="DB71" i="31" s="1"/>
  <c r="DA132" i="31"/>
  <c r="DC132" i="31" s="1"/>
  <c r="DA102" i="31"/>
  <c r="DC102" i="31" s="1"/>
  <c r="DA176" i="31"/>
  <c r="DD176" i="31" s="1"/>
  <c r="DA94" i="31"/>
  <c r="DC94" i="31" s="1"/>
  <c r="DA122" i="31"/>
  <c r="DC122" i="31" s="1"/>
  <c r="DA131" i="31"/>
  <c r="DB131" i="31" s="1"/>
  <c r="DA144" i="31"/>
  <c r="DB144" i="31" s="1"/>
  <c r="DA37" i="31"/>
  <c r="DC37" i="31" s="1"/>
  <c r="DA27" i="31"/>
  <c r="DB27" i="31" s="1"/>
  <c r="DA99" i="31"/>
  <c r="DC99" i="31" s="1"/>
  <c r="DA43" i="31"/>
  <c r="DB43" i="31" s="1"/>
  <c r="B47" i="32" s="1"/>
  <c r="DA30" i="31"/>
  <c r="DB30" i="31" s="1"/>
  <c r="DA40" i="31"/>
  <c r="DB40" i="31" s="1"/>
  <c r="DA54" i="31"/>
  <c r="DD54" i="31" s="1"/>
  <c r="DA10" i="31"/>
  <c r="DB10" i="31" s="1"/>
  <c r="DA55" i="31"/>
  <c r="DC55" i="31" s="1"/>
  <c r="DA83" i="31"/>
  <c r="DD83" i="31" s="1"/>
  <c r="DA87" i="31"/>
  <c r="DC87" i="31" s="1"/>
  <c r="DA62" i="31"/>
  <c r="DB62" i="31" s="1"/>
  <c r="DA95" i="31"/>
  <c r="DC95" i="31" s="1"/>
  <c r="DA70" i="31"/>
  <c r="DD70" i="31" s="1"/>
  <c r="DA127" i="31"/>
  <c r="DD127" i="31" s="1"/>
  <c r="DA119" i="31"/>
  <c r="DB119" i="31" s="1"/>
  <c r="DA81" i="31"/>
  <c r="DC81" i="31" s="1"/>
  <c r="DA97" i="31"/>
  <c r="DC97" i="31" s="1"/>
  <c r="DA134" i="31"/>
  <c r="DC134" i="31" s="1"/>
  <c r="DA106" i="31"/>
  <c r="DC106" i="31" s="1"/>
  <c r="DA113" i="31"/>
  <c r="DB113" i="31" s="1"/>
  <c r="DA116" i="31"/>
  <c r="DC116" i="31" s="1"/>
  <c r="DA180" i="31"/>
  <c r="DC180" i="31" s="1"/>
  <c r="DA123" i="31"/>
  <c r="DB123" i="31" s="1"/>
  <c r="DA133" i="31"/>
  <c r="DB133" i="31" s="1"/>
  <c r="DA143" i="31"/>
  <c r="DC143" i="31" s="1"/>
  <c r="DA138" i="31"/>
  <c r="DC138" i="31" s="1"/>
  <c r="DA196" i="31"/>
  <c r="DD196" i="31" s="1"/>
  <c r="DA158" i="31"/>
  <c r="DB158" i="31" s="1"/>
  <c r="DA148" i="31"/>
  <c r="DD148" i="31" s="1"/>
  <c r="DA153" i="31"/>
  <c r="DB153" i="31" s="1"/>
  <c r="DA147" i="31"/>
  <c r="DB147" i="31" s="1"/>
  <c r="DA164" i="31"/>
  <c r="DD164" i="31" s="1"/>
  <c r="DA169" i="31"/>
  <c r="DB169" i="31" s="1"/>
  <c r="DA163" i="31"/>
  <c r="DD163" i="31" s="1"/>
  <c r="DB154" i="31"/>
  <c r="DB159" i="31"/>
  <c r="DD149" i="31"/>
  <c r="DD187" i="31"/>
  <c r="DB188" i="31"/>
  <c r="DB151" i="31"/>
  <c r="DA185" i="31"/>
  <c r="DA174" i="31"/>
  <c r="DA179" i="31"/>
  <c r="DB175" i="31"/>
  <c r="DB139" i="31"/>
  <c r="DD139" i="31"/>
  <c r="DC139" i="31"/>
  <c r="DD191" i="31"/>
  <c r="DC191" i="31"/>
  <c r="DB191" i="31"/>
  <c r="DD192" i="31"/>
  <c r="DB171" i="31"/>
  <c r="DD177" i="31"/>
  <c r="DC137" i="31"/>
  <c r="DB32" i="31"/>
  <c r="DC7" i="31"/>
  <c r="C11" i="32" s="1"/>
  <c r="DB34" i="31"/>
  <c r="DA201" i="31"/>
  <c r="DA190" i="31"/>
  <c r="DA195" i="31"/>
  <c r="DC181" i="31"/>
  <c r="DD181" i="31"/>
  <c r="DD161" i="31"/>
  <c r="DC178" i="31"/>
  <c r="DD189" i="31"/>
  <c r="DD18" i="31"/>
  <c r="DC48" i="31"/>
  <c r="DB38" i="31"/>
  <c r="DE38" i="2" l="1"/>
  <c r="E25" i="2" s="1"/>
  <c r="E37" i="2"/>
  <c r="E39" i="2"/>
  <c r="E20" i="2"/>
  <c r="D27" i="2"/>
  <c r="D25" i="2"/>
  <c r="D38" i="2"/>
  <c r="D21" i="2"/>
  <c r="E4" i="2"/>
  <c r="C7" i="2"/>
  <c r="E19" i="2"/>
  <c r="D39" i="2"/>
  <c r="C11" i="2"/>
  <c r="D40" i="2"/>
  <c r="D26" i="2"/>
  <c r="E14" i="2"/>
  <c r="E12" i="2"/>
  <c r="D37" i="2"/>
  <c r="E34" i="2"/>
  <c r="C25" i="2"/>
  <c r="C21" i="2"/>
  <c r="E18" i="2"/>
  <c r="C39" i="2"/>
  <c r="C26" i="2"/>
  <c r="D32" i="2"/>
  <c r="CF40" i="2"/>
  <c r="CD40" i="2"/>
  <c r="CF28" i="2"/>
  <c r="CE40" i="2"/>
  <c r="CE21" i="2"/>
  <c r="CF14" i="2"/>
  <c r="CD7" i="2"/>
  <c r="CD21" i="2"/>
  <c r="CE14" i="2"/>
  <c r="CE28" i="2"/>
  <c r="CF21" i="2"/>
  <c r="CD28" i="2"/>
  <c r="CF7" i="2"/>
  <c r="CD14" i="2"/>
  <c r="CE7" i="2"/>
  <c r="DC161" i="31"/>
  <c r="DC182" i="31"/>
  <c r="DC149" i="31"/>
  <c r="DB155" i="31"/>
  <c r="DB192" i="31"/>
  <c r="DB182" i="31"/>
  <c r="DD170" i="31"/>
  <c r="DD155" i="31"/>
  <c r="DB170" i="31"/>
  <c r="DD199" i="31"/>
  <c r="DC8" i="31"/>
  <c r="C12" i="32" s="1"/>
  <c r="B36" i="32"/>
  <c r="DC36" i="31"/>
  <c r="DD183" i="31"/>
  <c r="DC199" i="31"/>
  <c r="DC183" i="31"/>
  <c r="CI34" i="2"/>
  <c r="DC105" i="31"/>
  <c r="H4" i="2"/>
  <c r="H40" i="2"/>
  <c r="H39" i="2"/>
  <c r="H6" i="2"/>
  <c r="CI21" i="2"/>
  <c r="DD138" i="31"/>
  <c r="DB67" i="31"/>
  <c r="DC140" i="31"/>
  <c r="DC45" i="31"/>
  <c r="DD14" i="31"/>
  <c r="C18" i="32" s="1"/>
  <c r="DB54" i="31"/>
  <c r="DD150" i="31"/>
  <c r="DC101" i="31"/>
  <c r="DC186" i="31"/>
  <c r="DC44" i="31"/>
  <c r="DC202" i="31"/>
  <c r="B40" i="32"/>
  <c r="DC28" i="31"/>
  <c r="DD36" i="31"/>
  <c r="DC31" i="31"/>
  <c r="DC12" i="31"/>
  <c r="C16" i="32" s="1"/>
  <c r="DB8" i="31"/>
  <c r="DD98" i="31"/>
  <c r="DD20" i="31"/>
  <c r="C24" i="32" s="1"/>
  <c r="DD203" i="31"/>
  <c r="DB17" i="31"/>
  <c r="DB74" i="31"/>
  <c r="DD26" i="31"/>
  <c r="C30" i="32" s="1"/>
  <c r="DD101" i="31"/>
  <c r="DC85" i="31"/>
  <c r="DC203" i="31"/>
  <c r="DB49" i="31"/>
  <c r="DB200" i="31"/>
  <c r="DD186" i="31"/>
  <c r="DC49" i="31"/>
  <c r="DC6" i="31"/>
  <c r="C10" i="32" s="1"/>
  <c r="DC197" i="31"/>
  <c r="CI40" i="2"/>
  <c r="DB24" i="31"/>
  <c r="DD102" i="31"/>
  <c r="DB87" i="31"/>
  <c r="DB12" i="31"/>
  <c r="DD74" i="31"/>
  <c r="DD68" i="31"/>
  <c r="DD96" i="31"/>
  <c r="DD59" i="31"/>
  <c r="DC15" i="31"/>
  <c r="C19" i="32" s="1"/>
  <c r="DD87" i="31"/>
  <c r="DD28" i="31"/>
  <c r="DB14" i="31"/>
  <c r="B18" i="32" s="1"/>
  <c r="DB138" i="31"/>
  <c r="DB26" i="31"/>
  <c r="B31" i="32" s="1"/>
  <c r="DC184" i="31"/>
  <c r="DD85" i="31"/>
  <c r="DC35" i="31"/>
  <c r="DC165" i="31"/>
  <c r="DC198" i="31"/>
  <c r="DC117" i="31"/>
  <c r="DB178" i="31"/>
  <c r="DD154" i="31"/>
  <c r="DC103" i="31"/>
  <c r="DC171" i="31"/>
  <c r="DB173" i="31"/>
  <c r="B44" i="32"/>
  <c r="DD99" i="31"/>
  <c r="DC77" i="31"/>
  <c r="DD153" i="31"/>
  <c r="DC54" i="31"/>
  <c r="DB15" i="31"/>
  <c r="DC153" i="31"/>
  <c r="DB99" i="31"/>
  <c r="DC194" i="31"/>
  <c r="DD9" i="31"/>
  <c r="DD100" i="31"/>
  <c r="DB90" i="31"/>
  <c r="DD82" i="31"/>
  <c r="DD40" i="31"/>
  <c r="DB41" i="31"/>
  <c r="B46" i="32" s="1"/>
  <c r="DB6" i="31"/>
  <c r="DB150" i="31"/>
  <c r="DD200" i="31"/>
  <c r="DD197" i="31"/>
  <c r="DB88" i="31"/>
  <c r="DB202" i="31"/>
  <c r="DC41" i="31"/>
  <c r="C45" i="32" s="1"/>
  <c r="DD92" i="31"/>
  <c r="DB33" i="31"/>
  <c r="B37" i="32" s="1"/>
  <c r="DB130" i="31"/>
  <c r="DB72" i="31"/>
  <c r="DD32" i="31"/>
  <c r="C36" i="32" s="1"/>
  <c r="DD141" i="31"/>
  <c r="DC145" i="31"/>
  <c r="DC40" i="31"/>
  <c r="C44" i="32" s="1"/>
  <c r="DB114" i="31"/>
  <c r="DC86" i="31"/>
  <c r="DD114" i="31"/>
  <c r="DD86" i="31"/>
  <c r="DC92" i="31"/>
  <c r="DD22" i="31"/>
  <c r="C26" i="32" s="1"/>
  <c r="DD130" i="31"/>
  <c r="DD110" i="31"/>
  <c r="DC78" i="31"/>
  <c r="DD72" i="31"/>
  <c r="DB25" i="31"/>
  <c r="DD135" i="31"/>
  <c r="DD143" i="31"/>
  <c r="DC84" i="31"/>
  <c r="DB22" i="31"/>
  <c r="DB110" i="31"/>
  <c r="DB78" i="31"/>
  <c r="DC157" i="31"/>
  <c r="DD162" i="31"/>
  <c r="DC147" i="31"/>
  <c r="DD120" i="31"/>
  <c r="DB117" i="31"/>
  <c r="DD48" i="31"/>
  <c r="DB103" i="31"/>
  <c r="DB5" i="31"/>
  <c r="B9" i="32" s="1"/>
  <c r="E5" i="32" s="1"/>
  <c r="DD19" i="31"/>
  <c r="C23" i="32" s="1"/>
  <c r="DD147" i="31"/>
  <c r="DC123" i="31"/>
  <c r="DC109" i="31"/>
  <c r="DB120" i="31"/>
  <c r="DD43" i="31"/>
  <c r="DB19" i="31"/>
  <c r="DC82" i="31"/>
  <c r="DC9" i="31"/>
  <c r="DC100" i="31"/>
  <c r="DD123" i="31"/>
  <c r="DB109" i="31"/>
  <c r="DB66" i="31"/>
  <c r="DB7" i="31"/>
  <c r="DD51" i="31"/>
  <c r="DD65" i="31"/>
  <c r="DB102" i="31"/>
  <c r="DB68" i="31"/>
  <c r="DB98" i="31"/>
  <c r="DD184" i="31"/>
  <c r="DB96" i="31"/>
  <c r="DD134" i="31"/>
  <c r="DC59" i="31"/>
  <c r="DB77" i="31"/>
  <c r="DB23" i="31"/>
  <c r="DB89" i="31"/>
  <c r="DB143" i="31"/>
  <c r="DB148" i="31"/>
  <c r="DC33" i="31"/>
  <c r="C37" i="32" s="1"/>
  <c r="DD88" i="31"/>
  <c r="DB57" i="31"/>
  <c r="DC27" i="31"/>
  <c r="DC4" i="31"/>
  <c r="DD27" i="31"/>
  <c r="DD132" i="31"/>
  <c r="DC126" i="31"/>
  <c r="DC30" i="31"/>
  <c r="DB112" i="31"/>
  <c r="DB116" i="31"/>
  <c r="DC60" i="31"/>
  <c r="DB111" i="31"/>
  <c r="DD172" i="31"/>
  <c r="DB97" i="31"/>
  <c r="DC83" i="31"/>
  <c r="DB70" i="31"/>
  <c r="DD122" i="31"/>
  <c r="DC148" i="31"/>
  <c r="DD116" i="31"/>
  <c r="DB132" i="31"/>
  <c r="DB84" i="31"/>
  <c r="DD115" i="31"/>
  <c r="DB16" i="31"/>
  <c r="DC91" i="31"/>
  <c r="DC141" i="31"/>
  <c r="DD142" i="31"/>
  <c r="DC56" i="31"/>
  <c r="DC13" i="31"/>
  <c r="DD167" i="31"/>
  <c r="CI7" i="2"/>
  <c r="B49" i="32"/>
  <c r="CI14" i="2"/>
  <c r="DB196" i="31"/>
  <c r="DC119" i="31"/>
  <c r="DC93" i="31"/>
  <c r="DC64" i="31"/>
  <c r="DC196" i="31"/>
  <c r="DC43" i="31"/>
  <c r="DB176" i="31"/>
  <c r="DD64" i="31"/>
  <c r="DC151" i="31"/>
  <c r="DC173" i="31"/>
  <c r="DD198" i="31"/>
  <c r="DD119" i="31"/>
  <c r="DC176" i="31"/>
  <c r="DC5" i="31"/>
  <c r="C9" i="32" s="1"/>
  <c r="DC66" i="31"/>
  <c r="DD90" i="31"/>
  <c r="DD194" i="31"/>
  <c r="DD165" i="31"/>
  <c r="DC175" i="31"/>
  <c r="DB29" i="31"/>
  <c r="B34" i="32" s="1"/>
  <c r="DC47" i="31"/>
  <c r="DB75" i="31"/>
  <c r="DC29" i="31"/>
  <c r="C33" i="32" s="1"/>
  <c r="DC76" i="31"/>
  <c r="DC124" i="31"/>
  <c r="DC11" i="31"/>
  <c r="C15" i="32" s="1"/>
  <c r="DB125" i="31"/>
  <c r="DC42" i="31"/>
  <c r="B32" i="32"/>
  <c r="DD180" i="31"/>
  <c r="DC52" i="31"/>
  <c r="DC133" i="31"/>
  <c r="DC80" i="31"/>
  <c r="B43" i="32"/>
  <c r="B39" i="32"/>
  <c r="B48" i="32"/>
  <c r="B35" i="32"/>
  <c r="DD30" i="31"/>
  <c r="DD118" i="31"/>
  <c r="DD112" i="31"/>
  <c r="DB104" i="31"/>
  <c r="DD45" i="31"/>
  <c r="DB108" i="31"/>
  <c r="DB105" i="31"/>
  <c r="DD140" i="31"/>
  <c r="DD38" i="31"/>
  <c r="C42" i="32" s="1"/>
  <c r="DB189" i="31"/>
  <c r="DD80" i="31"/>
  <c r="DC67" i="31"/>
  <c r="DB136" i="31"/>
  <c r="DC34" i="31"/>
  <c r="C38" i="32" s="1"/>
  <c r="DB137" i="31"/>
  <c r="DB177" i="31"/>
  <c r="DB166" i="31"/>
  <c r="DD166" i="31"/>
  <c r="DD133" i="31"/>
  <c r="DB118" i="31"/>
  <c r="DC111" i="31"/>
  <c r="DD104" i="31"/>
  <c r="DD108" i="31"/>
  <c r="DB18" i="31"/>
  <c r="B22" i="32" s="1"/>
  <c r="DC69" i="31"/>
  <c r="DC136" i="31"/>
  <c r="DB172" i="31"/>
  <c r="B13" i="32"/>
  <c r="B14" i="32"/>
  <c r="C22" i="32"/>
  <c r="B8" i="32"/>
  <c r="B17" i="32"/>
  <c r="DC21" i="31"/>
  <c r="C25" i="32" s="1"/>
  <c r="DB94" i="31"/>
  <c r="DD160" i="31"/>
  <c r="DD93" i="31"/>
  <c r="DD113" i="31"/>
  <c r="DD69" i="31"/>
  <c r="DC187" i="31"/>
  <c r="DC113" i="31"/>
  <c r="DC71" i="31"/>
  <c r="DB146" i="31"/>
  <c r="DC159" i="31"/>
  <c r="DD37" i="31"/>
  <c r="C41" i="32" s="1"/>
  <c r="DC58" i="31"/>
  <c r="DC168" i="31"/>
  <c r="DB21" i="31"/>
  <c r="DB193" i="31"/>
  <c r="DD61" i="31"/>
  <c r="DD168" i="31"/>
  <c r="DD106" i="31"/>
  <c r="DC144" i="31"/>
  <c r="DB79" i="31"/>
  <c r="DD97" i="31"/>
  <c r="DD126" i="31"/>
  <c r="DD60" i="31"/>
  <c r="DB156" i="31"/>
  <c r="DB91" i="31"/>
  <c r="DC25" i="31"/>
  <c r="C29" i="32" s="1"/>
  <c r="DD157" i="31"/>
  <c r="DD145" i="31"/>
  <c r="DC169" i="31"/>
  <c r="DB115" i="31"/>
  <c r="DD4" i="31"/>
  <c r="DD16" i="31"/>
  <c r="C20" i="32" s="1"/>
  <c r="DB135" i="31"/>
  <c r="DD56" i="31"/>
  <c r="DC57" i="31"/>
  <c r="DD13" i="31"/>
  <c r="DB162" i="31"/>
  <c r="DC70" i="31"/>
  <c r="DC156" i="31"/>
  <c r="DB83" i="31"/>
  <c r="DB122" i="31"/>
  <c r="DB142" i="31"/>
  <c r="DB167" i="31"/>
  <c r="DD81" i="31"/>
  <c r="DC10" i="31"/>
  <c r="DB163" i="31"/>
  <c r="DB180" i="31"/>
  <c r="DB134" i="31"/>
  <c r="DC24" i="31"/>
  <c r="C28" i="32" s="1"/>
  <c r="DB20" i="31"/>
  <c r="DC188" i="31"/>
  <c r="DC163" i="31"/>
  <c r="DB127" i="31"/>
  <c r="DC131" i="31"/>
  <c r="DD52" i="31"/>
  <c r="DD35" i="31"/>
  <c r="C39" i="32" s="1"/>
  <c r="DC129" i="31"/>
  <c r="DC50" i="31"/>
  <c r="DB152" i="31"/>
  <c r="DD89" i="31"/>
  <c r="DD31" i="31"/>
  <c r="DC127" i="31"/>
  <c r="DD131" i="31"/>
  <c r="DC23" i="31"/>
  <c r="C27" i="32" s="1"/>
  <c r="DD129" i="31"/>
  <c r="DD50" i="31"/>
  <c r="DC152" i="31"/>
  <c r="DD44" i="31"/>
  <c r="C48" i="32" s="1"/>
  <c r="DC17" i="31"/>
  <c r="DD94" i="31"/>
  <c r="DD71" i="31"/>
  <c r="DC39" i="31"/>
  <c r="DB73" i="31"/>
  <c r="DD58" i="31"/>
  <c r="DB128" i="31"/>
  <c r="DB63" i="31"/>
  <c r="DC193" i="31"/>
  <c r="DC158" i="31"/>
  <c r="DC121" i="31"/>
  <c r="DB46" i="31"/>
  <c r="B50" i="32" s="1"/>
  <c r="DB37" i="31"/>
  <c r="B41" i="32" s="1"/>
  <c r="DB61" i="31"/>
  <c r="DD39" i="31"/>
  <c r="DC73" i="31"/>
  <c r="DC128" i="31"/>
  <c r="DC63" i="31"/>
  <c r="DC146" i="31"/>
  <c r="DC107" i="31"/>
  <c r="DC46" i="31"/>
  <c r="C50" i="32" s="1"/>
  <c r="DB164" i="31"/>
  <c r="DD55" i="31"/>
  <c r="DB106" i="31"/>
  <c r="DB160" i="31"/>
  <c r="DD75" i="31"/>
  <c r="DB11" i="31"/>
  <c r="DC125" i="31"/>
  <c r="DD47" i="31"/>
  <c r="DB76" i="31"/>
  <c r="DB65" i="31"/>
  <c r="DC62" i="31"/>
  <c r="DD10" i="31"/>
  <c r="DD144" i="31"/>
  <c r="DD79" i="31"/>
  <c r="DB53" i="31"/>
  <c r="DD42" i="31"/>
  <c r="DD124" i="31"/>
  <c r="DD62" i="31"/>
  <c r="DC53" i="31"/>
  <c r="DB51" i="31"/>
  <c r="DD158" i="31"/>
  <c r="DC164" i="31"/>
  <c r="DB81" i="31"/>
  <c r="DB95" i="31"/>
  <c r="DD121" i="31"/>
  <c r="DD107" i="31"/>
  <c r="DD95" i="31"/>
  <c r="DB55" i="31"/>
  <c r="DD169" i="31"/>
  <c r="DD195" i="31"/>
  <c r="DC195" i="31"/>
  <c r="DB195" i="31"/>
  <c r="DD179" i="31"/>
  <c r="DC179" i="31"/>
  <c r="DB179" i="31"/>
  <c r="DB190" i="31"/>
  <c r="DD190" i="31"/>
  <c r="DC190" i="31"/>
  <c r="DB174" i="31"/>
  <c r="DD174" i="31"/>
  <c r="DC174" i="31"/>
  <c r="DC201" i="31"/>
  <c r="DB201" i="31"/>
  <c r="DD201" i="31"/>
  <c r="DC185" i="31"/>
  <c r="DB185" i="31"/>
  <c r="DD185" i="31"/>
  <c r="C4" i="2" l="1"/>
  <c r="D19" i="2"/>
  <c r="C13" i="32"/>
  <c r="D7" i="2"/>
  <c r="C31" i="2"/>
  <c r="E7" i="2"/>
  <c r="D31" i="2"/>
  <c r="C12" i="2"/>
  <c r="C34" i="2"/>
  <c r="E26" i="2"/>
  <c r="D5" i="2"/>
  <c r="E27" i="2"/>
  <c r="D34" i="2"/>
  <c r="C17" i="32"/>
  <c r="C14" i="32"/>
  <c r="C8" i="32"/>
  <c r="D12" i="2"/>
  <c r="E13" i="2"/>
  <c r="E38" i="2"/>
  <c r="C33" i="2"/>
  <c r="C38" i="2"/>
  <c r="E5" i="2"/>
  <c r="E32" i="2"/>
  <c r="E31" i="2"/>
  <c r="C20" i="2"/>
  <c r="C27" i="2"/>
  <c r="D33" i="2"/>
  <c r="E21" i="2"/>
  <c r="C40" i="2"/>
  <c r="E6" i="2"/>
  <c r="C5" i="2"/>
  <c r="E33" i="2"/>
  <c r="C6" i="2"/>
  <c r="D18" i="2"/>
  <c r="D6" i="2"/>
  <c r="D13" i="2"/>
  <c r="E28" i="2"/>
  <c r="C14" i="2"/>
  <c r="C13" i="2"/>
  <c r="C32" i="2"/>
  <c r="I32" i="2" s="1"/>
  <c r="F17" i="32"/>
  <c r="F15" i="32"/>
  <c r="F13" i="32"/>
  <c r="F11" i="32"/>
  <c r="F8" i="32"/>
  <c r="F14" i="32"/>
  <c r="F12" i="32"/>
  <c r="F10" i="32"/>
  <c r="F16" i="32"/>
  <c r="C28" i="2"/>
  <c r="E11" i="2"/>
  <c r="D20" i="2"/>
  <c r="I20" i="2" s="1"/>
  <c r="E40" i="2"/>
  <c r="D14" i="2"/>
  <c r="I14" i="2" s="1"/>
  <c r="D4" i="2"/>
  <c r="I4" i="2" s="1"/>
  <c r="D28" i="2"/>
  <c r="C18" i="2"/>
  <c r="I18" i="2" s="1"/>
  <c r="C19" i="2"/>
  <c r="I19" i="2" s="1"/>
  <c r="D11" i="2"/>
  <c r="I11" i="2" s="1"/>
  <c r="C37" i="2"/>
  <c r="I37" i="2" s="1"/>
  <c r="C40" i="32"/>
  <c r="C32" i="32"/>
  <c r="B26" i="32"/>
  <c r="B27" i="32"/>
  <c r="C35" i="32"/>
  <c r="B11" i="32"/>
  <c r="B38" i="32"/>
  <c r="B19" i="32"/>
  <c r="C49" i="32"/>
  <c r="B20" i="32"/>
  <c r="B29" i="32"/>
  <c r="B45" i="32"/>
  <c r="B28" i="32"/>
  <c r="B12" i="32"/>
  <c r="C47" i="32"/>
  <c r="B30" i="32"/>
  <c r="B10" i="32"/>
  <c r="B21" i="32"/>
  <c r="I7" i="2"/>
  <c r="I21" i="2"/>
  <c r="B24" i="32"/>
  <c r="C51" i="32"/>
  <c r="I40" i="2"/>
  <c r="C46" i="32"/>
  <c r="C43" i="32"/>
  <c r="C34" i="32"/>
  <c r="I12" i="2"/>
  <c r="I31" i="2"/>
  <c r="C31" i="32"/>
  <c r="I6" i="2"/>
  <c r="I5" i="2"/>
  <c r="I27" i="2"/>
  <c r="I25" i="2"/>
  <c r="I39" i="2"/>
  <c r="I26" i="2"/>
  <c r="I38" i="2"/>
  <c r="I34" i="2"/>
  <c r="B33" i="32"/>
  <c r="B23" i="32"/>
  <c r="B25" i="32"/>
  <c r="B51" i="32"/>
  <c r="B42" i="32"/>
  <c r="B15" i="32"/>
  <c r="C21" i="32"/>
  <c r="B16" i="32"/>
  <c r="I13" i="2" l="1"/>
  <c r="K12" i="2" s="1"/>
  <c r="I33" i="2"/>
  <c r="I74" i="2" s="1"/>
  <c r="I28" i="2"/>
  <c r="K26" i="2" s="1"/>
  <c r="I59" i="2"/>
  <c r="K21" i="2"/>
  <c r="K31" i="2"/>
  <c r="I60" i="2"/>
  <c r="K20" i="2"/>
  <c r="K19" i="2"/>
  <c r="I61" i="2"/>
  <c r="I58" i="2"/>
  <c r="K18" i="2"/>
  <c r="I44" i="2"/>
  <c r="I46" i="2"/>
  <c r="K5" i="2"/>
  <c r="K13" i="2"/>
  <c r="K7" i="2"/>
  <c r="K6" i="2"/>
  <c r="K4" i="2"/>
  <c r="I47" i="2"/>
  <c r="I72" i="2"/>
  <c r="I45" i="2"/>
  <c r="K28" i="2"/>
  <c r="K25" i="2"/>
  <c r="K34" i="2"/>
  <c r="I53" i="2"/>
  <c r="I54" i="2"/>
  <c r="I52" i="2"/>
  <c r="K14" i="2"/>
  <c r="K39" i="2"/>
  <c r="K40" i="2"/>
  <c r="I78" i="2"/>
  <c r="I80" i="2"/>
  <c r="K38" i="2"/>
  <c r="K37" i="2"/>
  <c r="I79" i="2"/>
  <c r="I77" i="2"/>
  <c r="I73" i="2" l="1"/>
  <c r="I51" i="2"/>
  <c r="K32" i="2"/>
  <c r="K33" i="2"/>
  <c r="K11" i="2"/>
  <c r="M14" i="2" s="1"/>
  <c r="I71" i="2"/>
  <c r="I66" i="2"/>
  <c r="I68" i="2"/>
  <c r="K27" i="2"/>
  <c r="M26" i="2" s="1"/>
  <c r="I65" i="2"/>
  <c r="I67" i="2"/>
  <c r="M20" i="2"/>
  <c r="M21" i="2"/>
  <c r="M34" i="2"/>
  <c r="M18" i="2"/>
  <c r="M31" i="2"/>
  <c r="M19" i="2"/>
  <c r="M5" i="2"/>
  <c r="M4" i="2"/>
  <c r="M27" i="2"/>
  <c r="M32" i="2"/>
  <c r="M33" i="2"/>
  <c r="M28" i="2"/>
  <c r="M7" i="2"/>
  <c r="M6" i="2"/>
  <c r="M11" i="2"/>
  <c r="M38" i="2"/>
  <c r="M40" i="2"/>
  <c r="M37" i="2"/>
  <c r="M39" i="2"/>
  <c r="M13" i="2" l="1"/>
  <c r="M12" i="2"/>
  <c r="N13" i="2" s="1"/>
  <c r="O13" i="2" s="1"/>
  <c r="M25" i="2"/>
  <c r="N27" i="2" s="1"/>
  <c r="O27" i="2" s="1"/>
  <c r="Q25" i="2" s="1"/>
  <c r="Q26" i="2" s="1"/>
  <c r="N7" i="2"/>
  <c r="O7" i="2" s="1"/>
  <c r="N6" i="2"/>
  <c r="O6" i="2" s="1"/>
  <c r="N5" i="2"/>
  <c r="O5" i="2" s="1"/>
  <c r="N4" i="2"/>
  <c r="O4" i="2" s="1"/>
  <c r="N19" i="2"/>
  <c r="O19" i="2" s="1"/>
  <c r="N21" i="2"/>
  <c r="O21" i="2" s="1"/>
  <c r="N18" i="2"/>
  <c r="O18" i="2" s="1"/>
  <c r="N20" i="2"/>
  <c r="O20" i="2" s="1"/>
  <c r="Q18" i="2" s="1"/>
  <c r="AO19" i="2" s="1"/>
  <c r="N14" i="2"/>
  <c r="O14" i="2" s="1"/>
  <c r="N12" i="2"/>
  <c r="O12" i="2" s="1"/>
  <c r="N11" i="2"/>
  <c r="O11" i="2" s="1"/>
  <c r="N40" i="2"/>
  <c r="O40" i="2" s="1"/>
  <c r="N38" i="2"/>
  <c r="O38" i="2" s="1"/>
  <c r="N39" i="2"/>
  <c r="O39" i="2" s="1"/>
  <c r="N37" i="2"/>
  <c r="O37" i="2" s="1"/>
  <c r="N33" i="2"/>
  <c r="O33" i="2" s="1"/>
  <c r="N32" i="2"/>
  <c r="O32" i="2" s="1"/>
  <c r="N31" i="2"/>
  <c r="O31" i="2" s="1"/>
  <c r="N34" i="2"/>
  <c r="O34" i="2" s="1"/>
  <c r="N25" i="2" l="1"/>
  <c r="O25" i="2" s="1"/>
  <c r="P4" i="2"/>
  <c r="P5" i="2" s="1"/>
  <c r="P6" i="2" s="1"/>
  <c r="N26" i="2"/>
  <c r="O26" i="2" s="1"/>
  <c r="N28" i="2"/>
  <c r="O28" i="2" s="1"/>
  <c r="Q27" i="2" s="1"/>
  <c r="AN59" i="2"/>
  <c r="AO59" i="2" s="1"/>
  <c r="BG19" i="2"/>
  <c r="BC19" i="2"/>
  <c r="AX19" i="2"/>
  <c r="BF19" i="2"/>
  <c r="BB19" i="2"/>
  <c r="AW19" i="2"/>
  <c r="BE19" i="2"/>
  <c r="BA19" i="2"/>
  <c r="AY19" i="2"/>
  <c r="BD19" i="2"/>
  <c r="R37" i="2"/>
  <c r="R38" i="2" s="1"/>
  <c r="R31" i="2"/>
  <c r="BI33" i="2" s="1"/>
  <c r="R25" i="2"/>
  <c r="BI27" i="2" s="1"/>
  <c r="R18" i="2"/>
  <c r="R19" i="2" s="1"/>
  <c r="R20" i="2" s="1"/>
  <c r="R4" i="2"/>
  <c r="BI6" i="2" s="1"/>
  <c r="Q19" i="2"/>
  <c r="Q20" i="2" s="1"/>
  <c r="P37" i="2"/>
  <c r="P38" i="2" s="1"/>
  <c r="U38" i="2" s="1"/>
  <c r="P11" i="2"/>
  <c r="U11" i="2" s="1"/>
  <c r="P31" i="2"/>
  <c r="P32" i="2" s="1"/>
  <c r="P33" i="2" s="1"/>
  <c r="Q4" i="2"/>
  <c r="Q5" i="2" s="1"/>
  <c r="Q6" i="2" s="1"/>
  <c r="AO26" i="2"/>
  <c r="P18" i="2"/>
  <c r="U18" i="2" s="1"/>
  <c r="R11" i="2"/>
  <c r="BI13" i="2" s="1"/>
  <c r="Q31" i="2"/>
  <c r="AO32" i="2" s="1"/>
  <c r="U4" i="2"/>
  <c r="Q37" i="2"/>
  <c r="AO38" i="2" s="1"/>
  <c r="Q11" i="2"/>
  <c r="P25" i="2"/>
  <c r="P26" i="2" s="1"/>
  <c r="U26" i="2" s="1"/>
  <c r="U5" i="2"/>
  <c r="AO27" i="2"/>
  <c r="AV19" i="2"/>
  <c r="AZ19" i="2" s="1"/>
  <c r="BH19" i="2"/>
  <c r="BD59" i="2" l="1"/>
  <c r="AY59" i="2"/>
  <c r="BC59" i="2"/>
  <c r="AX59" i="2"/>
  <c r="BF59" i="2"/>
  <c r="BB59" i="2"/>
  <c r="AW59" i="2"/>
  <c r="BE59" i="2"/>
  <c r="BA59" i="2"/>
  <c r="AN78" i="2"/>
  <c r="BE38" i="2"/>
  <c r="BA38" i="2"/>
  <c r="BD38" i="2"/>
  <c r="AY38" i="2"/>
  <c r="BG38" i="2"/>
  <c r="BC38" i="2"/>
  <c r="AX38" i="2"/>
  <c r="AW38" i="2"/>
  <c r="BF38" i="2"/>
  <c r="BB38" i="2"/>
  <c r="AE18" i="2"/>
  <c r="AD18" i="2"/>
  <c r="AC18" i="2"/>
  <c r="AC11" i="2"/>
  <c r="AE11" i="2"/>
  <c r="AD11" i="2"/>
  <c r="AD5" i="2"/>
  <c r="AE5" i="2"/>
  <c r="AC5" i="2"/>
  <c r="AN66" i="2"/>
  <c r="AO66" i="2" s="1"/>
  <c r="BE26" i="2"/>
  <c r="BA26" i="2"/>
  <c r="BG26" i="2"/>
  <c r="BC26" i="2"/>
  <c r="AX26" i="2"/>
  <c r="BD26" i="2"/>
  <c r="BB26" i="2"/>
  <c r="AY26" i="2"/>
  <c r="BF26" i="2"/>
  <c r="AW26" i="2"/>
  <c r="AE38" i="2"/>
  <c r="AD38" i="2"/>
  <c r="AC38" i="2"/>
  <c r="BS27" i="2"/>
  <c r="BR27" i="2"/>
  <c r="BQ27" i="2"/>
  <c r="AN67" i="2"/>
  <c r="BD27" i="2"/>
  <c r="AY27" i="2"/>
  <c r="BG27" i="2"/>
  <c r="BC27" i="2"/>
  <c r="AX27" i="2"/>
  <c r="BF27" i="2"/>
  <c r="BB27" i="2"/>
  <c r="AW27" i="2"/>
  <c r="BE27" i="2"/>
  <c r="BA27" i="2"/>
  <c r="BS13" i="2"/>
  <c r="BR13" i="2"/>
  <c r="BQ13" i="2"/>
  <c r="AE4" i="2"/>
  <c r="AC4" i="2"/>
  <c r="AD4" i="2"/>
  <c r="AD26" i="2"/>
  <c r="AE26" i="2"/>
  <c r="AC26" i="2"/>
  <c r="AN72" i="2"/>
  <c r="BG32" i="2"/>
  <c r="BC32" i="2"/>
  <c r="AX32" i="2"/>
  <c r="BF32" i="2"/>
  <c r="BB32" i="2"/>
  <c r="AW32" i="2"/>
  <c r="BE32" i="2"/>
  <c r="BA32" i="2"/>
  <c r="BD32" i="2"/>
  <c r="AY32" i="2"/>
  <c r="BS33" i="2"/>
  <c r="BR33" i="2"/>
  <c r="BQ33" i="2"/>
  <c r="BQ6" i="2"/>
  <c r="BS6" i="2"/>
  <c r="BR6" i="2"/>
  <c r="BI39" i="2"/>
  <c r="BI21" i="2"/>
  <c r="R32" i="2"/>
  <c r="R33" i="2" s="1"/>
  <c r="R26" i="2"/>
  <c r="R27" i="2" s="1"/>
  <c r="U32" i="2"/>
  <c r="P39" i="2"/>
  <c r="P40" i="2" s="1"/>
  <c r="U40" i="2" s="1"/>
  <c r="BI20" i="2"/>
  <c r="AO20" i="2"/>
  <c r="R5" i="2"/>
  <c r="BI7" i="2" s="1"/>
  <c r="BJ6" i="2" s="1"/>
  <c r="P19" i="2"/>
  <c r="P20" i="2" s="1"/>
  <c r="R12" i="2"/>
  <c r="BI14" i="2" s="1"/>
  <c r="BN13" i="2" s="1"/>
  <c r="Q38" i="2"/>
  <c r="Q39" i="2" s="1"/>
  <c r="AO6" i="2"/>
  <c r="U37" i="2"/>
  <c r="P12" i="2"/>
  <c r="U12" i="2" s="1"/>
  <c r="U31" i="2"/>
  <c r="BH26" i="2"/>
  <c r="AV26" i="2"/>
  <c r="AZ26" i="2" s="1"/>
  <c r="AO5" i="2"/>
  <c r="P27" i="2"/>
  <c r="P28" i="2" s="1"/>
  <c r="U28" i="2" s="1"/>
  <c r="Q32" i="2"/>
  <c r="AO33" i="2" s="1"/>
  <c r="U25" i="2"/>
  <c r="Q12" i="2"/>
  <c r="AO12" i="2"/>
  <c r="BI40" i="2"/>
  <c r="R39" i="2"/>
  <c r="Q28" i="2"/>
  <c r="AO28" i="2"/>
  <c r="AS26" i="2" s="1"/>
  <c r="Q21" i="2"/>
  <c r="AO21" i="2"/>
  <c r="AO67" i="2"/>
  <c r="BH27" i="2"/>
  <c r="AV59" i="2"/>
  <c r="AZ59" i="2" s="1"/>
  <c r="AN57" i="2"/>
  <c r="BG59" i="2"/>
  <c r="U6" i="2"/>
  <c r="P7" i="2"/>
  <c r="U7" i="2" s="1"/>
  <c r="P34" i="2"/>
  <c r="U34" i="2" s="1"/>
  <c r="U33" i="2"/>
  <c r="Q7" i="2"/>
  <c r="AO7" i="2"/>
  <c r="W5" i="2" l="1"/>
  <c r="BK6" i="2"/>
  <c r="P13" i="2"/>
  <c r="U13" i="2" s="1"/>
  <c r="AE28" i="2"/>
  <c r="AD28" i="2"/>
  <c r="AC28" i="2"/>
  <c r="Z34" i="2"/>
  <c r="V34" i="2"/>
  <c r="CF34" i="2"/>
  <c r="AE34" i="2"/>
  <c r="Y34" i="2"/>
  <c r="CE34" i="2"/>
  <c r="AD34" i="2"/>
  <c r="X34" i="2"/>
  <c r="W34" i="2"/>
  <c r="CD34" i="2"/>
  <c r="AC34" i="2"/>
  <c r="AN61" i="2"/>
  <c r="BD21" i="2"/>
  <c r="AY21" i="2"/>
  <c r="AS21" i="2"/>
  <c r="BC21" i="2"/>
  <c r="AW21" i="2"/>
  <c r="AP21" i="2"/>
  <c r="BG21" i="2"/>
  <c r="BB21" i="2"/>
  <c r="AT21" i="2"/>
  <c r="BF21" i="2"/>
  <c r="BA21" i="2"/>
  <c r="AR21" i="2"/>
  <c r="BE21" i="2"/>
  <c r="AX21" i="2"/>
  <c r="AQ21" i="2"/>
  <c r="AC25" i="2"/>
  <c r="AE25" i="2"/>
  <c r="AD25" i="2"/>
  <c r="AE31" i="2"/>
  <c r="Y31" i="2"/>
  <c r="AD31" i="2"/>
  <c r="X31" i="2"/>
  <c r="AC31" i="2"/>
  <c r="W31" i="2"/>
  <c r="Z31" i="2"/>
  <c r="V31" i="2"/>
  <c r="AN60" i="2"/>
  <c r="BG20" i="2"/>
  <c r="BC20" i="2"/>
  <c r="AX20" i="2"/>
  <c r="AR20" i="2"/>
  <c r="BE20" i="2"/>
  <c r="AY20" i="2"/>
  <c r="AQ20" i="2"/>
  <c r="BD20" i="2"/>
  <c r="AW20" i="2"/>
  <c r="AP20" i="2"/>
  <c r="BB20" i="2"/>
  <c r="AT20" i="2"/>
  <c r="BF20" i="2"/>
  <c r="BA20" i="2"/>
  <c r="AS20" i="2"/>
  <c r="AR19" i="2"/>
  <c r="AQ19" i="2"/>
  <c r="AP19" i="2"/>
  <c r="AS19" i="2"/>
  <c r="AT19" i="2"/>
  <c r="BN6" i="2"/>
  <c r="AT27" i="2"/>
  <c r="AQ27" i="2"/>
  <c r="AR27" i="2"/>
  <c r="AS27" i="2"/>
  <c r="AD6" i="2"/>
  <c r="X6" i="2"/>
  <c r="AC6" i="2"/>
  <c r="V6" i="2"/>
  <c r="AE6" i="2"/>
  <c r="Z6" i="2"/>
  <c r="W6" i="2"/>
  <c r="Y6" i="2"/>
  <c r="AY12" i="2"/>
  <c r="AX12" i="2"/>
  <c r="AW12" i="2"/>
  <c r="AE40" i="2"/>
  <c r="AD40" i="2"/>
  <c r="AC40" i="2"/>
  <c r="AX7" i="2"/>
  <c r="AR7" i="2"/>
  <c r="AW7" i="2"/>
  <c r="AQ7" i="2"/>
  <c r="AT7" i="2"/>
  <c r="AP7" i="2"/>
  <c r="AS7" i="2"/>
  <c r="AY7" i="2"/>
  <c r="AD7" i="2"/>
  <c r="X7" i="2"/>
  <c r="AC7" i="2"/>
  <c r="W7" i="2"/>
  <c r="Z7" i="2"/>
  <c r="V7" i="2"/>
  <c r="Y7" i="2"/>
  <c r="AE7" i="2"/>
  <c r="BN40" i="2"/>
  <c r="BJ40" i="2"/>
  <c r="BS40" i="2"/>
  <c r="BM40" i="2"/>
  <c r="BR40" i="2"/>
  <c r="BL40" i="2"/>
  <c r="BK40" i="2"/>
  <c r="BQ40" i="2"/>
  <c r="AN73" i="2"/>
  <c r="BG33" i="2"/>
  <c r="BC33" i="2"/>
  <c r="AX33" i="2"/>
  <c r="BF33" i="2"/>
  <c r="BB33" i="2"/>
  <c r="AW33" i="2"/>
  <c r="BE33" i="2"/>
  <c r="BA33" i="2"/>
  <c r="BD33" i="2"/>
  <c r="AY33" i="2"/>
  <c r="AE12" i="2"/>
  <c r="AD12" i="2"/>
  <c r="AC12" i="2"/>
  <c r="BN14" i="2"/>
  <c r="BJ14" i="2"/>
  <c r="BS14" i="2"/>
  <c r="BM14" i="2"/>
  <c r="BR14" i="2"/>
  <c r="BL14" i="2"/>
  <c r="BQ14" i="2"/>
  <c r="BK14" i="2"/>
  <c r="BS20" i="2"/>
  <c r="BM20" i="2"/>
  <c r="BL20" i="2"/>
  <c r="BR20" i="2"/>
  <c r="BK20" i="2"/>
  <c r="BQ20" i="2"/>
  <c r="BJ20" i="2"/>
  <c r="BN20" i="2"/>
  <c r="W4" i="2"/>
  <c r="V4" i="2"/>
  <c r="Y4" i="2"/>
  <c r="BM13" i="2"/>
  <c r="V5" i="2"/>
  <c r="AN68" i="2"/>
  <c r="BE28" i="2"/>
  <c r="BA28" i="2"/>
  <c r="AT28" i="2"/>
  <c r="AP28" i="2"/>
  <c r="BD28" i="2"/>
  <c r="AY28" i="2"/>
  <c r="AS28" i="2"/>
  <c r="BG28" i="2"/>
  <c r="BC28" i="2"/>
  <c r="AX28" i="2"/>
  <c r="AR28" i="2"/>
  <c r="AQ28" i="2"/>
  <c r="BF28" i="2"/>
  <c r="BB28" i="2"/>
  <c r="AW28" i="2"/>
  <c r="AD13" i="2"/>
  <c r="AC13" i="2"/>
  <c r="AE13" i="2"/>
  <c r="AC37" i="2"/>
  <c r="AE37" i="2"/>
  <c r="AD37" i="2"/>
  <c r="BN21" i="2"/>
  <c r="BJ21" i="2"/>
  <c r="BR21" i="2"/>
  <c r="BK21" i="2"/>
  <c r="BQ21" i="2"/>
  <c r="BM21" i="2"/>
  <c r="BL21" i="2"/>
  <c r="BS21" i="2"/>
  <c r="Z4" i="2"/>
  <c r="BK13" i="2"/>
  <c r="BL13" i="2"/>
  <c r="AQ26" i="2"/>
  <c r="AR26" i="2"/>
  <c r="AP26" i="2"/>
  <c r="Y5" i="2"/>
  <c r="AD33" i="2"/>
  <c r="X33" i="2"/>
  <c r="AC33" i="2"/>
  <c r="W33" i="2"/>
  <c r="Z33" i="2"/>
  <c r="V33" i="2"/>
  <c r="AE33" i="2"/>
  <c r="Y33" i="2"/>
  <c r="BE67" i="2"/>
  <c r="BA67" i="2"/>
  <c r="BC67" i="2"/>
  <c r="AW67" i="2"/>
  <c r="BB67" i="2"/>
  <c r="BF67" i="2"/>
  <c r="AY67" i="2"/>
  <c r="BD67" i="2"/>
  <c r="AX67" i="2"/>
  <c r="AX5" i="2"/>
  <c r="AR5" i="2"/>
  <c r="AY5" i="2"/>
  <c r="AQ5" i="2"/>
  <c r="AS5" i="2"/>
  <c r="AW5" i="2"/>
  <c r="AP5" i="2"/>
  <c r="AT5" i="2"/>
  <c r="BD66" i="2"/>
  <c r="AY66" i="2"/>
  <c r="BB66" i="2"/>
  <c r="BF66" i="2"/>
  <c r="BA66" i="2"/>
  <c r="BE66" i="2"/>
  <c r="AX66" i="2"/>
  <c r="BC66" i="2"/>
  <c r="AW66" i="2"/>
  <c r="AT6" i="2"/>
  <c r="AX6" i="2"/>
  <c r="AR6" i="2"/>
  <c r="AY6" i="2"/>
  <c r="AP6" i="2"/>
  <c r="AW6" i="2"/>
  <c r="AQ6" i="2"/>
  <c r="AS6" i="2"/>
  <c r="AU6" i="2" s="1"/>
  <c r="BS7" i="2"/>
  <c r="BM7" i="2"/>
  <c r="BR7" i="2"/>
  <c r="BL7" i="2"/>
  <c r="BQ7" i="2"/>
  <c r="BK7" i="2"/>
  <c r="BN7" i="2"/>
  <c r="BJ7" i="2"/>
  <c r="AD32" i="2"/>
  <c r="X32" i="2"/>
  <c r="AC32" i="2"/>
  <c r="W32" i="2"/>
  <c r="Z32" i="2"/>
  <c r="V32" i="2"/>
  <c r="Y32" i="2"/>
  <c r="AE32" i="2"/>
  <c r="BR39" i="2"/>
  <c r="BL39" i="2"/>
  <c r="BQ39" i="2"/>
  <c r="BK39" i="2"/>
  <c r="BN39" i="2"/>
  <c r="BJ39" i="2"/>
  <c r="BS39" i="2"/>
  <c r="BM39" i="2"/>
  <c r="BL6" i="2"/>
  <c r="BM6" i="2"/>
  <c r="BO6" i="2" s="1"/>
  <c r="X4" i="2"/>
  <c r="BJ13" i="2"/>
  <c r="BP13" i="2" s="1"/>
  <c r="BT13" i="2" s="1"/>
  <c r="AP27" i="2"/>
  <c r="AT26" i="2"/>
  <c r="Z5" i="2"/>
  <c r="AA5" i="2" s="1"/>
  <c r="X5" i="2"/>
  <c r="U39" i="2"/>
  <c r="V40" i="2" s="1"/>
  <c r="BI28" i="2"/>
  <c r="U19" i="2"/>
  <c r="BH20" i="2"/>
  <c r="AV20" i="2"/>
  <c r="AZ20" i="2" s="1"/>
  <c r="AO60" i="2"/>
  <c r="AV60" i="2" s="1"/>
  <c r="AZ60" i="2" s="1"/>
  <c r="BI34" i="2"/>
  <c r="BP20" i="2"/>
  <c r="BT20" i="2" s="1"/>
  <c r="BY20" i="2" s="1"/>
  <c r="P14" i="2"/>
  <c r="U14" i="2" s="1"/>
  <c r="BG66" i="2"/>
  <c r="AV66" i="2"/>
  <c r="AZ66" i="2" s="1"/>
  <c r="BP21" i="2"/>
  <c r="BT21" i="2" s="1"/>
  <c r="BU21" i="2" s="1"/>
  <c r="AO39" i="2"/>
  <c r="BP7" i="2"/>
  <c r="BT7" i="2" s="1"/>
  <c r="BP6" i="2"/>
  <c r="BT6" i="2" s="1"/>
  <c r="R6" i="2"/>
  <c r="AN64" i="2"/>
  <c r="U27" i="2"/>
  <c r="W28" i="2" s="1"/>
  <c r="R13" i="2"/>
  <c r="BO13" i="2"/>
  <c r="Q33" i="2"/>
  <c r="AO13" i="2"/>
  <c r="Q13" i="2"/>
  <c r="BP39" i="2"/>
  <c r="BT39" i="2" s="1"/>
  <c r="Q40" i="2"/>
  <c r="AO40" i="2"/>
  <c r="BH28" i="2"/>
  <c r="BP14" i="2"/>
  <c r="BT14" i="2" s="1"/>
  <c r="AA34" i="2"/>
  <c r="AV28" i="2"/>
  <c r="AZ28" i="2" s="1"/>
  <c r="AU28" i="2"/>
  <c r="AO68" i="2" s="1"/>
  <c r="AQ67" i="2" s="1"/>
  <c r="AB6" i="2"/>
  <c r="AV67" i="2"/>
  <c r="AZ67" i="2" s="1"/>
  <c r="BG67" i="2"/>
  <c r="AU27" i="2"/>
  <c r="BO20" i="2"/>
  <c r="AA31" i="2"/>
  <c r="AV27" i="2"/>
  <c r="AZ27" i="2" s="1"/>
  <c r="AV21" i="2"/>
  <c r="AZ21" i="2" s="1"/>
  <c r="AO61" i="2"/>
  <c r="BH21" i="2"/>
  <c r="AU19" i="2"/>
  <c r="BO21" i="2"/>
  <c r="P21" i="2"/>
  <c r="U21" i="2" s="1"/>
  <c r="U20" i="2"/>
  <c r="F9" i="32"/>
  <c r="BU13" i="2" l="1"/>
  <c r="BZ21" i="2"/>
  <c r="BX21" i="2"/>
  <c r="BY21" i="2"/>
  <c r="BW20" i="2"/>
  <c r="BW21" i="2"/>
  <c r="BV20" i="2"/>
  <c r="BU20" i="2"/>
  <c r="BX20" i="2"/>
  <c r="BU7" i="2"/>
  <c r="BZ20" i="2"/>
  <c r="BU14" i="2"/>
  <c r="BU6" i="2"/>
  <c r="BV21" i="2"/>
  <c r="BO7" i="2"/>
  <c r="BY7" i="2" s="1"/>
  <c r="BG60" i="2"/>
  <c r="AN79" i="2"/>
  <c r="BF39" i="2"/>
  <c r="BB39" i="2"/>
  <c r="AW39" i="2"/>
  <c r="AQ39" i="2"/>
  <c r="BE39" i="2"/>
  <c r="BA39" i="2"/>
  <c r="AT39" i="2"/>
  <c r="AP39" i="2"/>
  <c r="BD39" i="2"/>
  <c r="AY39" i="2"/>
  <c r="AS39" i="2"/>
  <c r="BC39" i="2"/>
  <c r="AX39" i="2"/>
  <c r="AR39" i="2"/>
  <c r="BG39" i="2"/>
  <c r="AT38" i="2"/>
  <c r="AS38" i="2"/>
  <c r="AR38" i="2"/>
  <c r="AP38" i="2"/>
  <c r="AQ38" i="2"/>
  <c r="AE14" i="2"/>
  <c r="Y14" i="2"/>
  <c r="AD14" i="2"/>
  <c r="X14" i="2"/>
  <c r="AC14" i="2"/>
  <c r="W14" i="2"/>
  <c r="Z14" i="2"/>
  <c r="V14" i="2"/>
  <c r="BQ28" i="2"/>
  <c r="BK28" i="2"/>
  <c r="BN28" i="2"/>
  <c r="BJ28" i="2"/>
  <c r="BP28" i="2" s="1"/>
  <c r="BT28" i="2" s="1"/>
  <c r="BZ28" i="2" s="1"/>
  <c r="BS28" i="2"/>
  <c r="BM28" i="2"/>
  <c r="BO28" i="2" s="1"/>
  <c r="BL28" i="2"/>
  <c r="BR28" i="2"/>
  <c r="BN27" i="2"/>
  <c r="BM27" i="2"/>
  <c r="BK27" i="2"/>
  <c r="BJ27" i="2"/>
  <c r="BP27" i="2" s="1"/>
  <c r="BT27" i="2" s="1"/>
  <c r="BL27" i="2"/>
  <c r="AR66" i="2"/>
  <c r="X37" i="2"/>
  <c r="Y13" i="2"/>
  <c r="V12" i="2"/>
  <c r="Y11" i="2"/>
  <c r="W25" i="2"/>
  <c r="V25" i="2"/>
  <c r="AE21" i="2"/>
  <c r="Y21" i="2"/>
  <c r="AC21" i="2"/>
  <c r="V21" i="2"/>
  <c r="Z21" i="2"/>
  <c r="X21" i="2"/>
  <c r="AD21" i="2"/>
  <c r="W21" i="2"/>
  <c r="BF68" i="2"/>
  <c r="BB68" i="2"/>
  <c r="AW68" i="2"/>
  <c r="AQ68" i="2"/>
  <c r="BE68" i="2"/>
  <c r="BA68" i="2"/>
  <c r="AT68" i="2"/>
  <c r="AY68" i="2"/>
  <c r="AP68" i="2"/>
  <c r="AX68" i="2"/>
  <c r="BD68" i="2"/>
  <c r="AS68" i="2"/>
  <c r="AR68" i="2"/>
  <c r="BC68" i="2"/>
  <c r="AN80" i="2"/>
  <c r="BD40" i="2"/>
  <c r="AY40" i="2"/>
  <c r="AS40" i="2"/>
  <c r="BG40" i="2"/>
  <c r="BC40" i="2"/>
  <c r="AX40" i="2"/>
  <c r="AR40" i="2"/>
  <c r="BF40" i="2"/>
  <c r="BB40" i="2"/>
  <c r="AW40" i="2"/>
  <c r="AQ40" i="2"/>
  <c r="AP40" i="2"/>
  <c r="BE40" i="2"/>
  <c r="BA40" i="2"/>
  <c r="AT40" i="2"/>
  <c r="BQ34" i="2"/>
  <c r="BK34" i="2"/>
  <c r="BN34" i="2"/>
  <c r="BJ34" i="2"/>
  <c r="BP34" i="2" s="1"/>
  <c r="BT34" i="2" s="1"/>
  <c r="BS34" i="2"/>
  <c r="BM34" i="2"/>
  <c r="BO34" i="2" s="1"/>
  <c r="BL34" i="2"/>
  <c r="BR34" i="2"/>
  <c r="BN33" i="2"/>
  <c r="BL33" i="2"/>
  <c r="BM33" i="2"/>
  <c r="BJ33" i="2"/>
  <c r="BK33" i="2"/>
  <c r="AX13" i="2"/>
  <c r="AW13" i="2"/>
  <c r="AY13" i="2"/>
  <c r="AE27" i="2"/>
  <c r="Y27" i="2"/>
  <c r="AD27" i="2"/>
  <c r="X27" i="2"/>
  <c r="AC27" i="2"/>
  <c r="W27" i="2"/>
  <c r="V27" i="2"/>
  <c r="Z27" i="2"/>
  <c r="Z26" i="2"/>
  <c r="V26" i="2"/>
  <c r="Y26" i="2"/>
  <c r="W26" i="2"/>
  <c r="X26" i="2"/>
  <c r="BE60" i="2"/>
  <c r="BA60" i="2"/>
  <c r="AT60" i="2"/>
  <c r="AP60" i="2"/>
  <c r="BD60" i="2"/>
  <c r="AY60" i="2"/>
  <c r="AS60" i="2"/>
  <c r="BC60" i="2"/>
  <c r="AX60" i="2"/>
  <c r="AR60" i="2"/>
  <c r="AQ60" i="2"/>
  <c r="BF60" i="2"/>
  <c r="BB60" i="2"/>
  <c r="AW60" i="2"/>
  <c r="AR59" i="2"/>
  <c r="AQ59" i="2"/>
  <c r="AS59" i="2"/>
  <c r="AT59" i="2"/>
  <c r="AP59" i="2"/>
  <c r="AD19" i="2"/>
  <c r="X19" i="2"/>
  <c r="AC19" i="2"/>
  <c r="W19" i="2"/>
  <c r="Z19" i="2"/>
  <c r="V19" i="2"/>
  <c r="AE19" i="2"/>
  <c r="Y19" i="2"/>
  <c r="W18" i="2"/>
  <c r="Z18" i="2"/>
  <c r="V18" i="2"/>
  <c r="Y18" i="2"/>
  <c r="X18" i="2"/>
  <c r="AD20" i="2"/>
  <c r="X20" i="2"/>
  <c r="AE20" i="2"/>
  <c r="W20" i="2"/>
  <c r="AC20" i="2"/>
  <c r="V20" i="2"/>
  <c r="Z20" i="2"/>
  <c r="Y20" i="2"/>
  <c r="BF61" i="2"/>
  <c r="BB61" i="2"/>
  <c r="AW61" i="2"/>
  <c r="AQ61" i="2"/>
  <c r="BA61" i="2"/>
  <c r="AS61" i="2"/>
  <c r="BE61" i="2"/>
  <c r="AY61" i="2"/>
  <c r="AR61" i="2"/>
  <c r="BD61" i="2"/>
  <c r="AX61" i="2"/>
  <c r="AP61" i="2"/>
  <c r="BC61" i="2"/>
  <c r="AT61" i="2"/>
  <c r="AC39" i="2"/>
  <c r="W39" i="2"/>
  <c r="Z39" i="2"/>
  <c r="V39" i="2"/>
  <c r="AE39" i="2"/>
  <c r="Y39" i="2"/>
  <c r="AD39" i="2"/>
  <c r="X39" i="2"/>
  <c r="Z38" i="2"/>
  <c r="V38" i="2"/>
  <c r="Y38" i="2"/>
  <c r="X38" i="2"/>
  <c r="W38" i="2"/>
  <c r="AQ66" i="2"/>
  <c r="AS66" i="2"/>
  <c r="Y37" i="2"/>
  <c r="V37" i="2"/>
  <c r="W37" i="2"/>
  <c r="W12" i="2"/>
  <c r="AB12" i="2" s="1"/>
  <c r="AF12" i="2" s="1"/>
  <c r="X12" i="2"/>
  <c r="Y12" i="2"/>
  <c r="Z40" i="2"/>
  <c r="W40" i="2"/>
  <c r="AB40" i="2" s="1"/>
  <c r="AF40" i="2" s="1"/>
  <c r="X40" i="2"/>
  <c r="Y40" i="2"/>
  <c r="Z25" i="2"/>
  <c r="X28" i="2"/>
  <c r="Y28" i="2"/>
  <c r="V28" i="2"/>
  <c r="AB28" i="2" s="1"/>
  <c r="AF28" i="2" s="1"/>
  <c r="AP66" i="2"/>
  <c r="AS67" i="2"/>
  <c r="AP67" i="2"/>
  <c r="Z37" i="2"/>
  <c r="V13" i="2"/>
  <c r="W13" i="2"/>
  <c r="X13" i="2"/>
  <c r="Y25" i="2"/>
  <c r="Z28" i="2"/>
  <c r="AA28" i="2" s="1"/>
  <c r="W11" i="2"/>
  <c r="AT66" i="2"/>
  <c r="AR67" i="2"/>
  <c r="AT67" i="2"/>
  <c r="X11" i="2"/>
  <c r="Z13" i="2"/>
  <c r="Z11" i="2"/>
  <c r="AA11" i="2" s="1"/>
  <c r="Z12" i="2"/>
  <c r="AA12" i="2" s="1"/>
  <c r="V11" i="2"/>
  <c r="AB11" i="2" s="1"/>
  <c r="X25" i="2"/>
  <c r="BO14" i="2"/>
  <c r="BY14" i="2" s="1"/>
  <c r="BO27" i="2"/>
  <c r="AB25" i="2"/>
  <c r="BP40" i="2"/>
  <c r="BT40" i="2" s="1"/>
  <c r="BU39" i="2" s="1"/>
  <c r="AB5" i="2"/>
  <c r="AF5" i="2" s="1"/>
  <c r="AA26" i="2"/>
  <c r="AB26" i="2"/>
  <c r="AF26" i="2" s="1"/>
  <c r="AB7" i="2"/>
  <c r="AF7" i="2" s="1"/>
  <c r="AB4" i="2"/>
  <c r="AB31" i="2"/>
  <c r="BO33" i="2"/>
  <c r="AV6" i="2"/>
  <c r="AA38" i="2"/>
  <c r="AU20" i="2"/>
  <c r="AF6" i="2"/>
  <c r="AB33" i="2"/>
  <c r="AF33" i="2" s="1"/>
  <c r="AB34" i="2"/>
  <c r="AF34" i="2" s="1"/>
  <c r="AB27" i="2"/>
  <c r="AF27" i="2" s="1"/>
  <c r="AV7" i="2"/>
  <c r="AV5" i="2"/>
  <c r="AB32" i="2"/>
  <c r="AF32" i="2" s="1"/>
  <c r="AO34" i="2"/>
  <c r="Q34" i="2"/>
  <c r="Q14" i="2"/>
  <c r="AO14" i="2"/>
  <c r="AR12" i="2" s="1"/>
  <c r="BO40" i="2"/>
  <c r="BO39" i="2"/>
  <c r="BW39" i="2" s="1"/>
  <c r="AA32" i="2"/>
  <c r="AV38" i="2"/>
  <c r="AZ38" i="2" s="1"/>
  <c r="AV39" i="2"/>
  <c r="AZ39" i="2" s="1"/>
  <c r="AU26" i="2"/>
  <c r="AA7" i="2"/>
  <c r="AA13" i="2"/>
  <c r="AU5" i="2"/>
  <c r="AA33" i="2"/>
  <c r="AU21" i="2"/>
  <c r="AA27" i="2"/>
  <c r="AV68" i="2"/>
  <c r="AZ68" i="2" s="1"/>
  <c r="BG68" i="2"/>
  <c r="AV61" i="2"/>
  <c r="AZ61" i="2" s="1"/>
  <c r="BG61" i="2"/>
  <c r="AU7" i="2"/>
  <c r="AA4" i="2"/>
  <c r="AA14" i="2"/>
  <c r="AA6" i="2"/>
  <c r="AA40" i="2" l="1"/>
  <c r="BX6" i="2"/>
  <c r="BV14" i="2"/>
  <c r="BZ39" i="2"/>
  <c r="BY13" i="2"/>
  <c r="BW13" i="2"/>
  <c r="BV39" i="2"/>
  <c r="BV6" i="2"/>
  <c r="BW6" i="2"/>
  <c r="BW7" i="2"/>
  <c r="BX7" i="2"/>
  <c r="BY39" i="2"/>
  <c r="BZ13" i="2"/>
  <c r="BV13" i="2"/>
  <c r="BP33" i="2"/>
  <c r="BT33" i="2" s="1"/>
  <c r="BU27" i="2"/>
  <c r="BX27" i="2"/>
  <c r="BZ27" i="2"/>
  <c r="BV27" i="2"/>
  <c r="BY27" i="2"/>
  <c r="BW27" i="2"/>
  <c r="BU28" i="2"/>
  <c r="BV28" i="2"/>
  <c r="BY6" i="2"/>
  <c r="BV7" i="2"/>
  <c r="BW14" i="2"/>
  <c r="BX39" i="2"/>
  <c r="BX13" i="2"/>
  <c r="BZ7" i="2"/>
  <c r="BY40" i="2"/>
  <c r="BX40" i="2"/>
  <c r="BV40" i="2"/>
  <c r="BU40" i="2"/>
  <c r="BW40" i="2"/>
  <c r="BZ40" i="2"/>
  <c r="BW28" i="2"/>
  <c r="BX28" i="2"/>
  <c r="BY28" i="2"/>
  <c r="BX14" i="2"/>
  <c r="BZ6" i="2"/>
  <c r="BZ14" i="2"/>
  <c r="AN45" i="2"/>
  <c r="AZ6" i="2"/>
  <c r="AN46" i="2"/>
  <c r="AZ7" i="2"/>
  <c r="AN47" i="2"/>
  <c r="AO47" i="2" s="1"/>
  <c r="AA25" i="2"/>
  <c r="AB38" i="2"/>
  <c r="AF38" i="2" s="1"/>
  <c r="AB14" i="2"/>
  <c r="AF14" i="2" s="1"/>
  <c r="AB13" i="2"/>
  <c r="AF13" i="2" s="1"/>
  <c r="AB39" i="2"/>
  <c r="AF39" i="2" s="1"/>
  <c r="AF11" i="2"/>
  <c r="AY14" i="2"/>
  <c r="AS14" i="2"/>
  <c r="AX14" i="2"/>
  <c r="AR14" i="2"/>
  <c r="AW14" i="2"/>
  <c r="AQ14" i="2"/>
  <c r="AT14" i="2"/>
  <c r="AP14" i="2"/>
  <c r="AN74" i="2"/>
  <c r="BE34" i="2"/>
  <c r="BA34" i="2"/>
  <c r="AT34" i="2"/>
  <c r="AP34" i="2"/>
  <c r="BD34" i="2"/>
  <c r="AY34" i="2"/>
  <c r="AS34" i="2"/>
  <c r="BG34" i="2"/>
  <c r="BC34" i="2"/>
  <c r="AX34" i="2"/>
  <c r="AR34" i="2"/>
  <c r="AQ34" i="2"/>
  <c r="BF34" i="2"/>
  <c r="BB34" i="2"/>
  <c r="AW34" i="2"/>
  <c r="AS32" i="2"/>
  <c r="AT32" i="2"/>
  <c r="AT33" i="2"/>
  <c r="AS33" i="2"/>
  <c r="AP32" i="2"/>
  <c r="AR33" i="2"/>
  <c r="AQ33" i="2"/>
  <c r="AP33" i="2"/>
  <c r="AQ32" i="2"/>
  <c r="AR32" i="2"/>
  <c r="AI12" i="2"/>
  <c r="AK12" i="2"/>
  <c r="AL12" i="2"/>
  <c r="AB37" i="2"/>
  <c r="AT13" i="2"/>
  <c r="AS12" i="2"/>
  <c r="AA37" i="2"/>
  <c r="AA39" i="2"/>
  <c r="AS13" i="2"/>
  <c r="AF31" i="2"/>
  <c r="AI32" i="2" s="1"/>
  <c r="T71" i="2"/>
  <c r="T72" i="2"/>
  <c r="U72" i="2" s="1"/>
  <c r="T73" i="2"/>
  <c r="U73" i="2" s="1"/>
  <c r="T74" i="2"/>
  <c r="U74" i="2" s="1"/>
  <c r="AF4" i="2"/>
  <c r="AL6" i="2" s="1"/>
  <c r="T45" i="2"/>
  <c r="U45" i="2" s="1"/>
  <c r="T44" i="2"/>
  <c r="U44" i="2" s="1"/>
  <c r="T46" i="2"/>
  <c r="U46" i="2" s="1"/>
  <c r="T47" i="2"/>
  <c r="U47" i="2" s="1"/>
  <c r="AF25" i="2"/>
  <c r="AL27" i="2" s="1"/>
  <c r="T66" i="2"/>
  <c r="U66" i="2" s="1"/>
  <c r="T68" i="2"/>
  <c r="U68" i="2" s="1"/>
  <c r="T65" i="2"/>
  <c r="AH14" i="2"/>
  <c r="AJ14" i="2"/>
  <c r="AT12" i="2"/>
  <c r="AQ12" i="2"/>
  <c r="AP12" i="2"/>
  <c r="T67" i="2"/>
  <c r="U67" i="2" s="1"/>
  <c r="AP13" i="2"/>
  <c r="AQ13" i="2"/>
  <c r="AR13" i="2"/>
  <c r="AG14" i="2"/>
  <c r="CA28" i="2"/>
  <c r="CA27" i="2"/>
  <c r="CA21" i="2"/>
  <c r="CA20" i="2"/>
  <c r="CB21" i="2" s="1"/>
  <c r="CA6" i="2"/>
  <c r="CA7" i="2"/>
  <c r="AB21" i="2"/>
  <c r="AF21" i="2" s="1"/>
  <c r="AO46" i="2"/>
  <c r="U71" i="2"/>
  <c r="AZ5" i="2"/>
  <c r="AO45" i="2"/>
  <c r="CA14" i="2"/>
  <c r="U65" i="2"/>
  <c r="AO74" i="2"/>
  <c r="BH34" i="2"/>
  <c r="AV34" i="2"/>
  <c r="AZ34" i="2" s="1"/>
  <c r="AU38" i="2"/>
  <c r="AV14" i="2"/>
  <c r="AV12" i="2"/>
  <c r="AU59" i="2"/>
  <c r="AU67" i="2"/>
  <c r="AU39" i="2"/>
  <c r="AU40" i="2"/>
  <c r="AV40" i="2"/>
  <c r="AU61" i="2"/>
  <c r="AA20" i="2"/>
  <c r="AU68" i="2"/>
  <c r="AU60" i="2"/>
  <c r="AB20" i="2"/>
  <c r="AF20" i="2" s="1"/>
  <c r="AA21" i="2"/>
  <c r="AA18" i="2"/>
  <c r="AA19" i="2"/>
  <c r="AB19" i="2"/>
  <c r="AF19" i="2" s="1"/>
  <c r="AB18" i="2"/>
  <c r="AU66" i="2"/>
  <c r="AZ12" i="2" l="1"/>
  <c r="AH12" i="2"/>
  <c r="AI14" i="2"/>
  <c r="AK14" i="2"/>
  <c r="AG12" i="2"/>
  <c r="AJ12" i="2"/>
  <c r="BY33" i="2"/>
  <c r="BX33" i="2"/>
  <c r="BZ33" i="2"/>
  <c r="BU33" i="2"/>
  <c r="BV33" i="2"/>
  <c r="BW33" i="2"/>
  <c r="BW34" i="2"/>
  <c r="CA13" i="2"/>
  <c r="BX34" i="2"/>
  <c r="BU34" i="2"/>
  <c r="BY34" i="2"/>
  <c r="BV34" i="2"/>
  <c r="BZ34" i="2"/>
  <c r="AY47" i="2"/>
  <c r="AW47" i="2"/>
  <c r="AX47" i="2"/>
  <c r="BA6" i="2"/>
  <c r="BF6" i="2"/>
  <c r="BD6" i="2"/>
  <c r="BB6" i="2"/>
  <c r="BE6" i="2"/>
  <c r="BC6" i="2"/>
  <c r="BF5" i="2"/>
  <c r="BE5" i="2"/>
  <c r="BD5" i="2"/>
  <c r="BA5" i="2"/>
  <c r="BC5" i="2"/>
  <c r="BB5" i="2"/>
  <c r="BF7" i="2"/>
  <c r="BE7" i="2"/>
  <c r="BC7" i="2"/>
  <c r="BB7" i="2"/>
  <c r="BA7" i="2"/>
  <c r="BD7" i="2"/>
  <c r="T52" i="2"/>
  <c r="U52" i="2" s="1"/>
  <c r="T53" i="2"/>
  <c r="U53" i="2" s="1"/>
  <c r="AL5" i="2"/>
  <c r="AI5" i="2"/>
  <c r="AG33" i="2"/>
  <c r="AL7" i="2"/>
  <c r="AK5" i="2"/>
  <c r="AJ5" i="2"/>
  <c r="AK33" i="2"/>
  <c r="T51" i="2"/>
  <c r="U51" i="2" s="1"/>
  <c r="T54" i="2"/>
  <c r="U54" i="2" s="1"/>
  <c r="AJ34" i="2"/>
  <c r="AK6" i="2"/>
  <c r="AH7" i="2"/>
  <c r="AJ6" i="2"/>
  <c r="AJ13" i="2"/>
  <c r="AH5" i="2"/>
  <c r="AG5" i="2"/>
  <c r="AI33" i="2"/>
  <c r="AK34" i="2"/>
  <c r="AJ7" i="2"/>
  <c r="AI7" i="2"/>
  <c r="AG6" i="2"/>
  <c r="AG7" i="2"/>
  <c r="AD46" i="2"/>
  <c r="X46" i="2"/>
  <c r="AC46" i="2"/>
  <c r="W46" i="2"/>
  <c r="Z46" i="2"/>
  <c r="V46" i="2"/>
  <c r="Y46" i="2"/>
  <c r="AE46" i="2"/>
  <c r="AE72" i="2"/>
  <c r="Y72" i="2"/>
  <c r="AD72" i="2"/>
  <c r="X72" i="2"/>
  <c r="AC72" i="2"/>
  <c r="W72" i="2"/>
  <c r="Z72" i="2"/>
  <c r="V72" i="2"/>
  <c r="BC74" i="2"/>
  <c r="AX74" i="2"/>
  <c r="AR74" i="2"/>
  <c r="BF74" i="2"/>
  <c r="BB74" i="2"/>
  <c r="AW74" i="2"/>
  <c r="AQ74" i="2"/>
  <c r="BE74" i="2"/>
  <c r="BA74" i="2"/>
  <c r="AP74" i="2"/>
  <c r="BD74" i="2"/>
  <c r="AY74" i="2"/>
  <c r="AE67" i="2"/>
  <c r="Y67" i="2"/>
  <c r="Z67" i="2"/>
  <c r="X67" i="2"/>
  <c r="AD67" i="2"/>
  <c r="W67" i="2"/>
  <c r="AC67" i="2"/>
  <c r="V67" i="2"/>
  <c r="AE52" i="2"/>
  <c r="Y52" i="2"/>
  <c r="Z52" i="2"/>
  <c r="X52" i="2"/>
  <c r="AD52" i="2"/>
  <c r="W52" i="2"/>
  <c r="AC52" i="2"/>
  <c r="V52" i="2"/>
  <c r="AC74" i="2"/>
  <c r="W74" i="2"/>
  <c r="Z74" i="2"/>
  <c r="V74" i="2"/>
  <c r="AE74" i="2"/>
  <c r="Y74" i="2"/>
  <c r="X74" i="2"/>
  <c r="AD74" i="2"/>
  <c r="AF37" i="2"/>
  <c r="T78" i="2"/>
  <c r="U78" i="2" s="1"/>
  <c r="T80" i="2"/>
  <c r="U80" i="2" s="1"/>
  <c r="T77" i="2"/>
  <c r="U77" i="2" s="1"/>
  <c r="T79" i="2"/>
  <c r="U79" i="2" s="1"/>
  <c r="AL28" i="2"/>
  <c r="AH13" i="2"/>
  <c r="AD66" i="2"/>
  <c r="X66" i="2"/>
  <c r="Y66" i="2"/>
  <c r="AE66" i="2"/>
  <c r="W66" i="2"/>
  <c r="AC66" i="2"/>
  <c r="V66" i="2"/>
  <c r="Z66" i="2"/>
  <c r="AY45" i="2"/>
  <c r="AS45" i="2"/>
  <c r="AX45" i="2"/>
  <c r="AR45" i="2"/>
  <c r="AW45" i="2"/>
  <c r="AQ45" i="2"/>
  <c r="AT45" i="2"/>
  <c r="AP45" i="2"/>
  <c r="AE71" i="2"/>
  <c r="Y71" i="2"/>
  <c r="AD71" i="2"/>
  <c r="X71" i="2"/>
  <c r="AC71" i="2"/>
  <c r="W71" i="2"/>
  <c r="Z71" i="2"/>
  <c r="V71" i="2"/>
  <c r="Z68" i="2"/>
  <c r="V68" i="2"/>
  <c r="AC68" i="2"/>
  <c r="Y68" i="2"/>
  <c r="AE68" i="2"/>
  <c r="X68" i="2"/>
  <c r="AD68" i="2"/>
  <c r="W68" i="2"/>
  <c r="AD45" i="2"/>
  <c r="X45" i="2"/>
  <c r="AC45" i="2"/>
  <c r="W45" i="2"/>
  <c r="Z45" i="2"/>
  <c r="V45" i="2"/>
  <c r="AE45" i="2"/>
  <c r="Y45" i="2"/>
  <c r="AD47" i="2"/>
  <c r="X47" i="2"/>
  <c r="AC47" i="2"/>
  <c r="W47" i="2"/>
  <c r="Z47" i="2"/>
  <c r="V47" i="2"/>
  <c r="AE47" i="2"/>
  <c r="Y47" i="2"/>
  <c r="AL31" i="2"/>
  <c r="AK31" i="2"/>
  <c r="AJ31" i="2"/>
  <c r="AI31" i="2"/>
  <c r="AH31" i="2"/>
  <c r="AG31" i="2"/>
  <c r="AG34" i="2"/>
  <c r="AG32" i="2"/>
  <c r="AL32" i="2"/>
  <c r="AS47" i="2"/>
  <c r="AJ27" i="2"/>
  <c r="AH39" i="2"/>
  <c r="AJ39" i="2"/>
  <c r="AL26" i="2"/>
  <c r="Z51" i="2"/>
  <c r="AC51" i="2"/>
  <c r="V51" i="2"/>
  <c r="Y51" i="2"/>
  <c r="AE51" i="2"/>
  <c r="X51" i="2"/>
  <c r="AD51" i="2"/>
  <c r="W51" i="2"/>
  <c r="AY46" i="2"/>
  <c r="AS46" i="2"/>
  <c r="AX46" i="2"/>
  <c r="AR46" i="2"/>
  <c r="AW46" i="2"/>
  <c r="AQ46" i="2"/>
  <c r="AT46" i="2"/>
  <c r="AP46" i="2"/>
  <c r="AJ4" i="2"/>
  <c r="AH4" i="2"/>
  <c r="AK4" i="2"/>
  <c r="AI4" i="2"/>
  <c r="AL4" i="2"/>
  <c r="AG4" i="2"/>
  <c r="AJ33" i="2"/>
  <c r="AI34" i="2"/>
  <c r="AL34" i="2"/>
  <c r="AH32" i="2"/>
  <c r="AP47" i="2"/>
  <c r="AQ47" i="2"/>
  <c r="AR47" i="2"/>
  <c r="AI27" i="2"/>
  <c r="AG27" i="2"/>
  <c r="AG26" i="2"/>
  <c r="AI26" i="2"/>
  <c r="AK7" i="2"/>
  <c r="AI6" i="2"/>
  <c r="AH6" i="2"/>
  <c r="AI28" i="2"/>
  <c r="AL11" i="2"/>
  <c r="AK11" i="2"/>
  <c r="AH11" i="2"/>
  <c r="AG11" i="2"/>
  <c r="AJ11" i="2"/>
  <c r="AI11" i="2"/>
  <c r="AI13" i="2"/>
  <c r="AK25" i="2"/>
  <c r="AH25" i="2"/>
  <c r="AG25" i="2"/>
  <c r="AI25" i="2"/>
  <c r="AJ25" i="2"/>
  <c r="AL25" i="2"/>
  <c r="AT47" i="2"/>
  <c r="AH27" i="2"/>
  <c r="AK39" i="2"/>
  <c r="AH26" i="2"/>
  <c r="AK26" i="2"/>
  <c r="AK28" i="2"/>
  <c r="AJ28" i="2"/>
  <c r="AL14" i="2"/>
  <c r="AK13" i="2"/>
  <c r="T58" i="2"/>
  <c r="T59" i="2"/>
  <c r="U59" i="2" s="1"/>
  <c r="T61" i="2"/>
  <c r="T60" i="2"/>
  <c r="AD65" i="2"/>
  <c r="X65" i="2"/>
  <c r="Z65" i="2"/>
  <c r="Y65" i="2"/>
  <c r="AE65" i="2"/>
  <c r="W65" i="2"/>
  <c r="AC65" i="2"/>
  <c r="V65" i="2"/>
  <c r="Z73" i="2"/>
  <c r="V73" i="2"/>
  <c r="AE73" i="2"/>
  <c r="Y73" i="2"/>
  <c r="AD73" i="2"/>
  <c r="X73" i="2"/>
  <c r="W73" i="2"/>
  <c r="AC73" i="2"/>
  <c r="AC53" i="2"/>
  <c r="W53" i="2"/>
  <c r="AE53" i="2"/>
  <c r="Y53" i="2"/>
  <c r="AD53" i="2"/>
  <c r="Z53" i="2"/>
  <c r="X53" i="2"/>
  <c r="V53" i="2"/>
  <c r="AC54" i="2"/>
  <c r="W54" i="2"/>
  <c r="Z54" i="2"/>
  <c r="V54" i="2"/>
  <c r="AE54" i="2"/>
  <c r="Y54" i="2"/>
  <c r="AD54" i="2"/>
  <c r="X54" i="2"/>
  <c r="AE44" i="2"/>
  <c r="Y44" i="2"/>
  <c r="AD44" i="2"/>
  <c r="X44" i="2"/>
  <c r="AC44" i="2"/>
  <c r="W44" i="2"/>
  <c r="Z44" i="2"/>
  <c r="V44" i="2"/>
  <c r="AH33" i="2"/>
  <c r="AL33" i="2"/>
  <c r="AH34" i="2"/>
  <c r="AJ32" i="2"/>
  <c r="AK32" i="2"/>
  <c r="AK27" i="2"/>
  <c r="AI39" i="2"/>
  <c r="AJ26" i="2"/>
  <c r="AH28" i="2"/>
  <c r="AG28" i="2"/>
  <c r="AG13" i="2"/>
  <c r="AL13" i="2"/>
  <c r="CB6" i="2"/>
  <c r="CA39" i="2"/>
  <c r="CA33" i="2"/>
  <c r="CA34" i="2"/>
  <c r="CB27" i="2"/>
  <c r="CB28" i="2"/>
  <c r="CB20" i="2"/>
  <c r="CB7" i="2"/>
  <c r="AU33" i="2"/>
  <c r="AZ14" i="2"/>
  <c r="T43" i="2"/>
  <c r="CA40" i="2"/>
  <c r="CB40" i="2"/>
  <c r="AB47" i="2"/>
  <c r="AF47" i="2" s="1"/>
  <c r="U61" i="2"/>
  <c r="T70" i="2"/>
  <c r="AU32" i="2"/>
  <c r="AV32" i="2"/>
  <c r="AU34" i="2"/>
  <c r="AV33" i="2"/>
  <c r="BG74" i="2"/>
  <c r="AV74" i="2"/>
  <c r="AZ74" i="2" s="1"/>
  <c r="AV13" i="2"/>
  <c r="AU13" i="2"/>
  <c r="AU12" i="2"/>
  <c r="AU14" i="2"/>
  <c r="AO79" i="2"/>
  <c r="AZ40" i="2"/>
  <c r="AO80" i="2"/>
  <c r="AO78" i="2"/>
  <c r="AF18" i="2"/>
  <c r="U58" i="2"/>
  <c r="U60" i="2"/>
  <c r="T64" i="2"/>
  <c r="T50" i="2" l="1"/>
  <c r="AN54" i="2"/>
  <c r="AN52" i="2"/>
  <c r="BD12" i="2"/>
  <c r="AZ13" i="2"/>
  <c r="BA14" i="2" s="1"/>
  <c r="AN53" i="2"/>
  <c r="CB13" i="2"/>
  <c r="CB14" i="2"/>
  <c r="CB39" i="2"/>
  <c r="AD59" i="2"/>
  <c r="X59" i="2"/>
  <c r="AC59" i="2"/>
  <c r="W59" i="2"/>
  <c r="Z59" i="2"/>
  <c r="V59" i="2"/>
  <c r="Y59" i="2"/>
  <c r="AE59" i="2"/>
  <c r="AG18" i="2"/>
  <c r="AJ18" i="2"/>
  <c r="AI18" i="2"/>
  <c r="AL18" i="2"/>
  <c r="AH18" i="2"/>
  <c r="AK18" i="2"/>
  <c r="BF80" i="2"/>
  <c r="BB80" i="2"/>
  <c r="AW80" i="2"/>
  <c r="AQ80" i="2"/>
  <c r="BE80" i="2"/>
  <c r="BA80" i="2"/>
  <c r="AT80" i="2"/>
  <c r="AP80" i="2"/>
  <c r="BD80" i="2"/>
  <c r="AY80" i="2"/>
  <c r="AS80" i="2"/>
  <c r="BC80" i="2"/>
  <c r="AX80" i="2"/>
  <c r="AR80" i="2"/>
  <c r="Z61" i="2"/>
  <c r="V61" i="2"/>
  <c r="AE61" i="2"/>
  <c r="Y61" i="2"/>
  <c r="AD61" i="2"/>
  <c r="X61" i="2"/>
  <c r="AC61" i="2"/>
  <c r="W61" i="2"/>
  <c r="AE58" i="2"/>
  <c r="Y58" i="2"/>
  <c r="AD58" i="2"/>
  <c r="X58" i="2"/>
  <c r="AC58" i="2"/>
  <c r="W58" i="2"/>
  <c r="Z58" i="2"/>
  <c r="V58" i="2"/>
  <c r="AG20" i="2"/>
  <c r="AI19" i="2"/>
  <c r="AD79" i="2"/>
  <c r="X79" i="2"/>
  <c r="AC79" i="2"/>
  <c r="W79" i="2"/>
  <c r="Z79" i="2"/>
  <c r="V79" i="2"/>
  <c r="AE79" i="2"/>
  <c r="Y79" i="2"/>
  <c r="AH37" i="2"/>
  <c r="AG37" i="2"/>
  <c r="AJ37" i="2"/>
  <c r="AI37" i="2"/>
  <c r="AL37" i="2"/>
  <c r="AK37" i="2"/>
  <c r="AG39" i="2"/>
  <c r="AJ40" i="2"/>
  <c r="AG40" i="2"/>
  <c r="AK38" i="2"/>
  <c r="AI40" i="2"/>
  <c r="AL40" i="2"/>
  <c r="AG38" i="2"/>
  <c r="AH40" i="2"/>
  <c r="AL38" i="2"/>
  <c r="AJ38" i="2"/>
  <c r="AK40" i="2"/>
  <c r="AH38" i="2"/>
  <c r="AI38" i="2"/>
  <c r="AL21" i="2"/>
  <c r="AI20" i="2"/>
  <c r="AK19" i="2"/>
  <c r="AE77" i="2"/>
  <c r="Y77" i="2"/>
  <c r="AA77" i="2" s="1"/>
  <c r="AD77" i="2"/>
  <c r="X77" i="2"/>
  <c r="AC77" i="2"/>
  <c r="W77" i="2"/>
  <c r="Z77" i="2"/>
  <c r="V77" i="2"/>
  <c r="AH21" i="2"/>
  <c r="AK21" i="2"/>
  <c r="AL39" i="2"/>
  <c r="BD79" i="2"/>
  <c r="AY79" i="2"/>
  <c r="AS79" i="2"/>
  <c r="BC79" i="2"/>
  <c r="AX79" i="2"/>
  <c r="AR79" i="2"/>
  <c r="BF79" i="2"/>
  <c r="BB79" i="2"/>
  <c r="AW79" i="2"/>
  <c r="AQ79" i="2"/>
  <c r="BA79" i="2"/>
  <c r="AT79" i="2"/>
  <c r="AP79" i="2"/>
  <c r="BE79" i="2"/>
  <c r="AH20" i="2"/>
  <c r="AK20" i="2"/>
  <c r="AG19" i="2"/>
  <c r="AL19" i="2"/>
  <c r="Z80" i="2"/>
  <c r="V80" i="2"/>
  <c r="AE80" i="2"/>
  <c r="Y80" i="2"/>
  <c r="AD80" i="2"/>
  <c r="X80" i="2"/>
  <c r="AC80" i="2"/>
  <c r="W80" i="2"/>
  <c r="AI21" i="2"/>
  <c r="AJ21" i="2"/>
  <c r="AL20" i="2"/>
  <c r="AE60" i="2"/>
  <c r="Y60" i="2"/>
  <c r="AD60" i="2"/>
  <c r="X60" i="2"/>
  <c r="AC60" i="2"/>
  <c r="W60" i="2"/>
  <c r="V60" i="2"/>
  <c r="Z60" i="2"/>
  <c r="BF78" i="2"/>
  <c r="BB78" i="2"/>
  <c r="AW78" i="2"/>
  <c r="AQ78" i="2"/>
  <c r="BE78" i="2"/>
  <c r="BA78" i="2"/>
  <c r="AT78" i="2"/>
  <c r="AP78" i="2"/>
  <c r="BD78" i="2"/>
  <c r="AY78" i="2"/>
  <c r="AS78" i="2"/>
  <c r="AX78" i="2"/>
  <c r="AR78" i="2"/>
  <c r="BC78" i="2"/>
  <c r="AJ20" i="2"/>
  <c r="AH19" i="2"/>
  <c r="AJ19" i="2"/>
  <c r="Z78" i="2"/>
  <c r="V78" i="2"/>
  <c r="AE78" i="2"/>
  <c r="Y78" i="2"/>
  <c r="AD78" i="2"/>
  <c r="X78" i="2"/>
  <c r="AC78" i="2"/>
  <c r="W78" i="2"/>
  <c r="AG21" i="2"/>
  <c r="AA46" i="2"/>
  <c r="AA79" i="2"/>
  <c r="CB33" i="2"/>
  <c r="CB34" i="2"/>
  <c r="AB45" i="2"/>
  <c r="AF45" i="2" s="1"/>
  <c r="AB44" i="2"/>
  <c r="AF44" i="2" s="1"/>
  <c r="AB74" i="2"/>
  <c r="AF74" i="2" s="1"/>
  <c r="AA45" i="2"/>
  <c r="AO54" i="2"/>
  <c r="AN43" i="2"/>
  <c r="AA44" i="2"/>
  <c r="AB46" i="2"/>
  <c r="AF46" i="2" s="1"/>
  <c r="AA47" i="2"/>
  <c r="AB53" i="2"/>
  <c r="AF53" i="2" s="1"/>
  <c r="AB51" i="2"/>
  <c r="AF51" i="2" s="1"/>
  <c r="AB71" i="2"/>
  <c r="AF71" i="2" s="1"/>
  <c r="AB72" i="2"/>
  <c r="AF72" i="2" s="1"/>
  <c r="AB54" i="2"/>
  <c r="AF54" i="2" s="1"/>
  <c r="AA73" i="2"/>
  <c r="AB73" i="2"/>
  <c r="AF73" i="2" s="1"/>
  <c r="AU47" i="2"/>
  <c r="AV47" i="2"/>
  <c r="AZ47" i="2" s="1"/>
  <c r="AB52" i="2"/>
  <c r="AF52" i="2" s="1"/>
  <c r="AB67" i="2"/>
  <c r="AF67" i="2" s="1"/>
  <c r="AA51" i="2"/>
  <c r="AA52" i="2"/>
  <c r="AV45" i="2"/>
  <c r="AZ45" i="2" s="1"/>
  <c r="AA74" i="2"/>
  <c r="AB68" i="2"/>
  <c r="AF68" i="2" s="1"/>
  <c r="AA72" i="2"/>
  <c r="AV46" i="2"/>
  <c r="AZ46" i="2" s="1"/>
  <c r="AA53" i="2"/>
  <c r="AU46" i="2"/>
  <c r="AA54" i="2"/>
  <c r="AA71" i="2"/>
  <c r="AU45" i="2"/>
  <c r="AZ33" i="2"/>
  <c r="AO73" i="2"/>
  <c r="AZ32" i="2"/>
  <c r="AO72" i="2"/>
  <c r="AO52" i="2"/>
  <c r="AO53" i="2"/>
  <c r="AB66" i="2"/>
  <c r="AF66" i="2" s="1"/>
  <c r="AV78" i="2"/>
  <c r="AZ78" i="2" s="1"/>
  <c r="AV79" i="2"/>
  <c r="AZ79" i="2" s="1"/>
  <c r="AA68" i="2"/>
  <c r="AA66" i="2"/>
  <c r="AA67" i="2"/>
  <c r="AA65" i="2"/>
  <c r="AB65" i="2"/>
  <c r="AF65" i="2" s="1"/>
  <c r="BE12" i="2" l="1"/>
  <c r="BA12" i="2"/>
  <c r="BC14" i="2"/>
  <c r="BF12" i="2"/>
  <c r="BD14" i="2"/>
  <c r="BC12" i="2"/>
  <c r="BE14" i="2"/>
  <c r="BF13" i="2"/>
  <c r="BA13" i="2"/>
  <c r="BB13" i="2"/>
  <c r="BC13" i="2"/>
  <c r="BD13" i="2"/>
  <c r="BE13" i="2"/>
  <c r="BB12" i="2"/>
  <c r="BB14" i="2"/>
  <c r="BF14" i="2"/>
  <c r="AG54" i="2"/>
  <c r="T76" i="2"/>
  <c r="BA47" i="2"/>
  <c r="BB47" i="2"/>
  <c r="BE47" i="2"/>
  <c r="BC47" i="2"/>
  <c r="BD47" i="2"/>
  <c r="BF47" i="2"/>
  <c r="BF46" i="2"/>
  <c r="BC46" i="2"/>
  <c r="BB46" i="2"/>
  <c r="BD46" i="2"/>
  <c r="BE46" i="2"/>
  <c r="BA46" i="2"/>
  <c r="BF45" i="2"/>
  <c r="BE45" i="2"/>
  <c r="BC45" i="2"/>
  <c r="BB45" i="2"/>
  <c r="BA45" i="2"/>
  <c r="BD45" i="2"/>
  <c r="AB77" i="2"/>
  <c r="AF77" i="2" s="1"/>
  <c r="AB79" i="2"/>
  <c r="AF79" i="2" s="1"/>
  <c r="AG68" i="2"/>
  <c r="AG72" i="2"/>
  <c r="AI47" i="2"/>
  <c r="AB80" i="2"/>
  <c r="AF80" i="2" s="1"/>
  <c r="AA78" i="2"/>
  <c r="AA80" i="2"/>
  <c r="AT52" i="2"/>
  <c r="AP52" i="2"/>
  <c r="AW52" i="2"/>
  <c r="AS52" i="2"/>
  <c r="AY52" i="2"/>
  <c r="AR52" i="2"/>
  <c r="AX52" i="2"/>
  <c r="AQ52" i="2"/>
  <c r="AX54" i="2"/>
  <c r="AR54" i="2"/>
  <c r="AW54" i="2"/>
  <c r="AQ54" i="2"/>
  <c r="AT54" i="2"/>
  <c r="AP54" i="2"/>
  <c r="AY54" i="2"/>
  <c r="AS54" i="2"/>
  <c r="AL45" i="2"/>
  <c r="AK45" i="2"/>
  <c r="AJ45" i="2"/>
  <c r="AI45" i="2"/>
  <c r="AH45" i="2"/>
  <c r="AG45" i="2"/>
  <c r="AL67" i="2"/>
  <c r="AK66" i="2"/>
  <c r="AK68" i="2"/>
  <c r="AI68" i="2"/>
  <c r="AL68" i="2"/>
  <c r="AL65" i="2"/>
  <c r="AJ65" i="2"/>
  <c r="AL66" i="2"/>
  <c r="AG65" i="2"/>
  <c r="AH67" i="2"/>
  <c r="AI67" i="2"/>
  <c r="AI66" i="2"/>
  <c r="AH68" i="2"/>
  <c r="AH65" i="2"/>
  <c r="AJ67" i="2"/>
  <c r="AK67" i="2"/>
  <c r="AJ66" i="2"/>
  <c r="AH66" i="2"/>
  <c r="AJ68" i="2"/>
  <c r="AI65" i="2"/>
  <c r="AK65" i="2"/>
  <c r="AX53" i="2"/>
  <c r="AR53" i="2"/>
  <c r="AT53" i="2"/>
  <c r="AP53" i="2"/>
  <c r="AY53" i="2"/>
  <c r="AW53" i="2"/>
  <c r="AS53" i="2"/>
  <c r="AQ53" i="2"/>
  <c r="BF73" i="2"/>
  <c r="BB73" i="2"/>
  <c r="AW73" i="2"/>
  <c r="AQ73" i="2"/>
  <c r="BE73" i="2"/>
  <c r="BA73" i="2"/>
  <c r="AT73" i="2"/>
  <c r="AP73" i="2"/>
  <c r="BD73" i="2"/>
  <c r="AY73" i="2"/>
  <c r="AS73" i="2"/>
  <c r="AR73" i="2"/>
  <c r="BC73" i="2"/>
  <c r="AX73" i="2"/>
  <c r="AG53" i="2"/>
  <c r="AI44" i="2"/>
  <c r="AH44" i="2"/>
  <c r="AJ44" i="2"/>
  <c r="AK44" i="2"/>
  <c r="AG44" i="2"/>
  <c r="AL44" i="2"/>
  <c r="AG47" i="2"/>
  <c r="AL47" i="2"/>
  <c r="AK47" i="2"/>
  <c r="AG67" i="2"/>
  <c r="AG73" i="2"/>
  <c r="AH74" i="2"/>
  <c r="AL71" i="2"/>
  <c r="AG71" i="2"/>
  <c r="AI73" i="2"/>
  <c r="AL73" i="2"/>
  <c r="AL72" i="2"/>
  <c r="AI71" i="2"/>
  <c r="AH71" i="2"/>
  <c r="AK73" i="2"/>
  <c r="AJ73" i="2"/>
  <c r="AH73" i="2"/>
  <c r="AI72" i="2"/>
  <c r="AH72" i="2"/>
  <c r="AJ71" i="2"/>
  <c r="AJ72" i="2"/>
  <c r="AK72" i="2"/>
  <c r="AL74" i="2"/>
  <c r="AK74" i="2"/>
  <c r="AJ74" i="2"/>
  <c r="AI74" i="2"/>
  <c r="AK71" i="2"/>
  <c r="AI46" i="2"/>
  <c r="AH46" i="2"/>
  <c r="AG46" i="2"/>
  <c r="AJ46" i="2"/>
  <c r="AL46" i="2"/>
  <c r="AK46" i="2"/>
  <c r="AJ47" i="2"/>
  <c r="BE72" i="2"/>
  <c r="BA72" i="2"/>
  <c r="AT72" i="2"/>
  <c r="AP72" i="2"/>
  <c r="BD72" i="2"/>
  <c r="AY72" i="2"/>
  <c r="AS72" i="2"/>
  <c r="BC72" i="2"/>
  <c r="AX72" i="2"/>
  <c r="AR72" i="2"/>
  <c r="AW72" i="2"/>
  <c r="AQ72" i="2"/>
  <c r="BF72" i="2"/>
  <c r="BB72" i="2"/>
  <c r="AS74" i="2"/>
  <c r="AT74" i="2"/>
  <c r="AG66" i="2"/>
  <c r="AG52" i="2"/>
  <c r="AH52" i="2"/>
  <c r="AI52" i="2"/>
  <c r="AH51" i="2"/>
  <c r="AH53" i="2"/>
  <c r="AI54" i="2"/>
  <c r="AJ52" i="2"/>
  <c r="AK52" i="2"/>
  <c r="AI51" i="2"/>
  <c r="AJ51" i="2"/>
  <c r="AI53" i="2"/>
  <c r="AL54" i="2"/>
  <c r="AK54" i="2"/>
  <c r="AJ54" i="2"/>
  <c r="AL52" i="2"/>
  <c r="AK51" i="2"/>
  <c r="AL51" i="2"/>
  <c r="AH54" i="2"/>
  <c r="AG51" i="2"/>
  <c r="AL53" i="2"/>
  <c r="AJ53" i="2"/>
  <c r="AK53" i="2"/>
  <c r="AG74" i="2"/>
  <c r="AB78" i="2"/>
  <c r="AF78" i="2" s="1"/>
  <c r="AG80" i="2" s="1"/>
  <c r="AH47" i="2"/>
  <c r="AB61" i="2"/>
  <c r="AF61" i="2" s="1"/>
  <c r="BG72" i="2"/>
  <c r="AV72" i="2"/>
  <c r="AZ72" i="2" s="1"/>
  <c r="AV73" i="2"/>
  <c r="AZ73" i="2" s="1"/>
  <c r="BG73" i="2"/>
  <c r="AN50" i="2"/>
  <c r="AB59" i="2"/>
  <c r="AF59" i="2" s="1"/>
  <c r="AB58" i="2"/>
  <c r="AF58" i="2" s="1"/>
  <c r="AB60" i="2"/>
  <c r="AF60" i="2" s="1"/>
  <c r="AV80" i="2"/>
  <c r="AZ80" i="2" s="1"/>
  <c r="AN76" i="2"/>
  <c r="AU79" i="2"/>
  <c r="AU80" i="2"/>
  <c r="AU78" i="2"/>
  <c r="AA58" i="2"/>
  <c r="AA59" i="2"/>
  <c r="T57" i="2"/>
  <c r="AA60" i="2"/>
  <c r="AA61" i="2"/>
  <c r="AJ77" i="2" l="1"/>
  <c r="AJ80" i="2"/>
  <c r="AK77" i="2"/>
  <c r="AL80" i="2"/>
  <c r="AH79" i="2"/>
  <c r="AI80" i="2"/>
  <c r="AK80" i="2"/>
  <c r="AH80" i="2"/>
  <c r="AL79" i="2"/>
  <c r="AK79" i="2"/>
  <c r="AG59" i="2"/>
  <c r="AL77" i="2"/>
  <c r="AJ79" i="2"/>
  <c r="AI77" i="2"/>
  <c r="AL59" i="2"/>
  <c r="AK59" i="2"/>
  <c r="AL61" i="2"/>
  <c r="AJ61" i="2"/>
  <c r="AI58" i="2"/>
  <c r="AH58" i="2"/>
  <c r="AG58" i="2"/>
  <c r="AJ60" i="2"/>
  <c r="AI59" i="2"/>
  <c r="AH59" i="2"/>
  <c r="AJ59" i="2"/>
  <c r="AJ58" i="2"/>
  <c r="AH61" i="2"/>
  <c r="AK61" i="2"/>
  <c r="AI61" i="2"/>
  <c r="AL58" i="2"/>
  <c r="AK58" i="2"/>
  <c r="AI60" i="2"/>
  <c r="AH60" i="2"/>
  <c r="AK60" i="2"/>
  <c r="AL60" i="2"/>
  <c r="AG60" i="2"/>
  <c r="AG61" i="2"/>
  <c r="AI78" i="2"/>
  <c r="AK78" i="2"/>
  <c r="AJ78" i="2"/>
  <c r="AL78" i="2"/>
  <c r="AG78" i="2"/>
  <c r="AH78" i="2"/>
  <c r="AG77" i="2"/>
  <c r="AH77" i="2"/>
  <c r="AG79" i="2"/>
  <c r="AI79" i="2"/>
  <c r="AM45" i="2"/>
  <c r="AM5" i="2" s="1"/>
  <c r="AV54" i="2"/>
  <c r="AZ54" i="2" s="1"/>
  <c r="AM46" i="2"/>
  <c r="AM6" i="2" s="1"/>
  <c r="AM44" i="2"/>
  <c r="AM4" i="2" s="1"/>
  <c r="AM47" i="2"/>
  <c r="AM7" i="2" s="1"/>
  <c r="BG46" i="2"/>
  <c r="BG6" i="2" s="1"/>
  <c r="AM71" i="2"/>
  <c r="AM54" i="2"/>
  <c r="AM14" i="2" s="1"/>
  <c r="AM72" i="2"/>
  <c r="AM32" i="2" s="1"/>
  <c r="AM74" i="2"/>
  <c r="AM34" i="2" s="1"/>
  <c r="AM52" i="2"/>
  <c r="AM12" i="2" s="1"/>
  <c r="BG45" i="2"/>
  <c r="AM51" i="2"/>
  <c r="AM11" i="2" s="1"/>
  <c r="BG47" i="2"/>
  <c r="BG7" i="2" s="1"/>
  <c r="AM73" i="2"/>
  <c r="AM33" i="2" s="1"/>
  <c r="AM67" i="2"/>
  <c r="AM27" i="2" s="1"/>
  <c r="AM53" i="2"/>
  <c r="AM13" i="2" s="1"/>
  <c r="AM68" i="2"/>
  <c r="AM28" i="2" s="1"/>
  <c r="AU73" i="2"/>
  <c r="AU74" i="2"/>
  <c r="AN70" i="2"/>
  <c r="AU72" i="2"/>
  <c r="AU54" i="2"/>
  <c r="AV53" i="2"/>
  <c r="AZ53" i="2" s="1"/>
  <c r="AU52" i="2"/>
  <c r="AV52" i="2"/>
  <c r="AZ52" i="2" s="1"/>
  <c r="AU53" i="2"/>
  <c r="AM66" i="2"/>
  <c r="AM26" i="2" s="1"/>
  <c r="AM65" i="2"/>
  <c r="AM25" i="2" s="1"/>
  <c r="F29" i="29"/>
  <c r="BC2" i="31" s="1"/>
  <c r="BB53" i="2" l="1"/>
  <c r="BD53" i="2"/>
  <c r="BE53" i="2"/>
  <c r="BC53" i="2"/>
  <c r="BA53" i="2"/>
  <c r="BF53" i="2"/>
  <c r="BE52" i="2"/>
  <c r="BC52" i="2"/>
  <c r="BF52" i="2"/>
  <c r="BA52" i="2"/>
  <c r="BB52" i="2"/>
  <c r="BD52" i="2"/>
  <c r="BF54" i="2"/>
  <c r="BE54" i="2"/>
  <c r="BD54" i="2"/>
  <c r="BC54" i="2"/>
  <c r="BB54" i="2"/>
  <c r="BA54" i="2"/>
  <c r="BG5" i="2"/>
  <c r="BH6" i="2" s="1"/>
  <c r="AM77" i="2"/>
  <c r="AM37" i="2" s="1"/>
  <c r="AM80" i="2"/>
  <c r="AM40" i="2" s="1"/>
  <c r="AM78" i="2"/>
  <c r="AM38" i="2" s="1"/>
  <c r="AN26" i="2"/>
  <c r="CW26" i="2" s="1"/>
  <c r="AN25" i="2"/>
  <c r="CW25" i="2" s="1"/>
  <c r="AN28" i="2"/>
  <c r="CW28" i="2" s="1"/>
  <c r="AN27" i="2"/>
  <c r="CW27" i="2" s="1"/>
  <c r="AN11" i="2"/>
  <c r="CW11" i="2" s="1"/>
  <c r="AN13" i="2"/>
  <c r="AN12" i="2"/>
  <c r="AN14" i="2"/>
  <c r="AM79" i="2"/>
  <c r="AM39" i="2" s="1"/>
  <c r="AN5" i="2"/>
  <c r="AN4" i="2"/>
  <c r="CW4" i="2" s="1"/>
  <c r="AN7" i="2"/>
  <c r="AN6" i="2"/>
  <c r="AN40" i="2"/>
  <c r="AM31" i="2"/>
  <c r="BG79" i="2"/>
  <c r="BH5" i="2"/>
  <c r="AM61" i="2"/>
  <c r="AM21" i="2" s="1"/>
  <c r="BH32" i="2"/>
  <c r="BH33" i="2"/>
  <c r="AM58" i="2"/>
  <c r="AM18" i="2" s="1"/>
  <c r="AM60" i="2"/>
  <c r="AM20" i="2" s="1"/>
  <c r="AM59" i="2"/>
  <c r="AM19" i="2" s="1"/>
  <c r="BG80" i="2"/>
  <c r="BG78" i="2"/>
  <c r="BH38" i="2" s="1"/>
  <c r="BC28" i="31"/>
  <c r="BB54" i="31" s="1"/>
  <c r="BC27" i="31"/>
  <c r="BB53" i="31" s="1"/>
  <c r="BC26" i="31"/>
  <c r="BB52" i="31" s="1"/>
  <c r="BC25" i="31"/>
  <c r="BB51" i="31" s="1"/>
  <c r="BC24" i="31"/>
  <c r="BB50" i="31" s="1"/>
  <c r="BC23" i="31"/>
  <c r="BB49" i="31" s="1"/>
  <c r="BC22" i="31"/>
  <c r="BB48" i="31" s="1"/>
  <c r="BC21" i="31"/>
  <c r="BB47" i="31" s="1"/>
  <c r="BC20" i="31"/>
  <c r="BB46" i="31" s="1"/>
  <c r="BC19" i="31"/>
  <c r="BB45" i="31" s="1"/>
  <c r="BC18" i="31"/>
  <c r="BB44" i="31" s="1"/>
  <c r="BC17" i="31"/>
  <c r="BB43" i="31" s="1"/>
  <c r="BC16" i="31"/>
  <c r="BB42" i="31" s="1"/>
  <c r="BC15" i="31"/>
  <c r="BB41" i="31" s="1"/>
  <c r="BC14" i="31"/>
  <c r="BB40" i="31" s="1"/>
  <c r="BC13" i="31"/>
  <c r="BB39" i="31" s="1"/>
  <c r="BC12" i="31"/>
  <c r="BB38" i="31" s="1"/>
  <c r="BC11" i="31"/>
  <c r="BB37" i="31" s="1"/>
  <c r="BC10" i="31"/>
  <c r="BB36" i="31" s="1"/>
  <c r="BC9" i="31"/>
  <c r="BB35" i="31" s="1"/>
  <c r="BC8" i="31"/>
  <c r="BB34" i="31" s="1"/>
  <c r="BC7" i="31"/>
  <c r="BB33" i="31" s="1"/>
  <c r="BC6" i="31"/>
  <c r="BB32" i="31" s="1"/>
  <c r="BC5" i="31"/>
  <c r="BB31" i="31" s="1"/>
  <c r="BC3" i="31"/>
  <c r="BB29" i="31" s="1"/>
  <c r="BC4" i="31"/>
  <c r="BB30" i="31" s="1"/>
  <c r="BH7" i="2" l="1"/>
  <c r="CW7" i="2" s="1"/>
  <c r="CW6" i="2"/>
  <c r="AN39" i="2"/>
  <c r="AN38" i="2"/>
  <c r="A28" i="2"/>
  <c r="A25" i="2"/>
  <c r="A27" i="2"/>
  <c r="A26" i="2"/>
  <c r="A13" i="2"/>
  <c r="AN37" i="2"/>
  <c r="CW37" i="2" s="1"/>
  <c r="AN34" i="2"/>
  <c r="CW34" i="2" s="1"/>
  <c r="AN31" i="2"/>
  <c r="CW31" i="2" s="1"/>
  <c r="AN33" i="2"/>
  <c r="CW33" i="2" s="1"/>
  <c r="AN32" i="2"/>
  <c r="CW32" i="2" s="1"/>
  <c r="A4" i="2"/>
  <c r="AN18" i="2"/>
  <c r="CW18" i="2" s="1"/>
  <c r="AN19" i="2"/>
  <c r="CW19" i="2" s="1"/>
  <c r="AN20" i="2"/>
  <c r="CW20" i="2" s="1"/>
  <c r="AN21" i="2"/>
  <c r="CW21" i="2" s="1"/>
  <c r="CW38" i="2"/>
  <c r="CW5" i="2"/>
  <c r="BG54" i="2"/>
  <c r="BG14" i="2" s="1"/>
  <c r="BG53" i="2"/>
  <c r="BG13" i="2" s="1"/>
  <c r="BG52" i="2"/>
  <c r="BH40" i="2"/>
  <c r="CW40" i="2" s="1"/>
  <c r="BH39" i="2"/>
  <c r="BH14" i="2" l="1"/>
  <c r="CW14" i="2" s="1"/>
  <c r="BG12" i="2"/>
  <c r="A6" i="2"/>
  <c r="CW39" i="2"/>
  <c r="A40" i="2" s="1"/>
  <c r="A5" i="2"/>
  <c r="P27" i="1"/>
  <c r="EJ23" i="2" s="1"/>
  <c r="A7" i="2"/>
  <c r="A18" i="2"/>
  <c r="A20" i="2"/>
  <c r="A21" i="2"/>
  <c r="A19" i="2"/>
  <c r="A39" i="2"/>
  <c r="A38" i="2"/>
  <c r="A37" i="2"/>
  <c r="BH12" i="2"/>
  <c r="CW12" i="2" s="1"/>
  <c r="BH13" i="2"/>
  <c r="CW13" i="2" s="1"/>
  <c r="P24" i="1"/>
  <c r="EJ21" i="2" s="1"/>
  <c r="P23" i="1"/>
  <c r="EJ20" i="2" s="1"/>
  <c r="P22" i="1"/>
  <c r="EJ19" i="2" s="1"/>
  <c r="P25" i="1"/>
  <c r="EJ22" i="2" s="1"/>
  <c r="A11" i="2" l="1"/>
  <c r="A14" i="2"/>
  <c r="A12" i="2"/>
  <c r="P9" i="1"/>
  <c r="EJ9" i="2" s="1"/>
  <c r="P7" i="1"/>
  <c r="P8" i="1"/>
  <c r="P29" i="1"/>
  <c r="P10" i="1"/>
  <c r="P33" i="1"/>
  <c r="P28" i="1"/>
  <c r="P30" i="1"/>
  <c r="P17" i="1"/>
  <c r="P32" i="1"/>
  <c r="P35" i="1"/>
  <c r="P34" i="1"/>
  <c r="X27" i="1"/>
  <c r="V27" i="1"/>
  <c r="W27" i="1"/>
  <c r="Z27" i="1"/>
  <c r="U27" i="1"/>
  <c r="P19" i="1"/>
  <c r="EJ17" i="2" s="1"/>
  <c r="P20" i="1"/>
  <c r="EJ18" i="2" s="1"/>
  <c r="P18" i="1"/>
  <c r="EJ16" i="2" s="1"/>
  <c r="X24" i="1"/>
  <c r="V24" i="1"/>
  <c r="DJ6" i="2" s="1"/>
  <c r="Z24" i="1"/>
  <c r="DM6" i="2" s="1"/>
  <c r="W24" i="1"/>
  <c r="DK6" i="2" s="1"/>
  <c r="DH6" i="2"/>
  <c r="DP6" i="2" s="1"/>
  <c r="U24" i="1"/>
  <c r="Z25" i="1"/>
  <c r="X25" i="1"/>
  <c r="V25" i="1"/>
  <c r="W25" i="1"/>
  <c r="U25" i="1"/>
  <c r="X22" i="1"/>
  <c r="V22" i="1"/>
  <c r="U22" i="1"/>
  <c r="W22" i="1"/>
  <c r="Z22" i="1"/>
  <c r="V23" i="1"/>
  <c r="W23" i="1"/>
  <c r="Z23" i="1"/>
  <c r="X23" i="1"/>
  <c r="U23" i="1"/>
  <c r="Z17" i="1" l="1"/>
  <c r="EJ15" i="2"/>
  <c r="Z10" i="1"/>
  <c r="EJ10" i="2"/>
  <c r="V34" i="1"/>
  <c r="DJ8" i="2" s="1"/>
  <c r="EJ29" i="2"/>
  <c r="X30" i="1"/>
  <c r="EJ26" i="2"/>
  <c r="X29" i="1"/>
  <c r="EJ25" i="2"/>
  <c r="W35" i="1"/>
  <c r="EJ30" i="2"/>
  <c r="V28" i="1"/>
  <c r="EJ24" i="2"/>
  <c r="U8" i="1"/>
  <c r="EJ8" i="2"/>
  <c r="X32" i="1"/>
  <c r="EJ27" i="2"/>
  <c r="X33" i="1"/>
  <c r="EJ28" i="2"/>
  <c r="U7" i="1"/>
  <c r="EJ7" i="2"/>
  <c r="DH3" i="2"/>
  <c r="DP3" i="2" s="1"/>
  <c r="V9" i="1"/>
  <c r="DJ3" i="2" s="1"/>
  <c r="Z9" i="1"/>
  <c r="DM3" i="2" s="1"/>
  <c r="X9" i="1"/>
  <c r="DL3" i="2" s="1"/>
  <c r="U9" i="1"/>
  <c r="DI3" i="2" s="1"/>
  <c r="W9" i="1"/>
  <c r="DK3" i="2" s="1"/>
  <c r="V8" i="1"/>
  <c r="AB8" i="1" s="1"/>
  <c r="X7" i="1"/>
  <c r="Z7" i="1"/>
  <c r="W7" i="1"/>
  <c r="V7" i="1"/>
  <c r="AB7" i="1" s="1"/>
  <c r="W8" i="1"/>
  <c r="Z8" i="1"/>
  <c r="X8" i="1"/>
  <c r="DH7" i="2"/>
  <c r="DP7" i="2" s="1"/>
  <c r="V29" i="1"/>
  <c r="DJ7" i="2" s="1"/>
  <c r="U29" i="1"/>
  <c r="DI7" i="2" s="1"/>
  <c r="Z29" i="1"/>
  <c r="DM7" i="2" s="1"/>
  <c r="W29" i="1"/>
  <c r="DK7" i="2" s="1"/>
  <c r="W10" i="1"/>
  <c r="V10" i="1"/>
  <c r="U28" i="1"/>
  <c r="X10" i="1"/>
  <c r="AA10" i="1" s="1"/>
  <c r="U10" i="1"/>
  <c r="U33" i="1"/>
  <c r="W33" i="1"/>
  <c r="U30" i="1"/>
  <c r="V33" i="1"/>
  <c r="Z33" i="1"/>
  <c r="AA33" i="1" s="1"/>
  <c r="W17" i="1"/>
  <c r="X28" i="1"/>
  <c r="Z28" i="1"/>
  <c r="W28" i="1"/>
  <c r="Z30" i="1"/>
  <c r="V30" i="1"/>
  <c r="P12" i="1"/>
  <c r="U17" i="1"/>
  <c r="V17" i="1"/>
  <c r="X17" i="1"/>
  <c r="AA17" i="1" s="1"/>
  <c r="W30" i="1"/>
  <c r="Z32" i="1"/>
  <c r="X34" i="1"/>
  <c r="DL8" i="2" s="1"/>
  <c r="W34" i="1"/>
  <c r="DK8" i="2" s="1"/>
  <c r="DH8" i="2"/>
  <c r="DP8" i="2" s="1"/>
  <c r="U32" i="1"/>
  <c r="W32" i="1"/>
  <c r="V32" i="1"/>
  <c r="U35" i="1"/>
  <c r="Z35" i="1"/>
  <c r="X35" i="1"/>
  <c r="V35" i="1"/>
  <c r="Z34" i="1"/>
  <c r="DM8" i="2" s="1"/>
  <c r="U34" i="1"/>
  <c r="DI8" i="2" s="1"/>
  <c r="AA27" i="1"/>
  <c r="DL7" i="2"/>
  <c r="T27" i="1"/>
  <c r="AB27" i="1"/>
  <c r="P13" i="1"/>
  <c r="EJ12" i="2" s="1"/>
  <c r="P14" i="1"/>
  <c r="EJ13" i="2" s="1"/>
  <c r="P15" i="1"/>
  <c r="EJ14" i="2" s="1"/>
  <c r="V18" i="1"/>
  <c r="U18" i="1"/>
  <c r="X18" i="1"/>
  <c r="W18" i="1"/>
  <c r="Z18" i="1"/>
  <c r="U20" i="1"/>
  <c r="W20" i="1"/>
  <c r="V20" i="1"/>
  <c r="X20" i="1"/>
  <c r="Z20" i="1"/>
  <c r="V19" i="1"/>
  <c r="DJ5" i="2" s="1"/>
  <c r="X19" i="1"/>
  <c r="U19" i="1"/>
  <c r="W19" i="1"/>
  <c r="DK5" i="2" s="1"/>
  <c r="DH5" i="2"/>
  <c r="DP5" i="2" s="1"/>
  <c r="Z19" i="1"/>
  <c r="DM5" i="2" s="1"/>
  <c r="AA25" i="1"/>
  <c r="AA23" i="1"/>
  <c r="T22" i="1"/>
  <c r="AB22" i="1"/>
  <c r="AB23" i="1"/>
  <c r="T23" i="1"/>
  <c r="AA22" i="1"/>
  <c r="DL6" i="2"/>
  <c r="AA24" i="1"/>
  <c r="DN6" i="2" s="1"/>
  <c r="AB25" i="1"/>
  <c r="T25" i="1"/>
  <c r="DI6" i="2"/>
  <c r="T24" i="1"/>
  <c r="AB24" i="1"/>
  <c r="DO6" i="2" s="1"/>
  <c r="AA30" i="1" l="1"/>
  <c r="AB28" i="1"/>
  <c r="AA32" i="1"/>
  <c r="X12" i="1"/>
  <c r="EJ11" i="2"/>
  <c r="AB9" i="1"/>
  <c r="DO3" i="2" s="1"/>
  <c r="AA9" i="1"/>
  <c r="DN3" i="2" s="1"/>
  <c r="T9" i="1"/>
  <c r="T8" i="1"/>
  <c r="AA7" i="1"/>
  <c r="T7" i="1"/>
  <c r="AA8" i="1"/>
  <c r="AB29" i="1"/>
  <c r="DO7" i="2" s="1"/>
  <c r="AA29" i="1"/>
  <c r="DN7" i="2" s="1"/>
  <c r="T29" i="1"/>
  <c r="T28" i="1"/>
  <c r="T10" i="1"/>
  <c r="AB10" i="1"/>
  <c r="AA28" i="1"/>
  <c r="AB30" i="1"/>
  <c r="AB33" i="1"/>
  <c r="T30" i="1"/>
  <c r="T33" i="1"/>
  <c r="T17" i="1"/>
  <c r="U12" i="1"/>
  <c r="V12" i="1"/>
  <c r="W12" i="1"/>
  <c r="Z12" i="1"/>
  <c r="AA12" i="1" s="1"/>
  <c r="AB17" i="1"/>
  <c r="AB35" i="1"/>
  <c r="T35" i="1"/>
  <c r="AB32" i="1"/>
  <c r="G49" i="1"/>
  <c r="G51" i="1"/>
  <c r="T32" i="1"/>
  <c r="AA35" i="1"/>
  <c r="AB34" i="1"/>
  <c r="DO8" i="2" s="1"/>
  <c r="T34" i="1"/>
  <c r="AA34" i="1"/>
  <c r="DN8" i="2" s="1"/>
  <c r="F31" i="29"/>
  <c r="BE2" i="31" s="1"/>
  <c r="Z15" i="1"/>
  <c r="W15" i="1"/>
  <c r="U15" i="1"/>
  <c r="V15" i="1"/>
  <c r="X15" i="1"/>
  <c r="X14" i="1"/>
  <c r="U14" i="1"/>
  <c r="DH4" i="2"/>
  <c r="DP4" i="2" s="1"/>
  <c r="W14" i="1"/>
  <c r="DK4" i="2" s="1"/>
  <c r="Z14" i="1"/>
  <c r="DM4" i="2" s="1"/>
  <c r="V14" i="1"/>
  <c r="DJ4" i="2" s="1"/>
  <c r="Z13" i="1"/>
  <c r="V13" i="1"/>
  <c r="W13" i="1"/>
  <c r="U13" i="1"/>
  <c r="X13" i="1"/>
  <c r="AA18" i="1"/>
  <c r="DI5" i="2"/>
  <c r="T19" i="1"/>
  <c r="AB19" i="1"/>
  <c r="DO5" i="2" s="1"/>
  <c r="AA19" i="1"/>
  <c r="DN5" i="2" s="1"/>
  <c r="DL5" i="2"/>
  <c r="T20" i="1"/>
  <c r="AB20" i="1"/>
  <c r="AA20" i="1"/>
  <c r="T18" i="1"/>
  <c r="AB18" i="1"/>
  <c r="G44" i="1" l="1"/>
  <c r="F7" i="29" s="1"/>
  <c r="AI2" i="31" s="1"/>
  <c r="AI26" i="31" s="1"/>
  <c r="AJ52" i="31" s="1"/>
  <c r="G45" i="1"/>
  <c r="F9" i="29" s="1"/>
  <c r="AK2" i="31" s="1"/>
  <c r="AK18" i="31" s="1"/>
  <c r="AL44" i="31" s="1"/>
  <c r="G50" i="1"/>
  <c r="F19" i="29" s="1"/>
  <c r="AU2" i="31" s="1"/>
  <c r="AU25" i="31" s="1"/>
  <c r="AV51" i="31" s="1"/>
  <c r="J49" i="1"/>
  <c r="AA15" i="1"/>
  <c r="AB12" i="1"/>
  <c r="T12" i="1"/>
  <c r="J44" i="1"/>
  <c r="G48" i="1"/>
  <c r="F15" i="29" s="1"/>
  <c r="AQ2" i="31" s="1"/>
  <c r="J51" i="1"/>
  <c r="G47" i="1"/>
  <c r="BE26" i="31"/>
  <c r="BD52" i="31" s="1"/>
  <c r="BE22" i="31"/>
  <c r="BD48" i="31" s="1"/>
  <c r="BE18" i="31"/>
  <c r="BD44" i="31" s="1"/>
  <c r="BE14" i="31"/>
  <c r="BD40" i="31" s="1"/>
  <c r="BE10" i="31"/>
  <c r="BD36" i="31" s="1"/>
  <c r="BE6" i="31"/>
  <c r="BD32" i="31" s="1"/>
  <c r="BE25" i="31"/>
  <c r="BD51" i="31" s="1"/>
  <c r="BE21" i="31"/>
  <c r="BD47" i="31" s="1"/>
  <c r="BE17" i="31"/>
  <c r="BD43" i="31" s="1"/>
  <c r="BE13" i="31"/>
  <c r="BD39" i="31" s="1"/>
  <c r="BE9" i="31"/>
  <c r="BD35" i="31" s="1"/>
  <c r="BE5" i="31"/>
  <c r="BD31" i="31" s="1"/>
  <c r="BE28" i="31"/>
  <c r="BD54" i="31" s="1"/>
  <c r="BE24" i="31"/>
  <c r="BD50" i="31" s="1"/>
  <c r="BE20" i="31"/>
  <c r="BD46" i="31" s="1"/>
  <c r="BE16" i="31"/>
  <c r="BD42" i="31" s="1"/>
  <c r="BE12" i="31"/>
  <c r="BD38" i="31" s="1"/>
  <c r="BE8" i="31"/>
  <c r="BD34" i="31" s="1"/>
  <c r="BE4" i="31"/>
  <c r="BD30" i="31" s="1"/>
  <c r="BE27" i="31"/>
  <c r="BD53" i="31" s="1"/>
  <c r="BE23" i="31"/>
  <c r="BD49" i="31" s="1"/>
  <c r="BE19" i="31"/>
  <c r="BD45" i="31" s="1"/>
  <c r="BE15" i="31"/>
  <c r="BD41" i="31" s="1"/>
  <c r="BE11" i="31"/>
  <c r="BD37" i="31" s="1"/>
  <c r="BE7" i="31"/>
  <c r="BD33" i="31" s="1"/>
  <c r="BE3" i="31"/>
  <c r="BD29" i="31" s="1"/>
  <c r="F21" i="29"/>
  <c r="AW2" i="31" s="1"/>
  <c r="AW14" i="31" s="1"/>
  <c r="AX40" i="31" s="1"/>
  <c r="F33" i="29"/>
  <c r="BG2" i="31" s="1"/>
  <c r="F17" i="29"/>
  <c r="AS2" i="31" s="1"/>
  <c r="AS15" i="31" s="1"/>
  <c r="AT41" i="31" s="1"/>
  <c r="F26" i="29"/>
  <c r="AZ2" i="31" s="1"/>
  <c r="AA13" i="1"/>
  <c r="DI4" i="2"/>
  <c r="T14" i="1"/>
  <c r="AB14" i="1"/>
  <c r="DO4" i="2" s="1"/>
  <c r="AA14" i="1"/>
  <c r="DN4" i="2" s="1"/>
  <c r="DL4" i="2"/>
  <c r="T15" i="1"/>
  <c r="AB15" i="1"/>
  <c r="T13" i="1"/>
  <c r="AB13" i="1"/>
  <c r="DQ4" i="2" l="1"/>
  <c r="DQ6" i="2"/>
  <c r="DQ7" i="2"/>
  <c r="DQ8" i="2"/>
  <c r="DQ3" i="2"/>
  <c r="DQ5" i="2"/>
  <c r="AI22" i="31"/>
  <c r="AJ48" i="31" s="1"/>
  <c r="AI8" i="31"/>
  <c r="AJ34" i="31" s="1"/>
  <c r="AI15" i="31"/>
  <c r="AJ41" i="31" s="1"/>
  <c r="AI25" i="31"/>
  <c r="AJ51" i="31" s="1"/>
  <c r="AI27" i="31"/>
  <c r="AJ53" i="31" s="1"/>
  <c r="AI6" i="31"/>
  <c r="AJ32" i="31" s="1"/>
  <c r="AI11" i="31"/>
  <c r="AJ37" i="31" s="1"/>
  <c r="AK17" i="31"/>
  <c r="AL43" i="31" s="1"/>
  <c r="AI20" i="31"/>
  <c r="AJ46" i="31" s="1"/>
  <c r="AI3" i="31"/>
  <c r="AJ29" i="31" s="1"/>
  <c r="AI23" i="31"/>
  <c r="AJ49" i="31" s="1"/>
  <c r="AI21" i="31"/>
  <c r="AJ47" i="31" s="1"/>
  <c r="AI24" i="31"/>
  <c r="AJ50" i="31" s="1"/>
  <c r="AI16" i="31"/>
  <c r="AJ42" i="31" s="1"/>
  <c r="AK5" i="31"/>
  <c r="AL31" i="31" s="1"/>
  <c r="AU28" i="31"/>
  <c r="AV54" i="31" s="1"/>
  <c r="AI9" i="31"/>
  <c r="AJ35" i="31" s="1"/>
  <c r="AI10" i="31"/>
  <c r="AJ36" i="31" s="1"/>
  <c r="AI19" i="31"/>
  <c r="AJ45" i="31" s="1"/>
  <c r="AI4" i="31"/>
  <c r="AJ30" i="31" s="1"/>
  <c r="AI5" i="31"/>
  <c r="AJ31" i="31" s="1"/>
  <c r="AI12" i="31"/>
  <c r="AJ38" i="31" s="1"/>
  <c r="AK13" i="31"/>
  <c r="AL39" i="31" s="1"/>
  <c r="AI18" i="31"/>
  <c r="AJ44" i="31" s="1"/>
  <c r="AI14" i="31"/>
  <c r="AJ40" i="31" s="1"/>
  <c r="AI28" i="31"/>
  <c r="AJ54" i="31" s="1"/>
  <c r="AI17" i="31"/>
  <c r="AJ43" i="31" s="1"/>
  <c r="AI13" i="31"/>
  <c r="AJ39" i="31" s="1"/>
  <c r="AI7" i="31"/>
  <c r="AJ33" i="31" s="1"/>
  <c r="AK6" i="31"/>
  <c r="AL32" i="31" s="1"/>
  <c r="AK23" i="31"/>
  <c r="AL49" i="31" s="1"/>
  <c r="AK8" i="31"/>
  <c r="AL34" i="31" s="1"/>
  <c r="AK22" i="31"/>
  <c r="AL48" i="31" s="1"/>
  <c r="AK24" i="31"/>
  <c r="AL50" i="31" s="1"/>
  <c r="AK27" i="31"/>
  <c r="AL53" i="31" s="1"/>
  <c r="AK28" i="31"/>
  <c r="AL54" i="31" s="1"/>
  <c r="AK7" i="31"/>
  <c r="AL33" i="31" s="1"/>
  <c r="AK4" i="31"/>
  <c r="AL30" i="31" s="1"/>
  <c r="AK10" i="31"/>
  <c r="AL36" i="31" s="1"/>
  <c r="AK19" i="31"/>
  <c r="AL45" i="31" s="1"/>
  <c r="AK9" i="31"/>
  <c r="AL35" i="31" s="1"/>
  <c r="AK26" i="31"/>
  <c r="AL52" i="31" s="1"/>
  <c r="AK12" i="31"/>
  <c r="AL38" i="31" s="1"/>
  <c r="AK11" i="31"/>
  <c r="AL37" i="31" s="1"/>
  <c r="AK14" i="31"/>
  <c r="AL40" i="31" s="1"/>
  <c r="AK25" i="31"/>
  <c r="AL51" i="31" s="1"/>
  <c r="AK21" i="31"/>
  <c r="AL47" i="31" s="1"/>
  <c r="AK3" i="31"/>
  <c r="AL29" i="31" s="1"/>
  <c r="AK20" i="31"/>
  <c r="AL46" i="31" s="1"/>
  <c r="AK16" i="31"/>
  <c r="AL42" i="31" s="1"/>
  <c r="AK15" i="31"/>
  <c r="AL41" i="31" s="1"/>
  <c r="AU18" i="31"/>
  <c r="AV44" i="31" s="1"/>
  <c r="AU6" i="31"/>
  <c r="AV32" i="31" s="1"/>
  <c r="AU26" i="31"/>
  <c r="AV52" i="31" s="1"/>
  <c r="AU8" i="31"/>
  <c r="AV34" i="31" s="1"/>
  <c r="AU11" i="31"/>
  <c r="AV37" i="31" s="1"/>
  <c r="AU4" i="31"/>
  <c r="AV30" i="31" s="1"/>
  <c r="AU13" i="31"/>
  <c r="AV39" i="31" s="1"/>
  <c r="AU3" i="31"/>
  <c r="AV29" i="31" s="1"/>
  <c r="AU7" i="31"/>
  <c r="AV33" i="31" s="1"/>
  <c r="AU12" i="31"/>
  <c r="AV38" i="31" s="1"/>
  <c r="AU20" i="31"/>
  <c r="AV46" i="31" s="1"/>
  <c r="AU5" i="31"/>
  <c r="AV31" i="31" s="1"/>
  <c r="AU9" i="31"/>
  <c r="AV35" i="31" s="1"/>
  <c r="AU16" i="31"/>
  <c r="AV42" i="31" s="1"/>
  <c r="AU27" i="31"/>
  <c r="AV53" i="31" s="1"/>
  <c r="AU10" i="31"/>
  <c r="AV36" i="31" s="1"/>
  <c r="AU14" i="31"/>
  <c r="AV40" i="31" s="1"/>
  <c r="AU21" i="31"/>
  <c r="AV47" i="31" s="1"/>
  <c r="AU17" i="31"/>
  <c r="AV43" i="31" s="1"/>
  <c r="AU22" i="31"/>
  <c r="AV48" i="31" s="1"/>
  <c r="AU15" i="31"/>
  <c r="AV41" i="31" s="1"/>
  <c r="AU19" i="31"/>
  <c r="AV45" i="31" s="1"/>
  <c r="AU23" i="31"/>
  <c r="AV49" i="31" s="1"/>
  <c r="AU24" i="31"/>
  <c r="AV50" i="31" s="1"/>
  <c r="AW25" i="31"/>
  <c r="AX51" i="31" s="1"/>
  <c r="AQ27" i="31"/>
  <c r="AR53" i="31" s="1"/>
  <c r="AQ15" i="31"/>
  <c r="AR41" i="31" s="1"/>
  <c r="AQ3" i="31"/>
  <c r="AR29" i="31" s="1"/>
  <c r="AQ22" i="31"/>
  <c r="AR48" i="31" s="1"/>
  <c r="AQ10" i="31"/>
  <c r="AR36" i="31" s="1"/>
  <c r="AQ25" i="31"/>
  <c r="AR51" i="31" s="1"/>
  <c r="AQ21" i="31"/>
  <c r="AR47" i="31" s="1"/>
  <c r="AQ17" i="31"/>
  <c r="AR43" i="31" s="1"/>
  <c r="AQ13" i="31"/>
  <c r="AR39" i="31" s="1"/>
  <c r="AQ9" i="31"/>
  <c r="AR35" i="31" s="1"/>
  <c r="AQ5" i="31"/>
  <c r="AR31" i="31" s="1"/>
  <c r="AQ26" i="31"/>
  <c r="AR52" i="31" s="1"/>
  <c r="AQ18" i="31"/>
  <c r="AR44" i="31" s="1"/>
  <c r="AQ14" i="31"/>
  <c r="AR40" i="31" s="1"/>
  <c r="AQ6" i="31"/>
  <c r="AR32" i="31" s="1"/>
  <c r="AQ28" i="31"/>
  <c r="AR54" i="31" s="1"/>
  <c r="AQ24" i="31"/>
  <c r="AR50" i="31" s="1"/>
  <c r="AQ20" i="31"/>
  <c r="AR46" i="31" s="1"/>
  <c r="AQ16" i="31"/>
  <c r="AR42" i="31" s="1"/>
  <c r="AQ12" i="31"/>
  <c r="AR38" i="31" s="1"/>
  <c r="AQ8" i="31"/>
  <c r="AR34" i="31" s="1"/>
  <c r="AQ4" i="31"/>
  <c r="AR30" i="31" s="1"/>
  <c r="AQ23" i="31"/>
  <c r="AR49" i="31" s="1"/>
  <c r="AQ19" i="31"/>
  <c r="AR45" i="31" s="1"/>
  <c r="AQ11" i="31"/>
  <c r="AR37" i="31" s="1"/>
  <c r="AQ7" i="31"/>
  <c r="AR33" i="31" s="1"/>
  <c r="AS21" i="31"/>
  <c r="AT47" i="31" s="1"/>
  <c r="AS16" i="31"/>
  <c r="AT42" i="31" s="1"/>
  <c r="AS3" i="31"/>
  <c r="AT29" i="31" s="1"/>
  <c r="AW15" i="31"/>
  <c r="AX41" i="31" s="1"/>
  <c r="G46" i="1"/>
  <c r="F11" i="29" s="1"/>
  <c r="AM2" i="31" s="1"/>
  <c r="J45" i="1"/>
  <c r="F10" i="29" s="1"/>
  <c r="AL2" i="31" s="1"/>
  <c r="AS19" i="31"/>
  <c r="AT45" i="31" s="1"/>
  <c r="AW20" i="31"/>
  <c r="AX46" i="31" s="1"/>
  <c r="AS5" i="31"/>
  <c r="AT31" i="31" s="1"/>
  <c r="AW9" i="31"/>
  <c r="AX35" i="31" s="1"/>
  <c r="AS14" i="31"/>
  <c r="AT40" i="31" s="1"/>
  <c r="AW4" i="31"/>
  <c r="AX30" i="31" s="1"/>
  <c r="AW18" i="31"/>
  <c r="AX44" i="31" s="1"/>
  <c r="AS4" i="31"/>
  <c r="AT30" i="31" s="1"/>
  <c r="AS20" i="31"/>
  <c r="AT46" i="31" s="1"/>
  <c r="AS9" i="31"/>
  <c r="AT35" i="31" s="1"/>
  <c r="AS25" i="31"/>
  <c r="AT51" i="31" s="1"/>
  <c r="AS18" i="31"/>
  <c r="AT44" i="31" s="1"/>
  <c r="AS7" i="31"/>
  <c r="AT33" i="31" s="1"/>
  <c r="AS23" i="31"/>
  <c r="AT49" i="31" s="1"/>
  <c r="AW3" i="31"/>
  <c r="AX29" i="31" s="1"/>
  <c r="AW19" i="31"/>
  <c r="AX45" i="31" s="1"/>
  <c r="AW8" i="31"/>
  <c r="AX34" i="31" s="1"/>
  <c r="AW24" i="31"/>
  <c r="AX50" i="31" s="1"/>
  <c r="AW13" i="31"/>
  <c r="AX39" i="31" s="1"/>
  <c r="AW6" i="31"/>
  <c r="AX32" i="31" s="1"/>
  <c r="AW22" i="31"/>
  <c r="AX48" i="31" s="1"/>
  <c r="AS8" i="31"/>
  <c r="AT34" i="31" s="1"/>
  <c r="AS24" i="31"/>
  <c r="AT50" i="31" s="1"/>
  <c r="AS13" i="31"/>
  <c r="AT39" i="31" s="1"/>
  <c r="AS6" i="31"/>
  <c r="AT32" i="31" s="1"/>
  <c r="AS22" i="31"/>
  <c r="AT48" i="31" s="1"/>
  <c r="AS11" i="31"/>
  <c r="AT37" i="31" s="1"/>
  <c r="AS27" i="31"/>
  <c r="AT53" i="31" s="1"/>
  <c r="AW7" i="31"/>
  <c r="AX33" i="31" s="1"/>
  <c r="AW23" i="31"/>
  <c r="AX49" i="31" s="1"/>
  <c r="AW12" i="31"/>
  <c r="AX38" i="31" s="1"/>
  <c r="AW28" i="31"/>
  <c r="AX54" i="31" s="1"/>
  <c r="AW17" i="31"/>
  <c r="AX43" i="31" s="1"/>
  <c r="AW10" i="31"/>
  <c r="AX36" i="31" s="1"/>
  <c r="AW26" i="31"/>
  <c r="AX52" i="31" s="1"/>
  <c r="AS12" i="31"/>
  <c r="AT38" i="31" s="1"/>
  <c r="AS28" i="31"/>
  <c r="AT54" i="31" s="1"/>
  <c r="AS17" i="31"/>
  <c r="AT43" i="31" s="1"/>
  <c r="AS10" i="31"/>
  <c r="AT36" i="31" s="1"/>
  <c r="AS26" i="31"/>
  <c r="AT52" i="31" s="1"/>
  <c r="AW11" i="31"/>
  <c r="AX37" i="31" s="1"/>
  <c r="AW27" i="31"/>
  <c r="AX53" i="31" s="1"/>
  <c r="AW16" i="31"/>
  <c r="AX42" i="31" s="1"/>
  <c r="AW5" i="31"/>
  <c r="AX31" i="31" s="1"/>
  <c r="AW21" i="31"/>
  <c r="AX47" i="31" s="1"/>
  <c r="F32" i="29"/>
  <c r="BF2" i="31" s="1"/>
  <c r="BF27" i="31" s="1"/>
  <c r="BG53" i="31" s="1"/>
  <c r="F40" i="29"/>
  <c r="BL2" i="31" s="1"/>
  <c r="BG28" i="31"/>
  <c r="BF54" i="31" s="1"/>
  <c r="BG24" i="31"/>
  <c r="BF50" i="31" s="1"/>
  <c r="BG20" i="31"/>
  <c r="BF46" i="31" s="1"/>
  <c r="BG16" i="31"/>
  <c r="BF42" i="31" s="1"/>
  <c r="BG12" i="31"/>
  <c r="BF38" i="31" s="1"/>
  <c r="BG8" i="31"/>
  <c r="BF34" i="31" s="1"/>
  <c r="BG4" i="31"/>
  <c r="BF30" i="31" s="1"/>
  <c r="BG27" i="31"/>
  <c r="BF53" i="31" s="1"/>
  <c r="BG23" i="31"/>
  <c r="BF49" i="31" s="1"/>
  <c r="BG19" i="31"/>
  <c r="BF45" i="31" s="1"/>
  <c r="BG15" i="31"/>
  <c r="BF41" i="31" s="1"/>
  <c r="BG11" i="31"/>
  <c r="BF37" i="31" s="1"/>
  <c r="BG7" i="31"/>
  <c r="BF33" i="31" s="1"/>
  <c r="BG3" i="31"/>
  <c r="BF29" i="31" s="1"/>
  <c r="BG26" i="31"/>
  <c r="BF52" i="31" s="1"/>
  <c r="BG22" i="31"/>
  <c r="BF48" i="31" s="1"/>
  <c r="BG18" i="31"/>
  <c r="BF44" i="31" s="1"/>
  <c r="BG14" i="31"/>
  <c r="BF40" i="31" s="1"/>
  <c r="BG10" i="31"/>
  <c r="BF36" i="31" s="1"/>
  <c r="BG6" i="31"/>
  <c r="BF32" i="31" s="1"/>
  <c r="BG25" i="31"/>
  <c r="BF51" i="31" s="1"/>
  <c r="BG21" i="31"/>
  <c r="BF47" i="31" s="1"/>
  <c r="BG17" i="31"/>
  <c r="BF43" i="31" s="1"/>
  <c r="BG13" i="31"/>
  <c r="BF39" i="31" s="1"/>
  <c r="BG9" i="31"/>
  <c r="BF35" i="31" s="1"/>
  <c r="BG5" i="31"/>
  <c r="BF31" i="31" s="1"/>
  <c r="AZ28" i="31"/>
  <c r="BA54" i="31" s="1"/>
  <c r="AZ24" i="31"/>
  <c r="BA50" i="31" s="1"/>
  <c r="AZ20" i="31"/>
  <c r="BA46" i="31" s="1"/>
  <c r="AZ16" i="31"/>
  <c r="BA42" i="31" s="1"/>
  <c r="AZ12" i="31"/>
  <c r="BA38" i="31" s="1"/>
  <c r="AZ8" i="31"/>
  <c r="BA34" i="31" s="1"/>
  <c r="AZ4" i="31"/>
  <c r="BA30" i="31" s="1"/>
  <c r="AZ25" i="31"/>
  <c r="BA51" i="31" s="1"/>
  <c r="AZ21" i="31"/>
  <c r="BA47" i="31" s="1"/>
  <c r="AZ17" i="31"/>
  <c r="BA43" i="31" s="1"/>
  <c r="AZ13" i="31"/>
  <c r="BA39" i="31" s="1"/>
  <c r="AZ9" i="31"/>
  <c r="BA35" i="31" s="1"/>
  <c r="AZ5" i="31"/>
  <c r="BA31" i="31" s="1"/>
  <c r="AZ27" i="31"/>
  <c r="BA53" i="31" s="1"/>
  <c r="AZ23" i="31"/>
  <c r="BA49" i="31" s="1"/>
  <c r="AZ19" i="31"/>
  <c r="BA45" i="31" s="1"/>
  <c r="AZ15" i="31"/>
  <c r="BA41" i="31" s="1"/>
  <c r="AZ11" i="31"/>
  <c r="BA37" i="31" s="1"/>
  <c r="AZ7" i="31"/>
  <c r="BA33" i="31" s="1"/>
  <c r="AZ3" i="31"/>
  <c r="BA29" i="31" s="1"/>
  <c r="AZ6" i="31"/>
  <c r="BA32" i="31" s="1"/>
  <c r="AZ26" i="31"/>
  <c r="BA52" i="31" s="1"/>
  <c r="AZ22" i="31"/>
  <c r="BA48" i="31" s="1"/>
  <c r="AZ18" i="31"/>
  <c r="BA44" i="31" s="1"/>
  <c r="AZ14" i="31"/>
  <c r="BA40" i="31" s="1"/>
  <c r="AZ10" i="31"/>
  <c r="BA36" i="31" s="1"/>
  <c r="F27" i="29"/>
  <c r="BA2" i="31" s="1"/>
  <c r="F37" i="29"/>
  <c r="BI2" i="31" s="1"/>
  <c r="F8" i="29"/>
  <c r="AJ2" i="31" s="1"/>
  <c r="F13" i="29"/>
  <c r="AO2" i="31" s="1"/>
  <c r="DT8" i="2" l="1"/>
  <c r="DS7" i="2"/>
  <c r="DS6" i="2"/>
  <c r="DS8" i="2"/>
  <c r="DR7" i="2"/>
  <c r="DR8" i="2"/>
  <c r="DS5" i="2"/>
  <c r="DS4" i="2"/>
  <c r="DR6" i="2"/>
  <c r="DR5" i="2"/>
  <c r="DT4" i="2"/>
  <c r="DR3" i="2"/>
  <c r="DR4" i="2"/>
  <c r="DT7" i="2"/>
  <c r="DT6" i="2"/>
  <c r="DT3" i="2"/>
  <c r="DT5" i="2"/>
  <c r="DS3" i="2"/>
  <c r="AL27" i="31"/>
  <c r="AK53" i="31" s="1"/>
  <c r="AL13" i="31"/>
  <c r="AK39" i="31" s="1"/>
  <c r="AL19" i="31"/>
  <c r="AK45" i="31" s="1"/>
  <c r="AL14" i="31"/>
  <c r="AK40" i="31" s="1"/>
  <c r="AL21" i="31"/>
  <c r="AK47" i="31" s="1"/>
  <c r="AL23" i="31"/>
  <c r="AK49" i="31" s="1"/>
  <c r="AL7" i="31"/>
  <c r="AK33" i="31" s="1"/>
  <c r="AL18" i="31"/>
  <c r="AK44" i="31" s="1"/>
  <c r="AL25" i="31"/>
  <c r="AK51" i="31" s="1"/>
  <c r="AL9" i="31"/>
  <c r="AK35" i="31" s="1"/>
  <c r="AL20" i="31"/>
  <c r="AK46" i="31" s="1"/>
  <c r="AL4" i="31"/>
  <c r="AK30" i="31" s="1"/>
  <c r="AL3" i="31"/>
  <c r="AK29" i="31" s="1"/>
  <c r="AL16" i="31"/>
  <c r="AK42" i="31" s="1"/>
  <c r="AL15" i="31"/>
  <c r="AK41" i="31" s="1"/>
  <c r="AL26" i="31"/>
  <c r="AK52" i="31" s="1"/>
  <c r="AL10" i="31"/>
  <c r="AK36" i="31" s="1"/>
  <c r="AL17" i="31"/>
  <c r="AK43" i="31" s="1"/>
  <c r="AL28" i="31"/>
  <c r="AK54" i="31" s="1"/>
  <c r="AL12" i="31"/>
  <c r="AK38" i="31" s="1"/>
  <c r="AL11" i="31"/>
  <c r="AK37" i="31" s="1"/>
  <c r="AL22" i="31"/>
  <c r="AK48" i="31" s="1"/>
  <c r="AL6" i="31"/>
  <c r="AK32" i="31" s="1"/>
  <c r="AL24" i="31"/>
  <c r="AK50" i="31" s="1"/>
  <c r="AL8" i="31"/>
  <c r="AK34" i="31" s="1"/>
  <c r="AL5" i="31"/>
  <c r="AK31" i="31" s="1"/>
  <c r="AM13" i="31"/>
  <c r="AN39" i="31" s="1"/>
  <c r="AM24" i="31"/>
  <c r="AN50" i="31" s="1"/>
  <c r="AM8" i="31"/>
  <c r="AN34" i="31" s="1"/>
  <c r="AM19" i="31"/>
  <c r="AN45" i="31" s="1"/>
  <c r="AM3" i="31"/>
  <c r="AN29" i="31" s="1"/>
  <c r="AM14" i="31"/>
  <c r="AN40" i="31" s="1"/>
  <c r="AM25" i="31"/>
  <c r="AN51" i="31" s="1"/>
  <c r="AM9" i="31"/>
  <c r="AN35" i="31" s="1"/>
  <c r="AM20" i="31"/>
  <c r="AN46" i="31" s="1"/>
  <c r="AM4" i="31"/>
  <c r="AN30" i="31" s="1"/>
  <c r="AM15" i="31"/>
  <c r="AN41" i="31" s="1"/>
  <c r="AM26" i="31"/>
  <c r="AN52" i="31" s="1"/>
  <c r="AM10" i="31"/>
  <c r="AN36" i="31" s="1"/>
  <c r="AM17" i="31"/>
  <c r="AN43" i="31" s="1"/>
  <c r="AM28" i="31"/>
  <c r="AN54" i="31" s="1"/>
  <c r="AM23" i="31"/>
  <c r="AN49" i="31" s="1"/>
  <c r="AM18" i="31"/>
  <c r="AN44" i="31" s="1"/>
  <c r="AM12" i="31"/>
  <c r="AN38" i="31" s="1"/>
  <c r="AM21" i="31"/>
  <c r="AN47" i="31" s="1"/>
  <c r="AM5" i="31"/>
  <c r="AN31" i="31" s="1"/>
  <c r="AM16" i="31"/>
  <c r="AN42" i="31" s="1"/>
  <c r="AM27" i="31"/>
  <c r="AN53" i="31" s="1"/>
  <c r="AM11" i="31"/>
  <c r="AN37" i="31" s="1"/>
  <c r="AM22" i="31"/>
  <c r="AN48" i="31" s="1"/>
  <c r="AM6" i="31"/>
  <c r="AN32" i="31" s="1"/>
  <c r="AM7" i="31"/>
  <c r="AN33" i="31" s="1"/>
  <c r="BF12" i="31"/>
  <c r="BG38" i="31" s="1"/>
  <c r="BF16" i="31"/>
  <c r="BG42" i="31" s="1"/>
  <c r="BF28" i="31"/>
  <c r="BG54" i="31" s="1"/>
  <c r="BF5" i="31"/>
  <c r="BG31" i="31" s="1"/>
  <c r="BF4" i="31"/>
  <c r="BG30" i="31" s="1"/>
  <c r="BF20" i="31"/>
  <c r="BG46" i="31" s="1"/>
  <c r="BF9" i="31"/>
  <c r="BG35" i="31" s="1"/>
  <c r="BF8" i="31"/>
  <c r="BG34" i="31" s="1"/>
  <c r="BF24" i="31"/>
  <c r="BG50" i="31" s="1"/>
  <c r="BF21" i="31"/>
  <c r="BG47" i="31" s="1"/>
  <c r="BF25" i="31"/>
  <c r="BG51" i="31" s="1"/>
  <c r="BF10" i="31"/>
  <c r="BG36" i="31" s="1"/>
  <c r="BF13" i="31"/>
  <c r="BG39" i="31" s="1"/>
  <c r="BF18" i="31"/>
  <c r="BG44" i="31" s="1"/>
  <c r="BF26" i="31"/>
  <c r="BG52" i="31" s="1"/>
  <c r="BF3" i="31"/>
  <c r="BG29" i="31" s="1"/>
  <c r="BF17" i="31"/>
  <c r="BG43" i="31" s="1"/>
  <c r="BF14" i="31"/>
  <c r="BG40" i="31" s="1"/>
  <c r="BF11" i="31"/>
  <c r="BG37" i="31" s="1"/>
  <c r="BF6" i="31"/>
  <c r="BG32" i="31" s="1"/>
  <c r="BF22" i="31"/>
  <c r="BG48" i="31" s="1"/>
  <c r="BF15" i="31"/>
  <c r="BG41" i="31" s="1"/>
  <c r="BF19" i="31"/>
  <c r="BG45" i="31" s="1"/>
  <c r="BF7" i="31"/>
  <c r="BG33" i="31" s="1"/>
  <c r="BF23" i="31"/>
  <c r="BG49" i="31" s="1"/>
  <c r="BL26" i="31"/>
  <c r="BK52" i="31" s="1"/>
  <c r="BL22" i="31"/>
  <c r="BK48" i="31" s="1"/>
  <c r="BL18" i="31"/>
  <c r="BK44" i="31" s="1"/>
  <c r="BL14" i="31"/>
  <c r="BK40" i="31" s="1"/>
  <c r="BL10" i="31"/>
  <c r="BK36" i="31" s="1"/>
  <c r="BL6" i="31"/>
  <c r="BK32" i="31" s="1"/>
  <c r="BL25" i="31"/>
  <c r="BK51" i="31" s="1"/>
  <c r="BL21" i="31"/>
  <c r="BK47" i="31" s="1"/>
  <c r="BL17" i="31"/>
  <c r="BK43" i="31" s="1"/>
  <c r="BL13" i="31"/>
  <c r="BK39" i="31" s="1"/>
  <c r="BL9" i="31"/>
  <c r="BK35" i="31" s="1"/>
  <c r="BL5" i="31"/>
  <c r="BK31" i="31" s="1"/>
  <c r="BL28" i="31"/>
  <c r="BK54" i="31" s="1"/>
  <c r="BL24" i="31"/>
  <c r="BK50" i="31" s="1"/>
  <c r="BL20" i="31"/>
  <c r="BK46" i="31" s="1"/>
  <c r="BL16" i="31"/>
  <c r="BK42" i="31" s="1"/>
  <c r="BL12" i="31"/>
  <c r="BK38" i="31" s="1"/>
  <c r="BL8" i="31"/>
  <c r="BK34" i="31" s="1"/>
  <c r="BL4" i="31"/>
  <c r="BK30" i="31" s="1"/>
  <c r="BL27" i="31"/>
  <c r="BK53" i="31" s="1"/>
  <c r="BL23" i="31"/>
  <c r="BK49" i="31" s="1"/>
  <c r="BL19" i="31"/>
  <c r="BK45" i="31" s="1"/>
  <c r="BL15" i="31"/>
  <c r="BK41" i="31" s="1"/>
  <c r="BL11" i="31"/>
  <c r="BK37" i="31" s="1"/>
  <c r="BL7" i="31"/>
  <c r="BK33" i="31" s="1"/>
  <c r="BL3" i="31"/>
  <c r="BK29" i="31" s="1"/>
  <c r="BI28" i="31"/>
  <c r="BJ54" i="31" s="1"/>
  <c r="BI24" i="31"/>
  <c r="BJ50" i="31" s="1"/>
  <c r="BI20" i="31"/>
  <c r="BJ46" i="31" s="1"/>
  <c r="BI16" i="31"/>
  <c r="BJ42" i="31" s="1"/>
  <c r="BI12" i="31"/>
  <c r="BJ38" i="31" s="1"/>
  <c r="BI8" i="31"/>
  <c r="BJ34" i="31" s="1"/>
  <c r="BI4" i="31"/>
  <c r="BJ30" i="31" s="1"/>
  <c r="BI27" i="31"/>
  <c r="BJ53" i="31" s="1"/>
  <c r="BI23" i="31"/>
  <c r="BJ49" i="31" s="1"/>
  <c r="BI19" i="31"/>
  <c r="BJ45" i="31" s="1"/>
  <c r="BI15" i="31"/>
  <c r="BJ41" i="31" s="1"/>
  <c r="BI11" i="31"/>
  <c r="BJ37" i="31" s="1"/>
  <c r="BI7" i="31"/>
  <c r="BJ33" i="31" s="1"/>
  <c r="BI3" i="31"/>
  <c r="BJ29" i="31" s="1"/>
  <c r="BI26" i="31"/>
  <c r="BJ52" i="31" s="1"/>
  <c r="BI22" i="31"/>
  <c r="BJ48" i="31" s="1"/>
  <c r="BI18" i="31"/>
  <c r="BJ44" i="31" s="1"/>
  <c r="BI14" i="31"/>
  <c r="BJ40" i="31" s="1"/>
  <c r="BI10" i="31"/>
  <c r="BJ36" i="31" s="1"/>
  <c r="BI6" i="31"/>
  <c r="BJ32" i="31" s="1"/>
  <c r="BI25" i="31"/>
  <c r="BJ51" i="31" s="1"/>
  <c r="BI21" i="31"/>
  <c r="BJ47" i="31" s="1"/>
  <c r="BI17" i="31"/>
  <c r="BJ43" i="31" s="1"/>
  <c r="BI13" i="31"/>
  <c r="BJ39" i="31" s="1"/>
  <c r="BI9" i="31"/>
  <c r="BJ35" i="31" s="1"/>
  <c r="BI5" i="31"/>
  <c r="BJ31" i="31" s="1"/>
  <c r="BA26" i="31"/>
  <c r="AZ52" i="31" s="1"/>
  <c r="BA22" i="31"/>
  <c r="AZ48" i="31" s="1"/>
  <c r="BA18" i="31"/>
  <c r="AZ44" i="31" s="1"/>
  <c r="BA14" i="31"/>
  <c r="AZ40" i="31" s="1"/>
  <c r="BA10" i="31"/>
  <c r="AZ36" i="31" s="1"/>
  <c r="BA6" i="31"/>
  <c r="AZ32" i="31" s="1"/>
  <c r="BA25" i="31"/>
  <c r="AZ51" i="31" s="1"/>
  <c r="BA21" i="31"/>
  <c r="AZ47" i="31" s="1"/>
  <c r="BA17" i="31"/>
  <c r="AZ43" i="31" s="1"/>
  <c r="BA13" i="31"/>
  <c r="AZ39" i="31" s="1"/>
  <c r="BA9" i="31"/>
  <c r="AZ35" i="31" s="1"/>
  <c r="BA5" i="31"/>
  <c r="AZ31" i="31" s="1"/>
  <c r="BA28" i="31"/>
  <c r="AZ54" i="31" s="1"/>
  <c r="BA24" i="31"/>
  <c r="AZ50" i="31" s="1"/>
  <c r="BA20" i="31"/>
  <c r="AZ46" i="31" s="1"/>
  <c r="BA16" i="31"/>
  <c r="AZ42" i="31" s="1"/>
  <c r="BA12" i="31"/>
  <c r="AZ38" i="31" s="1"/>
  <c r="BA8" i="31"/>
  <c r="AZ34" i="31" s="1"/>
  <c r="BA4" i="31"/>
  <c r="AZ30" i="31" s="1"/>
  <c r="BA27" i="31"/>
  <c r="AZ53" i="31" s="1"/>
  <c r="BA23" i="31"/>
  <c r="AZ49" i="31" s="1"/>
  <c r="BA19" i="31"/>
  <c r="AZ45" i="31" s="1"/>
  <c r="BA15" i="31"/>
  <c r="AZ41" i="31" s="1"/>
  <c r="BA11" i="31"/>
  <c r="AZ37" i="31" s="1"/>
  <c r="BA7" i="31"/>
  <c r="AZ33" i="31" s="1"/>
  <c r="BA3" i="31"/>
  <c r="AZ29" i="31" s="1"/>
  <c r="AJ19" i="31"/>
  <c r="AI45" i="31" s="1"/>
  <c r="AJ5" i="31"/>
  <c r="AI31" i="31" s="1"/>
  <c r="AJ26" i="31"/>
  <c r="AI52" i="31" s="1"/>
  <c r="AJ12" i="31"/>
  <c r="AI38" i="31" s="1"/>
  <c r="AJ20" i="31"/>
  <c r="AI46" i="31" s="1"/>
  <c r="AJ6" i="31"/>
  <c r="AI32" i="31" s="1"/>
  <c r="AJ9" i="31"/>
  <c r="AI35" i="31" s="1"/>
  <c r="AJ3" i="31"/>
  <c r="AI29" i="31" s="1"/>
  <c r="AJ16" i="31"/>
  <c r="AI42" i="31" s="1"/>
  <c r="AJ10" i="31"/>
  <c r="AI36" i="31" s="1"/>
  <c r="AJ23" i="31"/>
  <c r="AI49" i="31" s="1"/>
  <c r="AJ27" i="31"/>
  <c r="AI53" i="31" s="1"/>
  <c r="AJ13" i="31"/>
  <c r="AI39" i="31" s="1"/>
  <c r="AJ4" i="31"/>
  <c r="AI30" i="31" s="1"/>
  <c r="AJ14" i="31"/>
  <c r="AI40" i="31" s="1"/>
  <c r="AJ25" i="31"/>
  <c r="AI51" i="31" s="1"/>
  <c r="AJ17" i="31"/>
  <c r="AI43" i="31" s="1"/>
  <c r="AJ7" i="31"/>
  <c r="AI33" i="31" s="1"/>
  <c r="AJ11" i="31"/>
  <c r="AI37" i="31" s="1"/>
  <c r="AJ24" i="31"/>
  <c r="AI50" i="31" s="1"/>
  <c r="AJ21" i="31"/>
  <c r="AI47" i="31" s="1"/>
  <c r="AJ15" i="31"/>
  <c r="AI41" i="31" s="1"/>
  <c r="AJ28" i="31"/>
  <c r="AI54" i="31" s="1"/>
  <c r="AJ18" i="31"/>
  <c r="AI44" i="31" s="1"/>
  <c r="AJ22" i="31"/>
  <c r="AI48" i="31" s="1"/>
  <c r="AJ8" i="31"/>
  <c r="AI34" i="31" s="1"/>
  <c r="AO20" i="31"/>
  <c r="AP46" i="31" s="1"/>
  <c r="AO10" i="31"/>
  <c r="AP36" i="31" s="1"/>
  <c r="AO16" i="31"/>
  <c r="AP42" i="31" s="1"/>
  <c r="AO6" i="31"/>
  <c r="AP32" i="31" s="1"/>
  <c r="AO17" i="31"/>
  <c r="AP43" i="31" s="1"/>
  <c r="AO7" i="31"/>
  <c r="AP33" i="31" s="1"/>
  <c r="AO5" i="31"/>
  <c r="AP31" i="31" s="1"/>
  <c r="AO19" i="31"/>
  <c r="AP45" i="31" s="1"/>
  <c r="AO27" i="31"/>
  <c r="AP53" i="31" s="1"/>
  <c r="AO13" i="31"/>
  <c r="AP39" i="31" s="1"/>
  <c r="AO28" i="31"/>
  <c r="AP54" i="31" s="1"/>
  <c r="AO18" i="31"/>
  <c r="AP44" i="31" s="1"/>
  <c r="AO25" i="31"/>
  <c r="AP51" i="31" s="1"/>
  <c r="AO15" i="31"/>
  <c r="AP41" i="31" s="1"/>
  <c r="AO21" i="31"/>
  <c r="AP47" i="31" s="1"/>
  <c r="AO11" i="31"/>
  <c r="AP37" i="31" s="1"/>
  <c r="AO24" i="31"/>
  <c r="AP50" i="31" s="1"/>
  <c r="AO12" i="31"/>
  <c r="AP38" i="31" s="1"/>
  <c r="AO8" i="31"/>
  <c r="AP34" i="31" s="1"/>
  <c r="AO9" i="31"/>
  <c r="AP35" i="31" s="1"/>
  <c r="AO26" i="31"/>
  <c r="AP52" i="31" s="1"/>
  <c r="AO3" i="31"/>
  <c r="AP29" i="31" s="1"/>
  <c r="AO22" i="31"/>
  <c r="AP48" i="31" s="1"/>
  <c r="AO4" i="31"/>
  <c r="AP30" i="31" s="1"/>
  <c r="AO23" i="31"/>
  <c r="AP49" i="31" s="1"/>
  <c r="AO14" i="31"/>
  <c r="AP40" i="31" s="1"/>
  <c r="DU3" i="2" l="1"/>
  <c r="DU7" i="2"/>
  <c r="DU4" i="2"/>
  <c r="DU6" i="2"/>
  <c r="DU8" i="2"/>
  <c r="DU5" i="2"/>
  <c r="AC41" i="1" l="1"/>
  <c r="DS12" i="2" s="1"/>
  <c r="P41" i="1"/>
  <c r="P44" i="1"/>
  <c r="AC42" i="1"/>
  <c r="DT12" i="2" s="1"/>
  <c r="AC44" i="1"/>
  <c r="P40" i="1"/>
  <c r="AC43" i="1"/>
  <c r="AC39" i="1"/>
  <c r="DQ12" i="2" s="1"/>
  <c r="AC40" i="1"/>
  <c r="DR12" i="2" s="1"/>
  <c r="P43" i="1"/>
  <c r="P39" i="1"/>
  <c r="P42" i="1"/>
  <c r="DQ27" i="2" l="1"/>
  <c r="DQ25" i="2"/>
  <c r="DQ23" i="2"/>
  <c r="DQ21" i="2"/>
  <c r="DQ18" i="2"/>
  <c r="DQ16" i="2"/>
  <c r="DQ14" i="2"/>
  <c r="DQ13" i="2"/>
  <c r="DQ26" i="2"/>
  <c r="DQ24" i="2"/>
  <c r="DQ17" i="2"/>
  <c r="DQ15" i="2"/>
  <c r="DQ22" i="2"/>
  <c r="DQ20" i="2"/>
  <c r="DQ19" i="2"/>
  <c r="DT26" i="2"/>
  <c r="DT27" i="2"/>
  <c r="DT24" i="2"/>
  <c r="DT23" i="2"/>
  <c r="DT19" i="2"/>
  <c r="DT25" i="2"/>
  <c r="DT22" i="2"/>
  <c r="DT21" i="2"/>
  <c r="DT20" i="2"/>
  <c r="DT18" i="2"/>
  <c r="DT16" i="2"/>
  <c r="DT14" i="2"/>
  <c r="DT13" i="2"/>
  <c r="DT17" i="2"/>
  <c r="DT15" i="2"/>
  <c r="DR26" i="2"/>
  <c r="DR27" i="2"/>
  <c r="DR20" i="2"/>
  <c r="DR13" i="2"/>
  <c r="DR24" i="2"/>
  <c r="DR17" i="2"/>
  <c r="DR15" i="2"/>
  <c r="DR23" i="2"/>
  <c r="DR22" i="2"/>
  <c r="DR19" i="2"/>
  <c r="DR25" i="2"/>
  <c r="DR18" i="2"/>
  <c r="DR21" i="2"/>
  <c r="DR16" i="2"/>
  <c r="DR14" i="2"/>
  <c r="DS27" i="2"/>
  <c r="DS24" i="2"/>
  <c r="DS22" i="2"/>
  <c r="DS17" i="2"/>
  <c r="DS15" i="2"/>
  <c r="DS26" i="2"/>
  <c r="DS23" i="2"/>
  <c r="DS19" i="2"/>
  <c r="DS25" i="2"/>
  <c r="DS21" i="2"/>
  <c r="DS20" i="2"/>
  <c r="DS18" i="2"/>
  <c r="DS16" i="2"/>
  <c r="DS14" i="2"/>
  <c r="DS13" i="2"/>
  <c r="V39" i="1"/>
  <c r="W39" i="1"/>
  <c r="AA39" i="1"/>
  <c r="T39" i="1"/>
  <c r="AB39" i="1"/>
  <c r="U39" i="1"/>
  <c r="Z39" i="1"/>
  <c r="X39" i="1"/>
  <c r="U44" i="1"/>
  <c r="Z44" i="1"/>
  <c r="X44" i="1"/>
  <c r="AB44" i="1"/>
  <c r="V44" i="1"/>
  <c r="T44" i="1"/>
  <c r="W44" i="1"/>
  <c r="AA44" i="1"/>
  <c r="V42" i="1"/>
  <c r="AB42" i="1"/>
  <c r="AA42" i="1"/>
  <c r="W42" i="1"/>
  <c r="X42" i="1"/>
  <c r="U42" i="1"/>
  <c r="T42" i="1"/>
  <c r="Z42" i="1"/>
  <c r="Z43" i="1"/>
  <c r="AA43" i="1"/>
  <c r="V43" i="1"/>
  <c r="AB43" i="1"/>
  <c r="X43" i="1"/>
  <c r="U43" i="1"/>
  <c r="W43" i="1"/>
  <c r="T43" i="1"/>
  <c r="AA40" i="1"/>
  <c r="W40" i="1"/>
  <c r="V40" i="1"/>
  <c r="AB40" i="1"/>
  <c r="X40" i="1"/>
  <c r="T40" i="1"/>
  <c r="U40" i="1"/>
  <c r="Z40" i="1"/>
  <c r="X41" i="1"/>
  <c r="T41" i="1"/>
  <c r="Z41" i="1"/>
  <c r="AA41" i="1"/>
  <c r="U41" i="1"/>
  <c r="AB41" i="1"/>
  <c r="W41" i="1"/>
  <c r="V41" i="1"/>
  <c r="DU18" i="2" l="1"/>
  <c r="DU14" i="2"/>
  <c r="DU21" i="2"/>
  <c r="DU25" i="2"/>
  <c r="DU17" i="2"/>
  <c r="DU26" i="2"/>
  <c r="DU13" i="2"/>
  <c r="DU27" i="2"/>
  <c r="DU23" i="2"/>
  <c r="DU24" i="2"/>
  <c r="DU16" i="2"/>
  <c r="DU22" i="2"/>
  <c r="DU15" i="2"/>
  <c r="DU19" i="2"/>
  <c r="DU20" i="2"/>
  <c r="J50" i="1" l="1"/>
  <c r="F20" i="29" s="1"/>
  <c r="AV2" i="31" s="1"/>
  <c r="AV16" i="31" s="1"/>
  <c r="AU42" i="31" s="1"/>
  <c r="J47" i="1"/>
  <c r="J46" i="1"/>
  <c r="J48" i="1"/>
  <c r="F16" i="29" s="1"/>
  <c r="AR2" i="31" s="1"/>
  <c r="AR22" i="31" s="1"/>
  <c r="AQ48" i="31" s="1"/>
  <c r="F18" i="29"/>
  <c r="AT2" i="31" s="1"/>
  <c r="AT18" i="31" s="1"/>
  <c r="AS44" i="31" s="1"/>
  <c r="F22" i="29"/>
  <c r="AX2" i="31" s="1"/>
  <c r="AV13" i="31" l="1"/>
  <c r="AU39" i="31" s="1"/>
  <c r="AV15" i="31"/>
  <c r="AU41" i="31" s="1"/>
  <c r="AV7" i="31"/>
  <c r="AU33" i="31" s="1"/>
  <c r="AV19" i="31"/>
  <c r="AU45" i="31" s="1"/>
  <c r="AV20" i="31"/>
  <c r="AU46" i="31" s="1"/>
  <c r="AV24" i="31"/>
  <c r="AU50" i="31" s="1"/>
  <c r="AV10" i="31"/>
  <c r="AU36" i="31" s="1"/>
  <c r="AV26" i="31"/>
  <c r="AU52" i="31" s="1"/>
  <c r="AV23" i="31"/>
  <c r="AU49" i="31" s="1"/>
  <c r="AV3" i="31"/>
  <c r="AU29" i="31" s="1"/>
  <c r="AV4" i="31"/>
  <c r="AU30" i="31" s="1"/>
  <c r="AV11" i="31"/>
  <c r="AU37" i="31" s="1"/>
  <c r="AV25" i="31"/>
  <c r="AU51" i="31" s="1"/>
  <c r="AV6" i="31"/>
  <c r="AU32" i="31" s="1"/>
  <c r="AV5" i="31"/>
  <c r="AU31" i="31" s="1"/>
  <c r="AV27" i="31"/>
  <c r="AU53" i="31" s="1"/>
  <c r="AV12" i="31"/>
  <c r="AU38" i="31" s="1"/>
  <c r="AV18" i="31"/>
  <c r="AU44" i="31" s="1"/>
  <c r="AV22" i="31"/>
  <c r="AU48" i="31" s="1"/>
  <c r="AV14" i="31"/>
  <c r="AU40" i="31" s="1"/>
  <c r="AV9" i="31"/>
  <c r="AU35" i="31" s="1"/>
  <c r="AV21" i="31"/>
  <c r="AU47" i="31" s="1"/>
  <c r="AV8" i="31"/>
  <c r="AU34" i="31" s="1"/>
  <c r="AV28" i="31"/>
  <c r="AU54" i="31" s="1"/>
  <c r="AV17" i="31"/>
  <c r="AU43" i="31" s="1"/>
  <c r="AR7" i="31"/>
  <c r="AQ33" i="31" s="1"/>
  <c r="AR5" i="31"/>
  <c r="AQ31" i="31" s="1"/>
  <c r="AR11" i="31"/>
  <c r="AQ37" i="31" s="1"/>
  <c r="AR19" i="31"/>
  <c r="AQ45" i="31" s="1"/>
  <c r="AR12" i="31"/>
  <c r="AQ38" i="31" s="1"/>
  <c r="AR20" i="31"/>
  <c r="AQ46" i="31" s="1"/>
  <c r="AR26" i="31"/>
  <c r="AQ52" i="31" s="1"/>
  <c r="AR18" i="31"/>
  <c r="AQ44" i="31" s="1"/>
  <c r="AR17" i="31"/>
  <c r="AQ43" i="31" s="1"/>
  <c r="AR14" i="31"/>
  <c r="AQ40" i="31" s="1"/>
  <c r="AR13" i="31"/>
  <c r="AQ39" i="31" s="1"/>
  <c r="AR28" i="31"/>
  <c r="AQ54" i="31" s="1"/>
  <c r="AR27" i="31"/>
  <c r="AQ53" i="31" s="1"/>
  <c r="AR4" i="31"/>
  <c r="AQ30" i="31" s="1"/>
  <c r="AR3" i="31"/>
  <c r="AQ29" i="31" s="1"/>
  <c r="AR6" i="31"/>
  <c r="AQ32" i="31" s="1"/>
  <c r="AR21" i="31"/>
  <c r="AQ47" i="31" s="1"/>
  <c r="AR9" i="31"/>
  <c r="AQ35" i="31" s="1"/>
  <c r="AR24" i="31"/>
  <c r="AQ50" i="31" s="1"/>
  <c r="AR23" i="31"/>
  <c r="AQ49" i="31" s="1"/>
  <c r="AR10" i="31"/>
  <c r="AQ36" i="31" s="1"/>
  <c r="AR16" i="31"/>
  <c r="AQ42" i="31" s="1"/>
  <c r="AR15" i="31"/>
  <c r="AQ41" i="31" s="1"/>
  <c r="AR25" i="31"/>
  <c r="AQ51" i="31" s="1"/>
  <c r="AR8" i="31"/>
  <c r="AQ34" i="31" s="1"/>
  <c r="F30" i="29"/>
  <c r="BD2" i="31" s="1"/>
  <c r="BD24" i="31" s="1"/>
  <c r="BE50" i="31" s="1"/>
  <c r="AT19" i="31"/>
  <c r="AS45" i="31" s="1"/>
  <c r="AT23" i="31"/>
  <c r="AS49" i="31" s="1"/>
  <c r="AT17" i="31"/>
  <c r="AS43" i="31" s="1"/>
  <c r="AT7" i="31"/>
  <c r="AS33" i="31" s="1"/>
  <c r="AT22" i="31"/>
  <c r="AS48" i="31" s="1"/>
  <c r="AT3" i="31"/>
  <c r="AS29" i="31" s="1"/>
  <c r="AT4" i="31"/>
  <c r="AS30" i="31" s="1"/>
  <c r="AT13" i="31"/>
  <c r="AS39" i="31" s="1"/>
  <c r="AT20" i="31"/>
  <c r="AS46" i="31" s="1"/>
  <c r="AT24" i="31"/>
  <c r="AS50" i="31" s="1"/>
  <c r="AT26" i="31"/>
  <c r="AS52" i="31" s="1"/>
  <c r="AT15" i="31"/>
  <c r="AS41" i="31" s="1"/>
  <c r="AT8" i="31"/>
  <c r="AS34" i="31" s="1"/>
  <c r="AT28" i="31"/>
  <c r="AS54" i="31" s="1"/>
  <c r="AT6" i="31"/>
  <c r="AS32" i="31" s="1"/>
  <c r="AT12" i="31"/>
  <c r="AS38" i="31" s="1"/>
  <c r="AT9" i="31"/>
  <c r="AS35" i="31" s="1"/>
  <c r="AT10" i="31"/>
  <c r="AS36" i="31" s="1"/>
  <c r="AT11" i="31"/>
  <c r="AS37" i="31" s="1"/>
  <c r="AT27" i="31"/>
  <c r="AS53" i="31" s="1"/>
  <c r="AT16" i="31"/>
  <c r="AS42" i="31" s="1"/>
  <c r="AT5" i="31"/>
  <c r="AS31" i="31" s="1"/>
  <c r="AT21" i="31"/>
  <c r="AS47" i="31" s="1"/>
  <c r="AT14" i="31"/>
  <c r="AS40" i="31" s="1"/>
  <c r="AT25" i="31"/>
  <c r="AS51" i="31" s="1"/>
  <c r="F12" i="29"/>
  <c r="AN2" i="31" s="1"/>
  <c r="AN24" i="31" s="1"/>
  <c r="AM50" i="31" s="1"/>
  <c r="F14" i="29"/>
  <c r="AP2" i="31" s="1"/>
  <c r="AX28" i="31"/>
  <c r="AW54" i="31" s="1"/>
  <c r="AX24" i="31"/>
  <c r="AW50" i="31" s="1"/>
  <c r="AX20" i="31"/>
  <c r="AW46" i="31" s="1"/>
  <c r="AX16" i="31"/>
  <c r="AW42" i="31" s="1"/>
  <c r="AX12" i="31"/>
  <c r="AW38" i="31" s="1"/>
  <c r="AX8" i="31"/>
  <c r="AW34" i="31" s="1"/>
  <c r="AX4" i="31"/>
  <c r="AW30" i="31" s="1"/>
  <c r="AX27" i="31"/>
  <c r="AW53" i="31" s="1"/>
  <c r="AX23" i="31"/>
  <c r="AW49" i="31" s="1"/>
  <c r="AX19" i="31"/>
  <c r="AW45" i="31" s="1"/>
  <c r="AX15" i="31"/>
  <c r="AW41" i="31" s="1"/>
  <c r="AX11" i="31"/>
  <c r="AW37" i="31" s="1"/>
  <c r="AX7" i="31"/>
  <c r="AW33" i="31" s="1"/>
  <c r="AX3" i="31"/>
  <c r="AW29" i="31" s="1"/>
  <c r="AX26" i="31"/>
  <c r="AW52" i="31" s="1"/>
  <c r="AX22" i="31"/>
  <c r="AW48" i="31" s="1"/>
  <c r="AX18" i="31"/>
  <c r="AW44" i="31" s="1"/>
  <c r="AX14" i="31"/>
  <c r="AW40" i="31" s="1"/>
  <c r="AX10" i="31"/>
  <c r="AW36" i="31" s="1"/>
  <c r="AX6" i="31"/>
  <c r="AW32" i="31" s="1"/>
  <c r="AX25" i="31"/>
  <c r="AW51" i="31" s="1"/>
  <c r="AX21" i="31"/>
  <c r="AW47" i="31" s="1"/>
  <c r="AX17" i="31"/>
  <c r="AW43" i="31" s="1"/>
  <c r="AX13" i="31"/>
  <c r="AW39" i="31" s="1"/>
  <c r="AX9" i="31"/>
  <c r="AW35" i="31" s="1"/>
  <c r="AX5" i="31"/>
  <c r="AW31" i="31" s="1"/>
  <c r="BD18" i="31" l="1"/>
  <c r="BE44" i="31" s="1"/>
  <c r="BD28" i="31"/>
  <c r="BE54" i="31" s="1"/>
  <c r="BD27" i="31"/>
  <c r="BE53" i="31" s="1"/>
  <c r="BD9" i="31"/>
  <c r="BE35" i="31" s="1"/>
  <c r="BD25" i="31"/>
  <c r="BE51" i="31" s="1"/>
  <c r="BD12" i="31"/>
  <c r="BE38" i="31" s="1"/>
  <c r="BD7" i="31"/>
  <c r="BE33" i="31" s="1"/>
  <c r="BD10" i="31"/>
  <c r="BE36" i="31" s="1"/>
  <c r="BD19" i="31"/>
  <c r="BE45" i="31" s="1"/>
  <c r="BD20" i="31"/>
  <c r="BE46" i="31" s="1"/>
  <c r="BD17" i="31"/>
  <c r="BE43" i="31" s="1"/>
  <c r="BD26" i="31"/>
  <c r="BE52" i="31" s="1"/>
  <c r="BD4" i="31"/>
  <c r="BE30" i="31" s="1"/>
  <c r="BD13" i="31"/>
  <c r="BE39" i="31" s="1"/>
  <c r="BD6" i="31"/>
  <c r="BE32" i="31" s="1"/>
  <c r="BD22" i="31"/>
  <c r="BE48" i="31" s="1"/>
  <c r="BD15" i="31"/>
  <c r="BE41" i="31" s="1"/>
  <c r="BD11" i="31"/>
  <c r="BE37" i="31" s="1"/>
  <c r="BD16" i="31"/>
  <c r="BE42" i="31" s="1"/>
  <c r="BD5" i="31"/>
  <c r="BE31" i="31" s="1"/>
  <c r="BD21" i="31"/>
  <c r="BE47" i="31" s="1"/>
  <c r="BD14" i="31"/>
  <c r="BE40" i="31" s="1"/>
  <c r="BD3" i="31"/>
  <c r="BE29" i="31" s="1"/>
  <c r="BD23" i="31"/>
  <c r="BE49" i="31" s="1"/>
  <c r="BD8" i="31"/>
  <c r="BE34" i="31" s="1"/>
  <c r="AN16" i="31"/>
  <c r="AM42" i="31" s="1"/>
  <c r="AN6" i="31"/>
  <c r="AM32" i="31" s="1"/>
  <c r="F39" i="29"/>
  <c r="BK2" i="31" s="1"/>
  <c r="BK16" i="31" s="1"/>
  <c r="BL42" i="31" s="1"/>
  <c r="AN11" i="31"/>
  <c r="AM37" i="31" s="1"/>
  <c r="AN13" i="31"/>
  <c r="AM39" i="31" s="1"/>
  <c r="AN27" i="31"/>
  <c r="AM53" i="31" s="1"/>
  <c r="AN22" i="31"/>
  <c r="AM48" i="31" s="1"/>
  <c r="AN28" i="31"/>
  <c r="AM54" i="31" s="1"/>
  <c r="AN17" i="31"/>
  <c r="AM43" i="31" s="1"/>
  <c r="AN10" i="31"/>
  <c r="AM36" i="31" s="1"/>
  <c r="AN26" i="31"/>
  <c r="AM52" i="31" s="1"/>
  <c r="AN15" i="31"/>
  <c r="AM41" i="31" s="1"/>
  <c r="AN4" i="31"/>
  <c r="AM30" i="31" s="1"/>
  <c r="AN8" i="31"/>
  <c r="AM34" i="31" s="1"/>
  <c r="AN5" i="31"/>
  <c r="AM31" i="31" s="1"/>
  <c r="AN21" i="31"/>
  <c r="AM47" i="31" s="1"/>
  <c r="AN14" i="31"/>
  <c r="AM40" i="31" s="1"/>
  <c r="AN3" i="31"/>
  <c r="AM29" i="31" s="1"/>
  <c r="AN19" i="31"/>
  <c r="AM45" i="31" s="1"/>
  <c r="AN12" i="31"/>
  <c r="AM38" i="31" s="1"/>
  <c r="AN20" i="31"/>
  <c r="AM46" i="31" s="1"/>
  <c r="AN9" i="31"/>
  <c r="AM35" i="31" s="1"/>
  <c r="AN25" i="31"/>
  <c r="AM51" i="31" s="1"/>
  <c r="AN18" i="31"/>
  <c r="AM44" i="31" s="1"/>
  <c r="AN7" i="31"/>
  <c r="AM33" i="31" s="1"/>
  <c r="AN23" i="31"/>
  <c r="AM49" i="31" s="1"/>
  <c r="F28" i="29"/>
  <c r="BB2" i="31" s="1"/>
  <c r="AP26" i="31"/>
  <c r="AO52" i="31" s="1"/>
  <c r="AP17" i="31"/>
  <c r="AO43" i="31" s="1"/>
  <c r="AP13" i="31"/>
  <c r="AO39" i="31" s="1"/>
  <c r="AP25" i="31"/>
  <c r="AO51" i="31" s="1"/>
  <c r="AP9" i="31"/>
  <c r="AO35" i="31" s="1"/>
  <c r="AP21" i="31"/>
  <c r="AO47" i="31" s="1"/>
  <c r="AP5" i="31"/>
  <c r="AO31" i="31" s="1"/>
  <c r="AP3" i="31"/>
  <c r="AO29" i="31" s="1"/>
  <c r="AP8" i="31"/>
  <c r="AO34" i="31" s="1"/>
  <c r="AP14" i="31"/>
  <c r="AO40" i="31" s="1"/>
  <c r="AP7" i="31"/>
  <c r="AO33" i="31" s="1"/>
  <c r="AP23" i="31"/>
  <c r="AO49" i="31" s="1"/>
  <c r="AP12" i="31"/>
  <c r="AO38" i="31" s="1"/>
  <c r="AP28" i="31"/>
  <c r="AO54" i="31" s="1"/>
  <c r="AP18" i="31"/>
  <c r="AO44" i="31" s="1"/>
  <c r="AP11" i="31"/>
  <c r="AO37" i="31" s="1"/>
  <c r="AP27" i="31"/>
  <c r="AO53" i="31" s="1"/>
  <c r="AP16" i="31"/>
  <c r="AO42" i="31" s="1"/>
  <c r="AP6" i="31"/>
  <c r="AO32" i="31" s="1"/>
  <c r="AP22" i="31"/>
  <c r="AO48" i="31" s="1"/>
  <c r="AP19" i="31"/>
  <c r="AO45" i="31" s="1"/>
  <c r="AP24" i="31"/>
  <c r="AO50" i="31" s="1"/>
  <c r="AP15" i="31"/>
  <c r="AO41" i="31" s="1"/>
  <c r="AP4" i="31"/>
  <c r="AO30" i="31" s="1"/>
  <c r="AP20" i="31"/>
  <c r="AO46" i="31" s="1"/>
  <c r="AP10" i="31"/>
  <c r="AO36" i="31" s="1"/>
  <c r="BK22" i="31" l="1"/>
  <c r="BL48" i="31" s="1"/>
  <c r="BK15" i="31"/>
  <c r="BL41" i="31" s="1"/>
  <c r="BK13" i="31"/>
  <c r="BL39" i="31" s="1"/>
  <c r="F45" i="29"/>
  <c r="BR2" i="31" s="1"/>
  <c r="BR24" i="31" s="1"/>
  <c r="BQ50" i="31" s="1"/>
  <c r="O48" i="1"/>
  <c r="F48" i="29" s="1"/>
  <c r="BK8" i="31"/>
  <c r="BL34" i="31" s="1"/>
  <c r="BK18" i="31"/>
  <c r="BL44" i="31" s="1"/>
  <c r="BK11" i="31"/>
  <c r="BL37" i="31" s="1"/>
  <c r="BK5" i="31"/>
  <c r="BL31" i="31" s="1"/>
  <c r="BK4" i="31"/>
  <c r="BL30" i="31" s="1"/>
  <c r="BK6" i="31"/>
  <c r="BL32" i="31" s="1"/>
  <c r="BK26" i="31"/>
  <c r="BL52" i="31" s="1"/>
  <c r="BK23" i="31"/>
  <c r="BL49" i="31" s="1"/>
  <c r="BK17" i="31"/>
  <c r="BL43" i="31" s="1"/>
  <c r="BK12" i="31"/>
  <c r="BL38" i="31" s="1"/>
  <c r="BK10" i="31"/>
  <c r="BL36" i="31" s="1"/>
  <c r="BK7" i="31"/>
  <c r="BL33" i="31" s="1"/>
  <c r="BK27" i="31"/>
  <c r="BL53" i="31" s="1"/>
  <c r="BK21" i="31"/>
  <c r="BL47" i="31" s="1"/>
  <c r="BK14" i="31"/>
  <c r="BL40" i="31" s="1"/>
  <c r="BK3" i="31"/>
  <c r="BL29" i="31" s="1"/>
  <c r="BK19" i="31"/>
  <c r="BL45" i="31" s="1"/>
  <c r="BK9" i="31"/>
  <c r="BL35" i="31" s="1"/>
  <c r="BK25" i="31"/>
  <c r="BL51" i="31" s="1"/>
  <c r="BK20" i="31"/>
  <c r="BL46" i="31" s="1"/>
  <c r="BK24" i="31"/>
  <c r="BL50" i="31" s="1"/>
  <c r="BK28" i="31"/>
  <c r="BL54" i="31" s="1"/>
  <c r="BR28" i="31"/>
  <c r="BQ54" i="31" s="1"/>
  <c r="F44" i="29"/>
  <c r="BQ2" i="31" s="1"/>
  <c r="F38" i="29"/>
  <c r="BJ2" i="31" s="1"/>
  <c r="BB17" i="31"/>
  <c r="BC43" i="31" s="1"/>
  <c r="BB28" i="31"/>
  <c r="BC54" i="31" s="1"/>
  <c r="BB12" i="31"/>
  <c r="BC38" i="31" s="1"/>
  <c r="BB23" i="31"/>
  <c r="BC49" i="31" s="1"/>
  <c r="BB7" i="31"/>
  <c r="BC33" i="31" s="1"/>
  <c r="BB18" i="31"/>
  <c r="BC44" i="31" s="1"/>
  <c r="BB14" i="31"/>
  <c r="BC40" i="31" s="1"/>
  <c r="BB22" i="31"/>
  <c r="BC48" i="31" s="1"/>
  <c r="BB13" i="31"/>
  <c r="BC39" i="31" s="1"/>
  <c r="BB24" i="31"/>
  <c r="BC50" i="31" s="1"/>
  <c r="BB8" i="31"/>
  <c r="BC34" i="31" s="1"/>
  <c r="BB19" i="31"/>
  <c r="BC45" i="31" s="1"/>
  <c r="BB3" i="31"/>
  <c r="BC29" i="31" s="1"/>
  <c r="BB11" i="31"/>
  <c r="BC37" i="31" s="1"/>
  <c r="BB6" i="31"/>
  <c r="BC32" i="31" s="1"/>
  <c r="BB25" i="31"/>
  <c r="BC51" i="31" s="1"/>
  <c r="BB9" i="31"/>
  <c r="BC35" i="31" s="1"/>
  <c r="BB20" i="31"/>
  <c r="BC46" i="31" s="1"/>
  <c r="BB4" i="31"/>
  <c r="BC30" i="31" s="1"/>
  <c r="BB15" i="31"/>
  <c r="BC41" i="31" s="1"/>
  <c r="BB26" i="31"/>
  <c r="BC52" i="31" s="1"/>
  <c r="BB10" i="31"/>
  <c r="BC36" i="31" s="1"/>
  <c r="BB16" i="31"/>
  <c r="BC42" i="31" s="1"/>
  <c r="BB21" i="31"/>
  <c r="BC47" i="31" s="1"/>
  <c r="BB5" i="31"/>
  <c r="BC31" i="31" s="1"/>
  <c r="BB27" i="31"/>
  <c r="BC53" i="31" s="1"/>
  <c r="BR18" i="31" l="1"/>
  <c r="BQ44" i="31" s="1"/>
  <c r="BR7" i="31"/>
  <c r="BQ33" i="31" s="1"/>
  <c r="BR9" i="31"/>
  <c r="BQ35" i="31" s="1"/>
  <c r="BR23" i="31"/>
  <c r="BQ49" i="31" s="1"/>
  <c r="BR25" i="31"/>
  <c r="BQ51" i="31" s="1"/>
  <c r="BR12" i="31"/>
  <c r="BQ38" i="31" s="1"/>
  <c r="BR13" i="31"/>
  <c r="BQ39" i="31" s="1"/>
  <c r="BR6" i="31"/>
  <c r="BQ32" i="31" s="1"/>
  <c r="BR22" i="31"/>
  <c r="BQ48" i="31" s="1"/>
  <c r="BR11" i="31"/>
  <c r="BQ37" i="31" s="1"/>
  <c r="BR27" i="31"/>
  <c r="BQ53" i="31" s="1"/>
  <c r="BR16" i="31"/>
  <c r="BQ42" i="31" s="1"/>
  <c r="BR17" i="31"/>
  <c r="BQ43" i="31" s="1"/>
  <c r="BR10" i="31"/>
  <c r="BQ36" i="31" s="1"/>
  <c r="BR26" i="31"/>
  <c r="BQ52" i="31" s="1"/>
  <c r="BR15" i="31"/>
  <c r="BQ41" i="31" s="1"/>
  <c r="BR4" i="31"/>
  <c r="BQ30" i="31" s="1"/>
  <c r="BR20" i="31"/>
  <c r="BQ46" i="31" s="1"/>
  <c r="BR5" i="31"/>
  <c r="BQ31" i="31" s="1"/>
  <c r="BR21" i="31"/>
  <c r="BQ47" i="31" s="1"/>
  <c r="BR14" i="31"/>
  <c r="BQ40" i="31" s="1"/>
  <c r="BR3" i="31"/>
  <c r="BQ29" i="31" s="1"/>
  <c r="BR19" i="31"/>
  <c r="BQ45" i="31" s="1"/>
  <c r="BR8" i="31"/>
  <c r="BQ34" i="31" s="1"/>
  <c r="BJ26" i="31"/>
  <c r="BI52" i="31" s="1"/>
  <c r="BJ10" i="31"/>
  <c r="BI36" i="31" s="1"/>
  <c r="BJ17" i="31"/>
  <c r="BI43" i="31" s="1"/>
  <c r="BJ28" i="31"/>
  <c r="BI54" i="31" s="1"/>
  <c r="BJ12" i="31"/>
  <c r="BI38" i="31" s="1"/>
  <c r="BJ23" i="31"/>
  <c r="BI49" i="31" s="1"/>
  <c r="BJ7" i="31"/>
  <c r="BI33" i="31" s="1"/>
  <c r="BJ22" i="31"/>
  <c r="BI48" i="31" s="1"/>
  <c r="BJ6" i="31"/>
  <c r="BI32" i="31" s="1"/>
  <c r="BJ13" i="31"/>
  <c r="BI39" i="31" s="1"/>
  <c r="BJ24" i="31"/>
  <c r="BI50" i="31" s="1"/>
  <c r="BJ8" i="31"/>
  <c r="BI34" i="31" s="1"/>
  <c r="BJ19" i="31"/>
  <c r="BI45" i="31" s="1"/>
  <c r="BJ3" i="31"/>
  <c r="BI29" i="31" s="1"/>
  <c r="BJ18" i="31"/>
  <c r="BI44" i="31" s="1"/>
  <c r="BJ25" i="31"/>
  <c r="BI51" i="31" s="1"/>
  <c r="BJ9" i="31"/>
  <c r="BI35" i="31" s="1"/>
  <c r="BJ20" i="31"/>
  <c r="BI46" i="31" s="1"/>
  <c r="BJ4" i="31"/>
  <c r="BI30" i="31" s="1"/>
  <c r="BJ15" i="31"/>
  <c r="BI41" i="31" s="1"/>
  <c r="BJ14" i="31"/>
  <c r="BI40" i="31" s="1"/>
  <c r="BJ21" i="31"/>
  <c r="BI47" i="31" s="1"/>
  <c r="BJ5" i="31"/>
  <c r="BI31" i="31" s="1"/>
  <c r="BJ16" i="31"/>
  <c r="BI42" i="31" s="1"/>
  <c r="BJ27" i="31"/>
  <c r="BI53" i="31" s="1"/>
  <c r="BJ11" i="31"/>
  <c r="BI37" i="31" s="1"/>
  <c r="BQ20" i="31"/>
  <c r="BR46" i="31" s="1"/>
  <c r="BQ4" i="31"/>
  <c r="BR30" i="31" s="1"/>
  <c r="BQ3" i="31"/>
  <c r="BR29" i="31" s="1"/>
  <c r="BQ23" i="31"/>
  <c r="BR49" i="31" s="1"/>
  <c r="BQ22" i="31"/>
  <c r="BR48" i="31" s="1"/>
  <c r="BQ6" i="31"/>
  <c r="BR32" i="31" s="1"/>
  <c r="BQ13" i="31"/>
  <c r="BR39" i="31" s="1"/>
  <c r="BQ16" i="31"/>
  <c r="BR42" i="31" s="1"/>
  <c r="BQ19" i="31"/>
  <c r="BR45" i="31" s="1"/>
  <c r="BQ21" i="31"/>
  <c r="BR47" i="31" s="1"/>
  <c r="BQ11" i="31"/>
  <c r="BR37" i="31" s="1"/>
  <c r="BQ18" i="31"/>
  <c r="BR44" i="31" s="1"/>
  <c r="BQ25" i="31"/>
  <c r="BR51" i="31" s="1"/>
  <c r="BQ9" i="31"/>
  <c r="BR35" i="31" s="1"/>
  <c r="BQ17" i="31"/>
  <c r="BR43" i="31" s="1"/>
  <c r="BQ28" i="31"/>
  <c r="BR54" i="31" s="1"/>
  <c r="BQ12" i="31"/>
  <c r="BR38" i="31" s="1"/>
  <c r="BQ15" i="31"/>
  <c r="BR41" i="31" s="1"/>
  <c r="BQ14" i="31"/>
  <c r="BR40" i="31" s="1"/>
  <c r="BQ24" i="31"/>
  <c r="BR50" i="31" s="1"/>
  <c r="BQ8" i="31"/>
  <c r="BR34" i="31" s="1"/>
  <c r="BQ7" i="31"/>
  <c r="BR33" i="31" s="1"/>
  <c r="BQ27" i="31"/>
  <c r="BR53" i="31" s="1"/>
  <c r="BQ26" i="31"/>
  <c r="BR52" i="31" s="1"/>
  <c r="BQ10" i="31"/>
  <c r="BR36" i="31" s="1"/>
  <c r="BQ5" i="31"/>
  <c r="BR31" i="31" s="1"/>
</calcChain>
</file>

<file path=xl/sharedStrings.xml><?xml version="1.0" encoding="utf-8"?>
<sst xmlns="http://schemas.openxmlformats.org/spreadsheetml/2006/main" count="2647" uniqueCount="1642">
  <si>
    <t>P</t>
  </si>
  <si>
    <t>England</t>
  </si>
  <si>
    <t>Group</t>
  </si>
  <si>
    <t>B</t>
  </si>
  <si>
    <t>C</t>
  </si>
  <si>
    <t>Standings</t>
  </si>
  <si>
    <t>Score</t>
  </si>
  <si>
    <t>Final</t>
  </si>
  <si>
    <t>Date</t>
  </si>
  <si>
    <t>Time</t>
  </si>
  <si>
    <t>Italy</t>
  </si>
  <si>
    <t>France</t>
  </si>
  <si>
    <t>W</t>
  </si>
  <si>
    <t>D</t>
  </si>
  <si>
    <t>L</t>
  </si>
  <si>
    <t>A</t>
  </si>
  <si>
    <t>Country</t>
  </si>
  <si>
    <t>-</t>
  </si>
  <si>
    <t>Venue</t>
  </si>
  <si>
    <t>Scotland</t>
  </si>
  <si>
    <t>GS</t>
  </si>
  <si>
    <t>GA</t>
  </si>
  <si>
    <t>Diff</t>
  </si>
  <si>
    <t>Pts</t>
  </si>
  <si>
    <t>rankall points</t>
  </si>
  <si>
    <t>rank 1</t>
  </si>
  <si>
    <t>rank 2</t>
  </si>
  <si>
    <t>rank 3</t>
  </si>
  <si>
    <t>rank 4</t>
  </si>
  <si>
    <t>rerank</t>
  </si>
  <si>
    <t>Team</t>
  </si>
  <si>
    <t>table rank 2</t>
  </si>
  <si>
    <t>R</t>
  </si>
  <si>
    <t>GD</t>
  </si>
  <si>
    <t>FR</t>
  </si>
  <si>
    <t>table rank 3</t>
  </si>
  <si>
    <t>table rank 4</t>
  </si>
  <si>
    <t>Points</t>
  </si>
  <si>
    <t>UEFA Rank</t>
  </si>
  <si>
    <t>Koef</t>
  </si>
  <si>
    <t>Rule</t>
  </si>
  <si>
    <t>SGS</t>
  </si>
  <si>
    <t>Sdiff</t>
  </si>
  <si>
    <t>Sdif</t>
  </si>
  <si>
    <t>Runner Up</t>
  </si>
  <si>
    <t>1B</t>
  </si>
  <si>
    <t>1C</t>
  </si>
  <si>
    <t>Four best 3rd-placed teams combination</t>
  </si>
  <si>
    <t>Switzerland</t>
  </si>
  <si>
    <t>Slovakia</t>
  </si>
  <si>
    <t>Germany</t>
  </si>
  <si>
    <t>Spain</t>
  </si>
  <si>
    <t>Croatia</t>
  </si>
  <si>
    <t>Belgium</t>
  </si>
  <si>
    <t>Portugal</t>
  </si>
  <si>
    <t>Austria</t>
  </si>
  <si>
    <t>Hungary</t>
  </si>
  <si>
    <t>Language</t>
  </si>
  <si>
    <t>Timezone</t>
  </si>
  <si>
    <t>Group Stages</t>
  </si>
  <si>
    <t>Round of 16</t>
  </si>
  <si>
    <t>Quarter Finals</t>
  </si>
  <si>
    <t>Semi Finals</t>
  </si>
  <si>
    <t>Winner</t>
  </si>
  <si>
    <t>Normal Time</t>
  </si>
  <si>
    <t>Extra Time</t>
  </si>
  <si>
    <t>Penalty Shoot Out</t>
  </si>
  <si>
    <t>Champion</t>
  </si>
  <si>
    <t>Match #</t>
  </si>
  <si>
    <t>Group A Winner</t>
  </si>
  <si>
    <t>Group B Winner</t>
  </si>
  <si>
    <t>Group C Winner</t>
  </si>
  <si>
    <t>Group D Winner</t>
  </si>
  <si>
    <t>Group E Winner</t>
  </si>
  <si>
    <t>Group F Winner</t>
  </si>
  <si>
    <t>Group A Runner Up</t>
  </si>
  <si>
    <t>Group B Runner Up</t>
  </si>
  <si>
    <t>Group C Runner Up</t>
  </si>
  <si>
    <t>Group D Runner Up</t>
  </si>
  <si>
    <t>Group E Runner Up</t>
  </si>
  <si>
    <t>Group F Runner Up</t>
  </si>
  <si>
    <t>Win</t>
  </si>
  <si>
    <t>Draw</t>
  </si>
  <si>
    <t>Lose</t>
  </si>
  <si>
    <t>Group A</t>
  </si>
  <si>
    <t>Group B</t>
  </si>
  <si>
    <t>Group C</t>
  </si>
  <si>
    <t>Group D</t>
  </si>
  <si>
    <t>Group E</t>
  </si>
  <si>
    <t>Group F</t>
  </si>
  <si>
    <t>Match 49 Winner</t>
  </si>
  <si>
    <t>Match 50 Winner</t>
  </si>
  <si>
    <t>Match 51 Winner</t>
  </si>
  <si>
    <t>B7</t>
  </si>
  <si>
    <t>B8</t>
  </si>
  <si>
    <t>B9</t>
  </si>
  <si>
    <t>B10</t>
  </si>
  <si>
    <t>B11</t>
  </si>
  <si>
    <t>B12</t>
  </si>
  <si>
    <t>B13</t>
  </si>
  <si>
    <t>B14</t>
  </si>
  <si>
    <t>B15</t>
  </si>
  <si>
    <t>B16</t>
  </si>
  <si>
    <t>B17</t>
  </si>
  <si>
    <t>B18</t>
  </si>
  <si>
    <t>B19</t>
  </si>
  <si>
    <t>B20</t>
  </si>
  <si>
    <t>B21</t>
  </si>
  <si>
    <t>B22</t>
  </si>
  <si>
    <t>E</t>
  </si>
  <si>
    <t>B23</t>
  </si>
  <si>
    <t>B24</t>
  </si>
  <si>
    <t>B25</t>
  </si>
  <si>
    <t>B26</t>
  </si>
  <si>
    <t>F</t>
  </si>
  <si>
    <t>B27</t>
  </si>
  <si>
    <t>B28</t>
  </si>
  <si>
    <t>B29</t>
  </si>
  <si>
    <t>B30</t>
  </si>
  <si>
    <t>G</t>
  </si>
  <si>
    <t>Country Language</t>
  </si>
  <si>
    <t>English</t>
  </si>
  <si>
    <t>French</t>
  </si>
  <si>
    <t>German/Deutsch</t>
  </si>
  <si>
    <t>Italian</t>
  </si>
  <si>
    <t>Spanish</t>
  </si>
  <si>
    <t>Croatie</t>
  </si>
  <si>
    <t>Kroatien</t>
  </si>
  <si>
    <t>Croazia</t>
  </si>
  <si>
    <t>Croacia</t>
  </si>
  <si>
    <t>Spanien</t>
  </si>
  <si>
    <t>Spagna</t>
  </si>
  <si>
    <t>España</t>
  </si>
  <si>
    <t>Angleterre</t>
  </si>
  <si>
    <t>Inghilterra</t>
  </si>
  <si>
    <t>Inglaterra</t>
  </si>
  <si>
    <t>Italie</t>
  </si>
  <si>
    <t>Italien</t>
  </si>
  <si>
    <t>Italia</t>
  </si>
  <si>
    <t>Suisse</t>
  </si>
  <si>
    <t>Schweiz</t>
  </si>
  <si>
    <t>Svizzera</t>
  </si>
  <si>
    <t>Suiza</t>
  </si>
  <si>
    <t>Frankreich</t>
  </si>
  <si>
    <t>Francia</t>
  </si>
  <si>
    <t>Langue</t>
  </si>
  <si>
    <t>Sprache</t>
  </si>
  <si>
    <t>Fuseau horaire</t>
  </si>
  <si>
    <t>Zeitzone</t>
  </si>
  <si>
    <t>Fuso orario</t>
  </si>
  <si>
    <t>Gruppenphase</t>
  </si>
  <si>
    <t>Classements</t>
  </si>
  <si>
    <t>Groupe</t>
  </si>
  <si>
    <t>Gruppe</t>
  </si>
  <si>
    <t>Gruppo</t>
  </si>
  <si>
    <t>Grupo</t>
  </si>
  <si>
    <t>Datum</t>
  </si>
  <si>
    <t>Data</t>
  </si>
  <si>
    <t>Fecha</t>
  </si>
  <si>
    <t>Land</t>
  </si>
  <si>
    <t>Pays</t>
  </si>
  <si>
    <t>Nazione</t>
  </si>
  <si>
    <t>País</t>
  </si>
  <si>
    <t>Ergebnis</t>
  </si>
  <si>
    <t>Hora</t>
  </si>
  <si>
    <t>Quarts de finale</t>
  </si>
  <si>
    <t>Quarti di finale</t>
  </si>
  <si>
    <t>Cuartos de final</t>
  </si>
  <si>
    <t>Demi-finales</t>
  </si>
  <si>
    <t>Semifinale</t>
  </si>
  <si>
    <t>Semifinales</t>
  </si>
  <si>
    <t>Finale</t>
  </si>
  <si>
    <t>Gagnant</t>
  </si>
  <si>
    <t>Vincitore</t>
  </si>
  <si>
    <t>Ganador</t>
  </si>
  <si>
    <t>Subcampeón</t>
  </si>
  <si>
    <t>Elfmeterschießen</t>
  </si>
  <si>
    <t>Campione</t>
  </si>
  <si>
    <t>Campeón</t>
  </si>
  <si>
    <t>Spiel #</t>
  </si>
  <si>
    <t>Groupe C Vainqueur</t>
  </si>
  <si>
    <t>Groupe D Vainqueur</t>
  </si>
  <si>
    <t>Groupe F Vainqueur</t>
  </si>
  <si>
    <t>Pts Rank</t>
  </si>
  <si>
    <t>GD Rank</t>
  </si>
  <si>
    <t>GS Rank</t>
  </si>
  <si>
    <t>Koef Rank</t>
  </si>
  <si>
    <t>+/-</t>
  </si>
  <si>
    <t>For</t>
  </si>
  <si>
    <t>Against</t>
  </si>
  <si>
    <t>Match 37 Winner</t>
  </si>
  <si>
    <t>Match 38 Winner</t>
  </si>
  <si>
    <t>Match 39 Winner</t>
  </si>
  <si>
    <t>Match 40 Winner</t>
  </si>
  <si>
    <t>Match 41 Winner</t>
  </si>
  <si>
    <t>Match 42 Winner</t>
  </si>
  <si>
    <t>Match 43 Winner</t>
  </si>
  <si>
    <t>Match 44 Winner</t>
  </si>
  <si>
    <t>Match 45 Winner</t>
  </si>
  <si>
    <t>Match 46 Winner</t>
  </si>
  <si>
    <t>Match 47 Winner</t>
  </si>
  <si>
    <t>Match 48 Winner</t>
  </si>
  <si>
    <t>Knock Out Rounds</t>
  </si>
  <si>
    <t>Group A-F 3rd Place Standings</t>
  </si>
  <si>
    <t>Temps</t>
  </si>
  <si>
    <t>Ronda de 16</t>
  </si>
  <si>
    <t>Per</t>
  </si>
  <si>
    <t>Belgien</t>
  </si>
  <si>
    <t>Ungarn</t>
  </si>
  <si>
    <t>Gruppe A Runner Up</t>
  </si>
  <si>
    <t>Gruppe B Runner Up</t>
  </si>
  <si>
    <t>Gruppe C Runner Up</t>
  </si>
  <si>
    <t>Gruppe D Runner Up</t>
  </si>
  <si>
    <t>Gruppe E Runner Up</t>
  </si>
  <si>
    <t>Gruppe F Runner Up</t>
  </si>
  <si>
    <t>Gruppe A</t>
  </si>
  <si>
    <t>Gruppe B</t>
  </si>
  <si>
    <t>Gruppe C</t>
  </si>
  <si>
    <t>Gruppe D</t>
  </si>
  <si>
    <t>Gruppe E</t>
  </si>
  <si>
    <t>Gruppe F</t>
  </si>
  <si>
    <t>Slovaquie</t>
  </si>
  <si>
    <t>Belgique</t>
  </si>
  <si>
    <t>le Portugal</t>
  </si>
  <si>
    <t>Hongrie</t>
  </si>
  <si>
    <t>Phase de groupes</t>
  </si>
  <si>
    <t>Lieu</t>
  </si>
  <si>
    <t>date</t>
  </si>
  <si>
    <t>But</t>
  </si>
  <si>
    <t>Cycle de 16</t>
  </si>
  <si>
    <t>Finaliste</t>
  </si>
  <si>
    <t>Durée normale</t>
  </si>
  <si>
    <t>Du temps en plus</t>
  </si>
  <si>
    <t>Tir au pénalty</t>
  </si>
  <si>
    <t>Rencontre #</t>
  </si>
  <si>
    <t>Vainqueur du groupe A</t>
  </si>
  <si>
    <t>Vainqueur du groupe B</t>
  </si>
  <si>
    <t>Vainqueur Groupe E</t>
  </si>
  <si>
    <t>Groupe A Runner Up</t>
  </si>
  <si>
    <t>Groupe B Runner Up</t>
  </si>
  <si>
    <t>Groupe C Runner Up</t>
  </si>
  <si>
    <t>Groupe D Runner Up</t>
  </si>
  <si>
    <t>Groupe E Runner Up</t>
  </si>
  <si>
    <t>Groupe F Runner Up</t>
  </si>
  <si>
    <t>Vainqueur match 37</t>
  </si>
  <si>
    <t>Vainqueur match 38</t>
  </si>
  <si>
    <t>Vainqueur match 39</t>
  </si>
  <si>
    <t>Vainqueur match 40</t>
  </si>
  <si>
    <t>Vainqueur match 41</t>
  </si>
  <si>
    <t>Vainqueur match 42</t>
  </si>
  <si>
    <t>Vainqueur match 43</t>
  </si>
  <si>
    <t>Vainqueur match 44</t>
  </si>
  <si>
    <t>Vainqueur match 45</t>
  </si>
  <si>
    <t>Vainqueur match 46</t>
  </si>
  <si>
    <t>Vainqueur match 47</t>
  </si>
  <si>
    <t>Vainqueur match 48</t>
  </si>
  <si>
    <t>Vainqueur match 49</t>
  </si>
  <si>
    <t>Vainqueur match 50</t>
  </si>
  <si>
    <t>Vainqueur match 51</t>
  </si>
  <si>
    <t>Groupe A</t>
  </si>
  <si>
    <t>Groupe B</t>
  </si>
  <si>
    <t>Groupe C</t>
  </si>
  <si>
    <t>Groupe D</t>
  </si>
  <si>
    <t>Groupe E</t>
  </si>
  <si>
    <t>Groupe F</t>
  </si>
  <si>
    <t>Gagner</t>
  </si>
  <si>
    <t>Dessiner</t>
  </si>
  <si>
    <t>Perdre</t>
  </si>
  <si>
    <t>Pour</t>
  </si>
  <si>
    <t>Contre</t>
  </si>
  <si>
    <t>Des points</t>
  </si>
  <si>
    <t>Knock Out rounds</t>
  </si>
  <si>
    <t>Groupe A-F Troisième place Classements</t>
  </si>
  <si>
    <t>Slowakei</t>
  </si>
  <si>
    <t>Deutschland</t>
  </si>
  <si>
    <t>Tschechien</t>
  </si>
  <si>
    <t>Österreich</t>
  </si>
  <si>
    <t>Tagungsort</t>
  </si>
  <si>
    <t>Platzierungen</t>
  </si>
  <si>
    <t>Zeit</t>
  </si>
  <si>
    <t>Runde der letzten 16</t>
  </si>
  <si>
    <t>Viertel Finale</t>
  </si>
  <si>
    <t>Gewinner</t>
  </si>
  <si>
    <t>Verfolger, Zweitplatzierter, Vizemeister</t>
  </si>
  <si>
    <t>Normalzeit</t>
  </si>
  <si>
    <t>Extra Zeit</t>
  </si>
  <si>
    <t>Gruppe A Winner</t>
  </si>
  <si>
    <t>Gruppe B Sieger</t>
  </si>
  <si>
    <t>Gruppe C Sieger</t>
  </si>
  <si>
    <t>Gruppe D Sieger</t>
  </si>
  <si>
    <t>Gruppe E Gewinner</t>
  </si>
  <si>
    <t>Gruppe F Winner</t>
  </si>
  <si>
    <t>Spiel 37 Sieger</t>
  </si>
  <si>
    <t>Spiel 38 Sieger</t>
  </si>
  <si>
    <t>Spiel 39 Sieger</t>
  </si>
  <si>
    <t>Spiel 40 Sieger</t>
  </si>
  <si>
    <t>Spiel 41 Sieger</t>
  </si>
  <si>
    <t>Spiel 42 Sieger</t>
  </si>
  <si>
    <t>Spiel 43 Sieger</t>
  </si>
  <si>
    <t>Spiel 44 Sieger</t>
  </si>
  <si>
    <t>Spiel 45 Sieger</t>
  </si>
  <si>
    <t>Spiel 46 Sieger</t>
  </si>
  <si>
    <t>Spiel 47 Sieger</t>
  </si>
  <si>
    <t>Spiel 48 Sieger</t>
  </si>
  <si>
    <t>Spiel 49 Sieger</t>
  </si>
  <si>
    <t>Spiel 50 Sieger</t>
  </si>
  <si>
    <t>Spiel 51 Sieger</t>
  </si>
  <si>
    <t>Gewinnen</t>
  </si>
  <si>
    <t>Zeichnen</t>
  </si>
  <si>
    <t>Verlieren</t>
  </si>
  <si>
    <t>Für</t>
  </si>
  <si>
    <t>Gegen</t>
  </si>
  <si>
    <t>Punkte</t>
  </si>
  <si>
    <t>Knock Out Runden</t>
  </si>
  <si>
    <t>Gruppe A-F Dritter Platz Entwicklung</t>
  </si>
  <si>
    <t>Slovacchia</t>
  </si>
  <si>
    <t>Germania</t>
  </si>
  <si>
    <t>Belgio</t>
  </si>
  <si>
    <t>Portogallo</t>
  </si>
  <si>
    <t>Ungheria</t>
  </si>
  <si>
    <t>Lingua</t>
  </si>
  <si>
    <t>Stadi di gruppo</t>
  </si>
  <si>
    <t>Sede</t>
  </si>
  <si>
    <t>Classifiche</t>
  </si>
  <si>
    <t>Punto</t>
  </si>
  <si>
    <t>Orario</t>
  </si>
  <si>
    <t>Ottavi di 16</t>
  </si>
  <si>
    <t>Semifinali</t>
  </si>
  <si>
    <t>Definitivo</t>
  </si>
  <si>
    <t>Secondo classificato</t>
  </si>
  <si>
    <t>Tempo normale</t>
  </si>
  <si>
    <t>Tempo extra</t>
  </si>
  <si>
    <t>Calcio di rigore</t>
  </si>
  <si>
    <t>Incontro #</t>
  </si>
  <si>
    <t>Gruppo A Vincitore</t>
  </si>
  <si>
    <t>Gruppo B Vincitore</t>
  </si>
  <si>
    <t>Gruppo C Vincitore</t>
  </si>
  <si>
    <t>Vincitore Gruppo D</t>
  </si>
  <si>
    <t>Vincitore Gruppo E</t>
  </si>
  <si>
    <t>Vincitore Gruppo F</t>
  </si>
  <si>
    <t>Gruppo A Runner Up</t>
  </si>
  <si>
    <t>Gruppo B Runner Up</t>
  </si>
  <si>
    <t>Gruppo C Runner Up</t>
  </si>
  <si>
    <t>Gruppo D Runner Up</t>
  </si>
  <si>
    <t>Gruppo E Runner Up</t>
  </si>
  <si>
    <t>Gruppo F Runner Up</t>
  </si>
  <si>
    <t>Partita 37 Vincitore</t>
  </si>
  <si>
    <t>Partita 38 Vincitore</t>
  </si>
  <si>
    <t>Partita 39 Vincitore</t>
  </si>
  <si>
    <t>Partita 40 Vincitore</t>
  </si>
  <si>
    <t>Partita 41 Vincitore</t>
  </si>
  <si>
    <t>Partita 42 Vincitore</t>
  </si>
  <si>
    <t>Partita 43 Vincitore</t>
  </si>
  <si>
    <t>Partita 44 Vincitore</t>
  </si>
  <si>
    <t>Partita 45 Vincitore</t>
  </si>
  <si>
    <t>Partita 46 Vincitore</t>
  </si>
  <si>
    <t>Partita 47 Vincitore</t>
  </si>
  <si>
    <t>Partita 48 Vincitore</t>
  </si>
  <si>
    <t>Partita 49 Vincitore</t>
  </si>
  <si>
    <t>Partita 50 Vincitore</t>
  </si>
  <si>
    <t>Partita 51 Vincitore</t>
  </si>
  <si>
    <t>Gruppo A</t>
  </si>
  <si>
    <t>Gruppo B</t>
  </si>
  <si>
    <t>Gruppo C</t>
  </si>
  <si>
    <t>Gruppo D</t>
  </si>
  <si>
    <t>Gruppo E</t>
  </si>
  <si>
    <t>Gruppo F</t>
  </si>
  <si>
    <t>Vincere</t>
  </si>
  <si>
    <t>Disegnare</t>
  </si>
  <si>
    <t>Perdere</t>
  </si>
  <si>
    <t>Contro</t>
  </si>
  <si>
    <t>Punti</t>
  </si>
  <si>
    <t>Gruppo A-F Third Place Classifiche</t>
  </si>
  <si>
    <t>Bélgica</t>
  </si>
  <si>
    <t>Grupo A</t>
  </si>
  <si>
    <t>Grupo B</t>
  </si>
  <si>
    <t>Grupo C</t>
  </si>
  <si>
    <t>Grupo D</t>
  </si>
  <si>
    <t>Grupo E</t>
  </si>
  <si>
    <t>Grupo F</t>
  </si>
  <si>
    <t>Perder</t>
  </si>
  <si>
    <t>Eslovaquia</t>
  </si>
  <si>
    <t>Alemania</t>
  </si>
  <si>
    <t>Hungría</t>
  </si>
  <si>
    <t>idioma</t>
  </si>
  <si>
    <t>Zona horaria</t>
  </si>
  <si>
    <t>Etapas del Grupo</t>
  </si>
  <si>
    <t>Lugar de encuentro</t>
  </si>
  <si>
    <t>Tabla de posiciones</t>
  </si>
  <si>
    <t>Puntuación</t>
  </si>
  <si>
    <t>Tiempo normal</t>
  </si>
  <si>
    <t>Tiempo adicional</t>
  </si>
  <si>
    <t>Juego #</t>
  </si>
  <si>
    <t>Grupo A Ganador</t>
  </si>
  <si>
    <t>Grupo B Ganador</t>
  </si>
  <si>
    <t>Grupo C Ganador</t>
  </si>
  <si>
    <t>Grupo D Ganador</t>
  </si>
  <si>
    <t>Grupo E Ganador</t>
  </si>
  <si>
    <t>Grupo F Ganador</t>
  </si>
  <si>
    <t>Grupo A Finalista</t>
  </si>
  <si>
    <t>Grupo B Finalista</t>
  </si>
  <si>
    <t>Grupo C Finalista</t>
  </si>
  <si>
    <t>Grupo D Finalista</t>
  </si>
  <si>
    <t>Grupo E Finalista</t>
  </si>
  <si>
    <t>Grupo F Finalista</t>
  </si>
  <si>
    <t>Partido 37 Ganador</t>
  </si>
  <si>
    <t>Partido 38 Ganador</t>
  </si>
  <si>
    <t>Partido 39 Ganador</t>
  </si>
  <si>
    <t>Partido 40 Ganador</t>
  </si>
  <si>
    <t>Partido 41 Ganador</t>
  </si>
  <si>
    <t>Partido 42 Ganador</t>
  </si>
  <si>
    <t>Partido 43 Ganador</t>
  </si>
  <si>
    <t>Partido 44 Ganador</t>
  </si>
  <si>
    <t>Partido 45 Ganador</t>
  </si>
  <si>
    <t>Partido 46 Ganador</t>
  </si>
  <si>
    <t>Partido 47 Ganador</t>
  </si>
  <si>
    <t>Partido 48 Ganador</t>
  </si>
  <si>
    <t>Partido 49 Ganador</t>
  </si>
  <si>
    <t>Partido 50 Ganador</t>
  </si>
  <si>
    <t>Partido 51 Ganador</t>
  </si>
  <si>
    <t>Ganar</t>
  </si>
  <si>
    <t>Dibujar</t>
  </si>
  <si>
    <t>por</t>
  </si>
  <si>
    <t>En contra</t>
  </si>
  <si>
    <t>Puntos</t>
  </si>
  <si>
    <t>Knock Out Rondas</t>
  </si>
  <si>
    <t>Grupo A-F Tercer Lugar Clasificación</t>
  </si>
  <si>
    <t>Original Language (English)</t>
  </si>
  <si>
    <t>Y</t>
  </si>
  <si>
    <t>table rank-1 2</t>
  </si>
  <si>
    <t>table rank-2 2</t>
  </si>
  <si>
    <t>all the same</t>
  </si>
  <si>
    <t>points</t>
  </si>
  <si>
    <t>Turquie</t>
  </si>
  <si>
    <t>Turchia</t>
  </si>
  <si>
    <t>1E</t>
  </si>
  <si>
    <t>1F</t>
  </si>
  <si>
    <t>M#</t>
  </si>
  <si>
    <t>Group D/E/F 3rd Place</t>
  </si>
  <si>
    <t>Group A/D/E/F 3rd Place</t>
  </si>
  <si>
    <t>Group A/B/C 3rd Place</t>
  </si>
  <si>
    <t>Group A/B/C/D 3rd Place</t>
  </si>
  <si>
    <t>PSO</t>
  </si>
  <si>
    <t>Denmark</t>
  </si>
  <si>
    <t>Netherlands</t>
  </si>
  <si>
    <t>1. Higher number of points obtained in the matches played between the teams in question;</t>
  </si>
  <si>
    <t>2. Superior goal difference resulting from the matches played between the teams in question;</t>
  </si>
  <si>
    <t>3. Higher number of goals scored in the matches played between the teams in question;</t>
  </si>
  <si>
    <t>5. Superior goal difference in all group matches;</t>
  </si>
  <si>
    <t>6. Higher number of goals scored in all group matches;</t>
  </si>
  <si>
    <t>8. If on the last round of the group stage, two teams are facing each other and each has the same number of points, as well as the same number of goals scored and conceded, and the score finishes level in their match, their ranking is determined by a penalty shoot-out. (This criterion is not used if more than two teams have the same number of points.);</t>
  </si>
  <si>
    <t>9. Lower disciplinary points total in all group matches (1 point for a single yellow card, 3 points for a red card as a consequence of two yellow cards, 3 points for a direct red card, 4 points for a yellow card followed by a direct red card);</t>
  </si>
  <si>
    <t>10. Higher position in the European Qualifiers overall ranking.</t>
  </si>
  <si>
    <t>vs</t>
  </si>
  <si>
    <t>NEW WORLD</t>
  </si>
  <si>
    <t>SETUP</t>
  </si>
  <si>
    <t>Your Language Translation</t>
  </si>
  <si>
    <t>Select Language</t>
  </si>
  <si>
    <r>
      <t xml:space="preserve">Language Name </t>
    </r>
    <r>
      <rPr>
        <sz val="11"/>
        <color theme="0"/>
        <rFont val="Wingdings 3"/>
        <family val="1"/>
        <charset val="2"/>
      </rPr>
      <t>u</t>
    </r>
  </si>
  <si>
    <t>TIE BREAKER REGULATION</t>
  </si>
  <si>
    <t>Tie Breaker applied to group matches</t>
  </si>
  <si>
    <t>3A</t>
  </si>
  <si>
    <t>3D</t>
  </si>
  <si>
    <t>3B</t>
  </si>
  <si>
    <t>3C</t>
  </si>
  <si>
    <t>3E</t>
  </si>
  <si>
    <t>3F</t>
  </si>
  <si>
    <t>If two or more teams are equal on points on completion of the group matches, the following tie-breaking criteria are applied:</t>
  </si>
  <si>
    <t>The specific match-ups involving the third-placed teams depend on which four third-placed teams will qualify for the round of 16:</t>
  </si>
  <si>
    <t>Third-placed teams qualify from groups</t>
  </si>
  <si>
    <t>u</t>
  </si>
  <si>
    <t>To set schedule language to your language do the following :</t>
  </si>
  <si>
    <t>Set title of your language in cell D7 (Arabic, Chinese, Portuguese, etc)</t>
  </si>
  <si>
    <t>Type your translation in column D (cell D9 : D99)</t>
  </si>
  <si>
    <t>Change language selection in cell D6 to your language name title</t>
  </si>
  <si>
    <t>t</t>
  </si>
  <si>
    <t>Select your language. Language in Matches worksheet will be adjusted accordingly</t>
  </si>
  <si>
    <t>Groupe A/D/E/F Troisième place</t>
  </si>
  <si>
    <t>Gruppe A/D/E/F Dritter Platz</t>
  </si>
  <si>
    <t>Gruppo A/D/E/F Third Place</t>
  </si>
  <si>
    <t>Grupo A/D/E/F Tercer lugar</t>
  </si>
  <si>
    <t>Groupe A/B/C Troisième place</t>
  </si>
  <si>
    <t>Gruppe A/B/C Dritter Platz</t>
  </si>
  <si>
    <t>Gruppo A/B/C Third Place</t>
  </si>
  <si>
    <t>Grupo A/B/C Tercer lugar</t>
  </si>
  <si>
    <t>Groupe A/B/C/D Troisième place</t>
  </si>
  <si>
    <t>Gruppe A/B/C/D Dritter Platz</t>
  </si>
  <si>
    <t>Gruppo A/B/C/D Terzo Posto</t>
  </si>
  <si>
    <t>Grupo A/B/C/D Tercer lugar</t>
  </si>
  <si>
    <t>Groupe D/E/F Troisième place</t>
  </si>
  <si>
    <t>Gruppe D/E/F Dritter Platz</t>
  </si>
  <si>
    <t>Gruppo D/E/F Third Place</t>
  </si>
  <si>
    <t>Grupo D/E/F Tercer lugar</t>
  </si>
  <si>
    <t>Danemark</t>
  </si>
  <si>
    <t>Pays-Bas</t>
  </si>
  <si>
    <t>Écosse</t>
  </si>
  <si>
    <t>Dänemark</t>
  </si>
  <si>
    <t>Niederlande</t>
  </si>
  <si>
    <t>Schottland</t>
  </si>
  <si>
    <t>Dinamarca</t>
  </si>
  <si>
    <t>Países Bajos</t>
  </si>
  <si>
    <t>Escocia</t>
  </si>
  <si>
    <t>Danimarca</t>
  </si>
  <si>
    <t>Scozia</t>
  </si>
  <si>
    <t>7. Higher number of wins in all group matches;</t>
  </si>
  <si>
    <t>Name of the Time Zone</t>
  </si>
  <si>
    <t>(UTC-12:00) International Date Line West </t>
  </si>
  <si>
    <t>Dateline Standard Time</t>
  </si>
  <si>
    <t>(UTC-11:00) Coordinated Universal Time-11 </t>
  </si>
  <si>
    <t>UTC-11</t>
  </si>
  <si>
    <t>(UTC-10:00) Aleutian Islands </t>
  </si>
  <si>
    <t>Aleutian Standard Time</t>
  </si>
  <si>
    <t>(UTC-10:00) Hawaii </t>
  </si>
  <si>
    <t>Hawaiian Standard Time</t>
  </si>
  <si>
    <t>(UTC-09:30) Marquesas Islands </t>
  </si>
  <si>
    <t>Marquesas Standard Time</t>
  </si>
  <si>
    <t>(UTC-09:00) Alaska </t>
  </si>
  <si>
    <t>Alaskan Standard Time</t>
  </si>
  <si>
    <t>(UTC-09:00) Coordinated Universal Time-09 </t>
  </si>
  <si>
    <t>UTC-09</t>
  </si>
  <si>
    <t>(UTC-08:00) Baja California </t>
  </si>
  <si>
    <t>Pacific Standard Time (Mexico)</t>
  </si>
  <si>
    <t>(UTC-08:00) Coordinated Universal Time-08 </t>
  </si>
  <si>
    <t>UTC-08</t>
  </si>
  <si>
    <t>(UTC-08:00) Pacific Time (US &amp; Canada) </t>
  </si>
  <si>
    <t>Pacific Standard Time</t>
  </si>
  <si>
    <t>(UTC-07:00) Arizona </t>
  </si>
  <si>
    <t>US Mountain Standard Time</t>
  </si>
  <si>
    <t>(UTC-07:00) Chihuahua, La Paz, Mazatlan </t>
  </si>
  <si>
    <t>Mountain Standard Time (Mexico)</t>
  </si>
  <si>
    <t>(UTC-07:00) Mountain Time (US &amp; Canada) </t>
  </si>
  <si>
    <t>Mountain Standard Time</t>
  </si>
  <si>
    <t>(UTC-06:00) Central America </t>
  </si>
  <si>
    <t>Central America Standard Time</t>
  </si>
  <si>
    <t>(UTC-06:00) Central Time (US &amp; Canada) </t>
  </si>
  <si>
    <t>Central Standard Time</t>
  </si>
  <si>
    <t>(UTC-06:00) Easter Island </t>
  </si>
  <si>
    <t>Easter Island Standard Time</t>
  </si>
  <si>
    <t>(UTC-06:00) Guadalajara, Mexico City, Monterrey </t>
  </si>
  <si>
    <t>Central Standard Time (Mexico)</t>
  </si>
  <si>
    <t>(UTC-06:00) Saskatchewan </t>
  </si>
  <si>
    <t>Canada Central Standard Time</t>
  </si>
  <si>
    <t>(UTC-05:00) Bogota, Lima, Quito, Rio Branco </t>
  </si>
  <si>
    <t>SA Pacific Standard Time</t>
  </si>
  <si>
    <t>(UTC-05:00) Chetumal </t>
  </si>
  <si>
    <t>Eastern Standard Time (Mexico)</t>
  </si>
  <si>
    <t>(UTC-05:00) Eastern Time (US &amp; Canada) </t>
  </si>
  <si>
    <t>Eastern Standard Time</t>
  </si>
  <si>
    <t>(UTC-05:00) Haiti </t>
  </si>
  <si>
    <t>Haiti Standard Time</t>
  </si>
  <si>
    <t>(UTC-05:00) Havana </t>
  </si>
  <si>
    <t>Cuba Standard Time</t>
  </si>
  <si>
    <t>(UTC-05:00) Indiana (East) </t>
  </si>
  <si>
    <t>US Eastern Standard Time</t>
  </si>
  <si>
    <t>(UTC-05:00) Turks and Caicos </t>
  </si>
  <si>
    <t>Turks And Caicos Standard Time</t>
  </si>
  <si>
    <t>(UTC-04:00) Asuncion </t>
  </si>
  <si>
    <t>Paraguay Standard Time</t>
  </si>
  <si>
    <t>(UTC-04:00) Atlantic Time (Canada) </t>
  </si>
  <si>
    <t>Atlantic Standard Time</t>
  </si>
  <si>
    <t>(UTC-04:00) Caracas </t>
  </si>
  <si>
    <t>Venezuela Standard Time</t>
  </si>
  <si>
    <t>(UTC-04:00) Cuiaba </t>
  </si>
  <si>
    <t>Central Brazilian Standard Time</t>
  </si>
  <si>
    <t>(UTC-04:00) Georgetown, La Paz, Manaus, San Juan </t>
  </si>
  <si>
    <t>SA Western Standard Time</t>
  </si>
  <si>
    <t>(UTC-04:00) Santiago </t>
  </si>
  <si>
    <t>Pacific SA Standard Time</t>
  </si>
  <si>
    <t>(UTC-03:30) Newfoundland </t>
  </si>
  <si>
    <t>Newfoundland Standard Time</t>
  </si>
  <si>
    <t>(UTC-03:00) Araguaina </t>
  </si>
  <si>
    <t>Tocantins Standard Time</t>
  </si>
  <si>
    <t>(UTC-03:00) Brasilia </t>
  </si>
  <si>
    <t>E. South America Standard Time</t>
  </si>
  <si>
    <t>(UTC-03:00) Cayenne, Fortaleza </t>
  </si>
  <si>
    <t>SA Eastern Standard Time</t>
  </si>
  <si>
    <t>(UTC-03:00) City of Buenos Aires </t>
  </si>
  <si>
    <t>Argentina Standard Time</t>
  </si>
  <si>
    <t>(UTC-03:00) Greenland </t>
  </si>
  <si>
    <t>Greenland Standard Time</t>
  </si>
  <si>
    <t>(UTC-03:00) Montevideo </t>
  </si>
  <si>
    <t>Montevideo Standard Time</t>
  </si>
  <si>
    <t>(UTC-03:00) Punta Arenas </t>
  </si>
  <si>
    <t>Magallanes Standard Time</t>
  </si>
  <si>
    <t>(UTC-03:00) Saint Pierre and Miquelon </t>
  </si>
  <si>
    <t>Saint Pierre Standard Time</t>
  </si>
  <si>
    <t>(UTC-03:00) Salvador </t>
  </si>
  <si>
    <t>Bahia Standard Time</t>
  </si>
  <si>
    <t>(UTC-02:00) Coordinated Universal Time-02 </t>
  </si>
  <si>
    <t>UTC-02</t>
  </si>
  <si>
    <t>(UTC-01:00) Azores </t>
  </si>
  <si>
    <t>Azores Standard Time</t>
  </si>
  <si>
    <t>(UTC-01:00) Cabo Verde Is. </t>
  </si>
  <si>
    <t>Cape Verde Standard Time</t>
  </si>
  <si>
    <t>(UTC+00:00) Dublin, Edinburgh, Lisbon, London </t>
  </si>
  <si>
    <t>GMT Standard Time</t>
  </si>
  <si>
    <t>(UTC+00:00) Monrovia, Reykjavik </t>
  </si>
  <si>
    <t>Greenwich Standard Time</t>
  </si>
  <si>
    <t>(UTC+00:00) Sao Tome </t>
  </si>
  <si>
    <t>Sao Tome Standard Time</t>
  </si>
  <si>
    <t>(UTC+01:00) Casablanca </t>
  </si>
  <si>
    <t>Morocco Standard Time</t>
  </si>
  <si>
    <t>(UTC+01:00) Amsterdam, Berlin, Bern, Rome, Stockholm, Vienna </t>
  </si>
  <si>
    <t>W. Europe Standard Time</t>
  </si>
  <si>
    <t>(UTC+01:00) Belgrade, Bratislava, Budapest, Ljubljana, Prague </t>
  </si>
  <si>
    <t>Central Europe Standard Time</t>
  </si>
  <si>
    <t>(UTC+01:00) Brussels, Copenhagen, Madrid, Paris </t>
  </si>
  <si>
    <t>Romance Standard Time</t>
  </si>
  <si>
    <t>(UTC+01:00) Sarajevo, Skopje, Warsaw, Zagreb </t>
  </si>
  <si>
    <t>Central European Standard Time</t>
  </si>
  <si>
    <t>(UTC+01:00) West Central Africa </t>
  </si>
  <si>
    <t>W. Central Africa Standard Time</t>
  </si>
  <si>
    <t>(UTC+02:00) Amman </t>
  </si>
  <si>
    <t>Jordan Standard Time</t>
  </si>
  <si>
    <t>(UTC+02:00) Athens, Bucharest </t>
  </si>
  <si>
    <t>GTB Standard Time</t>
  </si>
  <si>
    <t>(UTC+02:00) Beirut </t>
  </si>
  <si>
    <t>Middle East Standard Time</t>
  </si>
  <si>
    <t>(UTC+02:00) Cairo </t>
  </si>
  <si>
    <t>Egypt Standard Time</t>
  </si>
  <si>
    <t>(UTC+02:00) Chisinau </t>
  </si>
  <si>
    <t>E. Europe Standard Time</t>
  </si>
  <si>
    <t>(UTC+02:00) Damascus </t>
  </si>
  <si>
    <t>Syria Standard Time</t>
  </si>
  <si>
    <t>(UTC+02:00) Gaza, Hebron </t>
  </si>
  <si>
    <t>West Bank Standard Time</t>
  </si>
  <si>
    <t>(UTC+02:00) Harare, Pretoria </t>
  </si>
  <si>
    <t>South Africa Standard Time</t>
  </si>
  <si>
    <t>(UTC+02:00) Helsinki, Kyiv, Riga, Sofia, Tallinn, Vilnius </t>
  </si>
  <si>
    <t>FLE Standard Time</t>
  </si>
  <si>
    <t>(UTC+02:00) Jerusalem </t>
  </si>
  <si>
    <t>Israel Standard Time</t>
  </si>
  <si>
    <t>(UTC+02:00) Kaliningrad </t>
  </si>
  <si>
    <t>Kaliningrad Standard Time</t>
  </si>
  <si>
    <t>(UTC+02:00) Khartoum </t>
  </si>
  <si>
    <t>Sudan Standard Time</t>
  </si>
  <si>
    <t>(UTC+02:00) Tripoli </t>
  </si>
  <si>
    <t>Libya Standard Time</t>
  </si>
  <si>
    <t>(UTC+02:00) Windhoek </t>
  </si>
  <si>
    <t>Namibia Standard Time</t>
  </si>
  <si>
    <t>(UTC+03:00) Baghdad </t>
  </si>
  <si>
    <t>Arabic Standard Time</t>
  </si>
  <si>
    <t>(UTC+03:00) Istanbul </t>
  </si>
  <si>
    <t>Turkey Standard Time</t>
  </si>
  <si>
    <t>(UTC+03:00) Kuwait, Riyadh </t>
  </si>
  <si>
    <t>Arab Standard Time</t>
  </si>
  <si>
    <t>(UTC+03:00) Minsk </t>
  </si>
  <si>
    <t>Belarus Standard Time</t>
  </si>
  <si>
    <t>(UTC+03:00) Moscow, St. Petersburg </t>
  </si>
  <si>
    <t>Russian Standard Time</t>
  </si>
  <si>
    <t>(UTC+03:00) Nairobi </t>
  </si>
  <si>
    <t>E. Africa Standard Time</t>
  </si>
  <si>
    <t>(UTC+03:30) Tehran </t>
  </si>
  <si>
    <t>Iran Standard Time</t>
  </si>
  <si>
    <t>(UTC+04:00) Abu Dhabi, Muscat </t>
  </si>
  <si>
    <t>Arabian Standard Time</t>
  </si>
  <si>
    <t>(UTC+04:00) Astrakhan, Ulyanovsk </t>
  </si>
  <si>
    <t>Astrakhan Standard Time</t>
  </si>
  <si>
    <t>(UTC+04:00) Baku </t>
  </si>
  <si>
    <t>Azerbaijan Standard Time</t>
  </si>
  <si>
    <t>(UTC+04:00) Izhevsk, Samara </t>
  </si>
  <si>
    <t>Russia Time Zone 3</t>
  </si>
  <si>
    <t>(UTC+04:00) Port Louis </t>
  </si>
  <si>
    <t>Mauritius Standard Time</t>
  </si>
  <si>
    <t>(UTC+04:00) Saratov </t>
  </si>
  <si>
    <t>Saratov Standard Time</t>
  </si>
  <si>
    <t>(UTC+04:00) Tbilisi </t>
  </si>
  <si>
    <t>Georgian Standard Time</t>
  </si>
  <si>
    <t>(UTC+04:00) Volgograd </t>
  </si>
  <si>
    <t>Volgograd Standard Time</t>
  </si>
  <si>
    <t>(UTC+04:00) Yerevan </t>
  </si>
  <si>
    <t>Caucasus Standard Time</t>
  </si>
  <si>
    <t>(UTC+04:30) Kabul </t>
  </si>
  <si>
    <t>Afghanistan Standard Time</t>
  </si>
  <si>
    <t>(UTC+05:00) Ashgabat, Tashkent </t>
  </si>
  <si>
    <t>West Asia Standard Time</t>
  </si>
  <si>
    <t>(UTC+05:00) Ekaterinburg </t>
  </si>
  <si>
    <t>Ekaterinburg Standard Time</t>
  </si>
  <si>
    <t>(UTC+05:00) Islamabad, Karachi </t>
  </si>
  <si>
    <t>Pakistan Standard Time</t>
  </si>
  <si>
    <t>(UTC+05:00) Qyzylorda </t>
  </si>
  <si>
    <t>Qyzylorda Standard Time</t>
  </si>
  <si>
    <t>(UTC+05:30) Chennai, Kolkata, Mumbai, New Delhi </t>
  </si>
  <si>
    <t>India Standard Time</t>
  </si>
  <si>
    <t>(UTC+05:30) Sri Jayawardenepura </t>
  </si>
  <si>
    <t>Sri Lanka Standard Time</t>
  </si>
  <si>
    <t>(UTC+05:45) Kathmandu </t>
  </si>
  <si>
    <t>Nepal Standard Time</t>
  </si>
  <si>
    <t>(UTC+06:00) Astana </t>
  </si>
  <si>
    <t>Central Asia Standard Time</t>
  </si>
  <si>
    <t>(UTC+06:00) Dhaka </t>
  </si>
  <si>
    <t>Bangladesh Standard Time</t>
  </si>
  <si>
    <t>(UTC+06:00) Omsk </t>
  </si>
  <si>
    <t>Omsk Standard Time</t>
  </si>
  <si>
    <t>(UTC+06:30) Yangon (Rangoon) </t>
  </si>
  <si>
    <t>Myanmar Standard Time</t>
  </si>
  <si>
    <t>(UTC+07:00) Bangkok, Hanoi, Jakarta </t>
  </si>
  <si>
    <t>SE Asia Standard Time</t>
  </si>
  <si>
    <t>(UTC+07:00) Barnaul, Gorno-Altaysk </t>
  </si>
  <si>
    <t>Altai Standard Time</t>
  </si>
  <si>
    <t>(UTC+07:00) Hovd </t>
  </si>
  <si>
    <t>W. Mongolia Standard Time</t>
  </si>
  <si>
    <t>(UTC+07:00) Krasnoyarsk </t>
  </si>
  <si>
    <t>North Asia Standard Time</t>
  </si>
  <si>
    <t>(UTC+07:00) Novosibirsk </t>
  </si>
  <si>
    <t>N. Central Asia Standard Time</t>
  </si>
  <si>
    <t>(UTC+07:00) Tomsk </t>
  </si>
  <si>
    <t>Tomsk Standard Time</t>
  </si>
  <si>
    <t>(UTC+08:00) Beijing, Chongqing, Hong Kong, Urumqi </t>
  </si>
  <si>
    <t>China Standard Time</t>
  </si>
  <si>
    <t>(UTC+08:00) Irkutsk </t>
  </si>
  <si>
    <t>North Asia East Standard Time</t>
  </si>
  <si>
    <t>(UTC+08:00) Kuala Lumpur, Singapore </t>
  </si>
  <si>
    <t>Singapore Standard Time</t>
  </si>
  <si>
    <t>(UTC+08:00) Perth </t>
  </si>
  <si>
    <t>W. Australia Standard Time</t>
  </si>
  <si>
    <t>(UTC+08:00) Taipei </t>
  </si>
  <si>
    <t>Taipei Standard Time</t>
  </si>
  <si>
    <t>(UTC+08:00) Ulaanbaatar </t>
  </si>
  <si>
    <t>Ulaanbaatar Standard Time</t>
  </si>
  <si>
    <t>(UTC+08:45) Eucla </t>
  </si>
  <si>
    <t>Aus Central W. Standard Time</t>
  </si>
  <si>
    <t>(UTC+09:00) Chita </t>
  </si>
  <si>
    <t>Transbaikal Standard Time</t>
  </si>
  <si>
    <t>(UTC+09:00) Osaka, Sapporo, Tokyo </t>
  </si>
  <si>
    <t>Tokyo Standard Time</t>
  </si>
  <si>
    <t>(UTC+09:00) Pyongyang </t>
  </si>
  <si>
    <t>North Korea Standard Time</t>
  </si>
  <si>
    <t>(UTC+09:00) Seoul </t>
  </si>
  <si>
    <t>Korea Standard Time</t>
  </si>
  <si>
    <t>(UTC+09:00) Yakutsk </t>
  </si>
  <si>
    <t>Yakutsk Standard Time</t>
  </si>
  <si>
    <t>(UTC+09:30) Adelaide </t>
  </si>
  <si>
    <t>Cen. Australia Standard Time</t>
  </si>
  <si>
    <t>(UTC+09:30) Darwin </t>
  </si>
  <si>
    <t>AUS Central Standard Time</t>
  </si>
  <si>
    <t>(UTC+10:00) Brisbane </t>
  </si>
  <si>
    <t>E. Australia Standard Time</t>
  </si>
  <si>
    <t>(UTC+10:00) Canberra, Melbourne, Sydney </t>
  </si>
  <si>
    <t>AUS Eastern Standard Time</t>
  </si>
  <si>
    <t>(UTC+10:00) Guam, Port Moresby </t>
  </si>
  <si>
    <t>West Pacific Standard Time</t>
  </si>
  <si>
    <t>(UTC+10:00) Hobart </t>
  </si>
  <si>
    <t>Tasmania Standard Time</t>
  </si>
  <si>
    <t>(UTC+10:00) Vladivostok </t>
  </si>
  <si>
    <t>Vladivostok Standard Time</t>
  </si>
  <si>
    <t>(UTC+10:30) Lord Howe Island </t>
  </si>
  <si>
    <t>Lord Howe Standard Time</t>
  </si>
  <si>
    <t>(UTC+11:00) Bougainville Island </t>
  </si>
  <si>
    <t>Bougainville Standard Time</t>
  </si>
  <si>
    <t>(UTC+11:00) Chokurdakh </t>
  </si>
  <si>
    <t>Russia Time Zone 10</t>
  </si>
  <si>
    <t>(UTC+11:00) Magadan </t>
  </si>
  <si>
    <t>Magadan Standard Time</t>
  </si>
  <si>
    <t>(UTC+11:00) Norfolk Island </t>
  </si>
  <si>
    <t>Norfolk Standard Time</t>
  </si>
  <si>
    <t>(UTC+11:00) Sakhalin </t>
  </si>
  <si>
    <t>Sakhalin Standard Time</t>
  </si>
  <si>
    <t>(UTC+11:00) Solomon Is., New Caledonia </t>
  </si>
  <si>
    <t>Central Pacific Standard Time</t>
  </si>
  <si>
    <t>(UTC+12:00) Anadyr, Petropavlovsk-Kamchatsky </t>
  </si>
  <si>
    <t>Russia Time Zone 11</t>
  </si>
  <si>
    <t>(UTC+12:00) Auckland, Wellington </t>
  </si>
  <si>
    <t>New Zealand Standard Time</t>
  </si>
  <si>
    <t>(UTC+12:00) Coordinated Universal Time+12 </t>
  </si>
  <si>
    <t>UTC+12</t>
  </si>
  <si>
    <t>(UTC+12:00) Fiji </t>
  </si>
  <si>
    <t>Fiji Standard Time</t>
  </si>
  <si>
    <t>(UTC+12:45) Chatham Islands </t>
  </si>
  <si>
    <t>Chatham Islands Standard Time</t>
  </si>
  <si>
    <t>(UTC+13:00) Coordinated Universal Time+13 </t>
  </si>
  <si>
    <t>UTC+13</t>
  </si>
  <si>
    <t>(UTC+13:00) Nuku’alofa </t>
  </si>
  <si>
    <t>Tonga Standard Time</t>
  </si>
  <si>
    <t>(UTC+13:00) Samoa </t>
  </si>
  <si>
    <t>Samoa Standard Time</t>
  </si>
  <si>
    <t>(UTC+14:00) Kiritimati Island </t>
  </si>
  <si>
    <t>Line Islands Standard Time</t>
  </si>
  <si>
    <t>Select Your Time</t>
  </si>
  <si>
    <t>Select time difference between Match local time and your local time. Date and time in Matches worksheet will be adjusted accordingly</t>
  </si>
  <si>
    <t>+0.5</t>
  </si>
  <si>
    <t>+1</t>
  </si>
  <si>
    <t>+1.5</t>
  </si>
  <si>
    <t>+2</t>
  </si>
  <si>
    <t>+2.5</t>
  </si>
  <si>
    <t>+3</t>
  </si>
  <si>
    <t>+3.5</t>
  </si>
  <si>
    <t>+4</t>
  </si>
  <si>
    <t>+4.5</t>
  </si>
  <si>
    <t>+5</t>
  </si>
  <si>
    <t>+5.5</t>
  </si>
  <si>
    <t>+6</t>
  </si>
  <si>
    <t>+6.5</t>
  </si>
  <si>
    <t>+7</t>
  </si>
  <si>
    <t>+7.5</t>
  </si>
  <si>
    <t>+8</t>
  </si>
  <si>
    <t>+8.5</t>
  </si>
  <si>
    <t>+9</t>
  </si>
  <si>
    <t>+9.5</t>
  </si>
  <si>
    <t>+10</t>
  </si>
  <si>
    <t>+10.5</t>
  </si>
  <si>
    <t>+11</t>
  </si>
  <si>
    <t>+11.5</t>
  </si>
  <si>
    <t>+12</t>
  </si>
  <si>
    <t>ABOUT</t>
  </si>
  <si>
    <t>LICENSE</t>
  </si>
  <si>
    <t>Editiion</t>
  </si>
  <si>
    <t>:</t>
  </si>
  <si>
    <t>Version</t>
  </si>
  <si>
    <t>License</t>
  </si>
  <si>
    <t>Single User</t>
  </si>
  <si>
    <t>Product Info</t>
  </si>
  <si>
    <t>Support</t>
  </si>
  <si>
    <t>support@journalsheet.com</t>
  </si>
  <si>
    <t>Copyrights ©</t>
  </si>
  <si>
    <t xml:space="preserve">*Only tie-breaker 1-7 are applied in this Euro 2020 Fixtures automatically. If after tie-breaker 7, teams still have equal rankings, tie-breaker 10 will be applied </t>
  </si>
  <si>
    <t>https://journalsheet.com</t>
  </si>
  <si>
    <t>2020 | journalSHEET.com</t>
  </si>
  <si>
    <t>You can purchase the Unprotected Version if you plan to learn the formula or used it for your commercial business (put your own logo, place it in your coffee shop etc)</t>
  </si>
  <si>
    <t>© 2020 | journalSHEET.com</t>
  </si>
  <si>
    <t>table rank 1</t>
  </si>
  <si>
    <t>1st</t>
  </si>
  <si>
    <t>2nd</t>
  </si>
  <si>
    <t>3rd</t>
  </si>
  <si>
    <t>4th</t>
  </si>
  <si>
    <t>5th</t>
  </si>
  <si>
    <t>6th</t>
  </si>
  <si>
    <t>7th</t>
  </si>
  <si>
    <t>8th</t>
  </si>
  <si>
    <t>musadya</t>
  </si>
  <si>
    <t>Rank</t>
  </si>
  <si>
    <t>FT</t>
  </si>
  <si>
    <t>PK</t>
  </si>
  <si>
    <t>Player 1</t>
  </si>
  <si>
    <t>Yann Sommer</t>
  </si>
  <si>
    <t>Manuel Neuer</t>
  </si>
  <si>
    <t>Player 2</t>
  </si>
  <si>
    <t>Kyle Walker</t>
  </si>
  <si>
    <t>Player 3</t>
  </si>
  <si>
    <t>Pepe</t>
  </si>
  <si>
    <t>Player 4</t>
  </si>
  <si>
    <t>Nico Elvedi</t>
  </si>
  <si>
    <t>Player 5</t>
  </si>
  <si>
    <t>Jan Vertonghen</t>
  </si>
  <si>
    <t>Player 6</t>
  </si>
  <si>
    <t>Domagoj Vida</t>
  </si>
  <si>
    <t>Player 7</t>
  </si>
  <si>
    <t>Antoine Griezmann</t>
  </si>
  <si>
    <t>Cristiano Ronaldo</t>
  </si>
  <si>
    <t>Player 8</t>
  </si>
  <si>
    <t>Player 9</t>
  </si>
  <si>
    <t>Olivier Giroud</t>
  </si>
  <si>
    <t>Harry Kane</t>
  </si>
  <si>
    <t>Romelu Lukaku</t>
  </si>
  <si>
    <t>Player 10</t>
  </si>
  <si>
    <t>Granit Xhaka</t>
  </si>
  <si>
    <t>Player 11</t>
  </si>
  <si>
    <t>Player 12</t>
  </si>
  <si>
    <t>Player 13</t>
  </si>
  <si>
    <t>Player 14</t>
  </si>
  <si>
    <t>Denis Zakaria</t>
  </si>
  <si>
    <t>Player 15</t>
  </si>
  <si>
    <t>Player 16</t>
  </si>
  <si>
    <t>John Stones</t>
  </si>
  <si>
    <t>Juraj Kucka</t>
  </si>
  <si>
    <t>Thomas Meunier</t>
  </si>
  <si>
    <t>Player 17</t>
  </si>
  <si>
    <t>Player 18</t>
  </si>
  <si>
    <t>Marcel Sabitzer</t>
  </si>
  <si>
    <t>Player 19</t>
  </si>
  <si>
    <t>Ondrej Duda</t>
  </si>
  <si>
    <t>Player 20</t>
  </si>
  <si>
    <t>Player 21</t>
  </si>
  <si>
    <t>Joshua Kimmich</t>
  </si>
  <si>
    <t>Player 22</t>
  </si>
  <si>
    <t>Player 23</t>
  </si>
  <si>
    <t>Xherdan Shaqiri</t>
  </si>
  <si>
    <t>All Players</t>
  </si>
  <si>
    <t>CR4</t>
  </si>
  <si>
    <t>CR5</t>
  </si>
  <si>
    <t>CR6</t>
  </si>
  <si>
    <t>CR7</t>
  </si>
  <si>
    <t>CR8</t>
  </si>
  <si>
    <t>CR9</t>
  </si>
  <si>
    <t>CR10</t>
  </si>
  <si>
    <t>CR11</t>
  </si>
  <si>
    <t>CR12</t>
  </si>
  <si>
    <t>CR13</t>
  </si>
  <si>
    <t>CR14</t>
  </si>
  <si>
    <t>CR15</t>
  </si>
  <si>
    <t>CR16</t>
  </si>
  <si>
    <t>CR17</t>
  </si>
  <si>
    <t>CR18</t>
  </si>
  <si>
    <t>CR19</t>
  </si>
  <si>
    <t>CR20</t>
  </si>
  <si>
    <t>CR21</t>
  </si>
  <si>
    <t>CR22</t>
  </si>
  <si>
    <t>CR23</t>
  </si>
  <si>
    <t>CR24</t>
  </si>
  <si>
    <t>CR25</t>
  </si>
  <si>
    <t>CR26</t>
  </si>
  <si>
    <t>CR27</t>
  </si>
  <si>
    <t>CR28</t>
  </si>
  <si>
    <t>CR29</t>
  </si>
  <si>
    <t>CR30</t>
  </si>
  <si>
    <t>CR31</t>
  </si>
  <si>
    <t>CR32</t>
  </si>
  <si>
    <t>CR33</t>
  </si>
  <si>
    <t>CR34</t>
  </si>
  <si>
    <t>CR35</t>
  </si>
  <si>
    <t>CR36</t>
  </si>
  <si>
    <t>CR37</t>
  </si>
  <si>
    <t>CR38</t>
  </si>
  <si>
    <t>CR39</t>
  </si>
  <si>
    <t>CR40</t>
  </si>
  <si>
    <t>CR41</t>
  </si>
  <si>
    <t>CR42</t>
  </si>
  <si>
    <t>CR43</t>
  </si>
  <si>
    <t>CR44</t>
  </si>
  <si>
    <t>CR45</t>
  </si>
  <si>
    <t>}</t>
  </si>
  <si>
    <t>Goal Scorer</t>
  </si>
  <si>
    <t>Goals</t>
  </si>
  <si>
    <t>Player Name</t>
  </si>
  <si>
    <t>4. If, after having applied criteria 1 to 3, teams still have an equal ranking, criteria 1 to 3 are reapplied exclusively to the matches between the teams who are still level to determine their final rankings. If this procedure does not lead to a decision, criteria 5 to 10 apply;</t>
  </si>
  <si>
    <t>Giovanni Di Lorenzo</t>
  </si>
  <si>
    <t>Jorginho</t>
  </si>
  <si>
    <t>Federico Chiesa</t>
  </si>
  <si>
    <t>Bryan Cristante</t>
  </si>
  <si>
    <t>Gianluigi Donnarumma</t>
  </si>
  <si>
    <t>Giacomo Raspadori</t>
  </si>
  <si>
    <t>Manuel Akanji</t>
  </si>
  <si>
    <t>Remo Freuler</t>
  </si>
  <si>
    <t>Ruben Vargas</t>
  </si>
  <si>
    <t>Yvon Mvogo</t>
  </si>
  <si>
    <t>Merih Demiral</t>
  </si>
  <si>
    <t>Kaan Ayhan</t>
  </si>
  <si>
    <t>Youri Tielemans</t>
  </si>
  <si>
    <t>Matz Sels</t>
  </si>
  <si>
    <t>Timothy Castagne</t>
  </si>
  <si>
    <t>Kasper Schmeichel</t>
  </si>
  <si>
    <t>Joachim Andersen</t>
  </si>
  <si>
    <t>Jannik Vestergaard</t>
  </si>
  <si>
    <t>Andreas Christensen</t>
  </si>
  <si>
    <t>Thomas Delaney</t>
  </si>
  <si>
    <t>Christian Eriksen</t>
  </si>
  <si>
    <t>Andreas Skov Olsen</t>
  </si>
  <si>
    <t>Kasper Dolberg</t>
  </si>
  <si>
    <t>Yussuf Poulsen</t>
  </si>
  <si>
    <t>Stefan Posch</t>
  </si>
  <si>
    <t>Florian Grillitsch</t>
  </si>
  <si>
    <t>Philipp Lienhart</t>
  </si>
  <si>
    <t>Christoph Baumgartner</t>
  </si>
  <si>
    <t>Matthijs de Ligt</t>
  </si>
  <si>
    <t>Stefan de Vrij</t>
  </si>
  <si>
    <t>Memphis Depay</t>
  </si>
  <si>
    <t>Daley Blind</t>
  </si>
  <si>
    <t>Denzel Dumfries</t>
  </si>
  <si>
    <t>David Zima</t>
  </si>
  <si>
    <t>Jordan Pickford</t>
  </si>
  <si>
    <t>Declan Rice</t>
  </si>
  <si>
    <t>Phil Foden</t>
  </si>
  <si>
    <t>Scott McTominay</t>
  </si>
  <si>
    <t>Grant Hanley</t>
  </si>
  <si>
    <t>Kieran Tierney</t>
  </si>
  <si>
    <t>John McGinn</t>
  </si>
  <si>
    <t>Ryan Christie</t>
  </si>
  <si>
    <t>Greg Taylor</t>
  </si>
  <si>
    <t>Liam Cooper</t>
  </si>
  <si>
    <t>Stuart Armstrong</t>
  </si>
  <si>
    <t>Billy Gilmour</t>
  </si>
  <si>
    <t>Denis Vavro</t>
  </si>
  <si>
    <t>Stanislav Lobotka</t>
  </si>
  <si>
    <t>Rodri</t>
  </si>
  <si>
    <t>Dani Olmo</t>
  </si>
  <si>
    <t>Mikel Oyarzabal</t>
  </si>
  <si>
    <t>Aymeric Laporte</t>
  </si>
  <si>
    <t>Benjamin Pavard</t>
  </si>
  <si>
    <t>Adrien Rabiot</t>
  </si>
  <si>
    <t>Mike Maignan</t>
  </si>
  <si>
    <t>Kai Havertz</t>
  </si>
  <si>
    <t>Jamal Musiala</t>
  </si>
  <si>
    <t>Attila Szalai</t>
  </si>
  <si>
    <t>Endre Botka</t>
  </si>
  <si>
    <t>Bernardo Silva</t>
  </si>
  <si>
    <t>Bruno Fernandes</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</si>
  <si>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</si>
  <si>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</si>
  <si>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</si>
  <si>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</si>
  <si>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</si>
  <si>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</si>
  <si>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</si>
  <si>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</si>
  <si>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</si>
  <si>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</si>
  <si>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</si>
  <si>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</si>
  <si>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</si>
  <si>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</si>
  <si>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</si>
  <si>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</si>
  <si>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</si>
  <si>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</si>
  <si>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</si>
  <si>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</si>
  <si>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</si>
  <si>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</si>
  <si>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</si>
  <si>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</si>
  <si>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</si>
  <si>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</si>
  <si>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'Player Database'!b6</t>
  </si>
  <si>
    <t>'Player Database'!b7</t>
  </si>
  <si>
    <t>'Player Database'!b8</t>
  </si>
  <si>
    <t>'Player Database'!b9</t>
  </si>
  <si>
    <t>'Player Database'!b10</t>
  </si>
  <si>
    <t>'Player Database'!b11</t>
  </si>
  <si>
    <t>'Player Database'!b12</t>
  </si>
  <si>
    <t>'Player Database'!b13</t>
  </si>
  <si>
    <t>'Player Database'!b14</t>
  </si>
  <si>
    <t>'Player Database'!b15</t>
  </si>
  <si>
    <t>'Player Database'!b16</t>
  </si>
  <si>
    <t>'Player Database'!b17</t>
  </si>
  <si>
    <t>'Player Database'!b18</t>
  </si>
  <si>
    <t>'Player Database'!b19</t>
  </si>
  <si>
    <t>'Player Database'!b20</t>
  </si>
  <si>
    <t>'Player Database'!b21</t>
  </si>
  <si>
    <t>'Player Database'!b22</t>
  </si>
  <si>
    <t>'Player Database'!b23</t>
  </si>
  <si>
    <t>'Player Database'!b24</t>
  </si>
  <si>
    <t>'Player Database'!b25</t>
  </si>
  <si>
    <t>'Player Database'!b26</t>
  </si>
  <si>
    <t>'Player Database'!b27</t>
  </si>
  <si>
    <t>'Player Database'!b28</t>
  </si>
  <si>
    <t>'Player Database'!b29</t>
  </si>
  <si>
    <t>'Player Database'!b30</t>
  </si>
  <si>
    <t>'Player Database'!b31</t>
  </si>
  <si>
    <t>US$ 11</t>
  </si>
  <si>
    <t>Top scorer rankings will be adjusted automatically. If several players are tied in top position, new table for those players will be shown in column F. Re-adjust their position by input correct position in column E (will be shown automatically)</t>
  </si>
  <si>
    <t>Albania</t>
  </si>
  <si>
    <t>Romania</t>
  </si>
  <si>
    <t>Serbia</t>
  </si>
  <si>
    <t>Slovenia</t>
  </si>
  <si>
    <t>Munich</t>
  </si>
  <si>
    <t>Cologne</t>
  </si>
  <si>
    <t>Berlin</t>
  </si>
  <si>
    <t>Dortmund</t>
  </si>
  <si>
    <t>Hamburg</t>
  </si>
  <si>
    <t>Stuttgart</t>
  </si>
  <si>
    <t>Gelsenkirchen</t>
  </si>
  <si>
    <t>Frankfurt</t>
  </si>
  <si>
    <t>Dusseldorf</t>
  </si>
  <si>
    <t>Leipzig</t>
  </si>
  <si>
    <t>Euro 2024 Fixtures</t>
  </si>
  <si>
    <t>Euro 2024 Horaire et Feuille de pointage</t>
  </si>
  <si>
    <t>Euro 2024 Spielplan</t>
  </si>
  <si>
    <t>Euro 2024 Pianificazione e Score Sheet</t>
  </si>
  <si>
    <t>Euro 2024 Horario y Score Hoja</t>
  </si>
  <si>
    <t>UEFA EURO 2024 Fixtures</t>
  </si>
  <si>
    <t>© 2024 | journalSHEET.com</t>
  </si>
  <si>
    <t>Czechia</t>
  </si>
  <si>
    <t>Türkiye</t>
  </si>
  <si>
    <t>EURO 2024 PLAYER DATA</t>
  </si>
  <si>
    <t>Etrit Berisha</t>
  </si>
  <si>
    <t>Elhan Kastrati</t>
  </si>
  <si>
    <t>Thomas Strakosha</t>
  </si>
  <si>
    <t>Iván Balliu</t>
  </si>
  <si>
    <t>Mario Mitaj</t>
  </si>
  <si>
    <t>Elseid Hysaj</t>
  </si>
  <si>
    <t>Berat Djimsiti</t>
  </si>
  <si>
    <t>Ardian Ismajli</t>
  </si>
  <si>
    <t>Klaus Gjasula</t>
  </si>
  <si>
    <t>Nedim Bajrami</t>
  </si>
  <si>
    <t>Qazim Laçi</t>
  </si>
  <si>
    <t>Ylber Ramadani</t>
  </si>
  <si>
    <t>Kristjan Asllani</t>
  </si>
  <si>
    <t>Jasir Asani</t>
  </si>
  <si>
    <t>Taulant Seferi</t>
  </si>
  <si>
    <t>Ernest Muçi</t>
  </si>
  <si>
    <t>Mirlind Daku</t>
  </si>
  <si>
    <t>Patrick Pentz</t>
  </si>
  <si>
    <t>Kevin Danso</t>
  </si>
  <si>
    <t>Flavius Daniliuc</t>
  </si>
  <si>
    <t>Nicolas Seiwald</t>
  </si>
  <si>
    <t>Konrad Laimer</t>
  </si>
  <si>
    <t>Matthias Seidl</t>
  </si>
  <si>
    <t>Romano Schmid</t>
  </si>
  <si>
    <t>Patrick Wimmer</t>
  </si>
  <si>
    <t>Thomas Kaminski</t>
  </si>
  <si>
    <t>Koen Casteels</t>
  </si>
  <si>
    <t>Zeno Debast</t>
  </si>
  <si>
    <t>Arthur Theate</t>
  </si>
  <si>
    <t>Wout Faes</t>
  </si>
  <si>
    <t>Amadou Onana</t>
  </si>
  <si>
    <t>Orel Mangala</t>
  </si>
  <si>
    <t>Aster Vranckx</t>
  </si>
  <si>
    <t>Arthur Vermeeren</t>
  </si>
  <si>
    <t>Charles De Ketelaere</t>
  </si>
  <si>
    <t>Leandro Trossard</t>
  </si>
  <si>
    <t>Johan Bakayoko</t>
  </si>
  <si>
    <t>Borna Sosa</t>
  </si>
  <si>
    <t>Lovro Majer</t>
  </si>
  <si>
    <t>Martin Baturina</t>
  </si>
  <si>
    <t>Jindřich Staněk</t>
  </si>
  <si>
    <t>Tomáš Chorý</t>
  </si>
  <si>
    <t>Mads Hermansen</t>
  </si>
  <si>
    <t>Rasmus Kristensen</t>
  </si>
  <si>
    <t>Victor Kristiansen</t>
  </si>
  <si>
    <t>Mathias Jensen</t>
  </si>
  <si>
    <t>Morten Hjulmand</t>
  </si>
  <si>
    <t>Aaron Ramsdale</t>
  </si>
  <si>
    <t>Lewis Dunk</t>
  </si>
  <si>
    <t>Joe Gomez</t>
  </si>
  <si>
    <t>Ezri Konsa</t>
  </si>
  <si>
    <t>Conor Gallagher</t>
  </si>
  <si>
    <t>Jude Bellingham</t>
  </si>
  <si>
    <t>Jarrod Bowen</t>
  </si>
  <si>
    <t>Anthony Gordon</t>
  </si>
  <si>
    <t>Bukayo Saka</t>
  </si>
  <si>
    <t>Cole Palmer</t>
  </si>
  <si>
    <t>Brice Samba</t>
  </si>
  <si>
    <t>Alphonse Areola</t>
  </si>
  <si>
    <t>William Saliba</t>
  </si>
  <si>
    <t>Dayot Upamecano</t>
  </si>
  <si>
    <t>Jonathan Clauss</t>
  </si>
  <si>
    <t>Eduardo Camavinga</t>
  </si>
  <si>
    <t>Youssouf Fofana</t>
  </si>
  <si>
    <t>Randal Kolo Muani</t>
  </si>
  <si>
    <t>Marcus Thuram</t>
  </si>
  <si>
    <t>Oliver Baumann</t>
  </si>
  <si>
    <t>Jonathan Tah</t>
  </si>
  <si>
    <t>David Raum</t>
  </si>
  <si>
    <t>Benjamin Henrichs</t>
  </si>
  <si>
    <t>Robin Koch</t>
  </si>
  <si>
    <t>Waldemar Anton</t>
  </si>
  <si>
    <t>Florian Wirtz</t>
  </si>
  <si>
    <t>Robert Andrich</t>
  </si>
  <si>
    <t>Zsolt Nagy</t>
  </si>
  <si>
    <t>Botond Balogh</t>
  </si>
  <si>
    <t>Milos Kerkez</t>
  </si>
  <si>
    <t>Dominik Szoboszlai</t>
  </si>
  <si>
    <t>Callum Styles</t>
  </si>
  <si>
    <t>Krisztofer Horváth</t>
  </si>
  <si>
    <t>Guglielmo Vicario</t>
  </si>
  <si>
    <t>Alex Meret</t>
  </si>
  <si>
    <t>Federico Dimarco</t>
  </si>
  <si>
    <t>Alessandro Buongiorno</t>
  </si>
  <si>
    <t>Matteo Darmian</t>
  </si>
  <si>
    <t>Andrea Cambiaso</t>
  </si>
  <si>
    <t>Raoul Bellanova</t>
  </si>
  <si>
    <t>Davide Frattesi</t>
  </si>
  <si>
    <t>Michael Folorunsho</t>
  </si>
  <si>
    <t>Bart Verbruggen</t>
  </si>
  <si>
    <t>Mark Flekken</t>
  </si>
  <si>
    <t>Virgil van Dijk</t>
  </si>
  <si>
    <t>Lutsharel Geertruida</t>
  </si>
  <si>
    <t>Jeremie Frimpong</t>
  </si>
  <si>
    <t>Xavi Simons</t>
  </si>
  <si>
    <t>Tijjani Reijnders</t>
  </si>
  <si>
    <t>Joey Veerman</t>
  </si>
  <si>
    <t>Jerdy Schouten</t>
  </si>
  <si>
    <t>Cody Gakpo</t>
  </si>
  <si>
    <t>Diogo Costa</t>
  </si>
  <si>
    <t>Diogo Dalot</t>
  </si>
  <si>
    <t>Vitinha</t>
  </si>
  <si>
    <t>Matheus Nunes</t>
  </si>
  <si>
    <t>Adrian Rus</t>
  </si>
  <si>
    <t>Vasile Mogoș</t>
  </si>
  <si>
    <t>Nicolae Stanciu</t>
  </si>
  <si>
    <t>Ianis Hagi</t>
  </si>
  <si>
    <t>Darius Olaru</t>
  </si>
  <si>
    <t>Marius Marin</t>
  </si>
  <si>
    <t>Florinel Coman</t>
  </si>
  <si>
    <t>Angus Gunn</t>
  </si>
  <si>
    <t>Zander Clark</t>
  </si>
  <si>
    <t>Liam Kelly</t>
  </si>
  <si>
    <t>Anthony Ralston</t>
  </si>
  <si>
    <t>Scott McKenna</t>
  </si>
  <si>
    <t>Jack Hendry</t>
  </si>
  <si>
    <t>Ryan Porteous</t>
  </si>
  <si>
    <t>Nemanja Gudelj</t>
  </si>
  <si>
    <t>Henrich Ravas</t>
  </si>
  <si>
    <t>Vernon De Marco</t>
  </si>
  <si>
    <t>Jan Oblak</t>
  </si>
  <si>
    <t>Vid Belec</t>
  </si>
  <si>
    <t>Jure Balkovec</t>
  </si>
  <si>
    <t>Jaka Bijol</t>
  </si>
  <si>
    <t>Timi Max Elšnik</t>
  </si>
  <si>
    <t>Nino Žugelj</t>
  </si>
  <si>
    <t>Jan Mlakar</t>
  </si>
  <si>
    <t>David Raya</t>
  </si>
  <si>
    <t>Robin Le Normand</t>
  </si>
  <si>
    <t>Dani Carvajal</t>
  </si>
  <si>
    <t>Mikel Merino</t>
  </si>
  <si>
    <t>Nico Williams</t>
  </si>
  <si>
    <t>Gregor Kobel</t>
  </si>
  <si>
    <t>Ricardo Rodriguez</t>
  </si>
  <si>
    <t>Renato Steffen</t>
  </si>
  <si>
    <t>Michel Aebischer</t>
  </si>
  <si>
    <t>Noah Okafor</t>
  </si>
  <si>
    <t>Zeki Amdouni</t>
  </si>
  <si>
    <t>Samet Akaydin</t>
  </si>
  <si>
    <t>Ahmetcan Kaplan</t>
  </si>
  <si>
    <t>EURO 2024 TOP SCORER</t>
  </si>
  <si>
    <t>Euro 2024 Fixtures with Top Scorer</t>
  </si>
  <si>
    <t>Go to journalSHEET.com for other Euro 2024 spreadsheets</t>
  </si>
  <si>
    <t>EURO 2024 FIXTURES | FULLY EDITABLE</t>
  </si>
  <si>
    <t>Poland</t>
  </si>
  <si>
    <t>Ukraine</t>
  </si>
  <si>
    <t>Georgia</t>
  </si>
  <si>
    <t>Albanie</t>
  </si>
  <si>
    <t>Albanien</t>
  </si>
  <si>
    <t>L'Autriche</t>
  </si>
  <si>
    <t>Tchéquie</t>
  </si>
  <si>
    <t>Cechia</t>
  </si>
  <si>
    <t>Chequia</t>
  </si>
  <si>
    <t>Allemagne</t>
  </si>
  <si>
    <t>Olanda</t>
  </si>
  <si>
    <t>Roumanie</t>
  </si>
  <si>
    <t>Rumänien</t>
  </si>
  <si>
    <t>Rumania</t>
  </si>
  <si>
    <t>Serbie</t>
  </si>
  <si>
    <t>Serbien</t>
  </si>
  <si>
    <t>Slovénie</t>
  </si>
  <si>
    <t>Slowenien</t>
  </si>
  <si>
    <t>Eslovenia</t>
  </si>
  <si>
    <t>Espagne</t>
  </si>
  <si>
    <t>Türkei</t>
  </si>
  <si>
    <t>Turquía</t>
  </si>
  <si>
    <t>Pologne</t>
  </si>
  <si>
    <t>Polen</t>
  </si>
  <si>
    <t>Polonia</t>
  </si>
  <si>
    <t>Ucraina</t>
  </si>
  <si>
    <t>Ucrania</t>
  </si>
  <si>
    <t>Géorgie</t>
  </si>
  <si>
    <t>Musa</t>
  </si>
  <si>
    <t>Jan Bednarek</t>
  </si>
  <si>
    <t>Jakub Kiwior</t>
  </si>
  <si>
    <t>Tymoteusz Puchacz</t>
  </si>
  <si>
    <t>Bartosz Salamon</t>
  </si>
  <si>
    <t>Sebastian Walukiewicz</t>
  </si>
  <si>
    <t>Kamil Grosicki</t>
  </si>
  <si>
    <t>Jakub Moder</t>
  </si>
  <si>
    <t>Bartosz Slisz</t>
  </si>
  <si>
    <t>Taras Romanczuk</t>
  </si>
  <si>
    <t>Robert Lewandowski</t>
  </si>
  <si>
    <t>Heorhiy Bushchan</t>
  </si>
  <si>
    <t>Anatoliy Trubin</t>
  </si>
  <si>
    <t>Andriy Lunin</t>
  </si>
  <si>
    <t>Mykola Matviyenko</t>
  </si>
  <si>
    <t>Vitaliy Mykolenko</t>
  </si>
  <si>
    <t>Illya Zabarnyi</t>
  </si>
  <si>
    <t>Oleksandr Tymchyk</t>
  </si>
  <si>
    <t>Yukhym Konoplya</t>
  </si>
  <si>
    <t>Bohdan Mykhaylichenko</t>
  </si>
  <si>
    <t>Valeriy Bondar</t>
  </si>
  <si>
    <t>Serhiy Sydorchuk</t>
  </si>
  <si>
    <t>Oleksandr Zinchenko</t>
  </si>
  <si>
    <t>Ruslan Malinovskyi</t>
  </si>
  <si>
    <t>Viktor Tsyhankov</t>
  </si>
  <si>
    <t>Oleksandr Zubkov</t>
  </si>
  <si>
    <t>Mykola Shaparenko</t>
  </si>
  <si>
    <t>Roman Yaremchuk</t>
  </si>
  <si>
    <t>Artem Dovbyk</t>
  </si>
  <si>
    <t>Giorgi Loria</t>
  </si>
  <si>
    <t>Giorgi Mamardashvili</t>
  </si>
  <si>
    <t>Luka Gugeshashvili</t>
  </si>
  <si>
    <t>Otar Kakabadze</t>
  </si>
  <si>
    <t>Lasha Dvali</t>
  </si>
  <si>
    <t>Guram Kashia</t>
  </si>
  <si>
    <t>Solomon Kvirkvelia</t>
  </si>
  <si>
    <t>Giorgi Gocholeishvili</t>
  </si>
  <si>
    <t>Luka Lochoshvili</t>
  </si>
  <si>
    <t>Giorgi Gvelesiani</t>
  </si>
  <si>
    <t>Levan Shengelia</t>
  </si>
  <si>
    <t>Giorgi Tsitaishvili</t>
  </si>
  <si>
    <t>Giorgi Kochorashvili</t>
  </si>
  <si>
    <t>Sandro Altunashvili</t>
  </si>
  <si>
    <t>Zuriko Davitashvili</t>
  </si>
  <si>
    <t>Giorgi Chakvetadze</t>
  </si>
  <si>
    <t>Otar Kiteishvili</t>
  </si>
  <si>
    <t>Budu Zivzivadze</t>
  </si>
  <si>
    <t>Giorgi Kvilitaia</t>
  </si>
  <si>
    <t>Khvicha Kvaratskhelia</t>
  </si>
  <si>
    <t>Péter Gulácsi</t>
  </si>
  <si>
    <t>Unai Simón</t>
  </si>
  <si>
    <t>Dominik Livaković</t>
  </si>
  <si>
    <t>Predrag Rajković</t>
  </si>
  <si>
    <t>Wojciech Szczęsny</t>
  </si>
  <si>
    <t>Heinz Lindner</t>
  </si>
  <si>
    <t>Martin Dúbravka</t>
  </si>
  <si>
    <t>Florin Niță</t>
  </si>
  <si>
    <t>Rui Patrício</t>
  </si>
  <si>
    <t>Mert Günok</t>
  </si>
  <si>
    <t>Antonio Rüdiger</t>
  </si>
  <si>
    <t>Ádám Lang</t>
  </si>
  <si>
    <t>Josip Stanišić</t>
  </si>
  <si>
    <t>Strahinja Pavlović</t>
  </si>
  <si>
    <t>Kieran Trippier</t>
  </si>
  <si>
    <t>Žan Karničnik</t>
  </si>
  <si>
    <t>Łukasz Skorupski</t>
  </si>
  <si>
    <t>Marek Rodák</t>
  </si>
  <si>
    <t>Horațiu Moldovan</t>
  </si>
  <si>
    <t>Nélson Semedo</t>
  </si>
  <si>
    <t>Zeki Çelik</t>
  </si>
  <si>
    <t>Andrew Robertson</t>
  </si>
  <si>
    <t>Álex Remiro</t>
  </si>
  <si>
    <t>Marin Pongračić</t>
  </si>
  <si>
    <t>Nemanja Stojić</t>
  </si>
  <si>
    <t>Luke Shaw</t>
  </si>
  <si>
    <t>Marcin Bułka</t>
  </si>
  <si>
    <t>Niklas Hedl</t>
  </si>
  <si>
    <t>Ferland Mendy</t>
  </si>
  <si>
    <t>Ștefan Târnovanu</t>
  </si>
  <si>
    <t>Oleksandr Svatok</t>
  </si>
  <si>
    <t>Tomáš Holeš</t>
  </si>
  <si>
    <t>Jesús Navas</t>
  </si>
  <si>
    <t>Joško Gvardiol</t>
  </si>
  <si>
    <t>Nikola Milenković</t>
  </si>
  <si>
    <t>David Brekalo</t>
  </si>
  <si>
    <t>Simon Kjær</t>
  </si>
  <si>
    <t>Maksym Taloverov</t>
  </si>
  <si>
    <t>Rúben Dias</t>
  </si>
  <si>
    <t>Robin Hranáč</t>
  </si>
  <si>
    <t>Pascal Groß</t>
  </si>
  <si>
    <t>Attila Fiola</t>
  </si>
  <si>
    <t>Fabian Schär</t>
  </si>
  <si>
    <t>Gianluca Mancini</t>
  </si>
  <si>
    <t>Arlind Ajeti</t>
  </si>
  <si>
    <t>Martin Erlić</t>
  </si>
  <si>
    <t>Nemanja Maksimović</t>
  </si>
  <si>
    <t>Jon Gorenc Stanković</t>
  </si>
  <si>
    <t>Joakim Mæhle</t>
  </si>
  <si>
    <t>Nathan Aké</t>
  </si>
  <si>
    <t>Jules Koundé</t>
  </si>
  <si>
    <t>Peter Pekarík</t>
  </si>
  <si>
    <t>Nicușor Bancu</t>
  </si>
  <si>
    <t>Vladimír Coufal</t>
  </si>
  <si>
    <t>Okay Yokuşlu</t>
  </si>
  <si>
    <t>Willi Orbán</t>
  </si>
  <si>
    <t>Nicolò Barella</t>
  </si>
  <si>
    <t>Josip Šutalo</t>
  </si>
  <si>
    <t>Marc Guéhi</t>
  </si>
  <si>
    <t>Bartosz Bereszyński</t>
  </si>
  <si>
    <t>Axel Witsel</t>
  </si>
  <si>
    <t>Milan Škriniar</t>
  </si>
  <si>
    <t>Andrei Burcă</t>
  </si>
  <si>
    <t>Taras Stepanenko</t>
  </si>
  <si>
    <t>João Palhinha</t>
  </si>
  <si>
    <t>Martin Vitík</t>
  </si>
  <si>
    <t>Orkun Kökçü</t>
  </si>
  <si>
    <t>Loïc Négo</t>
  </si>
  <si>
    <t>Rey Manaj</t>
  </si>
  <si>
    <t>Nacho</t>
  </si>
  <si>
    <t>Dušan Vlahović</t>
  </si>
  <si>
    <t>Benjamin Verbič</t>
  </si>
  <si>
    <t>Maximilian Wöber</t>
  </si>
  <si>
    <t>Kevin De Bruyne</t>
  </si>
  <si>
    <t>Norbert Gyömbér</t>
  </si>
  <si>
    <t>Ionuț Nedelcearu</t>
  </si>
  <si>
    <t>Andriy Yarmolenko</t>
  </si>
  <si>
    <t>Antonín Barák</t>
  </si>
  <si>
    <t>Kerem Aktürkoğlu</t>
  </si>
  <si>
    <t>Toni Kroos</t>
  </si>
  <si>
    <t>Callum McGregor</t>
  </si>
  <si>
    <t>Ádám Nagy</t>
  </si>
  <si>
    <t>Silvan Widmer</t>
  </si>
  <si>
    <t>Mateo Kovačić</t>
  </si>
  <si>
    <t>Luka Jović</t>
  </si>
  <si>
    <t>Trent Alexander-Arnold</t>
  </si>
  <si>
    <t>Sandi Lovrić</t>
  </si>
  <si>
    <t>Georginio Wijnaldum</t>
  </si>
  <si>
    <t>Aurélien Tchouaméni</t>
  </si>
  <si>
    <t>Dávid Hancko</t>
  </si>
  <si>
    <t>İsmail Yüksek</t>
  </si>
  <si>
    <t>Niclas Füllkrug</t>
  </si>
  <si>
    <t>Ché Adams</t>
  </si>
  <si>
    <t>Martin Ádám</t>
  </si>
  <si>
    <t>Cédric Zesiger</t>
  </si>
  <si>
    <t>Mateo Retegui</t>
  </si>
  <si>
    <t>Andrej Kramarić</t>
  </si>
  <si>
    <t>Aleksandar Mitrović</t>
  </si>
  <si>
    <t>Andraž Šporar</t>
  </si>
  <si>
    <t>Rasmus Højlund</t>
  </si>
  <si>
    <t>Wout Weghorst</t>
  </si>
  <si>
    <t>Andrei Rațiu</t>
  </si>
  <si>
    <t>Gonçalo Ramos</t>
  </si>
  <si>
    <t>Adam Hložek</t>
  </si>
  <si>
    <t>Cenk Tosun</t>
  </si>
  <si>
    <t>Leonidas Stergiou</t>
  </si>
  <si>
    <t>Lorenzo Pellegrini</t>
  </si>
  <si>
    <t>Marc Cucurella</t>
  </si>
  <si>
    <t>Luka Modrić</t>
  </si>
  <si>
    <t>Dušan Tadić</t>
  </si>
  <si>
    <t>Paweł Dawidowicz</t>
  </si>
  <si>
    <t>Kylian Mbappé</t>
  </si>
  <si>
    <t>Radu Drăgușin</t>
  </si>
  <si>
    <t>Mykhaylo Mudryk</t>
  </si>
  <si>
    <t>Patrik Schick</t>
  </si>
  <si>
    <t>Hakan Çalhanoğlu</t>
  </si>
  <si>
    <t>Chris Führich</t>
  </si>
  <si>
    <t>Armando Broja</t>
  </si>
  <si>
    <t>Álex Grimaldo</t>
  </si>
  <si>
    <t>Marcelo Brozović</t>
  </si>
  <si>
    <t>Filip Kostić</t>
  </si>
  <si>
    <t>Benjamin Šeško</t>
  </si>
  <si>
    <t>Gernot Trauner</t>
  </si>
  <si>
    <t>Ousmane Dembélé</t>
  </si>
  <si>
    <t>Yannick Carrasco</t>
  </si>
  <si>
    <t>João Félix</t>
  </si>
  <si>
    <t>Jan Kuchta</t>
  </si>
  <si>
    <t>Yusuf Yazıcı</t>
  </si>
  <si>
    <t>Dénes Dibusz</t>
  </si>
  <si>
    <t>Daniel Vivian</t>
  </si>
  <si>
    <t>Nediljko Labrović</t>
  </si>
  <si>
    <t>Đorđe Petrović</t>
  </si>
  <si>
    <t>Adam Obert</t>
  </si>
  <si>
    <t>Bogdan Racovițan</t>
  </si>
  <si>
    <t>José Sá</t>
  </si>
  <si>
    <t>David Douděra</t>
  </si>
  <si>
    <t>Uğurcan Çakır</t>
  </si>
  <si>
    <t>Thomas Müller</t>
  </si>
  <si>
    <t>András Schäfer</t>
  </si>
  <si>
    <t>Enea Mihaj</t>
  </si>
  <si>
    <t>Nikola Vlašić</t>
  </si>
  <si>
    <t>Miloš Veljković</t>
  </si>
  <si>
    <t>Erik Janža</t>
  </si>
  <si>
    <t>Justin Bijlow</t>
  </si>
  <si>
    <t>Leopold Querfeld</t>
  </si>
  <si>
    <t>N'Golo Kanté</t>
  </si>
  <si>
    <t>Sebastian Kóša</t>
  </si>
  <si>
    <t>Danilo Pereira</t>
  </si>
  <si>
    <t>Mojmír Chytil</t>
  </si>
  <si>
    <t>Maximilian Beier</t>
  </si>
  <si>
    <t>Bendegúz Bolla</t>
  </si>
  <si>
    <t>Fabián Ruiz</t>
  </si>
  <si>
    <t>Ivan Perišić</t>
  </si>
  <si>
    <t>Andrija Živković</t>
  </si>
  <si>
    <t>Jasmin Kurtić</t>
  </si>
  <si>
    <t>Mikkel Damsgaard</t>
  </si>
  <si>
    <t>Piotr Zieliński</t>
  </si>
  <si>
    <t>Dodi Lukebakio</t>
  </si>
  <si>
    <t>Răzvan Marin</t>
  </si>
  <si>
    <t>Heorhiy Sudakov</t>
  </si>
  <si>
    <t>Gonçalo Inácio</t>
  </si>
  <si>
    <t>Lukáš Provod</t>
  </si>
  <si>
    <t>Abdülkerim Bardakcı</t>
  </si>
  <si>
    <t>László Kleinheisler</t>
  </si>
  <si>
    <t>Riccardo Calafiori</t>
  </si>
  <si>
    <t>Mario Pašalić</t>
  </si>
  <si>
    <t>Srđan Babić</t>
  </si>
  <si>
    <t>Tomi Horvat</t>
  </si>
  <si>
    <t>Christian Nørgaard</t>
  </si>
  <si>
    <t>Przemysław Frankowski</t>
  </si>
  <si>
    <t>Micky van de Ven</t>
  </si>
  <si>
    <t>Alexandru Cicâldău</t>
  </si>
  <si>
    <t>João Neves</t>
  </si>
  <si>
    <t>David Jurásek</t>
  </si>
  <si>
    <t>Dániel Gazdag</t>
  </si>
  <si>
    <t>Fabian Rieder</t>
  </si>
  <si>
    <t>Medon Berisha</t>
  </si>
  <si>
    <t>Ante Budimir</t>
  </si>
  <si>
    <t>Srđan Mijailović</t>
  </si>
  <si>
    <t>Igor Vekić</t>
  </si>
  <si>
    <t>Sebastian Szymański</t>
  </si>
  <si>
    <t>Matěj Kovář</t>
  </si>
  <si>
    <t>İrfan Kahveci</t>
  </si>
  <si>
    <t>Nika Kvekveskiri</t>
  </si>
  <si>
    <t>Ardon Jashari</t>
  </si>
  <si>
    <t>Gianluca Scamacca</t>
  </si>
  <si>
    <t>Pedri</t>
  </si>
  <si>
    <t>Bruno Petković</t>
  </si>
  <si>
    <t>Ivan Ilić</t>
  </si>
  <si>
    <t>Ivan Toney</t>
  </si>
  <si>
    <t>Patrik Hrošovský</t>
  </si>
  <si>
    <t>Dennis Man</t>
  </si>
  <si>
    <t>Rafael Leão</t>
  </si>
  <si>
    <t>Václav Černý</t>
  </si>
  <si>
    <t>Maximilian Mittelstädt</t>
  </si>
  <si>
    <t>Lawrence Shankland</t>
  </si>
  <si>
    <t>Vincent Sierro</t>
  </si>
  <si>
    <t>Nicolò Fagioli</t>
  </si>
  <si>
    <t>Martín Zubimendi</t>
  </si>
  <si>
    <t>Luka Ivanušec</t>
  </si>
  <si>
    <t>Petar Ratkov</t>
  </si>
  <si>
    <t>Žan Vipotnik</t>
  </si>
  <si>
    <t>Alexander Bah</t>
  </si>
  <si>
    <t>Damian Szymański</t>
  </si>
  <si>
    <t>Donyell Malen</t>
  </si>
  <si>
    <t>Florian Kainz</t>
  </si>
  <si>
    <t>Warren Zaïre-Emery</t>
  </si>
  <si>
    <t>Valentin Mihăilă</t>
  </si>
  <si>
    <t>Volodymyr Brazhko</t>
  </si>
  <si>
    <t>Rúben Neves</t>
  </si>
  <si>
    <t>Ladislav Krejčí</t>
  </si>
  <si>
    <t>Kenan Yıldız</t>
  </si>
  <si>
    <t>Saba Lobzhanidze</t>
  </si>
  <si>
    <t>Leroy Sané</t>
  </si>
  <si>
    <t>Ryan Jack</t>
  </si>
  <si>
    <t>Barnabás Varga</t>
  </si>
  <si>
    <t>Breel Embolo</t>
  </si>
  <si>
    <t>Álex Baena</t>
  </si>
  <si>
    <t>Lazar Samardžić</t>
  </si>
  <si>
    <t>Ollie Watkins</t>
  </si>
  <si>
    <t>Žan Celar</t>
  </si>
  <si>
    <t>Jonas Wind</t>
  </si>
  <si>
    <t>Nicola Zalewski</t>
  </si>
  <si>
    <t>Brian Brobbey</t>
  </si>
  <si>
    <t>Matúš Bero</t>
  </si>
  <si>
    <t>Nuno Mendes</t>
  </si>
  <si>
    <t>Roland Sallai</t>
  </si>
  <si>
    <t>Steven Zuber</t>
  </si>
  <si>
    <t>Mattia Zaccagni</t>
  </si>
  <si>
    <t>Marko Pjaca</t>
  </si>
  <si>
    <t>Sergej Milinković-Savić</t>
  </si>
  <si>
    <t>Eberechi Eze</t>
  </si>
  <si>
    <t>Petar Stojanović</t>
  </si>
  <si>
    <t>Kingsley Coman</t>
  </si>
  <si>
    <t>Loïs Openda</t>
  </si>
  <si>
    <t>László Bénes</t>
  </si>
  <si>
    <t>João Cancelo</t>
  </si>
  <si>
    <t>Ondřej Lingr</t>
  </si>
  <si>
    <t>Barış Alper Yılmaz</t>
  </si>
  <si>
    <t>Gabriel Sigua</t>
  </si>
  <si>
    <t>İlkay Gündoğan</t>
  </si>
  <si>
    <t>Ross McCrorie</t>
  </si>
  <si>
    <t>Fermín López</t>
  </si>
  <si>
    <t>Mijat Gaćinović</t>
  </si>
  <si>
    <t>Vanja Drkušić</t>
  </si>
  <si>
    <t>Jacob Bruun Larsen</t>
  </si>
  <si>
    <t>Michał Skóraś</t>
  </si>
  <si>
    <t>Deian Sorescu</t>
  </si>
  <si>
    <t>Diogo Jota</t>
  </si>
  <si>
    <t>Lukáš Červ</t>
  </si>
  <si>
    <t>Marc-André ter Stegen</t>
  </si>
  <si>
    <t>Kenny McLean</t>
  </si>
  <si>
    <t>Péter Szappanos</t>
  </si>
  <si>
    <t>Stephan El Shaarawy</t>
  </si>
  <si>
    <t>Amir Abrashi</t>
  </si>
  <si>
    <t>Álvaro Morata</t>
  </si>
  <si>
    <t>Josip Juranović</t>
  </si>
  <si>
    <t>Saša Lukić</t>
  </si>
  <si>
    <t>Dean Henderson</t>
  </si>
  <si>
    <t>Adam Gnezda Čerin</t>
  </si>
  <si>
    <t>Frederik Rønnow</t>
  </si>
  <si>
    <t>Jakub Piotrowski</t>
  </si>
  <si>
    <t>Marco Grüll</t>
  </si>
  <si>
    <t>Théo Hernandez</t>
  </si>
  <si>
    <t>Jérémy Doku</t>
  </si>
  <si>
    <t>Tomáš Souček</t>
  </si>
  <si>
    <t>Altay Bayındır</t>
  </si>
  <si>
    <t>Georges Mikautadze</t>
  </si>
  <si>
    <t>Kevin Csoboth</t>
  </si>
  <si>
    <t>Alessandro Bastoni</t>
  </si>
  <si>
    <t>Ferran Torres</t>
  </si>
  <si>
    <t>Ivica Ivušić</t>
  </si>
  <si>
    <t>Vanja Milinković-Savić</t>
  </si>
  <si>
    <t>Pierre-Emile Højbjerg</t>
  </si>
  <si>
    <t>Alexander Prass</t>
  </si>
  <si>
    <t>Tomáš Rigo</t>
  </si>
  <si>
    <t>Adrian Șut</t>
  </si>
  <si>
    <t>Vítězslav Jaroš</t>
  </si>
  <si>
    <t>Semih Kılıçsoy</t>
  </si>
  <si>
    <t>Player 24</t>
  </si>
  <si>
    <t>James Forrest</t>
  </si>
  <si>
    <t>Márton Dárdai</t>
  </si>
  <si>
    <t>Marash Kumbulla</t>
  </si>
  <si>
    <t>Marco Pašalić</t>
  </si>
  <si>
    <t>Uroš Spajić</t>
  </si>
  <si>
    <t>Ibrahima Konaté</t>
  </si>
  <si>
    <t>Róbert Boženík</t>
  </si>
  <si>
    <t>António Silva</t>
  </si>
  <si>
    <t>Tomáš Vlček</t>
  </si>
  <si>
    <t>Jemal Tabidze</t>
  </si>
  <si>
    <t>Player 25</t>
  </si>
  <si>
    <t>Federico Gatti</t>
  </si>
  <si>
    <t>Naser Aliji</t>
  </si>
  <si>
    <t>Luka Sučić</t>
  </si>
  <si>
    <t>Filip Mladenović</t>
  </si>
  <si>
    <t>Kobbie Mainoo</t>
  </si>
  <si>
    <t>Adrian Zeljković</t>
  </si>
  <si>
    <t>Kacper Urbański</t>
  </si>
  <si>
    <t>Steven Bergwijn</t>
  </si>
  <si>
    <t>Bradley Barcola</t>
  </si>
  <si>
    <t>Maxim De Cuyper</t>
  </si>
  <si>
    <t>Lukáš Haraslín</t>
  </si>
  <si>
    <t>George Pușcaș</t>
  </si>
  <si>
    <t>Vladyslav Vanat</t>
  </si>
  <si>
    <t>Pedro Neto</t>
  </si>
  <si>
    <t>Pavel Šulc</t>
  </si>
  <si>
    <t>Player 26</t>
  </si>
  <si>
    <t>Deniz Undav</t>
  </si>
  <si>
    <t>Mihály Kata</t>
  </si>
  <si>
    <t>Dan Ndoye</t>
  </si>
  <si>
    <t>Arbër Hoxha</t>
  </si>
  <si>
    <t>Veljko Birmančević</t>
  </si>
  <si>
    <t>Adam Wharton</t>
  </si>
  <si>
    <t>Josip Iličić</t>
  </si>
  <si>
    <t>Anders Dreyer</t>
  </si>
  <si>
    <t>Ryan Gravenberch</t>
  </si>
  <si>
    <t>Marko Arnautović</t>
  </si>
  <si>
    <t>Tomáš Suslov</t>
  </si>
  <si>
    <t>Denis Alibec</t>
  </si>
  <si>
    <t>Francisco Conceição</t>
  </si>
  <si>
    <t>Matěj Jurásek</t>
  </si>
  <si>
    <t>Anzor Mekvabishvili</t>
  </si>
  <si>
    <t>Miha Blažič</t>
  </si>
  <si>
    <t>Karol Świderski</t>
  </si>
  <si>
    <t>Petr Ševčík</t>
  </si>
  <si>
    <t>Arda Güler</t>
  </si>
  <si>
    <t>Joselu</t>
  </si>
  <si>
    <t>Ľubomír Tupta</t>
  </si>
  <si>
    <t>Michael Gregoritsch</t>
  </si>
  <si>
    <t>Mathias Jørgensen</t>
  </si>
  <si>
    <t>Nico Schlotterbeck</t>
  </si>
  <si>
    <t>Salih Özcan</t>
  </si>
  <si>
    <t>Adam Buksa</t>
  </si>
  <si>
    <t>Phillipp Mwene</t>
  </si>
  <si>
    <t>Lewis Morgan</t>
  </si>
  <si>
    <t>Kwadwo Duah</t>
  </si>
  <si>
    <t>David Strelec</t>
  </si>
  <si>
    <t>Mert Müldür</t>
  </si>
  <si>
    <t>Tommy Conway</t>
  </si>
  <si>
    <t>Lamine Yamal</t>
  </si>
  <si>
    <t>Denis Drăguș</t>
  </si>
  <si>
    <t>Ian Maatsen</t>
  </si>
  <si>
    <t>Dávid Ďuriš</t>
  </si>
  <si>
    <t>Ferdi Kadıoğlu</t>
  </si>
  <si>
    <t>Joshua Zirkzee</t>
  </si>
  <si>
    <t>Krzysztof Piątek</t>
  </si>
  <si>
    <t>Andreas Weimann</t>
  </si>
  <si>
    <t>Leo Sauer</t>
  </si>
  <si>
    <t>Emre Can</t>
  </si>
  <si>
    <t>Maximilian Entrup</t>
  </si>
  <si>
    <t>Daniel Bîrligea</t>
  </si>
  <si>
    <t>Yunus Akgün</t>
  </si>
  <si>
    <t>Ayoze Pérez</t>
  </si>
  <si>
    <t>Ivan Schranz</t>
  </si>
  <si>
    <t>Bertuğ Yıldırım</t>
  </si>
  <si>
    <t>Antonio Rüdiger (og)</t>
  </si>
  <si>
    <t>2.57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</si>
</sst>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9]d\-mmm;@"/>
    <numFmt numFmtId="165" formatCode="m/d/yy\ h:mm;@"/>
    <numFmt numFmtId="166" formatCode="\+#,##0_);\(&quot;$&quot;#,##0\)"/>
    <numFmt numFmtId="167" formatCode="m/d/yy\ hh:mm;@"/>
    <numFmt numFmtId="168" formatCode="hh:mm;@"/>
    <numFmt numFmtId="169" formatCode="h:mm;@"/>
  </numFmts>
  <fonts count="46" x14ac:knownFonts="1">
    <font>
      <sz val="10"/>
      <name val="Arial"/>
    </font>
    <font>
      <sz val="8"/>
      <name val="Arial"/>
      <family val="2"/>
    </font>
    <font>
      <sz val="10"/>
      <name val="Calibri"/>
      <family val="2"/>
      <scheme val="minor"/>
    </font>
    <font>
      <b/>
      <sz val="10"/>
      <color theme="0"/>
      <name val="Calibri"/>
      <family val="2"/>
      <scheme val="minor"/>
    </font>
    <font>
      <sz val="11"/>
      <name val="Calibri"/>
      <family val="2"/>
      <scheme val="minor"/>
    </font>
    <font>
      <sz val="11"/>
      <color theme="0"/>
      <name val="Calibri"/>
      <family val="2"/>
      <scheme val="minor"/>
    </font>
    <font>
      <sz val="11"/>
      <color indexed="10"/>
      <name val="Calibri"/>
      <family val="2"/>
      <scheme val="minor"/>
    </font>
    <font>
      <sz val="11"/>
      <color indexed="9"/>
      <name val="Calibri"/>
      <family val="2"/>
      <scheme val="minor"/>
    </font>
    <font>
      <b/>
      <sz val="11"/>
      <name val="Calibri"/>
      <family val="2"/>
      <scheme val="minor"/>
    </font>
    <font>
      <sz val="11"/>
      <color rgb="FFFF0000"/>
      <name val="Calibri"/>
      <family val="2"/>
      <scheme val="minor"/>
    </font>
    <font>
      <b/>
      <sz val="11"/>
      <color rgb="FF0000FF"/>
      <name val="Calibri"/>
      <family val="2"/>
      <scheme val="minor"/>
    </font>
    <font>
      <b/>
      <sz val="11"/>
      <color theme="0"/>
      <name val="Calibri"/>
      <family val="2"/>
      <scheme val="minor"/>
    </font>
    <font>
      <sz val="11"/>
      <color theme="1" tint="0.249977111117893"/>
      <name val="Calibri"/>
      <family val="2"/>
      <scheme val="minor"/>
    </font>
    <font>
      <sz val="18"/>
      <color theme="0"/>
      <name val="Calibri"/>
      <family val="2"/>
      <scheme val="minor"/>
    </font>
    <font>
      <sz val="20"/>
      <color theme="8" tint="-0.499984740745262"/>
      <name val="Calibri"/>
      <family val="2"/>
      <scheme val="minor"/>
    </font>
    <font>
      <b/>
      <sz val="12"/>
      <color theme="0"/>
      <name val="Calibri"/>
      <family val="2"/>
      <scheme val="minor"/>
    </font>
    <font>
      <sz val="10"/>
      <color theme="1"/>
      <name val="Calibri"/>
      <family val="2"/>
      <scheme val="minor"/>
    </font>
    <font>
      <sz val="11"/>
      <name val="Wingdings 3"/>
      <family val="1"/>
      <charset val="2"/>
    </font>
    <font>
      <sz val="11"/>
      <color theme="0"/>
      <name val="Wingdings 3"/>
      <family val="1"/>
      <charset val="2"/>
    </font>
    <font>
      <b/>
      <sz val="28"/>
      <name val="Calibri"/>
      <family val="2"/>
      <scheme val="minor"/>
    </font>
    <font>
      <b/>
      <sz val="20"/>
      <color theme="8" tint="-0.499984740745262"/>
      <name val="Calibri"/>
      <family val="2"/>
      <scheme val="minor"/>
    </font>
    <font>
      <sz val="11"/>
      <color rgb="FF0000FF"/>
      <name val="Calibri"/>
      <family val="2"/>
      <scheme val="minor"/>
    </font>
    <font>
      <i/>
      <sz val="11"/>
      <color rgb="FF0000FF"/>
      <name val="Calibri"/>
      <family val="2"/>
      <scheme val="minor"/>
    </font>
    <font>
      <u/>
      <sz val="10"/>
      <color indexed="12"/>
      <name val="Arial"/>
      <family val="2"/>
    </font>
    <font>
      <u/>
      <sz val="11"/>
      <color theme="0" tint="-4.9989318521683403E-2"/>
      <name val="Calibri"/>
      <family val="2"/>
      <scheme val="minor"/>
    </font>
    <font>
      <u/>
      <sz val="11"/>
      <color theme="0"/>
      <name val="Calibri"/>
      <family val="2"/>
      <scheme val="minor"/>
    </font>
    <font>
      <sz val="11"/>
      <color theme="0" tint="-4.9989318521683403E-2"/>
      <name val="Calibri"/>
      <family val="2"/>
      <scheme val="minor"/>
    </font>
    <font>
      <sz val="12"/>
      <name val="Calibri"/>
      <family val="2"/>
      <scheme val="minor"/>
    </font>
    <font>
      <b/>
      <sz val="12"/>
      <name val="Calibri"/>
      <family val="2"/>
      <scheme val="minor"/>
    </font>
    <font>
      <b/>
      <sz val="20"/>
      <name val="Calibri"/>
      <family val="2"/>
      <scheme val="minor"/>
    </font>
    <font>
      <u/>
      <sz val="12"/>
      <color indexed="12"/>
      <name val="Calibri"/>
      <family val="2"/>
      <scheme val="minor"/>
    </font>
    <font>
      <b/>
      <sz val="10"/>
      <name val="Calibri"/>
      <family val="2"/>
      <scheme val="minor"/>
    </font>
    <font>
      <b/>
      <sz val="11"/>
      <color indexed="9"/>
      <name val="Calibri"/>
      <family val="2"/>
      <scheme val="minor"/>
    </font>
    <font>
      <b/>
      <sz val="11"/>
      <color theme="6" tint="-0.499984740745262"/>
      <name val="Calibri"/>
      <family val="2"/>
      <scheme val="minor"/>
    </font>
    <font>
      <b/>
      <sz val="16"/>
      <name val="Calibri"/>
      <family val="2"/>
      <scheme val="minor"/>
    </font>
    <font>
      <b/>
      <sz val="22"/>
      <name val="Calibri"/>
      <family val="2"/>
      <scheme val="minor"/>
    </font>
    <font>
      <sz val="28"/>
      <name val="Calibri"/>
      <family val="2"/>
      <scheme val="minor"/>
    </font>
    <font>
      <sz val="11"/>
      <color theme="8" tint="-0.499984740745262"/>
      <name val="Wingdings 3"/>
      <family val="1"/>
      <charset val="2"/>
    </font>
    <font>
      <sz val="11"/>
      <color theme="8" tint="-0.499984740745262"/>
      <name val="Calibri"/>
      <family val="2"/>
      <scheme val="minor"/>
    </font>
    <font>
      <b/>
      <sz val="11"/>
      <color theme="8" tint="-0.499984740745262"/>
      <name val="Calibri"/>
      <family val="2"/>
      <scheme val="minor"/>
    </font>
    <font>
      <sz val="10"/>
      <name val="Arial"/>
      <family val="2"/>
    </font>
    <font>
      <b/>
      <sz val="36"/>
      <name val="Calibri"/>
      <family val="2"/>
      <scheme val="minor"/>
    </font>
    <font>
      <b/>
      <sz val="28"/>
      <color theme="0"/>
      <name val="Calibri"/>
      <family val="2"/>
      <scheme val="minor"/>
    </font>
    <font>
      <sz val="10"/>
      <color theme="0"/>
      <name val="Arial"/>
      <family val="2"/>
    </font>
    <font>
      <b/>
      <sz val="11"/>
      <color rgb="FFFF0000"/>
      <name val="Calibri"/>
      <family val="2"/>
      <scheme val="minor"/>
    </font>
    <font>
      <sz val="10"/>
      <color theme="0"/>
      <name val="Calibri"/>
      <family val="2"/>
      <scheme val="minor"/>
    </font>
  </fonts>
  <fills count="22">
    <fill>
      <patternFill patternType="none"/>
    </fill>
    <fill>
      <patternFill patternType="gray125"/>
    </fill>
    <fill>
      <patternFill patternType="solid">
        <fgColor theme="3" tint="-0.249977111117893"/>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2"/>
        <bgColor indexed="64"/>
      </patternFill>
    </fill>
  </fills>
  <borders count="4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theme="8" tint="-0.499984740745262"/>
      </left>
      <right/>
      <top style="thin">
        <color theme="8" tint="-0.499984740745262"/>
      </top>
      <bottom style="thin">
        <color theme="8"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top style="thin">
        <color theme="8" tint="-0.499984740745262"/>
      </top>
      <bottom/>
      <diagonal/>
    </border>
    <border>
      <left/>
      <right/>
      <top style="thin">
        <color theme="8" tint="-0.499984740745262"/>
      </top>
      <bottom/>
      <diagonal/>
    </border>
    <border>
      <left/>
      <right style="thin">
        <color theme="8" tint="-0.499984740745262"/>
      </right>
      <top style="thin">
        <color theme="8" tint="-0.499984740745262"/>
      </top>
      <bottom/>
      <diagonal/>
    </border>
    <border>
      <left style="thin">
        <color theme="8" tint="-0.499984740745262"/>
      </left>
      <right/>
      <top/>
      <bottom style="thin">
        <color theme="8" tint="-0.499984740745262"/>
      </bottom>
      <diagonal/>
    </border>
    <border>
      <left/>
      <right/>
      <top/>
      <bottom style="thin">
        <color theme="8" tint="-0.499984740745262"/>
      </bottom>
      <diagonal/>
    </border>
    <border>
      <left/>
      <right style="thin">
        <color theme="8" tint="-0.499984740745262"/>
      </right>
      <top/>
      <bottom style="thin">
        <color theme="8" tint="-0.499984740745262"/>
      </bottom>
      <diagonal/>
    </border>
    <border>
      <left style="thin">
        <color theme="8" tint="-0.499984740745262"/>
      </left>
      <right/>
      <top/>
      <bottom/>
      <diagonal/>
    </border>
    <border>
      <left/>
      <right style="thin">
        <color theme="8" tint="-0.499984740745262"/>
      </right>
      <top/>
      <bottom/>
      <diagonal/>
    </border>
    <border>
      <left/>
      <right style="medium">
        <color theme="0"/>
      </right>
      <top style="thin">
        <color theme="8" tint="-0.499984740745262"/>
      </top>
      <bottom style="medium">
        <color theme="0"/>
      </bottom>
      <diagonal/>
    </border>
    <border>
      <left style="medium">
        <color theme="0"/>
      </left>
      <right/>
      <top style="thin">
        <color theme="8" tint="-0.499984740745262"/>
      </top>
      <bottom style="medium">
        <color theme="0"/>
      </bottom>
      <diagonal/>
    </border>
    <border>
      <left/>
      <right style="medium">
        <color theme="0"/>
      </right>
      <top style="thin">
        <color theme="8" tint="-0.499984740745262"/>
      </top>
      <bottom style="thin">
        <color theme="8" tint="-0.499984740745262"/>
      </bottom>
      <diagonal/>
    </border>
    <border>
      <left style="medium">
        <color theme="0"/>
      </left>
      <right/>
      <top style="thin">
        <color theme="8" tint="-0.499984740745262"/>
      </top>
      <bottom style="thin">
        <color theme="8" tint="-0.499984740745262"/>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
      <left/>
      <right/>
      <top style="thin">
        <color indexed="64"/>
      </top>
      <bottom style="thin">
        <color indexed="64"/>
      </bottom>
      <diagonal/>
    </border>
    <border>
      <left/>
      <right/>
      <top style="thin">
        <color theme="6" tint="-0.24994659260841701"/>
      </top>
      <bottom/>
      <diagonal/>
    </border>
    <border>
      <left style="thin">
        <color theme="6" tint="-0.24994659260841701"/>
      </left>
      <right style="thin">
        <color theme="6" tint="-0.24994659260841701"/>
      </right>
      <top style="thin">
        <color theme="6" tint="-0.24994659260841701"/>
      </top>
      <bottom style="thin">
        <color theme="6" tint="-0.24994659260841701"/>
      </bottom>
      <diagonal/>
    </border>
    <border>
      <left/>
      <right/>
      <top/>
      <bottom style="thin">
        <color theme="6" tint="-0.24994659260841701"/>
      </bottom>
      <diagonal/>
    </border>
    <border>
      <left/>
      <right/>
      <top/>
      <bottom style="thin">
        <color indexed="64"/>
      </bottom>
      <diagonal/>
    </border>
    <border>
      <left/>
      <right/>
      <top/>
      <bottom style="medium">
        <color indexed="64"/>
      </bottom>
      <diagonal/>
    </border>
    <border>
      <left/>
      <right/>
      <top style="thin">
        <color indexed="64"/>
      </top>
      <bottom/>
      <diagonal/>
    </border>
    <border>
      <left/>
      <right/>
      <top style="thin">
        <color theme="6" tint="-0.24994659260841701"/>
      </top>
      <bottom style="thin">
        <color theme="6" tint="-0.24994659260841701"/>
      </bottom>
      <diagonal/>
    </border>
    <border>
      <left/>
      <right/>
      <top style="thin">
        <color theme="8" tint="-0.24994659260841701"/>
      </top>
      <bottom/>
      <diagonal/>
    </border>
    <border>
      <left/>
      <right/>
      <top/>
      <bottom style="thin">
        <color theme="8" tint="-0.24994659260841701"/>
      </bottom>
      <diagonal/>
    </border>
    <border>
      <left style="thin">
        <color theme="8" tint="-0.24994659260841701"/>
      </left>
      <right style="thin">
        <color theme="8" tint="-0.24994659260841701"/>
      </right>
      <top style="thin">
        <color theme="8" tint="-0.24994659260841701"/>
      </top>
      <bottom style="thin">
        <color theme="8" tint="-0.24994659260841701"/>
      </bottom>
      <diagonal/>
    </border>
    <border>
      <left style="thin">
        <color theme="6" tint="-0.24994659260841701"/>
      </left>
      <right/>
      <top/>
      <bottom/>
      <diagonal/>
    </border>
    <border>
      <left/>
      <right style="medium">
        <color theme="0"/>
      </right>
      <top style="thin">
        <color theme="8" tint="-0.499984740745262"/>
      </top>
      <bottom/>
      <diagonal/>
    </border>
    <border>
      <left style="medium">
        <color theme="0"/>
      </left>
      <right/>
      <top style="thin">
        <color theme="8" tint="-0.499984740745262"/>
      </top>
      <bottom/>
      <diagonal/>
    </border>
    <border>
      <left/>
      <right style="medium">
        <color theme="0"/>
      </right>
      <top/>
      <bottom style="medium">
        <color theme="0"/>
      </bottom>
      <diagonal/>
    </border>
    <border>
      <left style="medium">
        <color theme="0"/>
      </left>
      <right/>
      <top/>
      <bottom style="medium">
        <color theme="0"/>
      </bottom>
      <diagonal/>
    </border>
    <border>
      <left style="medium">
        <color theme="0"/>
      </left>
      <right style="thin">
        <color theme="8" tint="-0.499984740745262"/>
      </right>
      <top style="thin">
        <color theme="8" tint="-0.499984740745262"/>
      </top>
      <bottom style="thin">
        <color theme="8" tint="-0.499984740745262"/>
      </bottom>
      <diagonal/>
    </border>
  </borders>
  <cellStyleXfs count="2">
    <xf numFmtId="0" fontId="0" fillId="0" borderId="0"/>
    <xf numFmtId="0" fontId="23" fillId="0" borderId="0" applyNumberFormat="0" applyFill="0" applyBorder="0" applyAlignment="0" applyProtection="0">
      <alignment vertical="top"/>
      <protection locked="0"/>
    </xf>
  </cellStyleXfs>
  <cellXfs count="332">
    <xf numFmtId="0" fontId="0" fillId="0" borderId="0" xfId="0"/>
    <xf numFmtId="0" fontId="2" fillId="0" borderId="0" xfId="0" applyFont="1" applyAlignment="1" applyProtection="1">
      <alignment vertical="center"/>
      <protection hidden="1"/>
    </xf>
    <xf numFmtId="0" fontId="4" fillId="0" borderId="0" xfId="0" applyFont="1" applyProtection="1">
      <protection hidden="1"/>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6" fillId="0" borderId="0" xfId="0" applyFont="1" applyAlignment="1" applyProtection="1">
      <alignment vertical="center"/>
      <protection hidden="1"/>
    </xf>
    <xf numFmtId="0" fontId="6" fillId="0" borderId="0" xfId="0" applyFont="1" applyProtection="1">
      <protection hidden="1"/>
    </xf>
    <xf numFmtId="0" fontId="4" fillId="0" borderId="0" xfId="0" applyFont="1" applyAlignment="1" applyProtection="1">
      <alignment horizontal="right" vertical="center"/>
      <protection hidden="1"/>
    </xf>
    <xf numFmtId="0" fontId="4" fillId="0" borderId="0" xfId="0" applyFont="1" applyAlignment="1" applyProtection="1">
      <alignment vertical="center" wrapText="1"/>
      <protection hidden="1"/>
    </xf>
    <xf numFmtId="16" fontId="4" fillId="0" borderId="0" xfId="0" applyNumberFormat="1" applyFont="1" applyAlignment="1" applyProtection="1">
      <alignment horizontal="right" vertical="center" wrapText="1" shrinkToFit="1"/>
      <protection hidden="1"/>
    </xf>
    <xf numFmtId="0" fontId="5" fillId="0" borderId="0" xfId="0" applyFont="1" applyAlignment="1" applyProtection="1">
      <alignment horizontal="left" vertical="center" indent="1"/>
      <protection hidden="1"/>
    </xf>
    <xf numFmtId="0" fontId="5" fillId="0" borderId="0" xfId="0" applyFont="1" applyAlignment="1" applyProtection="1">
      <alignment horizontal="left" indent="1"/>
      <protection hidden="1"/>
    </xf>
    <xf numFmtId="0" fontId="3" fillId="0" borderId="0" xfId="0" applyFont="1" applyAlignment="1" applyProtection="1">
      <alignment vertical="center"/>
      <protection hidden="1"/>
    </xf>
    <xf numFmtId="0" fontId="4" fillId="0" borderId="0" xfId="0" applyFont="1"/>
    <xf numFmtId="0" fontId="5" fillId="2" borderId="0" xfId="0" applyFont="1" applyFill="1" applyAlignment="1" applyProtection="1">
      <alignment vertical="center"/>
      <protection hidden="1"/>
    </xf>
    <xf numFmtId="0" fontId="10" fillId="7" borderId="0" xfId="0" applyFont="1" applyFill="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8" fillId="7" borderId="0" xfId="0" applyFont="1" applyFill="1" applyAlignment="1" applyProtection="1">
      <alignment horizontal="center" vertical="center"/>
      <protection hidden="1"/>
    </xf>
    <xf numFmtId="0" fontId="10" fillId="7" borderId="0" xfId="0" quotePrefix="1" applyFont="1" applyFill="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4" fillId="0" borderId="0" xfId="0" applyFont="1" applyAlignment="1">
      <alignment vertical="center"/>
    </xf>
    <xf numFmtId="0" fontId="4" fillId="0" borderId="4" xfId="0" applyFont="1" applyBorder="1" applyAlignment="1">
      <alignment vertical="center"/>
    </xf>
    <xf numFmtId="0" fontId="4" fillId="0" borderId="1" xfId="0" applyFont="1" applyBorder="1" applyAlignment="1">
      <alignment vertical="center"/>
    </xf>
    <xf numFmtId="0" fontId="5" fillId="0" borderId="0" xfId="0" applyFont="1" applyProtection="1">
      <protection hidden="1"/>
    </xf>
    <xf numFmtId="0" fontId="4" fillId="0" borderId="0" xfId="0" applyFont="1" applyAlignment="1" applyProtection="1">
      <alignment wrapText="1"/>
      <protection hidden="1"/>
    </xf>
    <xf numFmtId="0" fontId="7" fillId="0" borderId="0" xfId="0" applyFont="1" applyProtection="1">
      <protection hidden="1"/>
    </xf>
    <xf numFmtId="0" fontId="5" fillId="0" borderId="0" xfId="0" applyFont="1" applyAlignment="1" applyProtection="1">
      <alignment horizontal="center"/>
      <protection locked="0"/>
    </xf>
    <xf numFmtId="0" fontId="9" fillId="0" borderId="0" xfId="0" applyFont="1" applyProtection="1">
      <protection hidden="1"/>
    </xf>
    <xf numFmtId="0" fontId="12" fillId="0" borderId="0" xfId="0" applyFont="1" applyAlignment="1" applyProtection="1">
      <alignment horizontal="center" vertical="center"/>
      <protection hidden="1"/>
    </xf>
    <xf numFmtId="0" fontId="4" fillId="0" borderId="0" xfId="0" applyFont="1" applyAlignment="1" applyProtection="1">
      <alignment horizontal="right"/>
      <protection hidden="1"/>
    </xf>
    <xf numFmtId="0" fontId="11" fillId="13" borderId="0" xfId="0" applyFont="1" applyFill="1" applyAlignment="1" applyProtection="1">
      <alignment horizontal="left" vertical="center"/>
      <protection hidden="1"/>
    </xf>
    <xf numFmtId="0" fontId="5" fillId="13" borderId="0" xfId="0" applyFont="1" applyFill="1" applyAlignment="1" applyProtection="1">
      <alignment horizontal="center" vertical="center"/>
      <protection hidden="1"/>
    </xf>
    <xf numFmtId="0" fontId="5" fillId="14" borderId="0" xfId="0" applyFont="1" applyFill="1" applyAlignment="1" applyProtection="1">
      <alignment horizontal="center" vertical="center"/>
      <protection hidden="1"/>
    </xf>
    <xf numFmtId="0" fontId="4" fillId="14" borderId="0" xfId="0" applyFont="1" applyFill="1" applyAlignment="1">
      <alignment vertical="center"/>
    </xf>
    <xf numFmtId="0" fontId="4" fillId="14" borderId="0" xfId="0" applyFont="1" applyFill="1" applyAlignment="1">
      <alignment horizontal="center" vertical="center"/>
    </xf>
    <xf numFmtId="0" fontId="8" fillId="15" borderId="0" xfId="0" applyFont="1" applyFill="1" applyAlignment="1" applyProtection="1">
      <alignment horizontal="center" vertical="center"/>
      <protection hidden="1"/>
    </xf>
    <xf numFmtId="0" fontId="5" fillId="13" borderId="0" xfId="0" applyFont="1" applyFill="1" applyAlignment="1" applyProtection="1">
      <alignment vertical="center"/>
      <protection hidden="1"/>
    </xf>
    <xf numFmtId="0" fontId="11" fillId="13" borderId="0" xfId="0" applyFont="1" applyFill="1" applyAlignment="1" applyProtection="1">
      <alignment vertical="center"/>
      <protection hidden="1"/>
    </xf>
    <xf numFmtId="0" fontId="4" fillId="9" borderId="5" xfId="0" applyFont="1" applyFill="1" applyBorder="1" applyAlignment="1" applyProtection="1">
      <alignment horizontal="center" vertical="center"/>
      <protection hidden="1"/>
    </xf>
    <xf numFmtId="16" fontId="4" fillId="0" borderId="6" xfId="0" applyNumberFormat="1" applyFont="1" applyBorder="1" applyAlignment="1" applyProtection="1">
      <alignment horizontal="right" vertical="center" wrapText="1" shrinkToFit="1"/>
      <protection hidden="1"/>
    </xf>
    <xf numFmtId="0" fontId="4" fillId="0" borderId="6" xfId="0" applyFont="1" applyBorder="1" applyAlignment="1" applyProtection="1">
      <alignment horizontal="right"/>
      <protection hidden="1"/>
    </xf>
    <xf numFmtId="0" fontId="4" fillId="0" borderId="6" xfId="0" applyFont="1" applyBorder="1" applyProtection="1">
      <protection hidden="1"/>
    </xf>
    <xf numFmtId="0" fontId="4" fillId="9" borderId="8" xfId="0" applyFont="1" applyFill="1" applyBorder="1" applyAlignment="1" applyProtection="1">
      <alignment horizontal="center" vertical="center"/>
      <protection hidden="1"/>
    </xf>
    <xf numFmtId="16" fontId="4" fillId="0" borderId="9" xfId="0" applyNumberFormat="1" applyFont="1" applyBorder="1" applyAlignment="1" applyProtection="1">
      <alignment horizontal="right" vertical="center" wrapText="1" shrinkToFit="1"/>
      <protection hidden="1"/>
    </xf>
    <xf numFmtId="0" fontId="4" fillId="0" borderId="9" xfId="0" applyFont="1" applyBorder="1" applyAlignment="1" applyProtection="1">
      <alignment horizontal="right"/>
      <protection hidden="1"/>
    </xf>
    <xf numFmtId="0" fontId="4" fillId="9" borderId="11" xfId="0" applyFont="1" applyFill="1" applyBorder="1" applyAlignment="1" applyProtection="1">
      <alignment horizontal="center" vertical="center"/>
      <protection hidden="1"/>
    </xf>
    <xf numFmtId="0" fontId="4" fillId="9" borderId="14" xfId="0" applyFont="1" applyFill="1" applyBorder="1" applyAlignment="1" applyProtection="1">
      <alignment horizontal="center" vertical="center"/>
      <protection hidden="1"/>
    </xf>
    <xf numFmtId="0" fontId="11" fillId="14" borderId="0" xfId="0" applyFont="1" applyFill="1" applyAlignment="1" applyProtection="1">
      <alignment horizontal="center" vertical="center"/>
      <protection hidden="1"/>
    </xf>
    <xf numFmtId="0" fontId="11" fillId="14" borderId="5" xfId="0" applyFont="1" applyFill="1" applyBorder="1" applyAlignment="1" applyProtection="1">
      <alignment horizontal="left" vertical="center"/>
      <protection hidden="1"/>
    </xf>
    <xf numFmtId="0" fontId="5" fillId="14" borderId="6" xfId="0" applyFont="1" applyFill="1" applyBorder="1" applyAlignment="1" applyProtection="1">
      <alignment vertical="center"/>
      <protection hidden="1"/>
    </xf>
    <xf numFmtId="0" fontId="11" fillId="14" borderId="6" xfId="0" applyFont="1" applyFill="1" applyBorder="1" applyAlignment="1" applyProtection="1">
      <alignment horizontal="center" vertical="center"/>
      <protection hidden="1"/>
    </xf>
    <xf numFmtId="0" fontId="11" fillId="14" borderId="6" xfId="0" applyFont="1" applyFill="1" applyBorder="1" applyAlignment="1" applyProtection="1">
      <alignment horizontal="center" vertical="center" wrapText="1"/>
      <protection hidden="1"/>
    </xf>
    <xf numFmtId="0" fontId="11" fillId="14" borderId="6" xfId="0" applyFont="1" applyFill="1" applyBorder="1" applyAlignment="1" applyProtection="1">
      <alignment horizontal="right" vertical="center"/>
      <protection hidden="1"/>
    </xf>
    <xf numFmtId="0" fontId="11" fillId="14" borderId="6" xfId="0" applyFont="1" applyFill="1" applyBorder="1" applyAlignment="1" applyProtection="1">
      <alignment horizontal="left" vertical="center"/>
      <protection hidden="1"/>
    </xf>
    <xf numFmtId="0" fontId="11" fillId="14" borderId="7" xfId="0" applyFont="1" applyFill="1" applyBorder="1" applyAlignment="1" applyProtection="1">
      <alignment vertical="center"/>
      <protection hidden="1"/>
    </xf>
    <xf numFmtId="164" fontId="4" fillId="0" borderId="9" xfId="0" applyNumberFormat="1" applyFont="1" applyBorder="1" applyAlignment="1" applyProtection="1">
      <alignment horizontal="right" vertical="center" wrapText="1" shrinkToFit="1"/>
      <protection hidden="1"/>
    </xf>
    <xf numFmtId="0" fontId="4" fillId="0" borderId="9" xfId="0" applyFont="1" applyBorder="1" applyAlignment="1" applyProtection="1">
      <alignment horizontal="right" vertical="center"/>
      <protection hidden="1"/>
    </xf>
    <xf numFmtId="0" fontId="4" fillId="0" borderId="9" xfId="0" applyFont="1" applyBorder="1" applyAlignment="1" applyProtection="1">
      <alignment vertical="center"/>
      <protection hidden="1"/>
    </xf>
    <xf numFmtId="0" fontId="11" fillId="13" borderId="5" xfId="0" applyFont="1" applyFill="1" applyBorder="1" applyAlignment="1" applyProtection="1">
      <alignment horizontal="left" vertical="center"/>
      <protection hidden="1"/>
    </xf>
    <xf numFmtId="0" fontId="5" fillId="13" borderId="6" xfId="0" applyFont="1" applyFill="1" applyBorder="1" applyAlignment="1" applyProtection="1">
      <alignment vertical="center"/>
      <protection hidden="1"/>
    </xf>
    <xf numFmtId="0" fontId="11" fillId="13" borderId="6" xfId="0" applyFont="1" applyFill="1" applyBorder="1" applyAlignment="1" applyProtection="1">
      <alignment horizontal="center" vertical="center"/>
      <protection hidden="1"/>
    </xf>
    <xf numFmtId="0" fontId="11" fillId="13" borderId="6" xfId="0" applyFont="1" applyFill="1" applyBorder="1" applyAlignment="1" applyProtection="1">
      <alignment horizontal="center" vertical="center" wrapText="1"/>
      <protection hidden="1"/>
    </xf>
    <xf numFmtId="0" fontId="11" fillId="13" borderId="6" xfId="0" applyFont="1" applyFill="1" applyBorder="1" applyAlignment="1" applyProtection="1">
      <alignment horizontal="right" vertical="center"/>
      <protection hidden="1"/>
    </xf>
    <xf numFmtId="0" fontId="11" fillId="13" borderId="6" xfId="0" applyFont="1" applyFill="1" applyBorder="1" applyAlignment="1" applyProtection="1">
      <alignment horizontal="left" vertical="center"/>
      <protection hidden="1"/>
    </xf>
    <xf numFmtId="0" fontId="11" fillId="13" borderId="7" xfId="0" applyFont="1" applyFill="1" applyBorder="1" applyAlignment="1" applyProtection="1">
      <alignment vertical="center"/>
      <protection hidden="1"/>
    </xf>
    <xf numFmtId="0" fontId="4" fillId="9" borderId="0" xfId="0" applyFont="1" applyFill="1" applyAlignment="1" applyProtection="1">
      <alignment vertical="center"/>
      <protection hidden="1"/>
    </xf>
    <xf numFmtId="16" fontId="4" fillId="10" borderId="0" xfId="0" applyNumberFormat="1" applyFont="1" applyFill="1" applyAlignment="1" applyProtection="1">
      <alignment horizontal="right" vertical="center" wrapText="1" shrinkToFit="1"/>
      <protection hidden="1"/>
    </xf>
    <xf numFmtId="0" fontId="4" fillId="10" borderId="0" xfId="0" applyFont="1" applyFill="1" applyAlignment="1" applyProtection="1">
      <alignment horizontal="right" vertical="center"/>
      <protection hidden="1"/>
    </xf>
    <xf numFmtId="0" fontId="4" fillId="10" borderId="0" xfId="0" applyFont="1" applyFill="1" applyAlignment="1" applyProtection="1">
      <alignment vertical="center"/>
      <protection hidden="1"/>
    </xf>
    <xf numFmtId="16" fontId="4" fillId="10" borderId="12" xfId="0" applyNumberFormat="1" applyFont="1" applyFill="1" applyBorder="1" applyAlignment="1" applyProtection="1">
      <alignment horizontal="right" vertical="center" wrapText="1" shrinkToFit="1"/>
      <protection hidden="1"/>
    </xf>
    <xf numFmtId="0" fontId="4" fillId="10" borderId="12" xfId="0" applyFont="1" applyFill="1" applyBorder="1" applyAlignment="1" applyProtection="1">
      <alignment horizontal="right" vertical="center"/>
      <protection hidden="1"/>
    </xf>
    <xf numFmtId="0" fontId="4" fillId="10" borderId="12" xfId="0" applyFont="1" applyFill="1" applyBorder="1" applyAlignment="1" applyProtection="1">
      <alignment vertical="center"/>
      <protection hidden="1"/>
    </xf>
    <xf numFmtId="0" fontId="4" fillId="9" borderId="0" xfId="0" applyFont="1" applyFill="1" applyProtection="1">
      <protection hidden="1"/>
    </xf>
    <xf numFmtId="0" fontId="4" fillId="10" borderId="0" xfId="0" applyFont="1" applyFill="1" applyAlignment="1" applyProtection="1">
      <alignment horizontal="right"/>
      <protection hidden="1"/>
    </xf>
    <xf numFmtId="0" fontId="4" fillId="10" borderId="0" xfId="0" applyFont="1" applyFill="1" applyProtection="1">
      <protection hidden="1"/>
    </xf>
    <xf numFmtId="0" fontId="4" fillId="10" borderId="12" xfId="0" applyFont="1" applyFill="1" applyBorder="1" applyAlignment="1" applyProtection="1">
      <alignment horizontal="right"/>
      <protection hidden="1"/>
    </xf>
    <xf numFmtId="0" fontId="4" fillId="10" borderId="12" xfId="0" applyFont="1" applyFill="1" applyBorder="1" applyProtection="1">
      <protection hidden="1"/>
    </xf>
    <xf numFmtId="0" fontId="8" fillId="9" borderId="0" xfId="0" applyFont="1" applyFill="1" applyAlignment="1" applyProtection="1">
      <alignment horizontal="center" vertical="center"/>
      <protection hidden="1"/>
    </xf>
    <xf numFmtId="0" fontId="8" fillId="16" borderId="0" xfId="0" applyFont="1" applyFill="1" applyAlignment="1" applyProtection="1">
      <alignment horizontal="center" vertical="center"/>
      <protection hidden="1"/>
    </xf>
    <xf numFmtId="0" fontId="4" fillId="11" borderId="0" xfId="0" applyFont="1" applyFill="1" applyAlignment="1" applyProtection="1">
      <alignment horizontal="center" vertical="center"/>
      <protection hidden="1"/>
    </xf>
    <xf numFmtId="0" fontId="10" fillId="15" borderId="0" xfId="0" applyFont="1" applyFill="1" applyAlignment="1" applyProtection="1">
      <alignment horizontal="center" vertical="center"/>
      <protection hidden="1"/>
    </xf>
    <xf numFmtId="0" fontId="10" fillId="15" borderId="0" xfId="0" quotePrefix="1" applyFont="1" applyFill="1" applyAlignment="1" applyProtection="1">
      <alignment horizontal="center" vertical="center"/>
      <protection hidden="1"/>
    </xf>
    <xf numFmtId="0" fontId="4" fillId="15" borderId="0" xfId="0" applyFont="1" applyFill="1" applyAlignment="1" applyProtection="1">
      <alignment horizontal="center" vertical="center"/>
      <protection hidden="1"/>
    </xf>
    <xf numFmtId="0" fontId="4" fillId="7" borderId="0" xfId="0" applyFont="1" applyFill="1" applyAlignment="1" applyProtection="1">
      <alignment horizontal="center" vertical="center"/>
      <protection hidden="1"/>
    </xf>
    <xf numFmtId="0" fontId="10" fillId="18" borderId="0" xfId="0" applyFont="1" applyFill="1" applyAlignment="1" applyProtection="1">
      <alignment horizontal="center" vertical="center"/>
      <protection hidden="1"/>
    </xf>
    <xf numFmtId="0" fontId="10" fillId="18" borderId="0" xfId="0" quotePrefix="1" applyFont="1" applyFill="1" applyAlignment="1" applyProtection="1">
      <alignment horizontal="center" vertical="center"/>
      <protection hidden="1"/>
    </xf>
    <xf numFmtId="0" fontId="4" fillId="18" borderId="0" xfId="0" applyFont="1" applyFill="1" applyAlignment="1" applyProtection="1">
      <alignment horizontal="center" vertical="center"/>
      <protection hidden="1"/>
    </xf>
    <xf numFmtId="0" fontId="8" fillId="18" borderId="0" xfId="0" applyFont="1" applyFill="1" applyAlignment="1" applyProtection="1">
      <alignment horizontal="center" vertical="center"/>
      <protection hidden="1"/>
    </xf>
    <xf numFmtId="0" fontId="11" fillId="14" borderId="0" xfId="0" quotePrefix="1" applyFont="1" applyFill="1" applyAlignment="1" applyProtection="1">
      <alignment horizontal="center" vertical="center"/>
      <protection hidden="1"/>
    </xf>
    <xf numFmtId="0" fontId="5" fillId="13" borderId="0" xfId="0" applyFont="1" applyFill="1" applyAlignment="1" applyProtection="1">
      <alignment horizontal="left" vertical="center" indent="1"/>
      <protection hidden="1"/>
    </xf>
    <xf numFmtId="0" fontId="5" fillId="9" borderId="0" xfId="0" applyFont="1" applyFill="1" applyAlignment="1" applyProtection="1">
      <alignment horizontal="center"/>
      <protection locked="0"/>
    </xf>
    <xf numFmtId="0" fontId="9" fillId="9" borderId="0" xfId="0" applyFont="1" applyFill="1" applyProtection="1">
      <protection hidden="1"/>
    </xf>
    <xf numFmtId="0" fontId="6" fillId="9" borderId="0" xfId="0" applyFont="1" applyFill="1" applyProtection="1">
      <protection hidden="1"/>
    </xf>
    <xf numFmtId="0" fontId="5" fillId="9" borderId="0" xfId="0" applyFont="1" applyFill="1" applyAlignment="1" applyProtection="1">
      <alignment horizontal="left" indent="1"/>
      <protection hidden="1"/>
    </xf>
    <xf numFmtId="0" fontId="4" fillId="6" borderId="0" xfId="0" applyFont="1" applyFill="1" applyAlignment="1" applyProtection="1">
      <alignment horizontal="center" vertical="center"/>
      <protection hidden="1"/>
    </xf>
    <xf numFmtId="0" fontId="14" fillId="9" borderId="0" xfId="0" applyFont="1" applyFill="1" applyAlignment="1" applyProtection="1">
      <alignment vertical="center"/>
      <protection hidden="1"/>
    </xf>
    <xf numFmtId="0" fontId="15" fillId="13" borderId="0" xfId="0" applyFont="1" applyFill="1" applyAlignment="1" applyProtection="1">
      <alignment vertical="center"/>
      <protection hidden="1"/>
    </xf>
    <xf numFmtId="0" fontId="4" fillId="17" borderId="0" xfId="0" applyFont="1" applyFill="1" applyAlignment="1" applyProtection="1">
      <alignment horizontal="center" vertical="center"/>
      <protection hidden="1"/>
    </xf>
    <xf numFmtId="0" fontId="10" fillId="17" borderId="0" xfId="0" applyFont="1" applyFill="1" applyAlignment="1" applyProtection="1">
      <alignment horizontal="center" vertical="center"/>
      <protection hidden="1"/>
    </xf>
    <xf numFmtId="0" fontId="10" fillId="17" borderId="0" xfId="0" quotePrefix="1" applyFont="1" applyFill="1" applyAlignment="1" applyProtection="1">
      <alignment horizontal="center" vertical="center"/>
      <protection hidden="1"/>
    </xf>
    <xf numFmtId="0" fontId="8" fillId="17" borderId="0" xfId="0" applyFont="1" applyFill="1" applyAlignment="1" applyProtection="1">
      <alignment horizontal="center" vertical="center"/>
      <protection hidden="1"/>
    </xf>
    <xf numFmtId="0" fontId="4" fillId="19" borderId="0" xfId="0" applyFont="1" applyFill="1" applyAlignment="1" applyProtection="1">
      <alignment horizontal="center" vertical="center"/>
      <protection hidden="1"/>
    </xf>
    <xf numFmtId="0" fontId="10" fillId="19" borderId="0" xfId="0" applyFont="1" applyFill="1" applyAlignment="1" applyProtection="1">
      <alignment horizontal="center" vertical="center"/>
      <protection hidden="1"/>
    </xf>
    <xf numFmtId="0" fontId="10" fillId="19" borderId="0" xfId="0" quotePrefix="1" applyFont="1" applyFill="1" applyAlignment="1" applyProtection="1">
      <alignment horizontal="center" vertical="center"/>
      <protection hidden="1"/>
    </xf>
    <xf numFmtId="0" fontId="8" fillId="19" borderId="0" xfId="0" applyFont="1" applyFill="1" applyAlignment="1" applyProtection="1">
      <alignment horizontal="center" vertical="center"/>
      <protection hidden="1"/>
    </xf>
    <xf numFmtId="0" fontId="4" fillId="5" borderId="0" xfId="0" applyFont="1" applyFill="1" applyAlignment="1" applyProtection="1">
      <alignment horizontal="center" vertical="center"/>
      <protection hidden="1"/>
    </xf>
    <xf numFmtId="0" fontId="4" fillId="20" borderId="0" xfId="0" applyFont="1" applyFill="1" applyAlignment="1" applyProtection="1">
      <alignment horizontal="center" vertical="center"/>
      <protection hidden="1"/>
    </xf>
    <xf numFmtId="0" fontId="10" fillId="20" borderId="0" xfId="0" applyFont="1" applyFill="1" applyAlignment="1" applyProtection="1">
      <alignment horizontal="center" vertical="center"/>
      <protection hidden="1"/>
    </xf>
    <xf numFmtId="0" fontId="10" fillId="20" borderId="0" xfId="0" quotePrefix="1" applyFont="1" applyFill="1" applyAlignment="1" applyProtection="1">
      <alignment horizontal="center" vertical="center"/>
      <protection hidden="1"/>
    </xf>
    <xf numFmtId="0" fontId="8" fillId="20" borderId="0" xfId="0" applyFont="1" applyFill="1" applyAlignment="1" applyProtection="1">
      <alignment horizontal="center" vertical="center"/>
      <protection hidden="1"/>
    </xf>
    <xf numFmtId="0" fontId="4" fillId="12" borderId="0" xfId="0" applyFont="1" applyFill="1" applyAlignment="1" applyProtection="1">
      <alignment horizontal="center" vertical="center"/>
      <protection hidden="1"/>
    </xf>
    <xf numFmtId="0" fontId="4" fillId="8" borderId="0" xfId="0" applyFont="1" applyFill="1" applyAlignment="1" applyProtection="1">
      <alignment horizontal="center" vertical="center"/>
      <protection hidden="1"/>
    </xf>
    <xf numFmtId="0" fontId="4" fillId="10" borderId="3" xfId="0" applyFont="1" applyFill="1" applyBorder="1" applyAlignment="1" applyProtection="1">
      <alignment vertical="center"/>
      <protection locked="0"/>
    </xf>
    <xf numFmtId="0" fontId="4" fillId="10" borderId="2" xfId="0" applyFont="1" applyFill="1" applyBorder="1" applyAlignment="1" applyProtection="1">
      <alignment vertical="center"/>
      <protection locked="0"/>
    </xf>
    <xf numFmtId="0" fontId="11" fillId="14" borderId="20" xfId="0" applyFont="1" applyFill="1" applyBorder="1" applyAlignment="1" applyProtection="1">
      <alignment vertical="center"/>
      <protection locked="0"/>
    </xf>
    <xf numFmtId="0" fontId="4" fillId="10" borderId="2" xfId="0" applyFont="1" applyFill="1" applyBorder="1" applyAlignment="1">
      <alignment vertical="center"/>
    </xf>
    <xf numFmtId="0" fontId="11" fillId="14" borderId="21" xfId="0" applyFont="1" applyFill="1" applyBorder="1" applyAlignment="1">
      <alignment vertical="center"/>
    </xf>
    <xf numFmtId="0" fontId="5" fillId="13" borderId="2" xfId="0" applyFont="1" applyFill="1" applyBorder="1" applyAlignment="1">
      <alignment horizontal="right" vertical="center"/>
    </xf>
    <xf numFmtId="0" fontId="4" fillId="9" borderId="3" xfId="0" applyFont="1" applyFill="1" applyBorder="1" applyProtection="1">
      <protection locked="0"/>
    </xf>
    <xf numFmtId="0" fontId="4" fillId="0" borderId="2" xfId="0" applyFont="1" applyBorder="1" applyAlignment="1">
      <alignment vertical="center"/>
    </xf>
    <xf numFmtId="0" fontId="4" fillId="0" borderId="0" xfId="0" applyFont="1" applyAlignment="1" applyProtection="1">
      <alignment horizontal="left" indent="1"/>
      <protection hidden="1"/>
    </xf>
    <xf numFmtId="0" fontId="4" fillId="0" borderId="0" xfId="0" applyFont="1" applyAlignment="1" applyProtection="1">
      <alignment horizontal="center"/>
      <protection locked="0"/>
    </xf>
    <xf numFmtId="0" fontId="19" fillId="0" borderId="0" xfId="0" applyFont="1" applyAlignment="1" applyProtection="1">
      <alignment vertical="center"/>
      <protection hidden="1"/>
    </xf>
    <xf numFmtId="0" fontId="8" fillId="0" borderId="0" xfId="0" applyFont="1"/>
    <xf numFmtId="0" fontId="4" fillId="0" borderId="2" xfId="0" applyFont="1" applyBorder="1" applyAlignment="1">
      <alignment horizontal="center"/>
    </xf>
    <xf numFmtId="0" fontId="17" fillId="0" borderId="0" xfId="0" applyFont="1" applyAlignment="1">
      <alignment horizontal="center"/>
    </xf>
    <xf numFmtId="0" fontId="4" fillId="0" borderId="0" xfId="0" applyFont="1" applyAlignment="1">
      <alignment vertical="center" wrapText="1"/>
    </xf>
    <xf numFmtId="0" fontId="8" fillId="0" borderId="0" xfId="0" applyFont="1" applyAlignment="1">
      <alignment vertical="center"/>
    </xf>
    <xf numFmtId="0" fontId="17" fillId="0" borderId="0" xfId="0" applyFont="1" applyAlignment="1">
      <alignment vertical="center"/>
    </xf>
    <xf numFmtId="0" fontId="21" fillId="0" borderId="0" xfId="0" applyFont="1"/>
    <xf numFmtId="0" fontId="4" fillId="0" borderId="2" xfId="0" applyFont="1" applyBorder="1" applyAlignment="1">
      <alignment horizontal="center" vertical="center"/>
    </xf>
    <xf numFmtId="168" fontId="4" fillId="0" borderId="9" xfId="0" applyNumberFormat="1" applyFont="1" applyBorder="1" applyAlignment="1" applyProtection="1">
      <alignment horizontal="center" vertical="center"/>
      <protection hidden="1"/>
    </xf>
    <xf numFmtId="168" fontId="4" fillId="10" borderId="0" xfId="0" applyNumberFormat="1" applyFont="1" applyFill="1" applyAlignment="1" applyProtection="1">
      <alignment horizontal="center" vertical="center"/>
      <protection hidden="1"/>
    </xf>
    <xf numFmtId="168" fontId="4" fillId="0" borderId="0" xfId="0" applyNumberFormat="1" applyFont="1" applyAlignment="1" applyProtection="1">
      <alignment horizontal="center" vertical="center"/>
      <protection hidden="1"/>
    </xf>
    <xf numFmtId="168" fontId="4" fillId="10" borderId="12" xfId="0" applyNumberFormat="1" applyFont="1" applyFill="1" applyBorder="1" applyAlignment="1" applyProtection="1">
      <alignment horizontal="center" vertical="center"/>
      <protection hidden="1"/>
    </xf>
    <xf numFmtId="168" fontId="4" fillId="0" borderId="6" xfId="0" applyNumberFormat="1" applyFont="1" applyBorder="1" applyAlignment="1" applyProtection="1">
      <alignment horizontal="center" vertical="center"/>
      <protection hidden="1"/>
    </xf>
    <xf numFmtId="0" fontId="4" fillId="0" borderId="0" xfId="0" applyFont="1" applyAlignment="1" applyProtection="1">
      <alignment horizontal="center" vertical="center"/>
      <protection locked="0"/>
    </xf>
    <xf numFmtId="0" fontId="5" fillId="14" borderId="0" xfId="0" applyFont="1" applyFill="1"/>
    <xf numFmtId="0" fontId="11" fillId="14" borderId="0" xfId="0" applyFont="1" applyFill="1" applyAlignment="1">
      <alignment vertical="center"/>
    </xf>
    <xf numFmtId="0" fontId="5" fillId="14" borderId="0" xfId="0" quotePrefix="1" applyFont="1" applyFill="1" applyAlignment="1">
      <alignment horizontal="left"/>
    </xf>
    <xf numFmtId="0" fontId="24" fillId="14" borderId="0" xfId="1" applyFont="1" applyFill="1" applyBorder="1" applyAlignment="1" applyProtection="1"/>
    <xf numFmtId="0" fontId="25" fillId="14" borderId="0" xfId="1" applyFont="1" applyFill="1" applyBorder="1" applyAlignment="1" applyProtection="1"/>
    <xf numFmtId="0" fontId="5" fillId="14" borderId="0" xfId="0" applyFont="1" applyFill="1" applyAlignment="1" applyProtection="1">
      <alignment horizontal="center" vertical="center"/>
      <protection locked="0"/>
    </xf>
    <xf numFmtId="0" fontId="4" fillId="14" borderId="0" xfId="0" applyFont="1" applyFill="1" applyAlignment="1" applyProtection="1">
      <alignment horizontal="center" vertical="center"/>
      <protection locked="0"/>
    </xf>
    <xf numFmtId="0" fontId="22" fillId="0" borderId="0" xfId="0" applyFont="1" applyAlignment="1">
      <alignment horizontal="left" vertical="top" wrapText="1"/>
    </xf>
    <xf numFmtId="0" fontId="26" fillId="14" borderId="0" xfId="0" applyFont="1" applyFill="1" applyAlignment="1">
      <alignment horizontal="left"/>
    </xf>
    <xf numFmtId="0" fontId="2" fillId="0" borderId="0" xfId="0" applyFont="1"/>
    <xf numFmtId="0" fontId="27" fillId="0" borderId="0" xfId="0" applyFont="1"/>
    <xf numFmtId="0" fontId="2" fillId="0" borderId="24" xfId="0" applyFont="1" applyBorder="1"/>
    <xf numFmtId="0" fontId="2" fillId="0" borderId="25" xfId="0" applyFont="1" applyBorder="1"/>
    <xf numFmtId="0" fontId="2" fillId="0" borderId="26" xfId="0" applyFont="1" applyBorder="1"/>
    <xf numFmtId="0" fontId="2" fillId="0" borderId="27" xfId="0" applyFont="1" applyBorder="1"/>
    <xf numFmtId="0" fontId="2" fillId="0" borderId="28" xfId="0" applyFont="1" applyBorder="1"/>
    <xf numFmtId="0" fontId="2" fillId="9" borderId="27" xfId="0" applyFont="1" applyFill="1" applyBorder="1"/>
    <xf numFmtId="0" fontId="2" fillId="9" borderId="28" xfId="0" applyFont="1" applyFill="1" applyBorder="1"/>
    <xf numFmtId="0" fontId="2" fillId="9" borderId="29" xfId="0" applyFont="1" applyFill="1" applyBorder="1"/>
    <xf numFmtId="0" fontId="2" fillId="9" borderId="31" xfId="0" applyFont="1" applyFill="1" applyBorder="1"/>
    <xf numFmtId="0" fontId="28" fillId="0" borderId="0" xfId="0" applyFont="1"/>
    <xf numFmtId="0" fontId="2" fillId="0" borderId="0" xfId="0" applyFont="1" applyProtection="1">
      <protection hidden="1"/>
    </xf>
    <xf numFmtId="0" fontId="4" fillId="0" borderId="10" xfId="0" applyFont="1" applyBorder="1" applyAlignment="1" applyProtection="1">
      <alignment vertical="center"/>
      <protection locked="0"/>
    </xf>
    <xf numFmtId="0" fontId="4" fillId="10" borderId="15" xfId="0" applyFont="1" applyFill="1" applyBorder="1" applyAlignment="1" applyProtection="1">
      <alignment vertical="center"/>
      <protection locked="0"/>
    </xf>
    <xf numFmtId="0" fontId="4" fillId="0" borderId="15" xfId="0" applyFont="1" applyBorder="1" applyAlignment="1" applyProtection="1">
      <alignment vertical="center"/>
      <protection locked="0"/>
    </xf>
    <xf numFmtId="0" fontId="4" fillId="10" borderId="15" xfId="0" applyFont="1" applyFill="1" applyBorder="1" applyProtection="1">
      <protection locked="0"/>
    </xf>
    <xf numFmtId="0" fontId="4" fillId="0" borderId="15" xfId="0" applyFont="1" applyBorder="1" applyProtection="1">
      <protection locked="0"/>
    </xf>
    <xf numFmtId="0" fontId="4" fillId="10" borderId="13" xfId="0" applyFont="1" applyFill="1" applyBorder="1" applyProtection="1">
      <protection locked="0"/>
    </xf>
    <xf numFmtId="0" fontId="4" fillId="0" borderId="0" xfId="0" applyFont="1" applyAlignment="1">
      <alignment horizontal="center" vertical="center"/>
    </xf>
    <xf numFmtId="0" fontId="4" fillId="0" borderId="0" xfId="0" applyFont="1" applyAlignment="1" applyProtection="1">
      <alignment horizontal="left" vertical="center"/>
      <protection locked="0" hidden="1"/>
    </xf>
    <xf numFmtId="0" fontId="11" fillId="14" borderId="0" xfId="0" applyFont="1" applyFill="1" applyAlignment="1" applyProtection="1">
      <alignment horizontal="left" vertical="center"/>
      <protection hidden="1"/>
    </xf>
    <xf numFmtId="0" fontId="33" fillId="0" borderId="0" xfId="0" applyFont="1" applyAlignment="1" applyProtection="1">
      <alignment horizontal="center" vertical="center"/>
      <protection hidden="1"/>
    </xf>
    <xf numFmtId="0" fontId="33" fillId="0" borderId="0" xfId="0" applyFont="1" applyAlignment="1" applyProtection="1">
      <alignment vertical="center"/>
      <protection hidden="1"/>
    </xf>
    <xf numFmtId="0" fontId="5" fillId="0" borderId="0" xfId="0" applyFont="1" applyAlignment="1" applyProtection="1">
      <alignment vertical="center"/>
      <protection hidden="1"/>
    </xf>
    <xf numFmtId="0" fontId="4" fillId="3" borderId="34" xfId="0" applyFont="1" applyFill="1" applyBorder="1" applyAlignment="1" applyProtection="1">
      <alignment horizontal="center" vertical="center"/>
      <protection locked="0"/>
    </xf>
    <xf numFmtId="0" fontId="4" fillId="0" borderId="33" xfId="0" applyFont="1" applyBorder="1" applyAlignment="1" applyProtection="1">
      <alignment vertical="center"/>
      <protection locked="0"/>
    </xf>
    <xf numFmtId="0" fontId="4" fillId="0" borderId="0" xfId="0" applyFont="1" applyAlignment="1" applyProtection="1">
      <alignment vertical="center"/>
      <protection locked="0"/>
    </xf>
    <xf numFmtId="0" fontId="8" fillId="0" borderId="0" xfId="0" applyFont="1" applyAlignment="1" applyProtection="1">
      <alignment horizontal="center" vertical="center"/>
      <protection hidden="1"/>
    </xf>
    <xf numFmtId="0" fontId="8" fillId="0" borderId="0" xfId="0" applyFont="1" applyAlignment="1" applyProtection="1">
      <alignment vertical="center"/>
      <protection hidden="1"/>
    </xf>
    <xf numFmtId="0" fontId="4" fillId="0" borderId="39" xfId="0" applyFont="1" applyBorder="1" applyAlignment="1" applyProtection="1">
      <alignment vertical="center"/>
      <protection locked="0"/>
    </xf>
    <xf numFmtId="16" fontId="4" fillId="0" borderId="0" xfId="0" applyNumberFormat="1" applyFont="1" applyAlignment="1" applyProtection="1">
      <alignment horizontal="right" vertical="center"/>
      <protection locked="0" hidden="1"/>
    </xf>
    <xf numFmtId="169" fontId="4" fillId="0" borderId="0" xfId="0" applyNumberFormat="1" applyFont="1" applyAlignment="1" applyProtection="1">
      <alignment horizontal="right" vertical="center"/>
      <protection locked="0" hidden="1"/>
    </xf>
    <xf numFmtId="0" fontId="4" fillId="0" borderId="0" xfId="0" applyFont="1" applyAlignment="1" applyProtection="1">
      <alignment vertical="center"/>
      <protection locked="0" hidden="1"/>
    </xf>
    <xf numFmtId="0" fontId="6" fillId="0" borderId="0" xfId="0" applyFont="1" applyAlignment="1" applyProtection="1">
      <alignment vertical="center"/>
      <protection locked="0"/>
    </xf>
    <xf numFmtId="0" fontId="2" fillId="0" borderId="0" xfId="0" applyFont="1" applyAlignment="1">
      <alignment horizontal="center" vertical="center"/>
    </xf>
    <xf numFmtId="0" fontId="2" fillId="0" borderId="0" xfId="0" applyFont="1" applyAlignment="1">
      <alignment vertical="center"/>
    </xf>
    <xf numFmtId="0" fontId="36" fillId="0" borderId="0" xfId="0" applyFont="1" applyAlignment="1" applyProtection="1">
      <alignment vertical="center"/>
      <protection hidden="1"/>
    </xf>
    <xf numFmtId="16" fontId="4" fillId="0" borderId="40" xfId="0" applyNumberFormat="1" applyFont="1" applyBorder="1" applyAlignment="1" applyProtection="1">
      <alignment horizontal="center" vertical="center"/>
      <protection locked="0" hidden="1"/>
    </xf>
    <xf numFmtId="169" fontId="4" fillId="0" borderId="40" xfId="0" applyNumberFormat="1" applyFont="1" applyBorder="1" applyAlignment="1" applyProtection="1">
      <alignment horizontal="center" vertical="center"/>
      <protection locked="0" hidden="1"/>
    </xf>
    <xf numFmtId="0" fontId="4" fillId="0" borderId="40" xfId="0" applyFont="1" applyBorder="1" applyAlignment="1" applyProtection="1">
      <alignment horizontal="left" vertical="center"/>
      <protection locked="0" hidden="1"/>
    </xf>
    <xf numFmtId="0" fontId="4" fillId="0" borderId="41" xfId="0" applyFont="1" applyBorder="1" applyAlignment="1" applyProtection="1">
      <alignment horizontal="left" vertical="center"/>
      <protection locked="0" hidden="1"/>
    </xf>
    <xf numFmtId="0" fontId="4" fillId="9" borderId="42" xfId="0" applyFont="1" applyFill="1" applyBorder="1" applyAlignment="1" applyProtection="1">
      <alignment horizontal="center" vertical="center"/>
      <protection locked="0"/>
    </xf>
    <xf numFmtId="0" fontId="19" fillId="0" borderId="0" xfId="0" applyFont="1" applyAlignment="1" applyProtection="1">
      <alignment horizontal="center" vertical="center"/>
      <protection hidden="1"/>
    </xf>
    <xf numFmtId="0" fontId="37" fillId="0" borderId="0" xfId="0" applyFont="1" applyAlignment="1" applyProtection="1">
      <alignment horizontal="center" vertical="center"/>
      <protection locked="0"/>
    </xf>
    <xf numFmtId="0" fontId="38" fillId="14" borderId="0" xfId="0" applyFont="1" applyFill="1" applyAlignment="1">
      <alignment vertical="center"/>
    </xf>
    <xf numFmtId="0" fontId="4" fillId="0" borderId="40" xfId="0" applyFont="1" applyBorder="1" applyAlignment="1" applyProtection="1">
      <alignment vertical="center"/>
      <protection locked="0"/>
    </xf>
    <xf numFmtId="0" fontId="4" fillId="0" borderId="41" xfId="0" applyFont="1" applyBorder="1" applyAlignment="1" applyProtection="1">
      <alignment vertical="center"/>
      <protection locked="0"/>
    </xf>
    <xf numFmtId="0" fontId="38" fillId="0" borderId="0" xfId="0" applyFont="1" applyAlignment="1" applyProtection="1">
      <alignment vertical="center"/>
      <protection hidden="1"/>
    </xf>
    <xf numFmtId="0" fontId="39" fillId="0" borderId="0" xfId="0" applyFont="1" applyAlignment="1" applyProtection="1">
      <alignment vertical="center"/>
      <protection hidden="1"/>
    </xf>
    <xf numFmtId="0" fontId="8" fillId="0" borderId="0" xfId="0" applyFont="1" applyAlignment="1" applyProtection="1">
      <alignment horizontal="right" vertical="center"/>
      <protection hidden="1"/>
    </xf>
    <xf numFmtId="0" fontId="40" fillId="0" borderId="0" xfId="0" applyFont="1"/>
    <xf numFmtId="0" fontId="4" fillId="0" borderId="0" xfId="0" applyFont="1" applyAlignment="1" applyProtection="1">
      <alignment horizontal="left" vertical="center"/>
      <protection hidden="1"/>
    </xf>
    <xf numFmtId="0" fontId="32" fillId="14" borderId="0" xfId="0" applyFont="1" applyFill="1" applyAlignment="1" applyProtection="1">
      <alignment vertical="center"/>
      <protection hidden="1"/>
    </xf>
    <xf numFmtId="0" fontId="4" fillId="0" borderId="43" xfId="0" applyFont="1" applyBorder="1" applyAlignment="1" applyProtection="1">
      <alignment horizontal="center" vertical="center"/>
      <protection locked="0"/>
    </xf>
    <xf numFmtId="0" fontId="4" fillId="9" borderId="38" xfId="0" applyFont="1" applyFill="1" applyBorder="1" applyAlignment="1" applyProtection="1">
      <alignment vertical="center"/>
      <protection hidden="1"/>
    </xf>
    <xf numFmtId="0" fontId="4" fillId="9" borderId="38" xfId="0" applyFont="1" applyFill="1" applyBorder="1" applyAlignment="1" applyProtection="1">
      <alignment horizontal="center" vertical="center"/>
      <protection hidden="1"/>
    </xf>
    <xf numFmtId="0" fontId="35" fillId="9" borderId="0" xfId="0" applyFont="1" applyFill="1" applyAlignment="1" applyProtection="1">
      <alignment vertical="center"/>
      <protection hidden="1"/>
    </xf>
    <xf numFmtId="0" fontId="8" fillId="9" borderId="0" xfId="0" applyFont="1" applyFill="1" applyAlignment="1" applyProtection="1">
      <alignment vertical="center"/>
      <protection hidden="1"/>
    </xf>
    <xf numFmtId="0" fontId="4" fillId="9" borderId="36" xfId="0" applyFont="1" applyFill="1" applyBorder="1" applyAlignment="1" applyProtection="1">
      <alignment vertical="center"/>
      <protection hidden="1"/>
    </xf>
    <xf numFmtId="0" fontId="4" fillId="9" borderId="36" xfId="0" applyFont="1" applyFill="1" applyBorder="1" applyAlignment="1" applyProtection="1">
      <alignment horizontal="center" vertical="center"/>
      <protection hidden="1"/>
    </xf>
    <xf numFmtId="0" fontId="34" fillId="0" borderId="35" xfId="0" applyFont="1" applyBorder="1" applyProtection="1">
      <protection hidden="1"/>
    </xf>
    <xf numFmtId="0" fontId="19" fillId="0" borderId="35" xfId="0" applyFont="1" applyBorder="1" applyAlignment="1" applyProtection="1">
      <alignment vertical="center"/>
      <protection hidden="1"/>
    </xf>
    <xf numFmtId="0" fontId="36" fillId="0" borderId="35" xfId="0" applyFont="1" applyBorder="1" applyAlignment="1" applyProtection="1">
      <alignment vertical="center"/>
      <protection hidden="1"/>
    </xf>
    <xf numFmtId="0" fontId="8" fillId="0" borderId="37" xfId="0" applyFont="1" applyBorder="1" applyAlignment="1" applyProtection="1">
      <alignment horizontal="left" vertical="center"/>
      <protection hidden="1"/>
    </xf>
    <xf numFmtId="0" fontId="8" fillId="0" borderId="37" xfId="0" applyFont="1" applyBorder="1" applyAlignment="1" applyProtection="1">
      <alignment vertical="center"/>
      <protection hidden="1"/>
    </xf>
    <xf numFmtId="0" fontId="5" fillId="14" borderId="0" xfId="0" applyFont="1" applyFill="1" applyAlignment="1">
      <alignment vertical="center"/>
    </xf>
    <xf numFmtId="0" fontId="5" fillId="0" borderId="0" xfId="0" applyFont="1" applyAlignment="1">
      <alignment vertical="center"/>
    </xf>
    <xf numFmtId="0" fontId="42" fillId="0" borderId="0" xfId="0" applyFont="1" applyAlignment="1" applyProtection="1">
      <alignment vertical="center"/>
      <protection hidden="1"/>
    </xf>
    <xf numFmtId="0" fontId="5" fillId="0" borderId="0" xfId="0" applyFont="1" applyAlignment="1" applyProtection="1">
      <alignment horizontal="center" vertical="center"/>
      <protection hidden="1"/>
    </xf>
    <xf numFmtId="0" fontId="43" fillId="0" borderId="0" xfId="0" applyFont="1"/>
    <xf numFmtId="0" fontId="4" fillId="9" borderId="0" xfId="0" applyFont="1" applyFill="1" applyAlignment="1" applyProtection="1">
      <alignment horizontal="center" vertical="center"/>
      <protection hidden="1"/>
    </xf>
    <xf numFmtId="0" fontId="8" fillId="0" borderId="0" xfId="0" applyFont="1" applyAlignment="1" applyProtection="1">
      <alignment horizontal="left" vertical="center"/>
      <protection hidden="1"/>
    </xf>
    <xf numFmtId="0" fontId="8" fillId="14" borderId="0" xfId="0" applyFont="1" applyFill="1" applyAlignment="1" applyProtection="1">
      <alignment horizontal="left" vertical="center"/>
      <protection hidden="1"/>
    </xf>
    <xf numFmtId="0" fontId="8" fillId="14" borderId="0" xfId="0" applyFont="1" applyFill="1" applyAlignment="1" applyProtection="1">
      <alignment vertical="center"/>
      <protection hidden="1"/>
    </xf>
    <xf numFmtId="0" fontId="4" fillId="0" borderId="0" xfId="0" applyFont="1" applyAlignment="1" applyProtection="1">
      <alignment horizontal="left" vertical="center" indent="1"/>
      <protection hidden="1"/>
    </xf>
    <xf numFmtId="0" fontId="11" fillId="14" borderId="0" xfId="0" applyFont="1" applyFill="1" applyAlignment="1" applyProtection="1">
      <alignment vertical="center"/>
      <protection locked="0"/>
    </xf>
    <xf numFmtId="0" fontId="5" fillId="14" borderId="0" xfId="0" applyFont="1" applyFill="1" applyAlignment="1" applyProtection="1">
      <alignment vertical="center"/>
      <protection hidden="1"/>
    </xf>
    <xf numFmtId="0" fontId="11" fillId="14" borderId="0" xfId="0" applyFont="1" applyFill="1" applyAlignment="1" applyProtection="1">
      <alignment horizontal="center" vertical="center" wrapText="1"/>
      <protection hidden="1"/>
    </xf>
    <xf numFmtId="168" fontId="11" fillId="14" borderId="0" xfId="0" applyNumberFormat="1" applyFont="1" applyFill="1" applyAlignment="1" applyProtection="1">
      <alignment horizontal="center" vertical="center"/>
      <protection hidden="1"/>
    </xf>
    <xf numFmtId="0" fontId="11" fillId="14" borderId="0" xfId="0" applyFont="1" applyFill="1" applyAlignment="1" applyProtection="1">
      <alignment horizontal="right" vertical="center"/>
      <protection hidden="1"/>
    </xf>
    <xf numFmtId="0" fontId="4" fillId="0" borderId="13" xfId="0" applyFont="1" applyBorder="1" applyProtection="1">
      <protection locked="0"/>
    </xf>
    <xf numFmtId="0" fontId="4" fillId="4" borderId="16" xfId="0" applyFont="1" applyFill="1" applyBorder="1" applyAlignment="1" applyProtection="1">
      <alignment horizontal="center" vertical="center"/>
      <protection hidden="1"/>
    </xf>
    <xf numFmtId="0" fontId="4" fillId="4" borderId="17" xfId="0" applyFont="1" applyFill="1" applyBorder="1" applyAlignment="1" applyProtection="1">
      <alignment horizontal="center" vertical="center"/>
      <protection hidden="1"/>
    </xf>
    <xf numFmtId="0" fontId="4" fillId="4" borderId="44" xfId="0" applyFont="1" applyFill="1" applyBorder="1" applyAlignment="1" applyProtection="1">
      <alignment horizontal="center" vertical="center"/>
      <protection hidden="1"/>
    </xf>
    <xf numFmtId="0" fontId="4" fillId="4" borderId="45" xfId="0" applyFont="1" applyFill="1" applyBorder="1" applyAlignment="1" applyProtection="1">
      <alignment horizontal="center" vertical="center"/>
      <protection hidden="1"/>
    </xf>
    <xf numFmtId="0" fontId="4" fillId="4" borderId="46" xfId="0" applyFont="1" applyFill="1" applyBorder="1" applyAlignment="1" applyProtection="1">
      <alignment horizontal="center" vertical="center"/>
      <protection hidden="1"/>
    </xf>
    <xf numFmtId="0" fontId="4" fillId="4" borderId="47" xfId="0" applyFont="1" applyFill="1" applyBorder="1" applyAlignment="1" applyProtection="1">
      <alignment horizontal="center" vertical="center"/>
      <protection hidden="1"/>
    </xf>
    <xf numFmtId="0" fontId="4" fillId="4" borderId="18" xfId="0" applyFont="1" applyFill="1" applyBorder="1" applyAlignment="1" applyProtection="1">
      <alignment horizontal="center" vertical="center"/>
      <protection hidden="1"/>
    </xf>
    <xf numFmtId="0" fontId="4" fillId="4" borderId="19" xfId="0" applyFont="1" applyFill="1" applyBorder="1" applyAlignment="1" applyProtection="1">
      <alignment horizontal="center" vertical="center"/>
      <protection hidden="1"/>
    </xf>
    <xf numFmtId="0" fontId="4" fillId="0" borderId="46" xfId="0" applyFont="1" applyBorder="1" applyAlignment="1" applyProtection="1">
      <alignment horizontal="center" vertical="center"/>
      <protection hidden="1"/>
    </xf>
    <xf numFmtId="0" fontId="4" fillId="0" borderId="47" xfId="0" applyFont="1" applyBorder="1" applyAlignment="1" applyProtection="1">
      <alignment horizontal="center" vertical="center"/>
      <protection hidden="1"/>
    </xf>
    <xf numFmtId="0" fontId="4" fillId="10" borderId="16" xfId="0" applyFont="1" applyFill="1" applyBorder="1" applyAlignment="1" applyProtection="1">
      <alignment horizontal="center" vertical="center"/>
      <protection hidden="1"/>
    </xf>
    <xf numFmtId="0" fontId="4" fillId="10" borderId="17" xfId="0" applyFont="1" applyFill="1" applyBorder="1" applyAlignment="1" applyProtection="1">
      <alignment horizontal="center" vertical="center"/>
      <protection hidden="1"/>
    </xf>
    <xf numFmtId="0" fontId="4" fillId="0" borderId="16" xfId="0" applyFont="1" applyBorder="1" applyAlignment="1" applyProtection="1">
      <alignment horizontal="center" vertical="center"/>
      <protection hidden="1"/>
    </xf>
    <xf numFmtId="0" fontId="4" fillId="0" borderId="17" xfId="0" applyFont="1" applyBorder="1" applyAlignment="1" applyProtection="1">
      <alignment horizontal="center" vertical="center"/>
      <protection hidden="1"/>
    </xf>
    <xf numFmtId="0" fontId="4" fillId="10" borderId="18" xfId="0" applyFont="1" applyFill="1" applyBorder="1" applyAlignment="1" applyProtection="1">
      <alignment horizontal="center" vertical="center"/>
      <protection hidden="1"/>
    </xf>
    <xf numFmtId="0" fontId="4" fillId="10" borderId="19" xfId="0" applyFont="1" applyFill="1" applyBorder="1" applyAlignment="1" applyProtection="1">
      <alignment horizontal="center" vertical="center"/>
      <protection hidden="1"/>
    </xf>
    <xf numFmtId="0" fontId="4" fillId="0" borderId="18" xfId="0" applyFont="1" applyBorder="1" applyAlignment="1" applyProtection="1">
      <alignment horizontal="center" vertical="center"/>
      <protection hidden="1"/>
    </xf>
    <xf numFmtId="0" fontId="4" fillId="0" borderId="48" xfId="0" applyFont="1" applyBorder="1" applyAlignment="1" applyProtection="1">
      <alignment horizontal="center" vertical="center"/>
      <protection hidden="1"/>
    </xf>
    <xf numFmtId="0" fontId="16" fillId="0" borderId="2" xfId="0" applyFont="1" applyBorder="1" applyAlignment="1">
      <alignment vertical="center"/>
    </xf>
    <xf numFmtId="0" fontId="31" fillId="16" borderId="2" xfId="0" applyFont="1" applyFill="1" applyBorder="1" applyAlignment="1">
      <alignment horizontal="center" vertical="center"/>
    </xf>
    <xf numFmtId="0" fontId="31" fillId="16" borderId="3" xfId="0" applyFont="1" applyFill="1" applyBorder="1" applyAlignment="1">
      <alignment horizontal="center" vertical="center"/>
    </xf>
    <xf numFmtId="0" fontId="16" fillId="0" borderId="3" xfId="0" applyFont="1" applyBorder="1" applyAlignment="1">
      <alignment vertical="center"/>
    </xf>
    <xf numFmtId="0" fontId="3" fillId="14" borderId="0" xfId="0" applyFont="1" applyFill="1" applyAlignment="1">
      <alignment horizontal="center" vertical="center"/>
    </xf>
    <xf numFmtId="0" fontId="3" fillId="14" borderId="0" xfId="0" applyFont="1" applyFill="1" applyAlignment="1">
      <alignment horizontal="left" vertical="center"/>
    </xf>
    <xf numFmtId="0" fontId="45" fillId="0" borderId="0" xfId="0" applyFont="1"/>
    <xf numFmtId="0" fontId="45" fillId="9" borderId="0" xfId="0" applyFont="1" applyFill="1"/>
    <xf numFmtId="0" fontId="3" fillId="0" borderId="0" xfId="0" applyFont="1" applyAlignment="1">
      <alignment horizontal="center" vertical="center"/>
    </xf>
    <xf numFmtId="0" fontId="45" fillId="9" borderId="0" xfId="0" quotePrefix="1" applyFont="1" applyFill="1"/>
    <xf numFmtId="0" fontId="45" fillId="0" borderId="0" xfId="0" applyFont="1" applyProtection="1">
      <protection hidden="1"/>
    </xf>
    <xf numFmtId="0" fontId="45" fillId="0" borderId="0" xfId="0" applyFont="1" applyAlignment="1">
      <alignment horizontal="left" vertical="center"/>
    </xf>
    <xf numFmtId="0" fontId="5" fillId="0" borderId="0" xfId="0" applyFont="1" applyAlignment="1" applyProtection="1">
      <alignment horizontal="center"/>
      <protection hidden="1"/>
    </xf>
    <xf numFmtId="0" fontId="3" fillId="0" borderId="0" xfId="0" applyFont="1" applyAlignment="1">
      <alignment horizontal="center"/>
    </xf>
    <xf numFmtId="0" fontId="3" fillId="0" borderId="0" xfId="0" applyFont="1" applyAlignment="1">
      <alignment vertical="center" textRotation="255"/>
    </xf>
    <xf numFmtId="0" fontId="45" fillId="0" borderId="0" xfId="0" applyFont="1" applyAlignment="1">
      <alignment horizontal="center" vertical="center" textRotation="255"/>
    </xf>
    <xf numFmtId="0" fontId="45" fillId="0" borderId="0" xfId="0" applyFont="1" applyAlignment="1">
      <alignment horizontal="left" vertical="center" indent="1"/>
    </xf>
    <xf numFmtId="0" fontId="45" fillId="0" borderId="0" xfId="0" applyFont="1" applyAlignment="1" applyProtection="1">
      <alignment horizontal="left" vertical="center" indent="1"/>
      <protection hidden="1"/>
    </xf>
    <xf numFmtId="165" fontId="5" fillId="0" borderId="0" xfId="0" applyNumberFormat="1" applyFont="1" applyProtection="1">
      <protection hidden="1"/>
    </xf>
    <xf numFmtId="167" fontId="5" fillId="0" borderId="0" xfId="0" applyNumberFormat="1" applyFont="1" applyProtection="1">
      <protection hidden="1"/>
    </xf>
    <xf numFmtId="0" fontId="5" fillId="0" borderId="22" xfId="0" applyFont="1" applyBorder="1" applyProtection="1">
      <protection hidden="1"/>
    </xf>
    <xf numFmtId="0" fontId="5" fillId="0" borderId="23" xfId="0" applyFont="1" applyBorder="1" applyProtection="1">
      <protection hidden="1"/>
    </xf>
    <xf numFmtId="0" fontId="5" fillId="0" borderId="0" xfId="0" applyFont="1" applyAlignment="1">
      <alignment vertical="center" wrapText="1"/>
    </xf>
    <xf numFmtId="0" fontId="5" fillId="0" borderId="0" xfId="0" applyFont="1" applyAlignment="1">
      <alignment horizontal="center" vertical="center"/>
    </xf>
    <xf numFmtId="0" fontId="5" fillId="0" borderId="0" xfId="0" applyFont="1"/>
    <xf numFmtId="0" fontId="5" fillId="0" borderId="0" xfId="0" applyFont="1" applyAlignment="1">
      <alignment horizontal="center"/>
    </xf>
    <xf numFmtId="0" fontId="11" fillId="0" borderId="0" xfId="0" applyFont="1" applyAlignment="1">
      <alignment horizontal="center" vertical="center"/>
    </xf>
    <xf numFmtId="0" fontId="11" fillId="0" borderId="0" xfId="0" applyFont="1" applyAlignment="1">
      <alignment horizontal="center"/>
    </xf>
    <xf numFmtId="166" fontId="5" fillId="0" borderId="23" xfId="0" applyNumberFormat="1" applyFont="1" applyBorder="1" applyAlignment="1" applyProtection="1">
      <alignment horizontal="right"/>
      <protection hidden="1"/>
    </xf>
    <xf numFmtId="0" fontId="5" fillId="0" borderId="3" xfId="0" applyFont="1" applyBorder="1" applyProtection="1">
      <protection hidden="1"/>
    </xf>
    <xf numFmtId="0" fontId="44" fillId="6" borderId="0" xfId="0" applyFont="1" applyFill="1" applyAlignment="1">
      <alignment horizontal="left" vertical="top" wrapText="1"/>
    </xf>
    <xf numFmtId="0" fontId="32" fillId="14" borderId="32" xfId="0" applyFont="1" applyFill="1" applyBorder="1" applyAlignment="1" applyProtection="1">
      <alignment horizontal="left" vertical="center"/>
      <protection hidden="1"/>
    </xf>
    <xf numFmtId="0" fontId="8" fillId="0" borderId="40" xfId="0" applyFont="1" applyBorder="1" applyAlignment="1" applyProtection="1">
      <alignment horizontal="center" vertical="center"/>
      <protection locked="0"/>
    </xf>
    <xf numFmtId="0" fontId="8" fillId="0" borderId="41" xfId="0" applyFont="1" applyBorder="1" applyAlignment="1" applyProtection="1">
      <alignment horizontal="center" vertical="center"/>
      <protection locked="0"/>
    </xf>
    <xf numFmtId="0" fontId="4" fillId="0" borderId="40" xfId="0" applyFont="1" applyBorder="1" applyAlignment="1" applyProtection="1">
      <alignment horizontal="center" vertical="center"/>
      <protection locked="0"/>
    </xf>
    <xf numFmtId="0" fontId="4" fillId="0" borderId="41" xfId="0" applyFont="1" applyBorder="1" applyAlignment="1" applyProtection="1">
      <alignment horizontal="center" vertical="center"/>
      <protection locked="0"/>
    </xf>
    <xf numFmtId="16" fontId="4" fillId="9" borderId="41" xfId="0" applyNumberFormat="1" applyFont="1" applyFill="1" applyBorder="1" applyAlignment="1" applyProtection="1">
      <alignment horizontal="center" vertical="center"/>
      <protection locked="0" hidden="1"/>
    </xf>
    <xf numFmtId="0" fontId="32" fillId="14" borderId="0" xfId="0" applyFont="1" applyFill="1" applyAlignment="1" applyProtection="1">
      <alignment horizontal="center" vertical="center" wrapText="1"/>
      <protection hidden="1"/>
    </xf>
    <xf numFmtId="0" fontId="41" fillId="9" borderId="0" xfId="0" applyFont="1" applyFill="1" applyAlignment="1" applyProtection="1">
      <alignment horizontal="left" vertical="center"/>
      <protection hidden="1"/>
    </xf>
    <xf numFmtId="0" fontId="32" fillId="14" borderId="41" xfId="0" applyFont="1" applyFill="1" applyBorder="1" applyAlignment="1" applyProtection="1">
      <alignment horizontal="center" vertical="center" wrapText="1"/>
      <protection hidden="1"/>
    </xf>
    <xf numFmtId="0" fontId="32" fillId="14" borderId="0" xfId="0" applyFont="1" applyFill="1" applyAlignment="1" applyProtection="1">
      <alignment horizontal="center" vertical="center"/>
      <protection hidden="1"/>
    </xf>
    <xf numFmtId="16" fontId="4" fillId="3" borderId="41" xfId="0" applyNumberFormat="1" applyFont="1" applyFill="1" applyBorder="1" applyAlignment="1" applyProtection="1">
      <alignment horizontal="center" vertical="center"/>
      <protection locked="0" hidden="1"/>
    </xf>
    <xf numFmtId="0" fontId="10" fillId="20" borderId="0" xfId="0" applyFont="1" applyFill="1" applyAlignment="1" applyProtection="1">
      <alignment horizontal="left" vertical="center"/>
      <protection locked="0" hidden="1"/>
    </xf>
    <xf numFmtId="0" fontId="4" fillId="0" borderId="0" xfId="0" applyFont="1" applyAlignment="1" applyProtection="1">
      <alignment horizontal="left" vertical="center"/>
      <protection locked="0" hidden="1"/>
    </xf>
    <xf numFmtId="0" fontId="4" fillId="8" borderId="0" xfId="0" applyFont="1" applyFill="1" applyAlignment="1" applyProtection="1">
      <alignment horizontal="left" vertical="center"/>
      <protection locked="0" hidden="1"/>
    </xf>
    <xf numFmtId="0" fontId="8" fillId="9" borderId="0" xfId="0" applyFont="1" applyFill="1" applyAlignment="1" applyProtection="1">
      <alignment horizontal="left" vertical="center"/>
      <protection locked="0" hidden="1"/>
    </xf>
    <xf numFmtId="0" fontId="10" fillId="15" borderId="0" xfId="0" applyFont="1" applyFill="1" applyAlignment="1" applyProtection="1">
      <alignment horizontal="left" vertical="center"/>
      <protection locked="0" hidden="1"/>
    </xf>
    <xf numFmtId="0" fontId="8" fillId="15" borderId="0" xfId="0" applyFont="1" applyFill="1" applyAlignment="1" applyProtection="1">
      <alignment horizontal="left" vertical="center"/>
      <protection locked="0" hidden="1"/>
    </xf>
    <xf numFmtId="0" fontId="4" fillId="3" borderId="0" xfId="0" applyFont="1" applyFill="1" applyAlignment="1" applyProtection="1">
      <alignment horizontal="left" vertical="center"/>
      <protection locked="0" hidden="1"/>
    </xf>
    <xf numFmtId="0" fontId="8" fillId="18" borderId="0" xfId="0" applyFont="1" applyFill="1" applyAlignment="1" applyProtection="1">
      <alignment horizontal="left" vertical="center"/>
      <protection locked="0" hidden="1"/>
    </xf>
    <xf numFmtId="0" fontId="4" fillId="5" borderId="0" xfId="0" applyFont="1" applyFill="1" applyAlignment="1" applyProtection="1">
      <alignment horizontal="left" vertical="center"/>
      <protection locked="0" hidden="1"/>
    </xf>
    <xf numFmtId="0" fontId="8" fillId="17" borderId="0" xfId="0" applyFont="1" applyFill="1" applyAlignment="1" applyProtection="1">
      <alignment horizontal="left" vertical="center"/>
      <protection locked="0" hidden="1"/>
    </xf>
    <xf numFmtId="0" fontId="4" fillId="6" borderId="0" xfId="0" applyFont="1" applyFill="1" applyAlignment="1" applyProtection="1">
      <alignment horizontal="left" vertical="center"/>
      <protection locked="0" hidden="1"/>
    </xf>
    <xf numFmtId="0" fontId="11" fillId="14" borderId="0" xfId="0" applyFont="1" applyFill="1" applyAlignment="1" applyProtection="1">
      <alignment horizontal="left" vertical="center"/>
      <protection hidden="1"/>
    </xf>
    <xf numFmtId="0" fontId="11" fillId="13" borderId="6" xfId="0" applyFont="1" applyFill="1" applyBorder="1" applyAlignment="1" applyProtection="1">
      <alignment horizontal="center" vertical="center"/>
      <protection hidden="1"/>
    </xf>
    <xf numFmtId="0" fontId="4" fillId="11" borderId="0" xfId="0" applyFont="1" applyFill="1" applyAlignment="1" applyProtection="1">
      <alignment horizontal="left" vertical="center"/>
      <protection locked="0" hidden="1"/>
    </xf>
    <xf numFmtId="0" fontId="8" fillId="7" borderId="0" xfId="0" applyFont="1" applyFill="1" applyAlignment="1" applyProtection="1">
      <alignment horizontal="left" vertical="center"/>
      <protection locked="0" hidden="1"/>
    </xf>
    <xf numFmtId="0" fontId="4" fillId="12" borderId="0" xfId="0" applyFont="1" applyFill="1" applyAlignment="1" applyProtection="1">
      <alignment horizontal="left" vertical="center"/>
      <protection locked="0" hidden="1"/>
    </xf>
    <xf numFmtId="0" fontId="8" fillId="20" borderId="0" xfId="0" applyFont="1" applyFill="1" applyAlignment="1" applyProtection="1">
      <alignment horizontal="left" vertical="center"/>
      <protection locked="0" hidden="1"/>
    </xf>
    <xf numFmtId="0" fontId="10" fillId="18" borderId="0" xfId="0" applyFont="1" applyFill="1" applyAlignment="1" applyProtection="1">
      <alignment horizontal="left" vertical="center"/>
      <protection locked="0" hidden="1"/>
    </xf>
    <xf numFmtId="0" fontId="10" fillId="7" borderId="0" xfId="0" applyFont="1" applyFill="1" applyAlignment="1" applyProtection="1">
      <alignment horizontal="left" vertical="center"/>
      <protection locked="0" hidden="1"/>
    </xf>
    <xf numFmtId="0" fontId="10" fillId="19" borderId="0" xfId="0" applyFont="1" applyFill="1" applyAlignment="1" applyProtection="1">
      <alignment horizontal="left" vertical="center"/>
      <protection locked="0" hidden="1"/>
    </xf>
    <xf numFmtId="0" fontId="8" fillId="19" borderId="0" xfId="0" applyFont="1" applyFill="1" applyAlignment="1" applyProtection="1">
      <alignment horizontal="left" vertical="center"/>
      <protection locked="0" hidden="1"/>
    </xf>
    <xf numFmtId="0" fontId="10" fillId="17" borderId="0" xfId="0" applyFont="1" applyFill="1" applyAlignment="1" applyProtection="1">
      <alignment horizontal="left" vertical="center"/>
      <protection locked="0" hidden="1"/>
    </xf>
    <xf numFmtId="0" fontId="5" fillId="13" borderId="9" xfId="0" applyFont="1" applyFill="1" applyBorder="1" applyAlignment="1" applyProtection="1">
      <alignment horizontal="center" vertical="center" wrapText="1"/>
      <protection hidden="1"/>
    </xf>
    <xf numFmtId="0" fontId="5" fillId="13" borderId="12" xfId="0" applyFont="1" applyFill="1" applyBorder="1" applyAlignment="1" applyProtection="1">
      <alignment horizontal="center" vertical="center" wrapText="1"/>
      <protection hidden="1"/>
    </xf>
    <xf numFmtId="0" fontId="5" fillId="13" borderId="6" xfId="0" applyFont="1" applyFill="1" applyBorder="1" applyAlignment="1" applyProtection="1">
      <alignment horizontal="center"/>
      <protection hidden="1"/>
    </xf>
    <xf numFmtId="0" fontId="4" fillId="0" borderId="9" xfId="0" applyFont="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4" fillId="0" borderId="0" xfId="0" applyFont="1" applyAlignment="1" applyProtection="1">
      <alignment horizontal="center" vertical="center"/>
      <protection hidden="1"/>
    </xf>
    <xf numFmtId="0" fontId="11" fillId="13" borderId="0" xfId="0" applyFont="1" applyFill="1" applyAlignment="1" applyProtection="1">
      <alignment horizontal="center" vertical="center"/>
      <protection hidden="1"/>
    </xf>
    <xf numFmtId="0" fontId="13" fillId="14" borderId="0" xfId="0" applyFont="1" applyFill="1" applyAlignment="1" applyProtection="1">
      <alignment horizontal="left" vertical="center"/>
      <protection hidden="1"/>
    </xf>
    <xf numFmtId="0" fontId="20" fillId="9" borderId="0" xfId="0" applyFont="1" applyFill="1" applyAlignment="1" applyProtection="1">
      <alignment horizontal="left" vertical="center" wrapText="1" indent="1"/>
      <protection hidden="1"/>
    </xf>
    <xf numFmtId="0" fontId="5" fillId="13" borderId="0" xfId="0" applyFont="1" applyFill="1" applyAlignment="1" applyProtection="1">
      <alignment horizontal="center" vertical="center" wrapText="1"/>
      <protection hidden="1"/>
    </xf>
    <xf numFmtId="0" fontId="12" fillId="0" borderId="0" xfId="0" applyFont="1" applyAlignment="1" applyProtection="1">
      <alignment horizontal="left" vertical="center"/>
      <protection locked="0" hidden="1"/>
    </xf>
    <xf numFmtId="0" fontId="4" fillId="21" borderId="2" xfId="0" applyFont="1" applyFill="1" applyBorder="1" applyAlignment="1">
      <alignment horizontal="center" vertical="center"/>
    </xf>
    <xf numFmtId="0" fontId="21" fillId="0" borderId="0" xfId="0" applyFont="1" applyAlignment="1">
      <alignment horizontal="left" vertical="top" wrapText="1"/>
    </xf>
    <xf numFmtId="0" fontId="4" fillId="0" borderId="0" xfId="0" applyFont="1" applyAlignment="1">
      <alignment horizontal="left" vertical="top" wrapText="1"/>
    </xf>
    <xf numFmtId="0" fontId="22" fillId="0" borderId="0" xfId="0" applyFont="1" applyAlignment="1">
      <alignment horizontal="left" vertical="top" wrapText="1"/>
    </xf>
    <xf numFmtId="0" fontId="15" fillId="14" borderId="27" xfId="0" applyFont="1" applyFill="1" applyBorder="1" applyAlignment="1">
      <alignment horizontal="center" vertical="center"/>
    </xf>
    <xf numFmtId="0" fontId="15" fillId="14" borderId="0" xfId="0" applyFont="1" applyFill="1" applyAlignment="1">
      <alignment horizontal="center" vertical="center"/>
    </xf>
    <xf numFmtId="0" fontId="15" fillId="14" borderId="28" xfId="0" applyFont="1" applyFill="1" applyBorder="1" applyAlignment="1">
      <alignment horizontal="center" vertical="center"/>
    </xf>
    <xf numFmtId="0" fontId="29" fillId="9" borderId="0" xfId="0" applyFont="1" applyFill="1" applyAlignment="1">
      <alignment horizontal="center" vertical="center"/>
    </xf>
    <xf numFmtId="0" fontId="29" fillId="9" borderId="30" xfId="0" applyFont="1" applyFill="1" applyBorder="1" applyAlignment="1">
      <alignment horizontal="center" vertical="center"/>
    </xf>
    <xf numFmtId="0" fontId="30" fillId="0" borderId="0" xfId="1" applyFont="1" applyAlignment="1" applyProtection="1">
      <alignment horizontal="left"/>
    </xf>
    <xf numFmtId="0" fontId="27" fillId="0" borderId="0" xfId="0" applyFont="1" applyAlignment="1">
      <alignment horizontal="left" vertical="top" wrapText="1"/>
    </xf>
  </cellXfs>
  <cellStyles count="2">
    <cellStyle name="Hyperlink" xfId="1" builtinId="8"/>
    <cellStyle name="Normal" xfId="0" builtinId="0"/>
  </cellStyles>
  <dxfs count="314">
    <dxf>
      <font>
        <color theme="0"/>
      </font>
    </dxf>
    <dxf>
      <font>
        <color theme="0"/>
      </font>
    </dxf>
    <dxf>
      <font>
        <color theme="0" tint="-4.9989318521683403E-2"/>
      </font>
    </dxf>
    <dxf>
      <font>
        <color theme="0" tint="-0.14996795556505021"/>
      </font>
    </dxf>
    <dxf>
      <font>
        <color theme="0"/>
      </font>
    </dxf>
    <dxf>
      <font>
        <color theme="0" tint="-4.9989318521683403E-2"/>
      </font>
    </dxf>
    <dxf>
      <font>
        <color theme="0" tint="-0.14996795556505021"/>
      </font>
    </dxf>
    <dxf>
      <font>
        <color theme="0"/>
      </font>
    </dxf>
    <dxf>
      <font>
        <color theme="0" tint="-4.9989318521683403E-2"/>
      </font>
    </dxf>
    <dxf>
      <font>
        <color theme="0" tint="-0.14996795556505021"/>
      </font>
    </dxf>
    <dxf>
      <font>
        <color theme="0"/>
      </font>
    </dxf>
    <dxf>
      <font>
        <color theme="0" tint="-4.9989318521683403E-2"/>
      </font>
    </dxf>
    <dxf>
      <font>
        <color theme="0" tint="-0.14996795556505021"/>
      </font>
    </dxf>
    <dxf>
      <font>
        <color theme="0"/>
      </font>
    </dxf>
    <dxf>
      <font>
        <color theme="0" tint="-0.14996795556505021"/>
      </font>
    </dxf>
    <dxf>
      <font>
        <color theme="0" tint="-4.9989318521683403E-2"/>
      </font>
    </dxf>
    <dxf>
      <font>
        <color theme="0"/>
      </font>
    </dxf>
    <dxf>
      <font>
        <color theme="0" tint="-4.9989318521683403E-2"/>
      </font>
    </dxf>
    <dxf>
      <font>
        <color theme="0" tint="-0.14996795556505021"/>
      </font>
    </dxf>
    <dxf>
      <font>
        <color theme="0"/>
      </font>
    </dxf>
    <dxf>
      <font>
        <color theme="0" tint="-4.9989318521683403E-2"/>
      </font>
    </dxf>
    <dxf>
      <fill>
        <patternFill>
          <bgColor theme="0" tint="-0.14996795556505021"/>
        </patternFill>
      </fill>
    </dxf>
    <dxf>
      <font>
        <color theme="0"/>
      </font>
    </dxf>
    <dxf>
      <font>
        <b val="0"/>
        <i/>
        <color rgb="FF0000FF"/>
      </font>
    </dxf>
    <dxf>
      <font>
        <b/>
        <i val="0"/>
        <color rgb="FF0000FF"/>
      </font>
    </dxf>
    <dxf>
      <font>
        <b val="0"/>
        <i/>
        <color theme="1" tint="0.499984740745262"/>
      </font>
    </dxf>
    <dxf>
      <font>
        <b/>
        <i val="0"/>
      </font>
    </dxf>
    <dxf>
      <font>
        <b val="0"/>
        <i/>
        <color theme="1" tint="0.499984740745262"/>
      </font>
    </dxf>
    <dxf>
      <font>
        <b/>
        <i val="0"/>
      </font>
    </dxf>
    <dxf>
      <font>
        <color rgb="FFFF0000"/>
      </font>
      <fill>
        <patternFill>
          <bgColor theme="9" tint="0.79998168889431442"/>
        </patternFill>
      </fill>
    </dxf>
    <dxf>
      <font>
        <color rgb="FFFF0000"/>
      </font>
      <fill>
        <patternFill>
          <bgColor theme="9" tint="0.79998168889431442"/>
        </patternFill>
      </fill>
    </dxf>
    <dxf>
      <font>
        <b/>
        <i val="0"/>
        <color rgb="FF0000FF"/>
      </font>
    </dxf>
    <dxf>
      <font>
        <b val="0"/>
        <i/>
        <color rgb="FF0000FF"/>
      </font>
    </dxf>
    <dxf>
      <font>
        <b val="0"/>
        <i/>
        <color theme="1" tint="0.499984740745262"/>
      </font>
    </dxf>
    <dxf>
      <font>
        <b/>
        <i val="0"/>
      </font>
    </dxf>
    <dxf>
      <font>
        <b val="0"/>
        <i/>
        <color theme="1" tint="0.499984740745262"/>
      </font>
    </dxf>
    <dxf>
      <font>
        <b/>
        <i val="0"/>
      </font>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6" tint="0.79998168889431442"/>
        </patternFill>
      </fill>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border>
        <left style="thin">
          <color theme="6" tint="-0.24994659260841701"/>
        </left>
        <right style="thin">
          <color theme="6" tint="-0.24994659260841701"/>
        </right>
        <top style="thin">
          <color theme="6" tint="-0.24994659260841701"/>
        </top>
        <bottom style="thin">
          <color theme="6" tint="-0.24994659260841701"/>
        </bottom>
        <vertical/>
        <horizontal/>
      </border>
    </dxf>
    <dxf>
      <fill>
        <patternFill>
          <bgColor theme="0"/>
        </patternFill>
      </fill>
    </dxf>
    <dxf>
      <fill>
        <patternFill>
          <bgColor theme="0"/>
        </patternFill>
      </fill>
    </dxf>
    <dxf>
      <fill>
        <patternFill>
          <bgColor theme="0"/>
        </patternFill>
      </fill>
    </dxf>
    <dxf>
      <fill>
        <patternFill>
          <bgColor theme="0"/>
        </patternFill>
      </fill>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condense val="0"/>
        <extend val="0"/>
        <color indexed="55"/>
      </font>
    </dxf>
    <dxf>
      <font>
        <b/>
        <i val="0"/>
        <color theme="6"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ill>
        <patternFill>
          <bgColor theme="8" tint="0.79998168889431442"/>
        </patternFill>
      </fill>
      <border>
        <left style="thin">
          <color theme="8" tint="-0.24994659260841701"/>
        </left>
        <right style="thin">
          <color theme="8" tint="-0.24994659260841701"/>
        </right>
        <top style="thin">
          <color theme="8" tint="-0.24994659260841701"/>
        </top>
        <bottom style="thin">
          <color theme="8" tint="-0.24994659260841701"/>
        </bottom>
        <vertical/>
        <horizontal/>
      </border>
    </dxf>
    <dxf>
      <fill>
        <patternFill patternType="none">
          <bgColor auto="1"/>
        </patternFill>
      </fill>
    </dxf>
    <dxf>
      <font>
        <condense val="0"/>
        <extend val="0"/>
        <color indexed="55"/>
      </font>
    </dxf>
    <dxf>
      <font>
        <b/>
        <i val="0"/>
        <condense val="0"/>
        <extend val="0"/>
        <color indexed="12"/>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val="0"/>
        <i/>
        <color theme="0" tint="-0.499984740745262"/>
      </font>
    </dxf>
    <dxf>
      <font>
        <b/>
        <i val="0"/>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val="0"/>
        <i/>
        <color theme="0" tint="-0.499984740745262"/>
      </font>
    </dxf>
    <dxf>
      <font>
        <b/>
        <i val="0"/>
      </font>
    </dxf>
    <dxf>
      <font>
        <b/>
        <i val="0"/>
      </font>
    </dxf>
    <dxf>
      <font>
        <b val="0"/>
        <i/>
        <color theme="0" tint="-0.499984740745262"/>
      </font>
    </dxf>
    <dxf>
      <font>
        <b/>
        <i val="0"/>
      </font>
    </dxf>
    <dxf>
      <font>
        <b val="0"/>
        <i/>
        <color theme="0" tint="-0.499984740745262"/>
      </font>
    </dxf>
    <dxf>
      <font>
        <b/>
        <i val="0"/>
      </font>
    </dxf>
    <dxf>
      <font>
        <b val="0"/>
        <i/>
        <color theme="0" tint="-0.499984740745262"/>
      </font>
    </dxf>
    <dxf>
      <font>
        <b val="0"/>
        <i/>
        <color theme="0" tint="-0.499984740745262"/>
      </font>
    </dxf>
    <dxf>
      <font>
        <b/>
        <i val="0"/>
      </font>
    </dxf>
    <dxf>
      <fill>
        <patternFill>
          <bgColor theme="8" tint="0.79998168889431442"/>
        </patternFill>
      </fill>
      <border>
        <left style="thin">
          <color theme="8" tint="-0.499984740745262"/>
        </left>
        <right style="thin">
          <color theme="8" tint="-0.499984740745262"/>
        </right>
        <top style="thin">
          <color theme="8" tint="-0.499984740745262"/>
        </top>
        <bottom style="thin">
          <color theme="8" tint="-0.499984740745262"/>
        </bottom>
        <vertical/>
        <horizontal/>
      </border>
    </dxf>
  </dxfs>
  <tableStyles count="0" defaultTableStyle="TableStyleMedium2" defaultPivotStyle="PivotStyleLight16"/>
  <colors>
    <mruColors>
      <color rgb="FF0000FF"/>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fatfreecartpro.com/ecom/gb.php?&amp;c=single&amp;cl=353533&amp;i=1831535"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25400</xdr:colOff>
      <xdr:row>2</xdr:row>
      <xdr:rowOff>57150</xdr:rowOff>
    </xdr:from>
    <xdr:to>
      <xdr:col>13</xdr:col>
      <xdr:colOff>69850</xdr:colOff>
      <xdr:row>2</xdr:row>
      <xdr:rowOff>342900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5029200" y="184150"/>
          <a:ext cx="4972050" cy="285750"/>
        </a:xfrm>
        <a:prstGeom prst="rect">
          <a:avLst/>
        </a:prstGeom>
        <a:solidFill>
          <a:schemeClr val="accent6">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Type</a:t>
          </a:r>
          <a:r>
            <a:rPr lang="en-US" sz="1100" baseline="0">
              <a:solidFill>
                <a:srgbClr val="FF0000"/>
              </a:solidFill>
            </a:rPr>
            <a:t> actual scores and then select goal scorer in shown goal scorer fields</a:t>
          </a:r>
          <a:endParaRPr 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514351</xdr:colOff>
      <xdr:row>2</xdr:row>
      <xdr:rowOff>57150</xdr:rowOff>
    </xdr:from>
    <xdr:to>
      <xdr:col>9</xdr:col>
      <xdr:colOff>228600</xdr:colOff>
      <xdr:row>2</xdr:row>
      <xdr:rowOff>342900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4991101" y="171450"/>
          <a:ext cx="4476749" cy="285750"/>
        </a:xfrm>
        <a:prstGeom prst="rect">
          <a:avLst/>
        </a:prstGeom>
        <a:solidFill>
          <a:schemeClr val="accent6">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You</a:t>
          </a:r>
          <a:r>
            <a:rPr lang="en-US" sz="1100" baseline="0">
              <a:solidFill>
                <a:srgbClr val="FF0000"/>
              </a:solidFill>
            </a:rPr>
            <a:t> may r</a:t>
          </a:r>
          <a:r>
            <a:rPr lang="en-US" sz="1100">
              <a:solidFill>
                <a:srgbClr val="FF0000"/>
              </a:solidFill>
            </a:rPr>
            <a:t>eplace </a:t>
          </a:r>
          <a:r>
            <a:rPr lang="en-US" sz="1100" baseline="0">
              <a:solidFill>
                <a:srgbClr val="FF0000"/>
              </a:solidFill>
            </a:rPr>
            <a:t>player name in respective table. Maximum players are 23. </a:t>
          </a:r>
          <a:endParaRPr 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1</xdr:row>
      <xdr:rowOff>25400</xdr:rowOff>
    </xdr:from>
    <xdr:to>
      <xdr:col>28</xdr:col>
      <xdr:colOff>95250</xdr:colOff>
      <xdr:row>3</xdr:row>
      <xdr:rowOff>44450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5473700" y="88900"/>
          <a:ext cx="5943600" cy="463550"/>
        </a:xfrm>
        <a:prstGeom prst="rect">
          <a:avLst/>
        </a:prstGeom>
        <a:solidFill>
          <a:schemeClr val="accent6">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Do not need to entry scores. Match</a:t>
          </a:r>
          <a:r>
            <a:rPr lang="en-US" sz="1100" baseline="0">
              <a:solidFill>
                <a:srgbClr val="FF0000"/>
              </a:solidFill>
            </a:rPr>
            <a:t> scores will be shown automatically. It is based on scores filled in Goal Scorer worksheets</a:t>
          </a:r>
          <a:endParaRPr lang="en-US" sz="1100">
            <a:solidFill>
              <a:srgbClr val="FF0000"/>
            </a:solidFill>
          </a:endParaRPr>
        </a:p>
      </xdr:txBody>
    </xdr:sp>
    <xdr:clientData/>
  </xdr:twoCellAnchor>
  <xdr:twoCellAnchor>
    <xdr:from>
      <xdr:col>10</xdr:col>
      <xdr:colOff>127000</xdr:colOff>
      <xdr:row>58</xdr:row>
      <xdr:rowOff>165100</xdr:rowOff>
    </xdr:from>
    <xdr:to>
      <xdr:col>29</xdr:col>
      <xdr:colOff>0</xdr:colOff>
      <xdr:row>62</xdr:row>
      <xdr:rowOff>50800</xdr:rowOff>
    </xdr:to>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5600700" y="10680700"/>
          <a:ext cx="5943600" cy="622300"/>
        </a:xfrm>
        <a:prstGeom prst="rect">
          <a:avLst/>
        </a:prstGeom>
        <a:solidFill>
          <a:schemeClr val="accent6">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If team rank is different from actual rank because of they</a:t>
          </a:r>
          <a:r>
            <a:rPr lang="en-US" sz="1100" baseline="0">
              <a:solidFill>
                <a:srgbClr val="FF0000"/>
              </a:solidFill>
            </a:rPr>
            <a:t> must follow tie-breaker 8 - 9 [read tie-breaker regulation], adjust team rank by switching team name in standing table. Switch them by replacing and typing team name manually</a:t>
          </a:r>
          <a:endParaRPr 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120650</xdr:colOff>
      <xdr:row>4</xdr:row>
      <xdr:rowOff>44450</xdr:rowOff>
    </xdr:from>
    <xdr:to>
      <xdr:col>4</xdr:col>
      <xdr:colOff>508370</xdr:colOff>
      <xdr:row>7</xdr:row>
      <xdr:rowOff>9354</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4950" y="615950"/>
          <a:ext cx="1664070" cy="536404"/>
        </a:xfrm>
        <a:prstGeom prst="rect">
          <a:avLst/>
        </a:prstGeom>
      </xdr:spPr>
    </xdr:pic>
    <xdr:clientData/>
  </xdr:twoCellAnchor>
  <xdr:twoCellAnchor editAs="oneCell">
    <xdr:from>
      <xdr:col>7</xdr:col>
      <xdr:colOff>133350</xdr:colOff>
      <xdr:row>4</xdr:row>
      <xdr:rowOff>63500</xdr:rowOff>
    </xdr:from>
    <xdr:to>
      <xdr:col>9</xdr:col>
      <xdr:colOff>825500</xdr:colOff>
      <xdr:row>10</xdr:row>
      <xdr:rowOff>158750</xdr:rowOff>
    </xdr:to>
    <xdr:pic>
      <xdr:nvPicPr>
        <xdr:cNvPr id="4" name="Picture 3">
          <a:hlinkClick xmlns:r="http://schemas.openxmlformats.org/officeDocument/2006/relationships" r:id="rId2"/>
          <a:extLst>
            <a:ext uri="{FF2B5EF4-FFF2-40B4-BE49-F238E27FC236}">
              <a16:creationId xmlns:a16="http://schemas.microsoft.com/office/drawing/2014/main" id="{00000000-0008-0000-0A00-000004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340" t="14228" r="18768" b="10789"/>
        <a:stretch/>
      </xdr:blipFill>
      <xdr:spPr>
        <a:xfrm>
          <a:off x="5295900" y="635000"/>
          <a:ext cx="2597150" cy="1238250"/>
        </a:xfrm>
        <a:prstGeom prst="rect">
          <a:avLst/>
        </a:prstGeom>
      </xdr:spPr>
    </xdr:pic>
    <xdr:clientData/>
  </xdr:twoCellAnchor>
  <xdr:twoCellAnchor>
    <xdr:from>
      <xdr:col>10</xdr:col>
      <xdr:colOff>590550</xdr:colOff>
      <xdr:row>4</xdr:row>
      <xdr:rowOff>12700</xdr:rowOff>
    </xdr:from>
    <xdr:to>
      <xdr:col>20</xdr:col>
      <xdr:colOff>241300</xdr:colOff>
      <xdr:row>14</xdr:row>
      <xdr:rowOff>6350</xdr:rowOff>
    </xdr:to>
    <xdr:sp macro="" textlink="">
      <xdr:nvSpPr>
        <xdr:cNvPr id="5" name="TextBox 4">
          <a:extLst>
            <a:ext uri="{FF2B5EF4-FFF2-40B4-BE49-F238E27FC236}">
              <a16:creationId xmlns:a16="http://schemas.microsoft.com/office/drawing/2014/main" id="{00000000-0008-0000-0A00-000005000000}"/>
            </a:ext>
          </a:extLst>
        </xdr:cNvPr>
        <xdr:cNvSpPr txBox="1"/>
      </xdr:nvSpPr>
      <xdr:spPr>
        <a:xfrm>
          <a:off x="8858250" y="584200"/>
          <a:ext cx="5746750" cy="1898650"/>
        </a:xfrm>
        <a:prstGeom prst="rect">
          <a:avLst/>
        </a:prstGeom>
        <a:solidFill>
          <a:schemeClr val="accent5">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ctr"/>
        <a:lstStyle/>
        <a:p>
          <a:r>
            <a:rPr lang="en-US" sz="1800">
              <a:sym typeface="Wingdings"/>
            </a:rPr>
            <a:t></a:t>
          </a:r>
          <a:r>
            <a:rPr lang="en-US" sz="1100" b="1"/>
            <a:t>Click on BUY NOW button </a:t>
          </a:r>
          <a:r>
            <a:rPr lang="en-US" sz="1100"/>
            <a:t>to bring you to paypal website. You don't need to open a paypal account. You can pay with or without paypal account using paypal balance or credit card.</a:t>
          </a:r>
        </a:p>
        <a:p>
          <a:r>
            <a:rPr lang="en-US" sz="1800">
              <a:sym typeface="Wingdings"/>
            </a:rPr>
            <a:t></a:t>
          </a:r>
          <a:r>
            <a:rPr lang="en-US" sz="1100"/>
            <a:t>After successful transaction</a:t>
          </a:r>
          <a:r>
            <a:rPr lang="en-US" sz="1100" b="1"/>
            <a:t>, you will receive an email to download the file </a:t>
          </a:r>
          <a:r>
            <a:rPr lang="en-US" sz="1100"/>
            <a:t>to your paypal email address automatically</a:t>
          </a:r>
        </a:p>
        <a:p>
          <a:r>
            <a:rPr lang="en-US" sz="1800">
              <a:sym typeface="Wingdings"/>
            </a:rPr>
            <a:t></a:t>
          </a:r>
          <a:r>
            <a:rPr lang="en-US" sz="1100" b="1"/>
            <a:t>Check your SPAM folder</a:t>
          </a:r>
          <a:r>
            <a:rPr lang="en-US" sz="1100"/>
            <a:t> </a:t>
          </a:r>
          <a:r>
            <a:rPr lang="en-US" sz="1100" b="1"/>
            <a:t>if you don't receive the email in your inbox folder </a:t>
          </a:r>
          <a:r>
            <a:rPr lang="en-US" sz="1100"/>
            <a:t>after 15 minutes. Sometimes, security of your email system will direct the email that contains link to spam folder</a:t>
          </a:r>
        </a:p>
        <a:p>
          <a:r>
            <a:rPr lang="en-US" sz="1800">
              <a:sym typeface="Wingdings"/>
            </a:rPr>
            <a:t></a:t>
          </a:r>
          <a:r>
            <a:rPr lang="en-US" sz="1100"/>
            <a:t>Email us at </a:t>
          </a:r>
          <a:r>
            <a:rPr lang="en-US" sz="1100" b="1"/>
            <a:t>support@journalsheet.com</a:t>
          </a:r>
          <a:r>
            <a:rPr lang="en-US" sz="1100"/>
            <a:t> if you still don't receive it or you have issue on downloading the file</a:t>
          </a:r>
        </a:p>
      </xdr:txBody>
    </xdr:sp>
    <xdr:clientData/>
  </xdr:twoCellAnchor>
  <xdr:twoCellAnchor>
    <xdr:from>
      <xdr:col>9</xdr:col>
      <xdr:colOff>800100</xdr:colOff>
      <xdr:row>4</xdr:row>
      <xdr:rowOff>25400</xdr:rowOff>
    </xdr:from>
    <xdr:to>
      <xdr:col>11</xdr:col>
      <xdr:colOff>0</xdr:colOff>
      <xdr:row>6</xdr:row>
      <xdr:rowOff>127000</xdr:rowOff>
    </xdr:to>
    <xdr:sp macro="" textlink="">
      <xdr:nvSpPr>
        <xdr:cNvPr id="6" name="Chevron 5">
          <a:extLst>
            <a:ext uri="{FF2B5EF4-FFF2-40B4-BE49-F238E27FC236}">
              <a16:creationId xmlns:a16="http://schemas.microsoft.com/office/drawing/2014/main" id="{00000000-0008-0000-0A00-000006000000}"/>
            </a:ext>
          </a:extLst>
        </xdr:cNvPr>
        <xdr:cNvSpPr/>
      </xdr:nvSpPr>
      <xdr:spPr>
        <a:xfrm rot="10800000">
          <a:off x="7505700" y="596900"/>
          <a:ext cx="336550" cy="482600"/>
        </a:xfrm>
        <a:prstGeom prst="chevron">
          <a:avLst/>
        </a:prstGeom>
        <a:solidFill>
          <a:schemeClr val="accent5">
            <a:lumMod val="50000"/>
          </a:schemeClr>
        </a:solidFill>
        <a:ln>
          <a:solidFill>
            <a:schemeClr val="accent5">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25400</xdr:colOff>
      <xdr:row>4</xdr:row>
      <xdr:rowOff>50800</xdr:rowOff>
    </xdr:from>
    <xdr:to>
      <xdr:col>16</xdr:col>
      <xdr:colOff>25400</xdr:colOff>
      <xdr:row>79</xdr:row>
      <xdr:rowOff>31750</xdr:rowOff>
    </xdr:to>
    <xdr:sp macro="" textlink="">
      <xdr:nvSpPr>
        <xdr:cNvPr id="2" name="TextBox 1">
          <a:extLst>
            <a:ext uri="{FF2B5EF4-FFF2-40B4-BE49-F238E27FC236}">
              <a16:creationId xmlns:a16="http://schemas.microsoft.com/office/drawing/2014/main" id="{00000000-0008-0000-0B00-000002000000}"/>
            </a:ext>
          </a:extLst>
        </xdr:cNvPr>
        <xdr:cNvSpPr txBox="1"/>
      </xdr:nvSpPr>
      <xdr:spPr>
        <a:xfrm>
          <a:off x="139700" y="622300"/>
          <a:ext cx="9144000" cy="1188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journalsheet.com/product-category/sport-spreadsheets" TargetMode="External"/><Relationship Id="rId1" Type="http://schemas.openxmlformats.org/officeDocument/2006/relationships/hyperlink" Target="https://journalsheet.com/" TargetMode="Externa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Y102"/>
  <sheetViews>
    <sheetView showGridLines="0" workbookViewId="0">
      <pane ySplit="4" topLeftCell="A5" activePane="bottomLeft" state="frozen"/>
      <selection pane="bottomLeft" activeCell="H98" sqref="H98"/>
    </sheetView>
  </sheetViews>
  <sheetFormatPr defaultColWidth="8.85546875" defaultRowHeight="15" x14ac:dyDescent="0.2"/>
  <cols>
    <col min="1" max="1" width="1.5703125" style="20" customWidth="1"/>
    <col min="2" max="2" width="3.140625" style="20" bestFit="1" customWidth="1"/>
    <col min="3" max="4" width="40.5703125" style="20" customWidth="1"/>
    <col min="5" max="5" width="2.140625" style="20" customWidth="1"/>
    <col min="6" max="6" width="3.85546875" style="20" customWidth="1"/>
    <col min="7" max="16384" width="8.85546875" style="20"/>
  </cols>
  <sheetData>
    <row r="1" spans="1:103" s="33" customFormat="1" ht="5.0999999999999996" customHeight="1" x14ac:dyDescent="0.2"/>
    <row r="2" spans="1:103" s="2" customFormat="1" ht="5.0999999999999996" customHeight="1" x14ac:dyDescent="0.25">
      <c r="D2" s="24"/>
      <c r="N2" s="6"/>
      <c r="O2" s="25"/>
      <c r="P2" s="25"/>
      <c r="Q2" s="25"/>
      <c r="R2" s="25"/>
      <c r="S2" s="25"/>
      <c r="T2" s="11"/>
      <c r="U2" s="26"/>
      <c r="V2" s="27"/>
      <c r="CO2" s="6"/>
      <c r="CP2" s="6"/>
      <c r="CQ2" s="6"/>
      <c r="CR2" s="6"/>
    </row>
    <row r="3" spans="1:103" s="3" customFormat="1" ht="30" customHeight="1" x14ac:dyDescent="0.25">
      <c r="B3" s="122" t="s">
        <v>455</v>
      </c>
      <c r="C3" s="2"/>
      <c r="D3" s="24"/>
      <c r="E3" s="2"/>
      <c r="F3" s="2"/>
      <c r="G3" s="2"/>
      <c r="H3" s="2"/>
      <c r="I3" s="2"/>
      <c r="J3" s="2"/>
      <c r="K3" s="2"/>
      <c r="L3" s="2"/>
      <c r="M3" s="2"/>
      <c r="N3" s="2"/>
      <c r="O3" s="2"/>
      <c r="P3" s="2"/>
      <c r="Q3" s="2"/>
      <c r="R3" s="2"/>
      <c r="S3" s="2"/>
      <c r="T3" s="120"/>
      <c r="U3" s="121"/>
      <c r="V3" s="2"/>
      <c r="W3" s="2"/>
      <c r="X3" s="2"/>
      <c r="Y3" s="2"/>
      <c r="Z3" s="2"/>
      <c r="AA3" s="2"/>
      <c r="AB3" s="2"/>
      <c r="AC3" s="2"/>
      <c r="AD3" s="2"/>
      <c r="AE3" s="2"/>
    </row>
    <row r="4" spans="1:103" s="3" customFormat="1" ht="5.0999999999999996" customHeight="1" x14ac:dyDescent="0.25">
      <c r="D4" s="8"/>
      <c r="M4" s="2"/>
      <c r="N4" s="6"/>
      <c r="O4" s="6"/>
      <c r="P4" s="6"/>
      <c r="Q4" s="6"/>
      <c r="R4" s="6"/>
      <c r="S4" s="6"/>
      <c r="T4" s="11"/>
      <c r="U4" s="26"/>
      <c r="V4" s="27"/>
      <c r="W4" s="2"/>
      <c r="X4" s="2"/>
      <c r="Y4" s="2"/>
      <c r="Z4" s="2"/>
      <c r="AA4" s="2"/>
      <c r="AB4" s="2"/>
      <c r="AC4" s="2"/>
      <c r="AD4" s="2"/>
      <c r="AE4" s="2"/>
      <c r="CV4" s="5"/>
      <c r="CW4" s="5"/>
      <c r="CX4" s="5"/>
      <c r="CY4" s="5"/>
    </row>
    <row r="5" spans="1:103" ht="15" customHeight="1" x14ac:dyDescent="0.25">
      <c r="A5" s="23"/>
      <c r="C5" s="119" t="s">
        <v>778</v>
      </c>
      <c r="D5" s="130">
        <v>0</v>
      </c>
      <c r="F5" s="128" t="s">
        <v>475</v>
      </c>
      <c r="G5" s="20" t="s">
        <v>779</v>
      </c>
    </row>
    <row r="6" spans="1:103" ht="15" customHeight="1" x14ac:dyDescent="0.25">
      <c r="C6" s="119" t="s">
        <v>457</v>
      </c>
      <c r="D6" s="118" t="s">
        <v>121</v>
      </c>
      <c r="F6" s="128" t="s">
        <v>475</v>
      </c>
      <c r="G6" s="20" t="s">
        <v>476</v>
      </c>
    </row>
    <row r="7" spans="1:103" ht="15" customHeight="1" x14ac:dyDescent="0.25">
      <c r="C7" s="117" t="s">
        <v>458</v>
      </c>
      <c r="D7" s="115" t="s">
        <v>454</v>
      </c>
      <c r="H7" s="2"/>
      <c r="I7" s="2"/>
    </row>
    <row r="8" spans="1:103" ht="15" customHeight="1" thickBot="1" x14ac:dyDescent="0.25">
      <c r="C8" s="116" t="s">
        <v>427</v>
      </c>
      <c r="D8" s="114" t="s">
        <v>456</v>
      </c>
      <c r="F8" s="127" t="s">
        <v>471</v>
      </c>
    </row>
    <row r="9" spans="1:103" ht="15" customHeight="1" x14ac:dyDescent="0.2">
      <c r="C9" s="21" t="s">
        <v>1040</v>
      </c>
      <c r="D9" s="112" t="s">
        <v>1040</v>
      </c>
      <c r="F9" s="126">
        <v>1</v>
      </c>
      <c r="G9" s="20" t="s">
        <v>472</v>
      </c>
    </row>
    <row r="10" spans="1:103" ht="15" customHeight="1" x14ac:dyDescent="0.2">
      <c r="C10" s="22" t="s">
        <v>55</v>
      </c>
      <c r="D10" s="113" t="s">
        <v>55</v>
      </c>
      <c r="F10" s="126">
        <v>2</v>
      </c>
      <c r="G10" s="20" t="s">
        <v>473</v>
      </c>
    </row>
    <row r="11" spans="1:103" ht="15" customHeight="1" x14ac:dyDescent="0.2">
      <c r="C11" s="22" t="s">
        <v>53</v>
      </c>
      <c r="D11" s="113" t="s">
        <v>53</v>
      </c>
      <c r="F11" s="20">
        <v>3</v>
      </c>
      <c r="G11" s="20" t="s">
        <v>474</v>
      </c>
    </row>
    <row r="12" spans="1:103" ht="15" customHeight="1" x14ac:dyDescent="0.2">
      <c r="C12" s="22" t="s">
        <v>52</v>
      </c>
      <c r="D12" s="113" t="s">
        <v>52</v>
      </c>
    </row>
    <row r="13" spans="1:103" ht="15" customHeight="1" x14ac:dyDescent="0.2">
      <c r="C13" s="22" t="s">
        <v>1061</v>
      </c>
      <c r="D13" s="113" t="s">
        <v>1061</v>
      </c>
    </row>
    <row r="14" spans="1:103" ht="15" customHeight="1" x14ac:dyDescent="0.2">
      <c r="C14" s="22" t="s">
        <v>443</v>
      </c>
      <c r="D14" s="113" t="s">
        <v>443</v>
      </c>
    </row>
    <row r="15" spans="1:103" ht="15" customHeight="1" x14ac:dyDescent="0.2">
      <c r="C15" s="22" t="s">
        <v>1</v>
      </c>
      <c r="D15" s="113" t="s">
        <v>1</v>
      </c>
    </row>
    <row r="16" spans="1:103" ht="15" customHeight="1" x14ac:dyDescent="0.2">
      <c r="C16" s="22" t="s">
        <v>11</v>
      </c>
      <c r="D16" s="113" t="s">
        <v>11</v>
      </c>
    </row>
    <row r="17" spans="3:4" ht="15" customHeight="1" x14ac:dyDescent="0.2">
      <c r="C17" s="22" t="s">
        <v>50</v>
      </c>
      <c r="D17" s="113" t="s">
        <v>50</v>
      </c>
    </row>
    <row r="18" spans="3:4" ht="15" customHeight="1" x14ac:dyDescent="0.2">
      <c r="C18" s="22" t="s">
        <v>56</v>
      </c>
      <c r="D18" s="113" t="s">
        <v>56</v>
      </c>
    </row>
    <row r="19" spans="3:4" ht="15" customHeight="1" x14ac:dyDescent="0.2">
      <c r="C19" s="22" t="s">
        <v>10</v>
      </c>
      <c r="D19" s="113" t="s">
        <v>10</v>
      </c>
    </row>
    <row r="20" spans="3:4" ht="15" customHeight="1" x14ac:dyDescent="0.2">
      <c r="C20" s="22" t="s">
        <v>444</v>
      </c>
      <c r="D20" s="113" t="s">
        <v>444</v>
      </c>
    </row>
    <row r="21" spans="3:4" ht="15" customHeight="1" x14ac:dyDescent="0.2">
      <c r="C21" s="22" t="s">
        <v>54</v>
      </c>
      <c r="D21" s="113" t="s">
        <v>54</v>
      </c>
    </row>
    <row r="22" spans="3:4" ht="15" customHeight="1" x14ac:dyDescent="0.2">
      <c r="C22" s="22" t="s">
        <v>1041</v>
      </c>
      <c r="D22" s="113" t="s">
        <v>1041</v>
      </c>
    </row>
    <row r="23" spans="3:4" ht="15" customHeight="1" x14ac:dyDescent="0.2">
      <c r="C23" s="22" t="s">
        <v>19</v>
      </c>
      <c r="D23" s="113" t="s">
        <v>19</v>
      </c>
    </row>
    <row r="24" spans="3:4" ht="15" customHeight="1" x14ac:dyDescent="0.2">
      <c r="C24" s="22" t="s">
        <v>1042</v>
      </c>
      <c r="D24" s="113" t="s">
        <v>1042</v>
      </c>
    </row>
    <row r="25" spans="3:4" ht="15" customHeight="1" x14ac:dyDescent="0.2">
      <c r="C25" s="22" t="s">
        <v>49</v>
      </c>
      <c r="D25" s="113" t="s">
        <v>49</v>
      </c>
    </row>
    <row r="26" spans="3:4" ht="15" customHeight="1" x14ac:dyDescent="0.2">
      <c r="C26" s="22" t="s">
        <v>1043</v>
      </c>
      <c r="D26" s="113" t="s">
        <v>1043</v>
      </c>
    </row>
    <row r="27" spans="3:4" ht="15" customHeight="1" x14ac:dyDescent="0.2">
      <c r="C27" s="22" t="s">
        <v>51</v>
      </c>
      <c r="D27" s="113" t="s">
        <v>51</v>
      </c>
    </row>
    <row r="28" spans="3:4" ht="15" customHeight="1" x14ac:dyDescent="0.2">
      <c r="C28" s="22" t="s">
        <v>48</v>
      </c>
      <c r="D28" s="113" t="s">
        <v>48</v>
      </c>
    </row>
    <row r="29" spans="3:4" ht="15" customHeight="1" x14ac:dyDescent="0.2">
      <c r="C29" s="22" t="s">
        <v>1062</v>
      </c>
      <c r="D29" s="113" t="s">
        <v>1062</v>
      </c>
    </row>
    <row r="30" spans="3:4" ht="15" customHeight="1" x14ac:dyDescent="0.2">
      <c r="C30" s="22" t="s">
        <v>1208</v>
      </c>
      <c r="D30" s="113" t="s">
        <v>1208</v>
      </c>
    </row>
    <row r="31" spans="3:4" ht="15" customHeight="1" x14ac:dyDescent="0.2">
      <c r="C31" s="22" t="s">
        <v>1209</v>
      </c>
      <c r="D31" s="113" t="s">
        <v>1209</v>
      </c>
    </row>
    <row r="32" spans="3:4" ht="15" customHeight="1" x14ac:dyDescent="0.2">
      <c r="C32" s="22" t="s">
        <v>1210</v>
      </c>
      <c r="D32" s="113" t="s">
        <v>1210</v>
      </c>
    </row>
    <row r="33" spans="3:4" ht="15" customHeight="1" x14ac:dyDescent="0.2">
      <c r="C33" s="22" t="s">
        <v>57</v>
      </c>
      <c r="D33" s="113" t="s">
        <v>57</v>
      </c>
    </row>
    <row r="34" spans="3:4" ht="15" customHeight="1" x14ac:dyDescent="0.2">
      <c r="C34" s="22" t="s">
        <v>58</v>
      </c>
      <c r="D34" s="113" t="s">
        <v>58</v>
      </c>
    </row>
    <row r="35" spans="3:4" ht="15" customHeight="1" x14ac:dyDescent="0.2">
      <c r="C35" s="22" t="s">
        <v>59</v>
      </c>
      <c r="D35" s="113" t="s">
        <v>59</v>
      </c>
    </row>
    <row r="36" spans="3:4" ht="15" customHeight="1" x14ac:dyDescent="0.2">
      <c r="C36" s="22" t="s">
        <v>18</v>
      </c>
      <c r="D36" s="113" t="s">
        <v>18</v>
      </c>
    </row>
    <row r="37" spans="3:4" ht="15" customHeight="1" x14ac:dyDescent="0.2">
      <c r="C37" s="22" t="s">
        <v>5</v>
      </c>
      <c r="D37" s="113" t="s">
        <v>5</v>
      </c>
    </row>
    <row r="38" spans="3:4" ht="15" customHeight="1" x14ac:dyDescent="0.2">
      <c r="C38" s="22" t="s">
        <v>2</v>
      </c>
      <c r="D38" s="113" t="s">
        <v>2</v>
      </c>
    </row>
    <row r="39" spans="3:4" ht="15" customHeight="1" x14ac:dyDescent="0.2">
      <c r="C39" s="22" t="s">
        <v>8</v>
      </c>
      <c r="D39" s="113" t="s">
        <v>8</v>
      </c>
    </row>
    <row r="40" spans="3:4" ht="15" customHeight="1" x14ac:dyDescent="0.2">
      <c r="C40" s="22" t="s">
        <v>16</v>
      </c>
      <c r="D40" s="113" t="s">
        <v>16</v>
      </c>
    </row>
    <row r="41" spans="3:4" ht="15" customHeight="1" x14ac:dyDescent="0.2">
      <c r="C41" s="22" t="s">
        <v>6</v>
      </c>
      <c r="D41" s="113" t="s">
        <v>6</v>
      </c>
    </row>
    <row r="42" spans="3:4" ht="15" customHeight="1" x14ac:dyDescent="0.2">
      <c r="C42" s="22" t="s">
        <v>9</v>
      </c>
      <c r="D42" s="113" t="s">
        <v>9</v>
      </c>
    </row>
    <row r="43" spans="3:4" ht="15" customHeight="1" x14ac:dyDescent="0.2">
      <c r="C43" s="22" t="s">
        <v>60</v>
      </c>
      <c r="D43" s="113" t="s">
        <v>60</v>
      </c>
    </row>
    <row r="44" spans="3:4" ht="15" customHeight="1" x14ac:dyDescent="0.2">
      <c r="C44" s="22" t="s">
        <v>61</v>
      </c>
      <c r="D44" s="113" t="s">
        <v>61</v>
      </c>
    </row>
    <row r="45" spans="3:4" ht="15" customHeight="1" x14ac:dyDescent="0.2">
      <c r="C45" s="22" t="s">
        <v>62</v>
      </c>
      <c r="D45" s="113" t="s">
        <v>62</v>
      </c>
    </row>
    <row r="46" spans="3:4" ht="15" customHeight="1" x14ac:dyDescent="0.2">
      <c r="C46" s="22" t="s">
        <v>7</v>
      </c>
      <c r="D46" s="113" t="s">
        <v>7</v>
      </c>
    </row>
    <row r="47" spans="3:4" ht="15" customHeight="1" x14ac:dyDescent="0.2">
      <c r="C47" s="22" t="s">
        <v>63</v>
      </c>
      <c r="D47" s="113" t="s">
        <v>63</v>
      </c>
    </row>
    <row r="48" spans="3:4" ht="15" customHeight="1" x14ac:dyDescent="0.2">
      <c r="C48" s="22" t="s">
        <v>44</v>
      </c>
      <c r="D48" s="113" t="s">
        <v>44</v>
      </c>
    </row>
    <row r="49" spans="3:4" ht="15" customHeight="1" x14ac:dyDescent="0.2">
      <c r="C49" s="22" t="s">
        <v>64</v>
      </c>
      <c r="D49" s="113" t="s">
        <v>64</v>
      </c>
    </row>
    <row r="50" spans="3:4" ht="15" customHeight="1" x14ac:dyDescent="0.2">
      <c r="C50" s="22" t="s">
        <v>65</v>
      </c>
      <c r="D50" s="113" t="s">
        <v>65</v>
      </c>
    </row>
    <row r="51" spans="3:4" ht="15" customHeight="1" x14ac:dyDescent="0.2">
      <c r="C51" s="22" t="s">
        <v>66</v>
      </c>
      <c r="D51" s="113" t="s">
        <v>66</v>
      </c>
    </row>
    <row r="52" spans="3:4" ht="15" customHeight="1" x14ac:dyDescent="0.2">
      <c r="C52" s="22" t="s">
        <v>67</v>
      </c>
      <c r="D52" s="113" t="s">
        <v>67</v>
      </c>
    </row>
    <row r="53" spans="3:4" ht="15" customHeight="1" x14ac:dyDescent="0.2">
      <c r="C53" s="22" t="s">
        <v>437</v>
      </c>
      <c r="D53" s="113" t="s">
        <v>437</v>
      </c>
    </row>
    <row r="54" spans="3:4" ht="15" customHeight="1" x14ac:dyDescent="0.2">
      <c r="C54" s="22" t="s">
        <v>69</v>
      </c>
      <c r="D54" s="113" t="s">
        <v>69</v>
      </c>
    </row>
    <row r="55" spans="3:4" ht="15" customHeight="1" x14ac:dyDescent="0.2">
      <c r="C55" s="22" t="s">
        <v>70</v>
      </c>
      <c r="D55" s="113" t="s">
        <v>70</v>
      </c>
    </row>
    <row r="56" spans="3:4" ht="15" customHeight="1" x14ac:dyDescent="0.2">
      <c r="C56" s="22" t="s">
        <v>71</v>
      </c>
      <c r="D56" s="113" t="s">
        <v>71</v>
      </c>
    </row>
    <row r="57" spans="3:4" ht="15" customHeight="1" x14ac:dyDescent="0.2">
      <c r="C57" s="22" t="s">
        <v>72</v>
      </c>
      <c r="D57" s="113" t="s">
        <v>72</v>
      </c>
    </row>
    <row r="58" spans="3:4" ht="15" customHeight="1" x14ac:dyDescent="0.2">
      <c r="C58" s="22" t="s">
        <v>73</v>
      </c>
      <c r="D58" s="113" t="s">
        <v>73</v>
      </c>
    </row>
    <row r="59" spans="3:4" ht="15" customHeight="1" x14ac:dyDescent="0.2">
      <c r="C59" s="22" t="s">
        <v>74</v>
      </c>
      <c r="D59" s="113" t="s">
        <v>74</v>
      </c>
    </row>
    <row r="60" spans="3:4" ht="15" customHeight="1" x14ac:dyDescent="0.2">
      <c r="C60" s="22" t="s">
        <v>75</v>
      </c>
      <c r="D60" s="113" t="s">
        <v>75</v>
      </c>
    </row>
    <row r="61" spans="3:4" ht="15" customHeight="1" x14ac:dyDescent="0.2">
      <c r="C61" s="22" t="s">
        <v>76</v>
      </c>
      <c r="D61" s="113" t="s">
        <v>76</v>
      </c>
    </row>
    <row r="62" spans="3:4" ht="15" customHeight="1" x14ac:dyDescent="0.2">
      <c r="C62" s="22" t="s">
        <v>77</v>
      </c>
      <c r="D62" s="113" t="s">
        <v>77</v>
      </c>
    </row>
    <row r="63" spans="3:4" ht="15" customHeight="1" x14ac:dyDescent="0.2">
      <c r="C63" s="22" t="s">
        <v>78</v>
      </c>
      <c r="D63" s="113" t="s">
        <v>78</v>
      </c>
    </row>
    <row r="64" spans="3:4" ht="15" customHeight="1" x14ac:dyDescent="0.2">
      <c r="C64" s="22" t="s">
        <v>79</v>
      </c>
      <c r="D64" s="113" t="s">
        <v>79</v>
      </c>
    </row>
    <row r="65" spans="3:4" ht="15" customHeight="1" x14ac:dyDescent="0.2">
      <c r="C65" s="22" t="s">
        <v>80</v>
      </c>
      <c r="D65" s="113" t="s">
        <v>80</v>
      </c>
    </row>
    <row r="66" spans="3:4" ht="15" customHeight="1" x14ac:dyDescent="0.2">
      <c r="C66" s="22" t="s">
        <v>190</v>
      </c>
      <c r="D66" s="113" t="s">
        <v>190</v>
      </c>
    </row>
    <row r="67" spans="3:4" ht="15" customHeight="1" x14ac:dyDescent="0.2">
      <c r="C67" s="22" t="s">
        <v>191</v>
      </c>
      <c r="D67" s="113" t="s">
        <v>191</v>
      </c>
    </row>
    <row r="68" spans="3:4" ht="15" customHeight="1" x14ac:dyDescent="0.2">
      <c r="C68" s="22" t="s">
        <v>192</v>
      </c>
      <c r="D68" s="113" t="s">
        <v>192</v>
      </c>
    </row>
    <row r="69" spans="3:4" ht="15" customHeight="1" x14ac:dyDescent="0.2">
      <c r="C69" s="22" t="s">
        <v>193</v>
      </c>
      <c r="D69" s="113" t="s">
        <v>193</v>
      </c>
    </row>
    <row r="70" spans="3:4" ht="15" customHeight="1" x14ac:dyDescent="0.2">
      <c r="C70" s="22" t="s">
        <v>194</v>
      </c>
      <c r="D70" s="113" t="s">
        <v>194</v>
      </c>
    </row>
    <row r="71" spans="3:4" ht="15" customHeight="1" x14ac:dyDescent="0.2">
      <c r="C71" s="22" t="s">
        <v>195</v>
      </c>
      <c r="D71" s="113" t="s">
        <v>195</v>
      </c>
    </row>
    <row r="72" spans="3:4" ht="15" customHeight="1" x14ac:dyDescent="0.2">
      <c r="C72" s="22" t="s">
        <v>196</v>
      </c>
      <c r="D72" s="113" t="s">
        <v>196</v>
      </c>
    </row>
    <row r="73" spans="3:4" ht="15" customHeight="1" x14ac:dyDescent="0.2">
      <c r="C73" s="22" t="s">
        <v>197</v>
      </c>
      <c r="D73" s="113" t="s">
        <v>197</v>
      </c>
    </row>
    <row r="74" spans="3:4" ht="15" customHeight="1" x14ac:dyDescent="0.2">
      <c r="C74" s="22" t="s">
        <v>198</v>
      </c>
      <c r="D74" s="113" t="s">
        <v>198</v>
      </c>
    </row>
    <row r="75" spans="3:4" ht="15" customHeight="1" x14ac:dyDescent="0.2">
      <c r="C75" s="22" t="s">
        <v>199</v>
      </c>
      <c r="D75" s="113" t="s">
        <v>199</v>
      </c>
    </row>
    <row r="76" spans="3:4" ht="15" customHeight="1" x14ac:dyDescent="0.2">
      <c r="C76" s="22" t="s">
        <v>200</v>
      </c>
      <c r="D76" s="113" t="s">
        <v>200</v>
      </c>
    </row>
    <row r="77" spans="3:4" ht="15" customHeight="1" x14ac:dyDescent="0.2">
      <c r="C77" s="22" t="s">
        <v>201</v>
      </c>
      <c r="D77" s="113" t="s">
        <v>201</v>
      </c>
    </row>
    <row r="78" spans="3:4" ht="15" customHeight="1" x14ac:dyDescent="0.2">
      <c r="C78" s="22" t="s">
        <v>90</v>
      </c>
      <c r="D78" s="113" t="s">
        <v>90</v>
      </c>
    </row>
    <row r="79" spans="3:4" ht="15" customHeight="1" x14ac:dyDescent="0.2">
      <c r="C79" s="22" t="s">
        <v>91</v>
      </c>
      <c r="D79" s="113" t="s">
        <v>91</v>
      </c>
    </row>
    <row r="80" spans="3:4" ht="15" customHeight="1" x14ac:dyDescent="0.2">
      <c r="C80" s="22" t="s">
        <v>92</v>
      </c>
      <c r="D80" s="113" t="s">
        <v>92</v>
      </c>
    </row>
    <row r="81" spans="3:4" ht="15" customHeight="1" x14ac:dyDescent="0.2">
      <c r="C81" s="22" t="s">
        <v>1059</v>
      </c>
      <c r="D81" s="113" t="s">
        <v>1059</v>
      </c>
    </row>
    <row r="82" spans="3:4" ht="15" customHeight="1" x14ac:dyDescent="0.2">
      <c r="C82" s="22" t="s">
        <v>84</v>
      </c>
      <c r="D82" s="113" t="s">
        <v>84</v>
      </c>
    </row>
    <row r="83" spans="3:4" ht="15" customHeight="1" x14ac:dyDescent="0.2">
      <c r="C83" s="22" t="s">
        <v>85</v>
      </c>
      <c r="D83" s="113" t="s">
        <v>85</v>
      </c>
    </row>
    <row r="84" spans="3:4" ht="15" customHeight="1" x14ac:dyDescent="0.2">
      <c r="C84" s="22" t="s">
        <v>86</v>
      </c>
      <c r="D84" s="113" t="s">
        <v>86</v>
      </c>
    </row>
    <row r="85" spans="3:4" ht="15" customHeight="1" x14ac:dyDescent="0.2">
      <c r="C85" s="22" t="s">
        <v>87</v>
      </c>
      <c r="D85" s="113" t="s">
        <v>87</v>
      </c>
    </row>
    <row r="86" spans="3:4" ht="15" customHeight="1" x14ac:dyDescent="0.2">
      <c r="C86" s="22" t="s">
        <v>88</v>
      </c>
      <c r="D86" s="113" t="s">
        <v>88</v>
      </c>
    </row>
    <row r="87" spans="3:4" ht="15" customHeight="1" x14ac:dyDescent="0.2">
      <c r="C87" s="22" t="s">
        <v>89</v>
      </c>
      <c r="D87" s="113" t="s">
        <v>89</v>
      </c>
    </row>
    <row r="88" spans="3:4" ht="15" customHeight="1" x14ac:dyDescent="0.2">
      <c r="C88" s="22" t="s">
        <v>81</v>
      </c>
      <c r="D88" s="113" t="s">
        <v>81</v>
      </c>
    </row>
    <row r="89" spans="3:4" ht="15" customHeight="1" x14ac:dyDescent="0.2">
      <c r="C89" s="22" t="s">
        <v>82</v>
      </c>
      <c r="D89" s="113" t="s">
        <v>82</v>
      </c>
    </row>
    <row r="90" spans="3:4" ht="15" customHeight="1" x14ac:dyDescent="0.2">
      <c r="C90" s="22" t="s">
        <v>83</v>
      </c>
      <c r="D90" s="113" t="s">
        <v>83</v>
      </c>
    </row>
    <row r="91" spans="3:4" ht="15" customHeight="1" x14ac:dyDescent="0.2">
      <c r="C91" s="22" t="s">
        <v>188</v>
      </c>
      <c r="D91" s="113" t="s">
        <v>188</v>
      </c>
    </row>
    <row r="92" spans="3:4" ht="15" customHeight="1" x14ac:dyDescent="0.2">
      <c r="C92" s="22" t="s">
        <v>189</v>
      </c>
      <c r="D92" s="113" t="s">
        <v>189</v>
      </c>
    </row>
    <row r="93" spans="3:4" ht="15" customHeight="1" x14ac:dyDescent="0.2">
      <c r="C93" s="22" t="s">
        <v>37</v>
      </c>
      <c r="D93" s="113" t="s">
        <v>37</v>
      </c>
    </row>
    <row r="94" spans="3:4" ht="15" customHeight="1" x14ac:dyDescent="0.2">
      <c r="C94" s="22" t="s">
        <v>202</v>
      </c>
      <c r="D94" s="113" t="s">
        <v>202</v>
      </c>
    </row>
    <row r="95" spans="3:4" ht="15" customHeight="1" x14ac:dyDescent="0.2">
      <c r="C95" s="22" t="s">
        <v>438</v>
      </c>
      <c r="D95" s="113" t="s">
        <v>438</v>
      </c>
    </row>
    <row r="96" spans="3:4" ht="15" customHeight="1" x14ac:dyDescent="0.2">
      <c r="C96" s="22" t="s">
        <v>439</v>
      </c>
      <c r="D96" s="113" t="s">
        <v>439</v>
      </c>
    </row>
    <row r="97" spans="3:4" ht="15" customHeight="1" x14ac:dyDescent="0.2">
      <c r="C97" s="22" t="s">
        <v>440</v>
      </c>
      <c r="D97" s="113" t="s">
        <v>440</v>
      </c>
    </row>
    <row r="98" spans="3:4" ht="15" customHeight="1" x14ac:dyDescent="0.2">
      <c r="C98" s="22" t="s">
        <v>441</v>
      </c>
      <c r="D98" s="113" t="s">
        <v>441</v>
      </c>
    </row>
    <row r="99" spans="3:4" ht="15" customHeight="1" x14ac:dyDescent="0.2">
      <c r="C99" s="22" t="s">
        <v>203</v>
      </c>
      <c r="D99" s="113" t="s">
        <v>203</v>
      </c>
    </row>
    <row r="100" spans="3:4" ht="15" customHeight="1" x14ac:dyDescent="0.2">
      <c r="C100" s="158" t="s">
        <v>1060</v>
      </c>
    </row>
    <row r="102" spans="3:4" ht="7.35" customHeight="1" x14ac:dyDescent="0.2"/>
  </sheetData>
  <dataValidations count="2">
    <dataValidation type="list" allowBlank="1" showInputMessage="1" showErrorMessage="1" sqref="D6" xr:uid="{00000000-0002-0000-0000-000000000000}">
      <formula1>Countries</formula1>
    </dataValidation>
    <dataValidation type="list" allowBlank="1" showInputMessage="1" showErrorMessage="1" sqref="D5" xr:uid="{00000000-0002-0000-0000-000001000000}">
      <formula1>TimezoneList</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G57"/>
  <sheetViews>
    <sheetView showGridLines="0" tabSelected="1" workbookViewId="0">
      <pane ySplit="7" topLeftCell="A8" activePane="bottomLeft" state="frozen"/>
      <selection pane="bottomLeft" activeCell="E54" sqref="E54"/>
    </sheetView>
  </sheetViews>
  <sheetFormatPr defaultColWidth="8.7109375" defaultRowHeight="12.75" x14ac:dyDescent="0.2"/>
  <cols>
    <col min="1" max="1" width="1.5703125" style="197" customWidth="1"/>
    <col min="2" max="2" width="5.5703125" style="197" customWidth="1"/>
    <col min="3" max="3" width="36.5703125" style="197" customWidth="1"/>
    <col min="4" max="4" width="8.7109375" style="197"/>
    <col min="5" max="5" width="4.5703125" style="197" customWidth="1"/>
    <col min="6" max="6" width="36.5703125" style="197" customWidth="1"/>
    <col min="7" max="7" width="5.140625" style="216" hidden="1" customWidth="1"/>
    <col min="8" max="8" width="46" style="197" customWidth="1"/>
    <col min="9" max="16384" width="8.7109375" style="197"/>
  </cols>
  <sheetData>
    <row r="1" spans="1:85" s="33" customFormat="1" ht="5.0999999999999996" customHeight="1" x14ac:dyDescent="0.2">
      <c r="C1" s="34"/>
      <c r="E1" s="34"/>
      <c r="G1" s="212"/>
      <c r="H1" s="191">
        <v>1</v>
      </c>
      <c r="I1" s="191">
        <v>2</v>
      </c>
      <c r="J1" s="191">
        <v>3</v>
      </c>
      <c r="K1" s="191">
        <v>4</v>
      </c>
      <c r="L1" s="191">
        <v>5</v>
      </c>
      <c r="M1" s="191">
        <v>6</v>
      </c>
      <c r="N1" s="191">
        <v>7</v>
      </c>
      <c r="O1" s="191">
        <v>8</v>
      </c>
    </row>
    <row r="2" spans="1:85" s="20" customFormat="1" ht="5.0999999999999996" customHeight="1" x14ac:dyDescent="0.2">
      <c r="C2" s="165"/>
      <c r="E2" s="165"/>
      <c r="G2" s="213"/>
    </row>
    <row r="3" spans="1:85" s="183" customFormat="1" ht="30" customHeight="1" x14ac:dyDescent="0.2">
      <c r="B3" s="122" t="s">
        <v>1204</v>
      </c>
      <c r="C3" s="122"/>
      <c r="D3" s="122"/>
      <c r="E3" s="189"/>
      <c r="F3" s="122"/>
      <c r="G3" s="214"/>
      <c r="H3" s="122"/>
      <c r="I3" s="122"/>
      <c r="J3" s="122"/>
      <c r="K3" s="122"/>
      <c r="L3" s="122"/>
      <c r="M3" s="122"/>
      <c r="N3" s="122"/>
      <c r="O3" s="122"/>
    </row>
    <row r="4" spans="1:85" s="3" customFormat="1" ht="5.0999999999999996" customHeight="1" x14ac:dyDescent="0.2">
      <c r="E4" s="4"/>
      <c r="G4" s="215"/>
      <c r="CD4" s="5"/>
      <c r="CE4" s="5"/>
      <c r="CF4" s="5"/>
      <c r="CG4" s="5"/>
    </row>
    <row r="5" spans="1:85" s="3" customFormat="1" ht="15" customHeight="1" thickBot="1" x14ac:dyDescent="0.25">
      <c r="A5" s="196"/>
      <c r="B5" s="210" t="s">
        <v>922</v>
      </c>
      <c r="C5" s="211" t="s">
        <v>923</v>
      </c>
      <c r="E5" s="175" t="str">
        <f ca="1">IF(AND(B9="",'Knock Out Stages'!H44&lt;&gt;"",'Knock Out Stages'!H45&lt;&gt;""),"Reorder Rank","")</f>
        <v/>
      </c>
      <c r="G5" s="170" t="s">
        <v>830</v>
      </c>
    </row>
    <row r="6" spans="1:85" s="3" customFormat="1" ht="5.0999999999999996" customHeight="1" x14ac:dyDescent="0.2">
      <c r="A6" s="196"/>
      <c r="B6" s="219"/>
      <c r="C6" s="220"/>
      <c r="E6" s="175"/>
      <c r="G6" s="170"/>
    </row>
    <row r="7" spans="1:85" s="3" customFormat="1" ht="5.0999999999999996" customHeight="1" x14ac:dyDescent="0.2">
      <c r="A7" s="196"/>
      <c r="B7" s="218"/>
      <c r="C7" s="175"/>
      <c r="E7" s="175"/>
      <c r="G7" s="170"/>
    </row>
    <row r="8" spans="1:85" s="3" customFormat="1" ht="15" customHeight="1" x14ac:dyDescent="0.2">
      <c r="A8" s="4"/>
      <c r="B8" s="217">
        <f ca="1">'Dummy Top Scorer'!DB4</f>
        <v>1</v>
      </c>
      <c r="C8" s="204" t="str">
        <f ca="1">IFERROR(IF(E8="",IF('Dummy Top Scorer'!DC4&lt;&gt;"",'Dummy Top Scorer'!DC4&amp;" ("&amp;'Dummy Top Scorer'!DD4&amp;")",""),VLOOKUP(G8,E8:F17,2,FALSE)),"")</f>
        <v>Kai Havertz (Germany)</v>
      </c>
      <c r="E8" s="4"/>
      <c r="F8" s="221" t="str">
        <f ca="1">IF(E5&lt;&gt;"",IF('Dummy Top Scorer'!DC4&lt;&gt;"",'Dummy Top Scorer'!DC4&amp;" ("&amp;'Dummy Top Scorer'!DD4&amp;")",""),"")</f>
        <v/>
      </c>
      <c r="G8" s="170">
        <v>1</v>
      </c>
      <c r="H8" s="276" t="s">
        <v>1039</v>
      </c>
      <c r="I8" s="20"/>
    </row>
    <row r="9" spans="1:85" s="3" customFormat="1" ht="15" customHeight="1" x14ac:dyDescent="0.2">
      <c r="A9" s="4"/>
      <c r="B9" s="217" t="str">
        <f ca="1">IF('Dummy Top Scorer'!DB5='Dummy Top Scorer'!DB4,"",'Dummy Top Scorer'!DB5)</f>
        <v/>
      </c>
      <c r="C9" s="65" t="str">
        <f ca="1">IFERROR(IF(E9="",IF('Dummy Top Scorer'!DC5&lt;&gt;"",'Dummy Top Scorer'!DC5&amp;" ("&amp;'Dummy Top Scorer'!DD5&amp;")",""),VLOOKUP(G9,E8:F17,2,FALSE)),"")</f>
        <v>Niclas Füllkrug (Germany)</v>
      </c>
      <c r="E9" s="4"/>
      <c r="F9" s="221" t="str">
        <f ca="1">IF(E5&lt;&gt;"",IF('Dummy Top Scorer'!DC5&lt;&gt;"",'Dummy Top Scorer'!DC5&amp;" ("&amp;'Dummy Top Scorer'!DD5&amp;")",""),"")</f>
        <v/>
      </c>
      <c r="G9" s="170">
        <v>2</v>
      </c>
      <c r="H9" s="276"/>
      <c r="I9" s="20"/>
    </row>
    <row r="10" spans="1:85" s="3" customFormat="1" ht="15" customHeight="1" x14ac:dyDescent="0.2">
      <c r="A10" s="4"/>
      <c r="B10" s="217" t="str">
        <f ca="1">IF('Dummy Top Scorer'!DB6='Dummy Top Scorer'!DB5,"",'Dummy Top Scorer'!DB6)</f>
        <v/>
      </c>
      <c r="C10" s="65" t="str">
        <f ca="1">IFERROR(IF(E10="",IF('Dummy Top Scorer'!DC6&lt;&gt;"",'Dummy Top Scorer'!DC6&amp;" ("&amp;'Dummy Top Scorer'!DD6&amp;")",""),VLOOKUP(G10,E8:F17,2,FALSE)),"")</f>
        <v>Jamal Musiala (Germany)</v>
      </c>
      <c r="E10" s="4"/>
      <c r="F10" s="221" t="str">
        <f ca="1">IF(AND(E5&lt;&gt;"",'Dummy Top Scorer'!DB6='Dummy Top Scorer'!DB4),IF('Dummy Top Scorer'!DC6&lt;&gt;"",'Dummy Top Scorer'!DC6&amp;" ("&amp;'Dummy Top Scorer'!DD6&amp;")",""),"")</f>
        <v/>
      </c>
      <c r="G10" s="170">
        <v>3</v>
      </c>
      <c r="H10" s="276"/>
    </row>
    <row r="11" spans="1:85" s="3" customFormat="1" ht="15" customHeight="1" x14ac:dyDescent="0.2">
      <c r="A11" s="4"/>
      <c r="B11" s="217" t="str">
        <f ca="1">IF('Dummy Top Scorer'!DB7='Dummy Top Scorer'!DB6,"",'Dummy Top Scorer'!DB7)</f>
        <v/>
      </c>
      <c r="C11" s="65" t="str">
        <f ca="1">IFERROR(IF(E11="",IF('Dummy Top Scorer'!DC7&lt;&gt;"",'Dummy Top Scorer'!DC7&amp;" ("&amp;'Dummy Top Scorer'!DD7&amp;")",""),VLOOKUP(G11,E8:F17,2,FALSE)),"")</f>
        <v>Florian Wirtz (Germany)</v>
      </c>
      <c r="E11" s="4"/>
      <c r="F11" s="221" t="str">
        <f ca="1">IF(AND(E5&lt;&gt;"",'Dummy Top Scorer'!DB7='Dummy Top Scorer'!DB4),IF('Dummy Top Scorer'!DC7&lt;&gt;"",'Dummy Top Scorer'!DC7&amp;" ("&amp;'Dummy Top Scorer'!DD7&amp;")",""),"")</f>
        <v/>
      </c>
      <c r="G11" s="170">
        <v>4</v>
      </c>
      <c r="H11" s="276"/>
    </row>
    <row r="12" spans="1:85" s="3" customFormat="1" ht="15" customHeight="1" x14ac:dyDescent="0.2">
      <c r="A12" s="4"/>
      <c r="B12" s="217" t="str">
        <f ca="1">IF('Dummy Top Scorer'!DB8='Dummy Top Scorer'!DB7,"",'Dummy Top Scorer'!DB8)</f>
        <v/>
      </c>
      <c r="C12" s="65" t="str">
        <f ca="1">IFERROR(IF(E12="",IF('Dummy Top Scorer'!DC8&lt;&gt;"",'Dummy Top Scorer'!DC8&amp;" ("&amp;'Dummy Top Scorer'!DD8&amp;")",""),VLOOKUP(G12,E8:F17,2,FALSE)),"")</f>
        <v>Emre Can (Germany)</v>
      </c>
      <c r="E12" s="4"/>
      <c r="F12" s="221" t="str">
        <f ca="1">IF(AND(E5&lt;&gt;"",'Dummy Top Scorer'!DB8='Dummy Top Scorer'!DB4),IF('Dummy Top Scorer'!DC8&lt;&gt;"",'Dummy Top Scorer'!DC8&amp;" ("&amp;'Dummy Top Scorer'!DD8&amp;")",""),"")</f>
        <v/>
      </c>
      <c r="G12" s="170">
        <v>5</v>
      </c>
      <c r="H12" s="276"/>
    </row>
    <row r="13" spans="1:85" s="3" customFormat="1" ht="15" customHeight="1" x14ac:dyDescent="0.2">
      <c r="A13" s="4"/>
      <c r="B13" s="217" t="str">
        <f ca="1">IF('Dummy Top Scorer'!DB9='Dummy Top Scorer'!DB8,"",'Dummy Top Scorer'!DB9)</f>
        <v/>
      </c>
      <c r="C13" s="65" t="str">
        <f ca="1">IFERROR(IF(E13="",IF('Dummy Top Scorer'!DC9&lt;&gt;"",'Dummy Top Scorer'!DC9&amp;" ("&amp;'Dummy Top Scorer'!DD9&amp;")",""),VLOOKUP(G13,E8:F17,2,FALSE)),"")</f>
        <v>Barnabás Varga (Hungary)</v>
      </c>
      <c r="E13" s="4"/>
      <c r="F13" s="221" t="str">
        <f ca="1">IF(AND(E5&lt;&gt;"",'Dummy Top Scorer'!DB9='Dummy Top Scorer'!DB4),IF('Dummy Top Scorer'!DC9&lt;&gt;"",'Dummy Top Scorer'!DC9&amp;" ("&amp;'Dummy Top Scorer'!DD9&amp;")",""),"")</f>
        <v/>
      </c>
      <c r="G13" s="170">
        <v>6</v>
      </c>
      <c r="H13" s="276"/>
    </row>
    <row r="14" spans="1:85" s="3" customFormat="1" ht="15" customHeight="1" x14ac:dyDescent="0.2">
      <c r="A14" s="4"/>
      <c r="B14" s="217" t="str">
        <f ca="1">IF('Dummy Top Scorer'!DB10='Dummy Top Scorer'!DB9,"",'Dummy Top Scorer'!DB10)</f>
        <v/>
      </c>
      <c r="C14" s="65" t="str">
        <f ca="1">IFERROR(IF(E14="",IF('Dummy Top Scorer'!DC10&lt;&gt;"",'Dummy Top Scorer'!DC10&amp;" ("&amp;'Dummy Top Scorer'!DD10&amp;")",""),VLOOKUP(G14,E8:F17,2,FALSE)),"")</f>
        <v>Breel Embolo (Switzerland)</v>
      </c>
      <c r="E14" s="4"/>
      <c r="F14" s="221" t="str">
        <f ca="1">IF(AND(E5&lt;&gt;"",'Dummy Top Scorer'!DB10='Dummy Top Scorer'!DB4),IF('Dummy Top Scorer'!DC10&lt;&gt;"",'Dummy Top Scorer'!DC10&amp;" ("&amp;'Dummy Top Scorer'!DD10&amp;")",""),"")</f>
        <v/>
      </c>
      <c r="G14" s="170">
        <v>7</v>
      </c>
    </row>
    <row r="15" spans="1:85" s="3" customFormat="1" ht="15" customHeight="1" x14ac:dyDescent="0.2">
      <c r="A15" s="4"/>
      <c r="B15" s="217" t="str">
        <f ca="1">IF('Dummy Top Scorer'!DB11='Dummy Top Scorer'!DB10,"",'Dummy Top Scorer'!DB11)</f>
        <v/>
      </c>
      <c r="C15" s="65" t="str">
        <f ca="1">IFERROR(IF(E15="",IF('Dummy Top Scorer'!DC11&lt;&gt;"",'Dummy Top Scorer'!DC11&amp;" ("&amp;'Dummy Top Scorer'!DD11&amp;")",""),VLOOKUP(G15,E8:F17,2,FALSE)),"")</f>
        <v>Kwadwo Duah (Switzerland)</v>
      </c>
      <c r="E15" s="4"/>
      <c r="F15" s="221" t="str">
        <f ca="1">IF(AND(E5&lt;&gt;"",'Dummy Top Scorer'!DB11='Dummy Top Scorer'!DB4),IF('Dummy Top Scorer'!DC11&lt;&gt;"",'Dummy Top Scorer'!DC11&amp;" ("&amp;'Dummy Top Scorer'!DD11&amp;")",""),"")</f>
        <v/>
      </c>
      <c r="G15" s="170">
        <v>8</v>
      </c>
    </row>
    <row r="16" spans="1:85" s="3" customFormat="1" ht="15" customHeight="1" x14ac:dyDescent="0.2">
      <c r="A16" s="4"/>
      <c r="B16" s="217" t="str">
        <f ca="1">IF('Dummy Top Scorer'!DB12='Dummy Top Scorer'!DB11,"",'Dummy Top Scorer'!DB12)</f>
        <v/>
      </c>
      <c r="C16" s="65" t="str">
        <f ca="1">IFERROR(IF(E16="",IF('Dummy Top Scorer'!DC12&lt;&gt;"",'Dummy Top Scorer'!DC12&amp;" ("&amp;'Dummy Top Scorer'!DD12&amp;")",""),VLOOKUP(G16,E8:F17,2,FALSE)),"")</f>
        <v>Michel Aebischer (Switzerland)</v>
      </c>
      <c r="E16" s="4"/>
      <c r="F16" s="221" t="str">
        <f ca="1">IF(AND(E5&lt;&gt;"",'Dummy Top Scorer'!DB12='Dummy Top Scorer'!DB4),IF('Dummy Top Scorer'!DC12&lt;&gt;"",'Dummy Top Scorer'!DC12&amp;" ("&amp;'Dummy Top Scorer'!DD12&amp;")",""),"")</f>
        <v/>
      </c>
      <c r="G16" s="170">
        <v>9</v>
      </c>
    </row>
    <row r="17" spans="1:7" s="3" customFormat="1" ht="15" customHeight="1" x14ac:dyDescent="0.2">
      <c r="A17" s="4"/>
      <c r="B17" s="217" t="str">
        <f ca="1">IF('Dummy Top Scorer'!DB13='Dummy Top Scorer'!DB12,"",'Dummy Top Scorer'!DB13)</f>
        <v/>
      </c>
      <c r="C17" s="65" t="str">
        <f ca="1">IFERROR(IF(E17="",IF('Dummy Top Scorer'!DC13&lt;&gt;"",'Dummy Top Scorer'!DC13&amp;" ("&amp;'Dummy Top Scorer'!DD13&amp;")",""),VLOOKUP(G17,E8:F17,2,FALSE)),"")</f>
        <v>Nicolò Barella (Italy)</v>
      </c>
      <c r="E17" s="4"/>
      <c r="F17" s="221" t="str">
        <f ca="1">IF(AND(E5&lt;&gt;"",'Dummy Top Scorer'!DB13='Dummy Top Scorer'!DB4),IF('Dummy Top Scorer'!DC13&lt;&gt;"",'Dummy Top Scorer'!DC13&amp;" ("&amp;'Dummy Top Scorer'!DD13&amp;")",""),"")</f>
        <v/>
      </c>
      <c r="G17" s="170">
        <v>10</v>
      </c>
    </row>
    <row r="18" spans="1:7" s="3" customFormat="1" ht="15" customHeight="1" x14ac:dyDescent="0.2">
      <c r="A18" s="4"/>
      <c r="B18" s="217" t="str">
        <f ca="1">IF('Dummy Top Scorer'!DB14='Dummy Top Scorer'!DB13,"",'Dummy Top Scorer'!DB14)</f>
        <v/>
      </c>
      <c r="C18" s="65" t="str">
        <f ca="1">IF('Dummy Top Scorer'!DC14&lt;&gt;"",'Dummy Top Scorer'!DC14&amp;" ("&amp;'Dummy Top Scorer'!DD14&amp;")","")</f>
        <v>Alessandro Bastoni (Italy)</v>
      </c>
      <c r="E18" s="4"/>
      <c r="G18" s="170"/>
    </row>
    <row r="19" spans="1:7" s="3" customFormat="1" ht="15" customHeight="1" x14ac:dyDescent="0.2">
      <c r="A19" s="4"/>
      <c r="B19" s="217" t="str">
        <f ca="1">IF('Dummy Top Scorer'!DB15='Dummy Top Scorer'!DB14,"",'Dummy Top Scorer'!DB15)</f>
        <v/>
      </c>
      <c r="C19" s="65" t="str">
        <f ca="1">IF('Dummy Top Scorer'!DC15&lt;&gt;"",'Dummy Top Scorer'!DC15&amp;" ("&amp;'Dummy Top Scorer'!DD15&amp;")","")</f>
        <v>Nedim Bajrami (Albania)</v>
      </c>
      <c r="E19" s="4"/>
      <c r="G19" s="170"/>
    </row>
    <row r="20" spans="1:7" s="3" customFormat="1" ht="15" customHeight="1" x14ac:dyDescent="0.2">
      <c r="A20" s="4"/>
      <c r="B20" s="217" t="str">
        <f ca="1">IF('Dummy Top Scorer'!DB16='Dummy Top Scorer'!DB15,"",'Dummy Top Scorer'!DB16)</f>
        <v/>
      </c>
      <c r="C20" s="65" t="str">
        <f ca="1">IF('Dummy Top Scorer'!DC16&lt;&gt;"",'Dummy Top Scorer'!DC16&amp;" ("&amp;'Dummy Top Scorer'!DD16&amp;")","")</f>
        <v>Dani Carvajal (Spain)</v>
      </c>
      <c r="E20" s="4"/>
      <c r="G20" s="170"/>
    </row>
    <row r="21" spans="1:7" s="3" customFormat="1" ht="15" customHeight="1" x14ac:dyDescent="0.2">
      <c r="A21" s="4"/>
      <c r="B21" s="217" t="str">
        <f ca="1">IF('Dummy Top Scorer'!DB17='Dummy Top Scorer'!DB16,"",'Dummy Top Scorer'!DB17)</f>
        <v/>
      </c>
      <c r="C21" s="65" t="str">
        <f ca="1">IF('Dummy Top Scorer'!DC17&lt;&gt;"",'Dummy Top Scorer'!DC17&amp;" ("&amp;'Dummy Top Scorer'!DD17&amp;")","")</f>
        <v>Álvaro Morata (Spain)</v>
      </c>
      <c r="E21" s="4"/>
      <c r="G21" s="170"/>
    </row>
    <row r="22" spans="1:7" s="3" customFormat="1" ht="15" customHeight="1" x14ac:dyDescent="0.2">
      <c r="A22" s="4"/>
      <c r="B22" s="217" t="str">
        <f ca="1">IF('Dummy Top Scorer'!DB18='Dummy Top Scorer'!DB17,"",'Dummy Top Scorer'!DB18)</f>
        <v/>
      </c>
      <c r="C22" s="65" t="str">
        <f ca="1">IF('Dummy Top Scorer'!DC18&lt;&gt;"",'Dummy Top Scorer'!DC18&amp;" ("&amp;'Dummy Top Scorer'!DD18&amp;")","")</f>
        <v>Fabián Ruiz (Spain)</v>
      </c>
      <c r="E22" s="4"/>
      <c r="G22" s="170"/>
    </row>
    <row r="23" spans="1:7" s="3" customFormat="1" ht="15" customHeight="1" x14ac:dyDescent="0.2">
      <c r="A23" s="4"/>
      <c r="B23" s="217" t="str">
        <f ca="1">IF('Dummy Top Scorer'!DB19='Dummy Top Scorer'!DB18,"",'Dummy Top Scorer'!DB19)</f>
        <v/>
      </c>
      <c r="C23" s="65" t="str">
        <f ca="1">IF('Dummy Top Scorer'!DC19&lt;&gt;"",'Dummy Top Scorer'!DC19&amp;" ("&amp;'Dummy Top Scorer'!DD19&amp;")","")</f>
        <v/>
      </c>
      <c r="G23" s="170"/>
    </row>
    <row r="24" spans="1:7" s="3" customFormat="1" ht="15" customHeight="1" x14ac:dyDescent="0.2">
      <c r="A24" s="4"/>
      <c r="B24" s="217" t="str">
        <f ca="1">IF('Dummy Top Scorer'!DB20='Dummy Top Scorer'!DB19,"",'Dummy Top Scorer'!DB20)</f>
        <v/>
      </c>
      <c r="C24" s="65" t="str">
        <f ca="1">IF('Dummy Top Scorer'!DC20&lt;&gt;"",'Dummy Top Scorer'!DC20&amp;" ("&amp;'Dummy Top Scorer'!DD20&amp;")","")</f>
        <v/>
      </c>
      <c r="G24" s="170"/>
    </row>
    <row r="25" spans="1:7" s="3" customFormat="1" ht="15" customHeight="1" x14ac:dyDescent="0.2">
      <c r="A25" s="4"/>
      <c r="B25" s="217" t="str">
        <f ca="1">IF('Dummy Top Scorer'!DB21='Dummy Top Scorer'!DB20,"",'Dummy Top Scorer'!DB21)</f>
        <v/>
      </c>
      <c r="C25" s="65" t="str">
        <f ca="1">IF('Dummy Top Scorer'!DC21&lt;&gt;"",'Dummy Top Scorer'!DC21&amp;" ("&amp;'Dummy Top Scorer'!DD21&amp;")","")</f>
        <v/>
      </c>
      <c r="G25" s="170"/>
    </row>
    <row r="26" spans="1:7" s="3" customFormat="1" ht="15" customHeight="1" x14ac:dyDescent="0.2">
      <c r="A26" s="4"/>
      <c r="B26" s="217" t="str">
        <f ca="1">IF('Dummy Top Scorer'!DB22='Dummy Top Scorer'!DB21,"",'Dummy Top Scorer'!DB22)</f>
        <v/>
      </c>
      <c r="C26" s="65" t="str">
        <f ca="1">IF('Dummy Top Scorer'!DC22&lt;&gt;"",'Dummy Top Scorer'!DC22&amp;" ("&amp;'Dummy Top Scorer'!DD22&amp;")","")</f>
        <v/>
      </c>
      <c r="G26" s="170"/>
    </row>
    <row r="27" spans="1:7" s="3" customFormat="1" ht="15" customHeight="1" x14ac:dyDescent="0.2">
      <c r="A27" s="4"/>
      <c r="B27" s="217" t="str">
        <f ca="1">IF('Dummy Top Scorer'!DB23='Dummy Top Scorer'!DB22,"",'Dummy Top Scorer'!DB23)</f>
        <v/>
      </c>
      <c r="C27" s="65" t="str">
        <f ca="1">IF('Dummy Top Scorer'!DC23&lt;&gt;"",'Dummy Top Scorer'!DC23&amp;" ("&amp;'Dummy Top Scorer'!DD23&amp;")","")</f>
        <v/>
      </c>
      <c r="G27" s="170"/>
    </row>
    <row r="28" spans="1:7" s="3" customFormat="1" ht="15" customHeight="1" x14ac:dyDescent="0.2">
      <c r="A28" s="4"/>
      <c r="B28" s="217" t="str">
        <f ca="1">IF('Dummy Top Scorer'!DB24='Dummy Top Scorer'!DB23,"",'Dummy Top Scorer'!DB24)</f>
        <v/>
      </c>
      <c r="C28" s="65" t="str">
        <f ca="1">IF('Dummy Top Scorer'!DC24&lt;&gt;"",'Dummy Top Scorer'!DC24&amp;" ("&amp;'Dummy Top Scorer'!DD24&amp;")","")</f>
        <v/>
      </c>
      <c r="G28" s="170"/>
    </row>
    <row r="29" spans="1:7" s="3" customFormat="1" ht="15" customHeight="1" x14ac:dyDescent="0.2">
      <c r="A29" s="4"/>
      <c r="B29" s="217" t="str">
        <f ca="1">IF('Dummy Top Scorer'!DB25='Dummy Top Scorer'!DB24,"",'Dummy Top Scorer'!DB25)</f>
        <v/>
      </c>
      <c r="C29" s="65" t="str">
        <f ca="1">IF('Dummy Top Scorer'!DC25&lt;&gt;"",'Dummy Top Scorer'!DC25&amp;" ("&amp;'Dummy Top Scorer'!DD25&amp;")","")</f>
        <v/>
      </c>
      <c r="G29" s="170"/>
    </row>
    <row r="30" spans="1:7" s="3" customFormat="1" ht="15" customHeight="1" x14ac:dyDescent="0.2">
      <c r="A30" s="4"/>
      <c r="B30" s="217" t="str">
        <f ca="1">IF('Dummy Top Scorer'!DB26='Dummy Top Scorer'!DB25,"",'Dummy Top Scorer'!DB26)</f>
        <v/>
      </c>
      <c r="C30" s="65" t="str">
        <f ca="1">IF('Dummy Top Scorer'!DC26&lt;&gt;"",'Dummy Top Scorer'!DC26&amp;" ("&amp;'Dummy Top Scorer'!DD26&amp;")","")</f>
        <v/>
      </c>
      <c r="G30" s="170"/>
    </row>
    <row r="31" spans="1:7" s="3" customFormat="1" ht="15" customHeight="1" x14ac:dyDescent="0.2">
      <c r="A31" s="4"/>
      <c r="B31" s="217" t="str">
        <f ca="1">IF('Dummy Top Scorer'!DB27='Dummy Top Scorer'!DB26,"",'Dummy Top Scorer'!DB27)</f>
        <v/>
      </c>
      <c r="C31" s="65" t="str">
        <f ca="1">IF('Dummy Top Scorer'!DC27&lt;&gt;"",'Dummy Top Scorer'!DC27&amp;" ("&amp;'Dummy Top Scorer'!DD27&amp;")","")</f>
        <v/>
      </c>
      <c r="G31" s="170"/>
    </row>
    <row r="32" spans="1:7" s="3" customFormat="1" ht="15" customHeight="1" x14ac:dyDescent="0.2">
      <c r="A32" s="4"/>
      <c r="B32" s="217" t="str">
        <f ca="1">IF('Dummy Top Scorer'!DB28='Dummy Top Scorer'!DB27,"",'Dummy Top Scorer'!DB28)</f>
        <v/>
      </c>
      <c r="C32" s="65" t="str">
        <f ca="1">IF('Dummy Top Scorer'!DC28&lt;&gt;"",'Dummy Top Scorer'!DC28&amp;" ("&amp;'Dummy Top Scorer'!DD28&amp;")","")</f>
        <v/>
      </c>
      <c r="G32" s="170"/>
    </row>
    <row r="33" spans="1:7" s="3" customFormat="1" ht="15" customHeight="1" x14ac:dyDescent="0.2">
      <c r="A33" s="4"/>
      <c r="B33" s="217" t="str">
        <f ca="1">IF('Dummy Top Scorer'!DB29='Dummy Top Scorer'!DB28,"",'Dummy Top Scorer'!DB29)</f>
        <v/>
      </c>
      <c r="C33" s="65" t="str">
        <f ca="1">IF('Dummy Top Scorer'!DC29&lt;&gt;"",'Dummy Top Scorer'!DC29&amp;" ("&amp;'Dummy Top Scorer'!DD29&amp;")","")</f>
        <v/>
      </c>
      <c r="G33" s="170"/>
    </row>
    <row r="34" spans="1:7" s="3" customFormat="1" ht="15" customHeight="1" x14ac:dyDescent="0.2">
      <c r="A34" s="4"/>
      <c r="B34" s="217" t="str">
        <f ca="1">IF('Dummy Top Scorer'!DB30='Dummy Top Scorer'!DB29,"",'Dummy Top Scorer'!DB30)</f>
        <v/>
      </c>
      <c r="C34" s="65" t="str">
        <f ca="1">IF('Dummy Top Scorer'!DC30&lt;&gt;"",'Dummy Top Scorer'!DC30&amp;" ("&amp;'Dummy Top Scorer'!DD30&amp;")","")</f>
        <v/>
      </c>
      <c r="G34" s="170"/>
    </row>
    <row r="35" spans="1:7" s="3" customFormat="1" ht="15" customHeight="1" x14ac:dyDescent="0.2">
      <c r="B35" s="217" t="str">
        <f ca="1">IF('Dummy Top Scorer'!DB31='Dummy Top Scorer'!DB30,"",'Dummy Top Scorer'!DB31)</f>
        <v/>
      </c>
      <c r="C35" s="65" t="str">
        <f ca="1">IF('Dummy Top Scorer'!DC31&lt;&gt;"",'Dummy Top Scorer'!DC31&amp;" ("&amp;'Dummy Top Scorer'!DD31&amp;")","")</f>
        <v/>
      </c>
      <c r="G35" s="170"/>
    </row>
    <row r="36" spans="1:7" ht="15" customHeight="1" x14ac:dyDescent="0.2">
      <c r="B36" s="217" t="str">
        <f ca="1">IF('Dummy Top Scorer'!DB32='Dummy Top Scorer'!DB31,"",'Dummy Top Scorer'!DB32)</f>
        <v/>
      </c>
      <c r="C36" s="65" t="str">
        <f ca="1">IF('Dummy Top Scorer'!DC32&lt;&gt;"",'Dummy Top Scorer'!DC32&amp;" ("&amp;'Dummy Top Scorer'!DD32&amp;")","")</f>
        <v/>
      </c>
    </row>
    <row r="37" spans="1:7" ht="15" customHeight="1" x14ac:dyDescent="0.2">
      <c r="B37" s="217" t="str">
        <f ca="1">IF('Dummy Top Scorer'!DB33='Dummy Top Scorer'!DB32,"",'Dummy Top Scorer'!DB33)</f>
        <v/>
      </c>
      <c r="C37" s="65" t="str">
        <f ca="1">IF('Dummy Top Scorer'!DC33&lt;&gt;"",'Dummy Top Scorer'!DC33&amp;" ("&amp;'Dummy Top Scorer'!DD33&amp;")","")</f>
        <v/>
      </c>
    </row>
    <row r="38" spans="1:7" ht="15" customHeight="1" x14ac:dyDescent="0.2">
      <c r="B38" s="217" t="str">
        <f ca="1">IF('Dummy Top Scorer'!DB34='Dummy Top Scorer'!DB33,"",'Dummy Top Scorer'!DB34)</f>
        <v/>
      </c>
      <c r="C38" s="65" t="str">
        <f ca="1">IF('Dummy Top Scorer'!DC34&lt;&gt;"",'Dummy Top Scorer'!DC34&amp;" ("&amp;'Dummy Top Scorer'!DD34&amp;")","")</f>
        <v/>
      </c>
    </row>
    <row r="39" spans="1:7" ht="15" customHeight="1" x14ac:dyDescent="0.2">
      <c r="B39" s="217" t="str">
        <f ca="1">IF('Dummy Top Scorer'!DB35='Dummy Top Scorer'!DB34,"",'Dummy Top Scorer'!DB35)</f>
        <v/>
      </c>
      <c r="C39" s="65" t="str">
        <f ca="1">IF('Dummy Top Scorer'!DC35&lt;&gt;"",'Dummy Top Scorer'!DC35&amp;" ("&amp;'Dummy Top Scorer'!DD35&amp;")","")</f>
        <v/>
      </c>
    </row>
    <row r="40" spans="1:7" ht="15" customHeight="1" x14ac:dyDescent="0.2">
      <c r="B40" s="217" t="str">
        <f ca="1">IF('Dummy Top Scorer'!DB36='Dummy Top Scorer'!DB35,"",'Dummy Top Scorer'!DB36)</f>
        <v/>
      </c>
      <c r="C40" s="65" t="str">
        <f ca="1">IF('Dummy Top Scorer'!DC36&lt;&gt;"",'Dummy Top Scorer'!DC36&amp;" ("&amp;'Dummy Top Scorer'!DD36&amp;")","")</f>
        <v/>
      </c>
    </row>
    <row r="41" spans="1:7" ht="15" customHeight="1" x14ac:dyDescent="0.2">
      <c r="B41" s="217" t="str">
        <f ca="1">IF('Dummy Top Scorer'!DB37='Dummy Top Scorer'!DB36,"",'Dummy Top Scorer'!DB37)</f>
        <v/>
      </c>
      <c r="C41" s="65" t="str">
        <f ca="1">IF('Dummy Top Scorer'!DC37&lt;&gt;"",'Dummy Top Scorer'!DC37&amp;" ("&amp;'Dummy Top Scorer'!DD37&amp;")","")</f>
        <v/>
      </c>
    </row>
    <row r="42" spans="1:7" ht="15" customHeight="1" x14ac:dyDescent="0.2">
      <c r="B42" s="217" t="str">
        <f ca="1">IF('Dummy Top Scorer'!DB38='Dummy Top Scorer'!DB37,"",'Dummy Top Scorer'!DB38)</f>
        <v/>
      </c>
      <c r="C42" s="65" t="str">
        <f ca="1">IF('Dummy Top Scorer'!DC38&lt;&gt;"",'Dummy Top Scorer'!DC38&amp;" ("&amp;'Dummy Top Scorer'!DD38&amp;")","")</f>
        <v/>
      </c>
    </row>
    <row r="43" spans="1:7" ht="15" customHeight="1" x14ac:dyDescent="0.2">
      <c r="B43" s="217" t="str">
        <f ca="1">IF('Dummy Top Scorer'!DB39='Dummy Top Scorer'!DB38,"",'Dummy Top Scorer'!DB39)</f>
        <v/>
      </c>
      <c r="C43" s="65" t="str">
        <f ca="1">IF('Dummy Top Scorer'!DC39&lt;&gt;"",'Dummy Top Scorer'!DC39&amp;" ("&amp;'Dummy Top Scorer'!DD39&amp;")","")</f>
        <v/>
      </c>
    </row>
    <row r="44" spans="1:7" ht="15" customHeight="1" x14ac:dyDescent="0.2">
      <c r="B44" s="217" t="str">
        <f ca="1">IF('Dummy Top Scorer'!DB40='Dummy Top Scorer'!DB39,"",'Dummy Top Scorer'!DB40)</f>
        <v/>
      </c>
      <c r="C44" s="65" t="str">
        <f ca="1">IF('Dummy Top Scorer'!DC40&lt;&gt;"",'Dummy Top Scorer'!DC40&amp;" ("&amp;'Dummy Top Scorer'!DD40&amp;")","")</f>
        <v/>
      </c>
    </row>
    <row r="45" spans="1:7" ht="15" customHeight="1" x14ac:dyDescent="0.2">
      <c r="B45" s="217" t="str">
        <f ca="1">IF('Dummy Top Scorer'!DB41='Dummy Top Scorer'!DB40,"",'Dummy Top Scorer'!DB41)</f>
        <v/>
      </c>
      <c r="C45" s="65" t="str">
        <f ca="1">IF('Dummy Top Scorer'!DC41&lt;&gt;"",'Dummy Top Scorer'!DC41&amp;" ("&amp;'Dummy Top Scorer'!DD41&amp;")","")</f>
        <v/>
      </c>
    </row>
    <row r="46" spans="1:7" ht="15" customHeight="1" x14ac:dyDescent="0.2">
      <c r="B46" s="217" t="str">
        <f ca="1">IF('Dummy Top Scorer'!DB42='Dummy Top Scorer'!DB41,"",'Dummy Top Scorer'!DB42)</f>
        <v/>
      </c>
      <c r="C46" s="65" t="str">
        <f ca="1">IF('Dummy Top Scorer'!DC42&lt;&gt;"",'Dummy Top Scorer'!DC42&amp;" ("&amp;'Dummy Top Scorer'!DD42&amp;")","")</f>
        <v/>
      </c>
    </row>
    <row r="47" spans="1:7" ht="15" customHeight="1" x14ac:dyDescent="0.2">
      <c r="B47" s="217" t="str">
        <f ca="1">IF('Dummy Top Scorer'!DB43='Dummy Top Scorer'!DB42,"",'Dummy Top Scorer'!DB43)</f>
        <v/>
      </c>
      <c r="C47" s="65" t="str">
        <f ca="1">IF('Dummy Top Scorer'!DC43&lt;&gt;"",'Dummy Top Scorer'!DC43&amp;" ("&amp;'Dummy Top Scorer'!DD43&amp;")","")</f>
        <v/>
      </c>
    </row>
    <row r="48" spans="1:7" ht="15" customHeight="1" x14ac:dyDescent="0.2">
      <c r="B48" s="217" t="str">
        <f ca="1">IF('Dummy Top Scorer'!DB44='Dummy Top Scorer'!DB43,"",'Dummy Top Scorer'!DB44)</f>
        <v/>
      </c>
      <c r="C48" s="65" t="str">
        <f ca="1">IF('Dummy Top Scorer'!DC44&lt;&gt;"",'Dummy Top Scorer'!DC44&amp;" ("&amp;'Dummy Top Scorer'!DD44&amp;")","")</f>
        <v/>
      </c>
    </row>
    <row r="49" spans="2:3" ht="15" customHeight="1" x14ac:dyDescent="0.2">
      <c r="B49" s="217" t="str">
        <f ca="1">IF('Dummy Top Scorer'!DB45='Dummy Top Scorer'!DB44,"",'Dummy Top Scorer'!DB45)</f>
        <v/>
      </c>
      <c r="C49" s="65" t="str">
        <f ca="1">IF('Dummy Top Scorer'!DC45&lt;&gt;"",'Dummy Top Scorer'!DC45&amp;" ("&amp;'Dummy Top Scorer'!DD45&amp;")","")</f>
        <v/>
      </c>
    </row>
    <row r="50" spans="2:3" ht="15" customHeight="1" x14ac:dyDescent="0.2">
      <c r="B50" s="217" t="str">
        <f ca="1">IF('Dummy Top Scorer'!DB46='Dummy Top Scorer'!DB45,"",'Dummy Top Scorer'!DB46)</f>
        <v/>
      </c>
      <c r="C50" s="65" t="str">
        <f ca="1">IF('Dummy Top Scorer'!DC46&lt;&gt;"",'Dummy Top Scorer'!DC46&amp;" ("&amp;'Dummy Top Scorer'!DD46&amp;")","")</f>
        <v/>
      </c>
    </row>
    <row r="51" spans="2:3" ht="15" customHeight="1" x14ac:dyDescent="0.2">
      <c r="B51" s="217" t="str">
        <f ca="1">IF('Dummy Top Scorer'!DB47='Dummy Top Scorer'!DB46,"",'Dummy Top Scorer'!DB47)</f>
        <v/>
      </c>
      <c r="C51" s="65" t="str">
        <f ca="1">IF('Dummy Top Scorer'!DC47&lt;&gt;"",'Dummy Top Scorer'!DC47&amp;" ("&amp;'Dummy Top Scorer'!DD47&amp;")","")</f>
        <v/>
      </c>
    </row>
    <row r="52" spans="2:3" ht="15" customHeight="1" x14ac:dyDescent="0.2"/>
    <row r="53" spans="2:3" ht="15" customHeight="1" x14ac:dyDescent="0.2"/>
    <row r="54" spans="2:3" ht="15" customHeight="1" x14ac:dyDescent="0.2"/>
    <row r="55" spans="2:3" ht="15" customHeight="1" x14ac:dyDescent="0.2"/>
    <row r="56" spans="2:3" ht="15" customHeight="1" x14ac:dyDescent="0.2"/>
    <row r="57" spans="2:3" ht="15" customHeight="1" x14ac:dyDescent="0.2"/>
  </sheetData>
  <sheetProtection algorithmName="SHA-512" hashValue="KBSbqgW4PZpwF2mWnEa/D7osJPxWjOia+YL2gosZl/VNRdkwbSVXBArRurwrmewX0T89/GhYVBSt7+1/xriZ1A==" saltValue="tsuCAylnHul1LSGc8MQZ9A==" spinCount="100000" sheet="1" objects="1" scenarios="1"/>
  <mergeCells count="1">
    <mergeCell ref="H8:H13"/>
  </mergeCells>
  <conditionalFormatting sqref="E8:E17">
    <cfRule type="expression" dxfId="313" priority="1">
      <formula>$F8&lt;&gt;""</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CL135"/>
  <sheetViews>
    <sheetView showGridLines="0" zoomScaleNormal="100" workbookViewId="0">
      <pane ySplit="7" topLeftCell="A8" activePane="bottomLeft" state="frozen"/>
      <selection pane="bottomLeft" activeCell="L17" sqref="L17"/>
    </sheetView>
  </sheetViews>
  <sheetFormatPr defaultColWidth="9.140625" defaultRowHeight="0" customHeight="1" zeroHeight="1" x14ac:dyDescent="0.2"/>
  <cols>
    <col min="1" max="1" width="1.5703125" style="3" customWidth="1"/>
    <col min="2" max="3" width="7.5703125" style="3" customWidth="1"/>
    <col min="4" max="5" width="15.85546875" style="3" customWidth="1"/>
    <col min="6" max="6" width="20.5703125" style="3" customWidth="1"/>
    <col min="7" max="7" width="2.5703125" style="4" customWidth="1"/>
    <col min="8" max="8" width="4.5703125" style="3" customWidth="1"/>
    <col min="9" max="9" width="2.5703125" style="4" customWidth="1"/>
    <col min="10" max="17" width="20.7109375" style="3" customWidth="1"/>
    <col min="18" max="18" width="2.5703125" style="3" customWidth="1"/>
    <col min="19" max="83" width="9.140625" style="3" customWidth="1"/>
    <col min="84" max="87" width="9.140625" style="5" customWidth="1"/>
    <col min="88" max="90" width="9.140625" style="3" customWidth="1"/>
    <col min="91" max="16384" width="9.140625" style="3"/>
  </cols>
  <sheetData>
    <row r="1" spans="2:90" s="33" customFormat="1" ht="5.0999999999999996" customHeight="1" x14ac:dyDescent="0.2">
      <c r="C1" s="34"/>
      <c r="G1" s="34"/>
      <c r="J1" s="191">
        <v>1</v>
      </c>
      <c r="K1" s="191">
        <v>2</v>
      </c>
      <c r="L1" s="191">
        <v>3</v>
      </c>
      <c r="M1" s="191">
        <v>4</v>
      </c>
      <c r="N1" s="191">
        <v>5</v>
      </c>
      <c r="O1" s="191">
        <v>6</v>
      </c>
      <c r="P1" s="191">
        <v>7</v>
      </c>
      <c r="Q1" s="191">
        <v>8</v>
      </c>
    </row>
    <row r="2" spans="2:90" s="20" customFormat="1" ht="5.0999999999999996" customHeight="1" x14ac:dyDescent="0.2">
      <c r="C2" s="165"/>
      <c r="G2" s="165"/>
    </row>
    <row r="3" spans="2:90" s="183" customFormat="1" ht="30" customHeight="1" x14ac:dyDescent="0.2">
      <c r="B3" s="122" t="str">
        <f>Tournament!B3</f>
        <v>EURO 2024 FIXTURES</v>
      </c>
      <c r="C3" s="122"/>
      <c r="D3" s="122"/>
      <c r="E3" s="122"/>
      <c r="F3" s="122"/>
      <c r="G3" s="189"/>
      <c r="H3" s="122"/>
      <c r="I3" s="122"/>
      <c r="J3" s="122"/>
      <c r="K3" s="122"/>
      <c r="L3" s="122"/>
      <c r="M3" s="122"/>
      <c r="N3" s="122"/>
      <c r="O3" s="122"/>
      <c r="P3" s="122"/>
      <c r="Q3" s="122"/>
    </row>
    <row r="4" spans="2:90" ht="5.0999999999999996" customHeight="1" x14ac:dyDescent="0.2"/>
    <row r="5" spans="2:90" ht="15" customHeight="1" x14ac:dyDescent="0.2">
      <c r="B5" s="174" t="s">
        <v>2</v>
      </c>
      <c r="C5" s="174" t="str">
        <f>Tournament!B5</f>
        <v>Match #</v>
      </c>
      <c r="D5" s="174" t="str">
        <f>Tournament!E5</f>
        <v>Date</v>
      </c>
      <c r="E5" s="174" t="str">
        <f>Tournament!F5</f>
        <v>Time</v>
      </c>
      <c r="F5" s="174" t="str">
        <f>Tournament!G5</f>
        <v>Country</v>
      </c>
      <c r="G5" s="174"/>
      <c r="H5" s="174" t="str">
        <f>Tournament!H5</f>
        <v>Score</v>
      </c>
      <c r="I5" s="175"/>
      <c r="J5" s="174" t="s">
        <v>821</v>
      </c>
      <c r="K5" s="174" t="s">
        <v>822</v>
      </c>
      <c r="L5" s="174" t="s">
        <v>823</v>
      </c>
      <c r="M5" s="174" t="s">
        <v>824</v>
      </c>
      <c r="N5" s="174" t="s">
        <v>825</v>
      </c>
      <c r="O5" s="174" t="s">
        <v>826</v>
      </c>
      <c r="P5" s="174" t="s">
        <v>827</v>
      </c>
      <c r="Q5" s="174" t="s">
        <v>828</v>
      </c>
      <c r="CF5" s="3"/>
      <c r="CG5" s="3"/>
      <c r="CH5" s="3"/>
      <c r="CI5" s="3"/>
    </row>
    <row r="6" spans="2:90" ht="5.0999999999999996" customHeight="1" x14ac:dyDescent="0.2">
      <c r="B6" s="277"/>
      <c r="C6" s="277"/>
      <c r="D6" s="277"/>
      <c r="E6" s="277"/>
      <c r="F6" s="277"/>
      <c r="G6" s="277"/>
      <c r="H6" s="277"/>
      <c r="I6" s="277"/>
      <c r="J6" s="277"/>
      <c r="K6" s="277"/>
      <c r="L6" s="277"/>
      <c r="M6" s="277"/>
      <c r="N6" s="277"/>
      <c r="O6" s="277"/>
      <c r="P6" s="277"/>
      <c r="Q6" s="277"/>
    </row>
    <row r="7" spans="2:90" ht="5.0999999999999996" customHeight="1" x14ac:dyDescent="0.2">
      <c r="D7" s="170" t="s">
        <v>428</v>
      </c>
      <c r="I7" s="3"/>
      <c r="CF7" s="3"/>
      <c r="CG7" s="3"/>
      <c r="CH7" s="3"/>
      <c r="CJ7" s="5"/>
      <c r="CK7" s="5"/>
      <c r="CL7" s="5"/>
    </row>
    <row r="8" spans="2:90" ht="15" customHeight="1" x14ac:dyDescent="0.2">
      <c r="B8" s="278" t="str">
        <f ca="1">OFFSET(Tournament!$C$7,C8-1,0)</f>
        <v>A</v>
      </c>
      <c r="C8" s="280">
        <v>1</v>
      </c>
      <c r="D8" s="184">
        <f ca="1">E8</f>
        <v>45457.875</v>
      </c>
      <c r="E8" s="185">
        <f ca="1">OFFSET(Tournament!$F$7,C8-1,0)</f>
        <v>45457.875</v>
      </c>
      <c r="F8" s="186" t="str">
        <f ca="1">OFFSET(Tournament!$G$7,C8-1,0)</f>
        <v>Germany</v>
      </c>
      <c r="G8" s="190" t="s">
        <v>920</v>
      </c>
      <c r="H8" s="188">
        <v>5</v>
      </c>
      <c r="I8" s="190" t="s">
        <v>920</v>
      </c>
      <c r="J8" s="192" t="s">
        <v>1136</v>
      </c>
      <c r="K8" s="192" t="s">
        <v>981</v>
      </c>
      <c r="L8" s="192" t="s">
        <v>980</v>
      </c>
      <c r="M8" s="192" t="s">
        <v>1376</v>
      </c>
      <c r="N8" s="192" t="s">
        <v>1633</v>
      </c>
      <c r="O8" s="192"/>
      <c r="P8" s="192"/>
      <c r="Q8" s="192"/>
      <c r="CF8" s="3"/>
      <c r="CG8" s="3"/>
      <c r="CH8" s="3"/>
      <c r="CJ8" s="5"/>
      <c r="CK8" s="5"/>
      <c r="CL8" s="5"/>
    </row>
    <row r="9" spans="2:90" ht="15" customHeight="1" x14ac:dyDescent="0.2">
      <c r="B9" s="279"/>
      <c r="C9" s="281"/>
      <c r="D9" s="282" t="str">
        <f ca="1">OFFSET(Tournament!$M$7,C8-1,0)</f>
        <v>Munich</v>
      </c>
      <c r="E9" s="282"/>
      <c r="F9" s="187" t="str">
        <f ca="1">OFFSET(Tournament!$J$7,C8-1,0)</f>
        <v>Scotland</v>
      </c>
      <c r="G9" s="190" t="s">
        <v>920</v>
      </c>
      <c r="H9" s="188">
        <v>1</v>
      </c>
      <c r="I9" s="190" t="s">
        <v>920</v>
      </c>
      <c r="J9" s="193" t="s">
        <v>1640</v>
      </c>
      <c r="K9" s="193"/>
      <c r="L9" s="193"/>
      <c r="M9" s="193"/>
      <c r="N9" s="193"/>
      <c r="O9" s="193"/>
      <c r="P9" s="193"/>
      <c r="Q9" s="193"/>
      <c r="T9" s="170" t="s">
        <v>829</v>
      </c>
      <c r="CF9" s="3"/>
      <c r="CG9" s="3"/>
      <c r="CH9" s="3"/>
      <c r="CJ9" s="5"/>
      <c r="CK9" s="5"/>
      <c r="CL9" s="5"/>
    </row>
    <row r="10" spans="2:90" ht="15" customHeight="1" x14ac:dyDescent="0.2">
      <c r="B10" s="278" t="str">
        <f ca="1">OFFSET(Tournament!$C$7,C10-1,0)</f>
        <v>A</v>
      </c>
      <c r="C10" s="280">
        <v>2</v>
      </c>
      <c r="D10" s="184">
        <f t="shared" ref="D10" ca="1" si="0">E10</f>
        <v>45458.625</v>
      </c>
      <c r="E10" s="185">
        <f ca="1">OFFSET(Tournament!$F$7,C10-1,0)</f>
        <v>45458.625</v>
      </c>
      <c r="F10" s="186" t="str">
        <f ca="1">OFFSET(Tournament!$G$7,C10-1,0)</f>
        <v>Hungary</v>
      </c>
      <c r="G10" s="190" t="s">
        <v>920</v>
      </c>
      <c r="H10" s="188">
        <v>1</v>
      </c>
      <c r="I10" s="190" t="s">
        <v>920</v>
      </c>
      <c r="J10" s="192" t="s">
        <v>1500</v>
      </c>
      <c r="K10" s="192"/>
      <c r="L10" s="192"/>
      <c r="M10" s="192"/>
      <c r="N10" s="192"/>
      <c r="O10" s="192"/>
      <c r="P10" s="192"/>
      <c r="Q10" s="192"/>
      <c r="CF10" s="3"/>
      <c r="CG10" s="3"/>
      <c r="CH10" s="3"/>
      <c r="CJ10" s="5"/>
      <c r="CK10" s="5"/>
      <c r="CL10" s="5"/>
    </row>
    <row r="11" spans="2:90" ht="15" customHeight="1" x14ac:dyDescent="0.2">
      <c r="B11" s="279"/>
      <c r="C11" s="281"/>
      <c r="D11" s="282" t="str">
        <f ca="1">OFFSET(Tournament!$M$7,C10-1,0)</f>
        <v>Cologne</v>
      </c>
      <c r="E11" s="282"/>
      <c r="F11" s="187" t="str">
        <f ca="1">OFFSET(Tournament!$J$7,C10-1,0)</f>
        <v>Switzerland</v>
      </c>
      <c r="G11" s="190" t="s">
        <v>920</v>
      </c>
      <c r="H11" s="188">
        <v>3</v>
      </c>
      <c r="I11" s="190" t="s">
        <v>920</v>
      </c>
      <c r="J11" s="193" t="s">
        <v>1620</v>
      </c>
      <c r="K11" s="193" t="s">
        <v>1199</v>
      </c>
      <c r="L11" s="193" t="s">
        <v>1501</v>
      </c>
      <c r="M11" s="193"/>
      <c r="N11" s="193"/>
      <c r="O11" s="193"/>
      <c r="P11" s="193"/>
      <c r="Q11" s="193"/>
      <c r="CF11" s="3"/>
      <c r="CG11" s="3"/>
      <c r="CH11" s="3"/>
      <c r="CJ11" s="5"/>
      <c r="CK11" s="5"/>
      <c r="CL11" s="5"/>
    </row>
    <row r="12" spans="2:90" ht="15" customHeight="1" x14ac:dyDescent="0.2">
      <c r="B12" s="278" t="str">
        <f ca="1">OFFSET(Tournament!$C$7,C12-1,0)</f>
        <v>B</v>
      </c>
      <c r="C12" s="280">
        <v>3</v>
      </c>
      <c r="D12" s="184">
        <f t="shared" ref="D12" ca="1" si="1">E12</f>
        <v>45458.75</v>
      </c>
      <c r="E12" s="185">
        <f ca="1">OFFSET(Tournament!$F$7,C12-1,0)</f>
        <v>45458.75</v>
      </c>
      <c r="F12" s="186" t="str">
        <f ca="1">OFFSET(Tournament!$G$7,C12-1,0)</f>
        <v>Spain</v>
      </c>
      <c r="G12" s="190" t="s">
        <v>920</v>
      </c>
      <c r="H12" s="188">
        <v>3</v>
      </c>
      <c r="I12" s="190" t="s">
        <v>920</v>
      </c>
      <c r="J12" s="192" t="s">
        <v>1540</v>
      </c>
      <c r="K12" s="192" t="s">
        <v>1436</v>
      </c>
      <c r="L12" s="192" t="s">
        <v>1193</v>
      </c>
      <c r="M12" s="192"/>
      <c r="N12" s="192"/>
      <c r="O12" s="192"/>
      <c r="P12" s="192"/>
      <c r="Q12" s="192"/>
      <c r="CF12" s="3"/>
      <c r="CG12" s="3"/>
      <c r="CH12" s="3"/>
      <c r="CJ12" s="5"/>
      <c r="CK12" s="5"/>
      <c r="CL12" s="5"/>
    </row>
    <row r="13" spans="2:90" ht="15" customHeight="1" x14ac:dyDescent="0.2">
      <c r="B13" s="279"/>
      <c r="C13" s="281"/>
      <c r="D13" s="282" t="str">
        <f ca="1">OFFSET(Tournament!$M$7,C12-1,0)</f>
        <v>Berlin</v>
      </c>
      <c r="E13" s="282"/>
      <c r="F13" s="187" t="str">
        <f ca="1">OFFSET(Tournament!$J$7,C12-1,0)</f>
        <v>Croatia</v>
      </c>
      <c r="G13" s="190" t="s">
        <v>920</v>
      </c>
      <c r="H13" s="188">
        <v>0</v>
      </c>
      <c r="I13" s="190" t="s">
        <v>920</v>
      </c>
      <c r="J13" s="193"/>
      <c r="K13" s="193"/>
      <c r="L13" s="193"/>
      <c r="M13" s="193"/>
      <c r="N13" s="193"/>
      <c r="O13" s="193"/>
      <c r="P13" s="193"/>
      <c r="Q13" s="193"/>
      <c r="CF13" s="3"/>
      <c r="CG13" s="3"/>
      <c r="CH13" s="3"/>
      <c r="CJ13" s="5"/>
      <c r="CK13" s="5"/>
      <c r="CL13" s="5"/>
    </row>
    <row r="14" spans="2:90" ht="15" customHeight="1" x14ac:dyDescent="0.2">
      <c r="B14" s="278" t="str">
        <f ca="1">OFFSET(Tournament!$C$7,C14-1,0)</f>
        <v>B</v>
      </c>
      <c r="C14" s="280">
        <v>4</v>
      </c>
      <c r="D14" s="184">
        <f t="shared" ref="D14" ca="1" si="2">E14</f>
        <v>45458.875</v>
      </c>
      <c r="E14" s="185">
        <f ca="1">OFFSET(Tournament!$F$7,C14-1,0)</f>
        <v>45458.875</v>
      </c>
      <c r="F14" s="186" t="str">
        <f ca="1">OFFSET(Tournament!$G$7,C14-1,0)</f>
        <v>Italy</v>
      </c>
      <c r="G14" s="190" t="s">
        <v>920</v>
      </c>
      <c r="H14" s="188">
        <v>2</v>
      </c>
      <c r="I14" s="190" t="s">
        <v>920</v>
      </c>
      <c r="J14" s="173" t="s">
        <v>1554</v>
      </c>
      <c r="K14" s="173" t="s">
        <v>1341</v>
      </c>
      <c r="L14" s="173"/>
      <c r="M14" s="173"/>
      <c r="N14" s="173"/>
      <c r="O14" s="173"/>
      <c r="P14" s="173"/>
      <c r="Q14" s="173"/>
      <c r="CF14" s="3"/>
      <c r="CG14" s="3"/>
      <c r="CH14" s="3"/>
      <c r="CJ14" s="5"/>
      <c r="CK14" s="5"/>
      <c r="CL14" s="5"/>
    </row>
    <row r="15" spans="2:90" ht="15" customHeight="1" x14ac:dyDescent="0.2">
      <c r="B15" s="279"/>
      <c r="C15" s="281"/>
      <c r="D15" s="282" t="str">
        <f ca="1">OFFSET(Tournament!$M$7,C14-1,0)</f>
        <v>Dortmund</v>
      </c>
      <c r="E15" s="282"/>
      <c r="F15" s="187" t="str">
        <f ca="1">OFFSET(Tournament!$J$7,C14-1,0)</f>
        <v>Albania</v>
      </c>
      <c r="G15" s="190" t="s">
        <v>920</v>
      </c>
      <c r="H15" s="188">
        <v>1</v>
      </c>
      <c r="I15" s="190" t="s">
        <v>920</v>
      </c>
      <c r="J15" s="193" t="s">
        <v>1073</v>
      </c>
      <c r="K15" s="193"/>
      <c r="L15" s="193"/>
      <c r="M15" s="193"/>
      <c r="N15" s="193"/>
      <c r="O15" s="193"/>
      <c r="P15" s="193"/>
      <c r="Q15" s="193"/>
      <c r="CF15" s="3"/>
      <c r="CG15" s="3"/>
      <c r="CH15" s="3"/>
      <c r="CJ15" s="5"/>
      <c r="CK15" s="5"/>
      <c r="CL15" s="5"/>
    </row>
    <row r="16" spans="2:90" ht="15" customHeight="1" x14ac:dyDescent="0.2">
      <c r="B16" s="278" t="str">
        <f ca="1">OFFSET(Tournament!$C$7,C16-1,0)</f>
        <v>C</v>
      </c>
      <c r="C16" s="280">
        <v>5</v>
      </c>
      <c r="D16" s="184">
        <f t="shared" ref="D16" ca="1" si="3">E16</f>
        <v>45459.875</v>
      </c>
      <c r="E16" s="185">
        <f ca="1">OFFSET(Tournament!$F$7,C16-1,0)</f>
        <v>45459.875</v>
      </c>
      <c r="F16" s="186" t="str">
        <f ca="1">OFFSET(Tournament!$G$7,C16-1,0)</f>
        <v>Serbia</v>
      </c>
      <c r="G16" s="190" t="s">
        <v>920</v>
      </c>
      <c r="H16" s="188"/>
      <c r="I16" s="190" t="s">
        <v>920</v>
      </c>
      <c r="J16" s="173"/>
      <c r="K16" s="173"/>
      <c r="L16" s="173"/>
      <c r="M16" s="173"/>
      <c r="N16" s="173"/>
      <c r="O16" s="173"/>
      <c r="P16" s="173"/>
      <c r="Q16" s="173"/>
      <c r="CF16" s="3"/>
      <c r="CG16" s="3"/>
      <c r="CH16" s="3"/>
      <c r="CJ16" s="5"/>
      <c r="CK16" s="5"/>
      <c r="CL16" s="5"/>
    </row>
    <row r="17" spans="2:90" ht="15" customHeight="1" x14ac:dyDescent="0.2">
      <c r="B17" s="279"/>
      <c r="C17" s="281"/>
      <c r="D17" s="282" t="str">
        <f ca="1">OFFSET(Tournament!$M$7,C16-1,0)</f>
        <v>Gelsenkirchen</v>
      </c>
      <c r="E17" s="282"/>
      <c r="F17" s="187" t="str">
        <f ca="1">OFFSET(Tournament!$J$7,C16-1,0)</f>
        <v>England</v>
      </c>
      <c r="G17" s="190" t="s">
        <v>920</v>
      </c>
      <c r="H17" s="188"/>
      <c r="I17" s="190" t="s">
        <v>920</v>
      </c>
      <c r="J17" s="173"/>
      <c r="K17" s="173"/>
      <c r="L17" s="173"/>
      <c r="M17" s="173"/>
      <c r="N17" s="173"/>
      <c r="O17" s="173"/>
      <c r="P17" s="173"/>
      <c r="Q17" s="173"/>
      <c r="CF17" s="3"/>
      <c r="CG17" s="3"/>
      <c r="CH17" s="3"/>
      <c r="CJ17" s="5"/>
      <c r="CK17" s="5"/>
      <c r="CL17" s="5"/>
    </row>
    <row r="18" spans="2:90" ht="15" customHeight="1" x14ac:dyDescent="0.2">
      <c r="B18" s="278" t="str">
        <f ca="1">OFFSET(Tournament!$C$7,C18-1,0)</f>
        <v>C</v>
      </c>
      <c r="C18" s="280">
        <v>6</v>
      </c>
      <c r="D18" s="184">
        <f t="shared" ref="D18" ca="1" si="4">E18</f>
        <v>45459.75</v>
      </c>
      <c r="E18" s="185">
        <f ca="1">OFFSET(Tournament!$F$7,C18-1,0)</f>
        <v>45459.75</v>
      </c>
      <c r="F18" s="186" t="str">
        <f ca="1">OFFSET(Tournament!$G$7,C18-1,0)</f>
        <v>Slovenia</v>
      </c>
      <c r="G18" s="190" t="s">
        <v>920</v>
      </c>
      <c r="H18" s="188"/>
      <c r="I18" s="190" t="s">
        <v>920</v>
      </c>
      <c r="J18" s="192"/>
      <c r="K18" s="192"/>
      <c r="L18" s="192"/>
      <c r="M18" s="192"/>
      <c r="N18" s="192"/>
      <c r="O18" s="192"/>
      <c r="P18" s="192"/>
      <c r="Q18" s="192"/>
      <c r="CF18" s="3"/>
      <c r="CG18" s="3"/>
      <c r="CH18" s="3"/>
      <c r="CJ18" s="5"/>
      <c r="CK18" s="5"/>
      <c r="CL18" s="5"/>
    </row>
    <row r="19" spans="2:90" ht="15" customHeight="1" x14ac:dyDescent="0.2">
      <c r="B19" s="279"/>
      <c r="C19" s="281"/>
      <c r="D19" s="282" t="str">
        <f ca="1">OFFSET(Tournament!$M$7,C18-1,0)</f>
        <v>Stuttgart</v>
      </c>
      <c r="E19" s="282"/>
      <c r="F19" s="187" t="str">
        <f ca="1">OFFSET(Tournament!$J$7,C18-1,0)</f>
        <v>Denmark</v>
      </c>
      <c r="G19" s="190" t="s">
        <v>920</v>
      </c>
      <c r="H19" s="188"/>
      <c r="I19" s="190" t="s">
        <v>920</v>
      </c>
      <c r="J19" s="193"/>
      <c r="K19" s="193"/>
      <c r="L19" s="193"/>
      <c r="M19" s="193"/>
      <c r="N19" s="193"/>
      <c r="O19" s="193"/>
      <c r="P19" s="193"/>
      <c r="Q19" s="193"/>
      <c r="CF19" s="3"/>
      <c r="CG19" s="3"/>
      <c r="CH19" s="3"/>
      <c r="CJ19" s="5"/>
      <c r="CK19" s="5"/>
      <c r="CL19" s="5"/>
    </row>
    <row r="20" spans="2:90" ht="15" customHeight="1" x14ac:dyDescent="0.2">
      <c r="B20" s="278" t="str">
        <f ca="1">OFFSET(Tournament!$C$7,C20-1,0)</f>
        <v>D</v>
      </c>
      <c r="C20" s="280">
        <v>7</v>
      </c>
      <c r="D20" s="184">
        <f t="shared" ref="D20" ca="1" si="5">E20</f>
        <v>45459.625</v>
      </c>
      <c r="E20" s="185">
        <f ca="1">OFFSET(Tournament!$F$7,C20-1,0)</f>
        <v>45459.625</v>
      </c>
      <c r="F20" s="186" t="str">
        <f ca="1">OFFSET(Tournament!$G$7,C20-1,0)</f>
        <v>Poland</v>
      </c>
      <c r="G20" s="190" t="s">
        <v>920</v>
      </c>
      <c r="H20" s="188"/>
      <c r="I20" s="190" t="s">
        <v>920</v>
      </c>
      <c r="J20" s="192"/>
      <c r="K20" s="192"/>
      <c r="L20" s="192"/>
      <c r="M20" s="192"/>
      <c r="N20" s="192"/>
      <c r="O20" s="192"/>
      <c r="P20" s="192"/>
      <c r="Q20" s="192"/>
      <c r="CF20" s="3"/>
      <c r="CG20" s="3"/>
      <c r="CH20" s="3"/>
      <c r="CJ20" s="5"/>
      <c r="CK20" s="5"/>
      <c r="CL20" s="5"/>
    </row>
    <row r="21" spans="2:90" ht="15" customHeight="1" x14ac:dyDescent="0.2">
      <c r="B21" s="279"/>
      <c r="C21" s="281"/>
      <c r="D21" s="282" t="str">
        <f ca="1">OFFSET(Tournament!$M$7,C20-1,0)</f>
        <v>Hamburg</v>
      </c>
      <c r="E21" s="282"/>
      <c r="F21" s="187" t="str">
        <f ca="1">OFFSET(Tournament!$J$7,C20-1,0)</f>
        <v>Netherlands</v>
      </c>
      <c r="G21" s="190" t="s">
        <v>920</v>
      </c>
      <c r="H21" s="188"/>
      <c r="I21" s="190" t="s">
        <v>920</v>
      </c>
      <c r="J21" s="193"/>
      <c r="K21" s="193"/>
      <c r="L21" s="193"/>
      <c r="M21" s="193"/>
      <c r="N21" s="193"/>
      <c r="O21" s="193"/>
      <c r="P21" s="193"/>
      <c r="Q21" s="193"/>
      <c r="CF21" s="3"/>
      <c r="CG21" s="3"/>
      <c r="CH21" s="3"/>
      <c r="CJ21" s="5"/>
      <c r="CK21" s="5"/>
      <c r="CL21" s="5"/>
    </row>
    <row r="22" spans="2:90" ht="15" customHeight="1" x14ac:dyDescent="0.2">
      <c r="B22" s="278" t="str">
        <f ca="1">OFFSET(Tournament!$C$7,C22-1,0)</f>
        <v>D</v>
      </c>
      <c r="C22" s="280">
        <v>8</v>
      </c>
      <c r="D22" s="184">
        <f t="shared" ref="D22" ca="1" si="6">E22</f>
        <v>45460.875</v>
      </c>
      <c r="E22" s="185">
        <f ca="1">OFFSET(Tournament!$F$7,C22-1,0)</f>
        <v>45460.875</v>
      </c>
      <c r="F22" s="186" t="str">
        <f ca="1">OFFSET(Tournament!$G$7,C22-1,0)</f>
        <v>Austria</v>
      </c>
      <c r="G22" s="190" t="s">
        <v>920</v>
      </c>
      <c r="H22" s="188"/>
      <c r="I22" s="190" t="s">
        <v>920</v>
      </c>
      <c r="J22" s="192"/>
      <c r="K22" s="192"/>
      <c r="L22" s="192"/>
      <c r="M22" s="192"/>
      <c r="N22" s="192"/>
      <c r="O22" s="192"/>
      <c r="P22" s="192"/>
      <c r="Q22" s="192"/>
      <c r="CF22" s="3"/>
      <c r="CG22" s="3"/>
      <c r="CH22" s="3"/>
      <c r="CJ22" s="5"/>
      <c r="CK22" s="5"/>
      <c r="CL22" s="5"/>
    </row>
    <row r="23" spans="2:90" ht="15" customHeight="1" x14ac:dyDescent="0.2">
      <c r="B23" s="279"/>
      <c r="C23" s="281"/>
      <c r="D23" s="282" t="str">
        <f ca="1">OFFSET(Tournament!$M$7,C22-1,0)</f>
        <v>Dusseldorf</v>
      </c>
      <c r="E23" s="282"/>
      <c r="F23" s="187" t="str">
        <f ca="1">OFFSET(Tournament!$J$7,C22-1,0)</f>
        <v>France</v>
      </c>
      <c r="G23" s="190" t="s">
        <v>920</v>
      </c>
      <c r="H23" s="188"/>
      <c r="I23" s="190" t="s">
        <v>920</v>
      </c>
      <c r="J23" s="193"/>
      <c r="K23" s="193"/>
      <c r="L23" s="193"/>
      <c r="M23" s="193"/>
      <c r="N23" s="193"/>
      <c r="O23" s="193"/>
      <c r="P23" s="193"/>
      <c r="Q23" s="193"/>
      <c r="CF23" s="3"/>
      <c r="CG23" s="3"/>
      <c r="CH23" s="3"/>
      <c r="CJ23" s="5"/>
      <c r="CK23" s="5"/>
      <c r="CL23" s="5"/>
    </row>
    <row r="24" spans="2:90" ht="15" customHeight="1" x14ac:dyDescent="0.2">
      <c r="B24" s="278" t="str">
        <f ca="1">OFFSET(Tournament!$C$7,C24-1,0)</f>
        <v>E</v>
      </c>
      <c r="C24" s="280">
        <v>9</v>
      </c>
      <c r="D24" s="184">
        <f t="shared" ref="D24" ca="1" si="7">E24</f>
        <v>45460.75</v>
      </c>
      <c r="E24" s="185">
        <f ca="1">OFFSET(Tournament!$F$7,C24-1,0)</f>
        <v>45460.75</v>
      </c>
      <c r="F24" s="186" t="str">
        <f ca="1">OFFSET(Tournament!$G$7,C24-1,0)</f>
        <v>Belgium</v>
      </c>
      <c r="G24" s="190" t="s">
        <v>920</v>
      </c>
      <c r="H24" s="188"/>
      <c r="I24" s="190" t="s">
        <v>920</v>
      </c>
      <c r="J24" s="192"/>
      <c r="K24" s="192"/>
      <c r="L24" s="192"/>
      <c r="M24" s="192"/>
      <c r="N24" s="192"/>
      <c r="O24" s="192"/>
      <c r="P24" s="192"/>
      <c r="Q24" s="192"/>
      <c r="CF24" s="3"/>
      <c r="CG24" s="3"/>
      <c r="CH24" s="3"/>
      <c r="CJ24" s="5"/>
      <c r="CK24" s="5"/>
      <c r="CL24" s="5"/>
    </row>
    <row r="25" spans="2:90" ht="15" customHeight="1" x14ac:dyDescent="0.2">
      <c r="B25" s="279"/>
      <c r="C25" s="281"/>
      <c r="D25" s="282" t="str">
        <f ca="1">OFFSET(Tournament!$M$7,C24-1,0)</f>
        <v>Frankfurt</v>
      </c>
      <c r="E25" s="282"/>
      <c r="F25" s="187" t="str">
        <f ca="1">OFFSET(Tournament!$J$7,C24-1,0)</f>
        <v>Slovakia</v>
      </c>
      <c r="G25" s="190" t="s">
        <v>920</v>
      </c>
      <c r="H25" s="188"/>
      <c r="I25" s="190" t="s">
        <v>920</v>
      </c>
      <c r="J25" s="193"/>
      <c r="K25" s="193"/>
      <c r="L25" s="193"/>
      <c r="M25" s="193"/>
      <c r="N25" s="193"/>
      <c r="O25" s="193"/>
      <c r="P25" s="193"/>
      <c r="Q25" s="193"/>
      <c r="CF25" s="3"/>
      <c r="CG25" s="3"/>
      <c r="CH25" s="3"/>
      <c r="CJ25" s="5"/>
      <c r="CK25" s="5"/>
      <c r="CL25" s="5"/>
    </row>
    <row r="26" spans="2:90" ht="15" customHeight="1" x14ac:dyDescent="0.2">
      <c r="B26" s="278" t="str">
        <f ca="1">OFFSET(Tournament!$C$7,C26-1,0)</f>
        <v>E</v>
      </c>
      <c r="C26" s="280">
        <v>10</v>
      </c>
      <c r="D26" s="184">
        <f t="shared" ref="D26" ca="1" si="8">E26</f>
        <v>45460.625</v>
      </c>
      <c r="E26" s="185">
        <f ca="1">OFFSET(Tournament!$F$7,C26-1,0)</f>
        <v>45460.625</v>
      </c>
      <c r="F26" s="186" t="str">
        <f ca="1">OFFSET(Tournament!$G$7,C26-1,0)</f>
        <v>Romania</v>
      </c>
      <c r="G26" s="190" t="s">
        <v>920</v>
      </c>
      <c r="H26" s="188"/>
      <c r="I26" s="190" t="s">
        <v>920</v>
      </c>
      <c r="J26" s="192"/>
      <c r="K26" s="192"/>
      <c r="L26" s="192"/>
      <c r="M26" s="192"/>
      <c r="N26" s="192"/>
      <c r="O26" s="192"/>
      <c r="P26" s="192"/>
      <c r="Q26" s="192"/>
      <c r="CF26" s="3"/>
      <c r="CG26" s="3"/>
      <c r="CH26" s="3"/>
      <c r="CJ26" s="5"/>
      <c r="CK26" s="5"/>
      <c r="CL26" s="5"/>
    </row>
    <row r="27" spans="2:90" ht="15" customHeight="1" x14ac:dyDescent="0.2">
      <c r="B27" s="279"/>
      <c r="C27" s="281"/>
      <c r="D27" s="282" t="str">
        <f ca="1">OFFSET(Tournament!$M$7,C26-1,0)</f>
        <v>Munich</v>
      </c>
      <c r="E27" s="282"/>
      <c r="F27" s="187" t="str">
        <f ca="1">OFFSET(Tournament!$J$7,C26-1,0)</f>
        <v>Ukraine</v>
      </c>
      <c r="G27" s="190" t="s">
        <v>920</v>
      </c>
      <c r="H27" s="188"/>
      <c r="I27" s="190" t="s">
        <v>920</v>
      </c>
      <c r="J27" s="193"/>
      <c r="K27" s="193"/>
      <c r="L27" s="193"/>
      <c r="M27" s="193"/>
      <c r="N27" s="193"/>
      <c r="O27" s="193"/>
      <c r="P27" s="193"/>
      <c r="Q27" s="193"/>
      <c r="CF27" s="3"/>
      <c r="CG27" s="3"/>
      <c r="CH27" s="3"/>
      <c r="CJ27" s="5"/>
      <c r="CK27" s="5"/>
      <c r="CL27" s="5"/>
    </row>
    <row r="28" spans="2:90" ht="15" customHeight="1" x14ac:dyDescent="0.2">
      <c r="B28" s="278" t="str">
        <f ca="1">OFFSET(Tournament!$C$7,C28-1,0)</f>
        <v>F</v>
      </c>
      <c r="C28" s="280">
        <v>11</v>
      </c>
      <c r="D28" s="184">
        <f t="shared" ref="D28" ca="1" si="9">E28</f>
        <v>45461.75</v>
      </c>
      <c r="E28" s="185">
        <f ca="1">OFFSET(Tournament!$F$7,C28-1,0)</f>
        <v>45461.75</v>
      </c>
      <c r="F28" s="186" t="str">
        <f ca="1">OFFSET(Tournament!$G$7,C28-1,0)</f>
        <v>Türkiye</v>
      </c>
      <c r="G28" s="190" t="s">
        <v>920</v>
      </c>
      <c r="H28" s="188"/>
      <c r="I28" s="190" t="s">
        <v>920</v>
      </c>
      <c r="J28" s="173"/>
      <c r="K28" s="173"/>
      <c r="L28" s="173"/>
      <c r="M28" s="173"/>
      <c r="N28" s="173"/>
      <c r="O28" s="173"/>
      <c r="P28" s="173"/>
      <c r="Q28" s="173"/>
      <c r="CF28" s="3"/>
      <c r="CG28" s="3"/>
      <c r="CH28" s="3"/>
      <c r="CJ28" s="5"/>
      <c r="CK28" s="5"/>
      <c r="CL28" s="5"/>
    </row>
    <row r="29" spans="2:90" ht="15" customHeight="1" x14ac:dyDescent="0.2">
      <c r="B29" s="279"/>
      <c r="C29" s="281"/>
      <c r="D29" s="282" t="str">
        <f ca="1">OFFSET(Tournament!$M$7,C28-1,0)</f>
        <v>Dortmund</v>
      </c>
      <c r="E29" s="282"/>
      <c r="F29" s="187" t="str">
        <f ca="1">OFFSET(Tournament!$J$7,C28-1,0)</f>
        <v>Georgia</v>
      </c>
      <c r="G29" s="190" t="s">
        <v>920</v>
      </c>
      <c r="H29" s="188"/>
      <c r="I29" s="190" t="s">
        <v>920</v>
      </c>
      <c r="J29" s="173"/>
      <c r="K29" s="173"/>
      <c r="L29" s="173"/>
      <c r="M29" s="173"/>
      <c r="N29" s="173"/>
      <c r="O29" s="173"/>
      <c r="P29" s="173"/>
      <c r="Q29" s="173"/>
      <c r="CF29" s="3"/>
      <c r="CG29" s="3"/>
      <c r="CH29" s="3"/>
      <c r="CJ29" s="5"/>
      <c r="CK29" s="5"/>
      <c r="CL29" s="5"/>
    </row>
    <row r="30" spans="2:90" ht="15" customHeight="1" x14ac:dyDescent="0.2">
      <c r="B30" s="278" t="str">
        <f ca="1">OFFSET(Tournament!$C$7,C30-1,0)</f>
        <v>F</v>
      </c>
      <c r="C30" s="280">
        <v>12</v>
      </c>
      <c r="D30" s="184">
        <f t="shared" ref="D30" ca="1" si="10">E30</f>
        <v>45461.875</v>
      </c>
      <c r="E30" s="185">
        <f ca="1">OFFSET(Tournament!$F$7,C30-1,0)</f>
        <v>45461.875</v>
      </c>
      <c r="F30" s="186" t="str">
        <f ca="1">OFFSET(Tournament!$G$7,C30-1,0)</f>
        <v>Portugal</v>
      </c>
      <c r="G30" s="190" t="s">
        <v>920</v>
      </c>
      <c r="H30" s="188"/>
      <c r="I30" s="190" t="s">
        <v>920</v>
      </c>
      <c r="J30" s="192"/>
      <c r="K30" s="192"/>
      <c r="L30" s="192"/>
      <c r="M30" s="192"/>
      <c r="N30" s="192"/>
      <c r="O30" s="192"/>
      <c r="P30" s="192"/>
      <c r="Q30" s="192"/>
      <c r="CF30" s="3"/>
      <c r="CG30" s="3"/>
      <c r="CH30" s="3"/>
      <c r="CJ30" s="5"/>
      <c r="CK30" s="5"/>
      <c r="CL30" s="5"/>
    </row>
    <row r="31" spans="2:90" ht="15" customHeight="1" x14ac:dyDescent="0.2">
      <c r="B31" s="279"/>
      <c r="C31" s="281"/>
      <c r="D31" s="282" t="str">
        <f ca="1">OFFSET(Tournament!$M$7,C30-1,0)</f>
        <v>Leipzig</v>
      </c>
      <c r="E31" s="282"/>
      <c r="F31" s="187" t="str">
        <f ca="1">OFFSET(Tournament!$J$7,C30-1,0)</f>
        <v>Czechia</v>
      </c>
      <c r="G31" s="190" t="s">
        <v>920</v>
      </c>
      <c r="H31" s="188"/>
      <c r="I31" s="190" t="s">
        <v>920</v>
      </c>
      <c r="J31" s="193"/>
      <c r="K31" s="193"/>
      <c r="L31" s="193"/>
      <c r="M31" s="193"/>
      <c r="N31" s="193"/>
      <c r="O31" s="193"/>
      <c r="P31" s="193"/>
      <c r="Q31" s="193"/>
      <c r="CF31" s="3"/>
      <c r="CG31" s="3"/>
      <c r="CH31" s="3"/>
      <c r="CJ31" s="5"/>
      <c r="CK31" s="5"/>
      <c r="CL31" s="5"/>
    </row>
    <row r="32" spans="2:90" ht="15" customHeight="1" x14ac:dyDescent="0.2">
      <c r="B32" s="278" t="str">
        <f ca="1">OFFSET(Tournament!$C$7,C32-1,0)</f>
        <v>A</v>
      </c>
      <c r="C32" s="280">
        <v>13</v>
      </c>
      <c r="D32" s="184">
        <f t="shared" ref="D32" ca="1" si="11">E32</f>
        <v>45462.875</v>
      </c>
      <c r="E32" s="185">
        <f ca="1">OFFSET(Tournament!$F$7,C32-1,0)</f>
        <v>45462.875</v>
      </c>
      <c r="F32" s="186" t="str">
        <f ca="1">OFFSET(Tournament!$G$7,C32-1,0)</f>
        <v>Scotland</v>
      </c>
      <c r="G32" s="190" t="s">
        <v>920</v>
      </c>
      <c r="H32" s="188"/>
      <c r="I32" s="190" t="s">
        <v>920</v>
      </c>
      <c r="J32" s="173"/>
      <c r="K32" s="173"/>
      <c r="L32" s="173"/>
      <c r="M32" s="173"/>
      <c r="N32" s="173"/>
      <c r="O32" s="173"/>
      <c r="P32" s="173"/>
      <c r="Q32" s="173"/>
      <c r="CF32" s="3"/>
      <c r="CG32" s="3"/>
      <c r="CH32" s="3"/>
      <c r="CJ32" s="5"/>
      <c r="CK32" s="5"/>
      <c r="CL32" s="5"/>
    </row>
    <row r="33" spans="2:90" ht="15" customHeight="1" x14ac:dyDescent="0.2">
      <c r="B33" s="279"/>
      <c r="C33" s="281"/>
      <c r="D33" s="282" t="str">
        <f ca="1">OFFSET(Tournament!$M$7,C32-1,0)</f>
        <v>Cologne</v>
      </c>
      <c r="E33" s="282"/>
      <c r="F33" s="187" t="str">
        <f ca="1">OFFSET(Tournament!$J$7,C32-1,0)</f>
        <v>Switzerland</v>
      </c>
      <c r="G33" s="190" t="s">
        <v>920</v>
      </c>
      <c r="H33" s="188"/>
      <c r="I33" s="190" t="s">
        <v>920</v>
      </c>
      <c r="J33" s="173"/>
      <c r="K33" s="173"/>
      <c r="L33" s="173"/>
      <c r="M33" s="173"/>
      <c r="N33" s="173"/>
      <c r="O33" s="173"/>
      <c r="P33" s="173"/>
      <c r="Q33" s="173"/>
      <c r="CF33" s="3"/>
      <c r="CG33" s="3"/>
      <c r="CH33" s="3"/>
      <c r="CJ33" s="5"/>
      <c r="CK33" s="5"/>
      <c r="CL33" s="5"/>
    </row>
    <row r="34" spans="2:90" ht="15" customHeight="1" x14ac:dyDescent="0.2">
      <c r="B34" s="278" t="str">
        <f ca="1">OFFSET(Tournament!$C$7,C34-1,0)</f>
        <v>A</v>
      </c>
      <c r="C34" s="280">
        <v>14</v>
      </c>
      <c r="D34" s="184">
        <f t="shared" ref="D34" ca="1" si="12">E34</f>
        <v>45462.75</v>
      </c>
      <c r="E34" s="185">
        <f ca="1">OFFSET(Tournament!$F$7,C34-1,0)</f>
        <v>45462.75</v>
      </c>
      <c r="F34" s="186" t="str">
        <f ca="1">OFFSET(Tournament!$G$7,C34-1,0)</f>
        <v>Germany</v>
      </c>
      <c r="G34" s="190" t="s">
        <v>920</v>
      </c>
      <c r="H34" s="188"/>
      <c r="I34" s="190" t="s">
        <v>920</v>
      </c>
      <c r="J34" s="192"/>
      <c r="K34" s="192"/>
      <c r="L34" s="192"/>
      <c r="M34" s="192"/>
      <c r="N34" s="192"/>
      <c r="O34" s="192"/>
      <c r="P34" s="192"/>
      <c r="Q34" s="192"/>
      <c r="CF34" s="3"/>
      <c r="CG34" s="3"/>
      <c r="CH34" s="3"/>
      <c r="CJ34" s="5"/>
      <c r="CK34" s="5"/>
      <c r="CL34" s="5"/>
    </row>
    <row r="35" spans="2:90" ht="15" customHeight="1" x14ac:dyDescent="0.2">
      <c r="B35" s="279"/>
      <c r="C35" s="281"/>
      <c r="D35" s="282" t="str">
        <f ca="1">OFFSET(Tournament!$M$7,C34-1,0)</f>
        <v>Stuttgart</v>
      </c>
      <c r="E35" s="282"/>
      <c r="F35" s="187" t="str">
        <f ca="1">OFFSET(Tournament!$J$7,C34-1,0)</f>
        <v>Hungary</v>
      </c>
      <c r="G35" s="190" t="s">
        <v>920</v>
      </c>
      <c r="H35" s="188"/>
      <c r="I35" s="190" t="s">
        <v>920</v>
      </c>
      <c r="J35" s="193"/>
      <c r="K35" s="193"/>
      <c r="L35" s="193"/>
      <c r="M35" s="193"/>
      <c r="N35" s="193"/>
      <c r="O35" s="193"/>
      <c r="P35" s="193"/>
      <c r="Q35" s="193"/>
      <c r="CF35" s="3"/>
      <c r="CG35" s="3"/>
      <c r="CH35" s="3"/>
      <c r="CJ35" s="5"/>
      <c r="CK35" s="5"/>
      <c r="CL35" s="5"/>
    </row>
    <row r="36" spans="2:90" ht="15" customHeight="1" x14ac:dyDescent="0.2">
      <c r="B36" s="278" t="str">
        <f ca="1">OFFSET(Tournament!$C$7,C36-1,0)</f>
        <v>B</v>
      </c>
      <c r="C36" s="280">
        <v>15</v>
      </c>
      <c r="D36" s="184">
        <f t="shared" ref="D36" ca="1" si="13">E36</f>
        <v>45462.625</v>
      </c>
      <c r="E36" s="185">
        <f ca="1">OFFSET(Tournament!$F$7,C36-1,0)</f>
        <v>45462.625</v>
      </c>
      <c r="F36" s="186" t="str">
        <f ca="1">OFFSET(Tournament!$G$7,C36-1,0)</f>
        <v>Croatia</v>
      </c>
      <c r="G36" s="190" t="s">
        <v>920</v>
      </c>
      <c r="H36" s="188"/>
      <c r="I36" s="190" t="s">
        <v>920</v>
      </c>
      <c r="J36" s="192"/>
      <c r="K36" s="192"/>
      <c r="L36" s="192"/>
      <c r="M36" s="192"/>
      <c r="N36" s="192"/>
      <c r="O36" s="192"/>
      <c r="P36" s="192"/>
      <c r="Q36" s="192"/>
      <c r="CF36" s="3"/>
      <c r="CG36" s="3"/>
      <c r="CH36" s="3"/>
      <c r="CJ36" s="5"/>
      <c r="CK36" s="5"/>
      <c r="CL36" s="5"/>
    </row>
    <row r="37" spans="2:90" ht="15" customHeight="1" x14ac:dyDescent="0.2">
      <c r="B37" s="279"/>
      <c r="C37" s="281"/>
      <c r="D37" s="282" t="str">
        <f ca="1">OFFSET(Tournament!$M$7,C36-1,0)</f>
        <v>Hamburg</v>
      </c>
      <c r="E37" s="282"/>
      <c r="F37" s="187" t="str">
        <f ca="1">OFFSET(Tournament!$J$7,C36-1,0)</f>
        <v>Albania</v>
      </c>
      <c r="G37" s="190" t="s">
        <v>920</v>
      </c>
      <c r="H37" s="188"/>
      <c r="I37" s="190" t="s">
        <v>920</v>
      </c>
      <c r="J37" s="193"/>
      <c r="K37" s="193"/>
      <c r="L37" s="193"/>
      <c r="M37" s="193"/>
      <c r="N37" s="193"/>
      <c r="O37" s="193"/>
      <c r="P37" s="193"/>
      <c r="Q37" s="193"/>
      <c r="CF37" s="3"/>
      <c r="CG37" s="3"/>
      <c r="CH37" s="3"/>
      <c r="CJ37" s="5"/>
      <c r="CK37" s="5"/>
      <c r="CL37" s="5"/>
    </row>
    <row r="38" spans="2:90" ht="15" customHeight="1" x14ac:dyDescent="0.2">
      <c r="B38" s="278" t="str">
        <f ca="1">OFFSET(Tournament!$C$7,C38-1,0)</f>
        <v>B</v>
      </c>
      <c r="C38" s="280">
        <v>16</v>
      </c>
      <c r="D38" s="184">
        <f t="shared" ref="D38" ca="1" si="14">E38</f>
        <v>45463.875</v>
      </c>
      <c r="E38" s="185">
        <f ca="1">OFFSET(Tournament!$F$7,C38-1,0)</f>
        <v>45463.875</v>
      </c>
      <c r="F38" s="186" t="str">
        <f ca="1">OFFSET(Tournament!$G$7,C38-1,0)</f>
        <v>Spain</v>
      </c>
      <c r="G38" s="190" t="s">
        <v>920</v>
      </c>
      <c r="H38" s="188"/>
      <c r="I38" s="190" t="s">
        <v>920</v>
      </c>
      <c r="J38" s="192"/>
      <c r="K38" s="192"/>
      <c r="L38" s="192"/>
      <c r="M38" s="192"/>
      <c r="N38" s="192"/>
      <c r="O38" s="192"/>
      <c r="P38" s="192"/>
      <c r="Q38" s="192"/>
      <c r="CF38" s="3"/>
      <c r="CG38" s="3"/>
      <c r="CH38" s="3"/>
      <c r="CJ38" s="5"/>
      <c r="CK38" s="5"/>
      <c r="CL38" s="5"/>
    </row>
    <row r="39" spans="2:90" ht="15" customHeight="1" x14ac:dyDescent="0.2">
      <c r="B39" s="279"/>
      <c r="C39" s="281"/>
      <c r="D39" s="282" t="str">
        <f ca="1">OFFSET(Tournament!$M$7,C38-1,0)</f>
        <v>Gelsenkirchen</v>
      </c>
      <c r="E39" s="282"/>
      <c r="F39" s="187" t="str">
        <f ca="1">OFFSET(Tournament!$J$7,C38-1,0)</f>
        <v>Italy</v>
      </c>
      <c r="G39" s="190" t="s">
        <v>920</v>
      </c>
      <c r="H39" s="188"/>
      <c r="I39" s="190" t="s">
        <v>920</v>
      </c>
      <c r="J39" s="193"/>
      <c r="K39" s="193"/>
      <c r="L39" s="193"/>
      <c r="M39" s="193"/>
      <c r="N39" s="193"/>
      <c r="O39" s="193"/>
      <c r="P39" s="193"/>
      <c r="Q39" s="193"/>
      <c r="CF39" s="3"/>
      <c r="CG39" s="3"/>
      <c r="CH39" s="3"/>
      <c r="CJ39" s="5"/>
      <c r="CK39" s="5"/>
      <c r="CL39" s="5"/>
    </row>
    <row r="40" spans="2:90" ht="15" customHeight="1" x14ac:dyDescent="0.2">
      <c r="B40" s="278" t="str">
        <f ca="1">OFFSET(Tournament!$C$7,C40-1,0)</f>
        <v>C</v>
      </c>
      <c r="C40" s="280">
        <v>17</v>
      </c>
      <c r="D40" s="184">
        <f t="shared" ref="D40" ca="1" si="15">E40</f>
        <v>45463.75</v>
      </c>
      <c r="E40" s="185">
        <f ca="1">OFFSET(Tournament!$F$7,C40-1,0)</f>
        <v>45463.75</v>
      </c>
      <c r="F40" s="186" t="str">
        <f ca="1">OFFSET(Tournament!$G$7,C40-1,0)</f>
        <v>Denmark</v>
      </c>
      <c r="G40" s="190" t="s">
        <v>920</v>
      </c>
      <c r="H40" s="188"/>
      <c r="I40" s="190" t="s">
        <v>920</v>
      </c>
      <c r="J40" s="192"/>
      <c r="K40" s="192"/>
      <c r="L40" s="192"/>
      <c r="M40" s="192"/>
      <c r="N40" s="192"/>
      <c r="O40" s="192"/>
      <c r="P40" s="192"/>
      <c r="Q40" s="192"/>
      <c r="CF40" s="3"/>
      <c r="CG40" s="3"/>
      <c r="CH40" s="3"/>
      <c r="CJ40" s="5"/>
      <c r="CK40" s="5"/>
      <c r="CL40" s="5"/>
    </row>
    <row r="41" spans="2:90" ht="15" customHeight="1" x14ac:dyDescent="0.2">
      <c r="B41" s="279"/>
      <c r="C41" s="281"/>
      <c r="D41" s="282" t="str">
        <f ca="1">OFFSET(Tournament!$M$7,C40-1,0)</f>
        <v>Frankfurt</v>
      </c>
      <c r="E41" s="282"/>
      <c r="F41" s="187" t="str">
        <f ca="1">OFFSET(Tournament!$J$7,C40-1,0)</f>
        <v>England</v>
      </c>
      <c r="G41" s="190" t="s">
        <v>920</v>
      </c>
      <c r="H41" s="188"/>
      <c r="I41" s="190" t="s">
        <v>920</v>
      </c>
      <c r="J41" s="193"/>
      <c r="K41" s="193"/>
      <c r="L41" s="193"/>
      <c r="M41" s="193"/>
      <c r="N41" s="193"/>
      <c r="O41" s="193"/>
      <c r="P41" s="193"/>
      <c r="Q41" s="193"/>
      <c r="CF41" s="3"/>
      <c r="CG41" s="3"/>
      <c r="CH41" s="3"/>
      <c r="CJ41" s="5"/>
      <c r="CK41" s="5"/>
      <c r="CL41" s="5"/>
    </row>
    <row r="42" spans="2:90" ht="15" customHeight="1" x14ac:dyDescent="0.2">
      <c r="B42" s="278" t="str">
        <f ca="1">OFFSET(Tournament!$C$7,C42-1,0)</f>
        <v>C</v>
      </c>
      <c r="C42" s="280">
        <v>18</v>
      </c>
      <c r="D42" s="184">
        <f t="shared" ref="D42" ca="1" si="16">E42</f>
        <v>45463.625</v>
      </c>
      <c r="E42" s="185">
        <f ca="1">OFFSET(Tournament!$F$7,C42-1,0)</f>
        <v>45463.625</v>
      </c>
      <c r="F42" s="186" t="str">
        <f ca="1">OFFSET(Tournament!$G$7,C42-1,0)</f>
        <v>Slovenia</v>
      </c>
      <c r="G42" s="190" t="s">
        <v>920</v>
      </c>
      <c r="H42" s="188"/>
      <c r="I42" s="190" t="s">
        <v>920</v>
      </c>
      <c r="J42" s="192"/>
      <c r="K42" s="192"/>
      <c r="L42" s="192"/>
      <c r="M42" s="192"/>
      <c r="N42" s="192"/>
      <c r="O42" s="192"/>
      <c r="P42" s="192"/>
      <c r="Q42" s="192"/>
      <c r="CF42" s="3"/>
      <c r="CG42" s="3"/>
      <c r="CH42" s="3"/>
      <c r="CJ42" s="5"/>
      <c r="CK42" s="5"/>
      <c r="CL42" s="5"/>
    </row>
    <row r="43" spans="2:90" ht="15" customHeight="1" x14ac:dyDescent="0.2">
      <c r="B43" s="279"/>
      <c r="C43" s="281"/>
      <c r="D43" s="282" t="str">
        <f ca="1">OFFSET(Tournament!$M$7,C42-1,0)</f>
        <v>Munich</v>
      </c>
      <c r="E43" s="282"/>
      <c r="F43" s="187" t="str">
        <f ca="1">OFFSET(Tournament!$J$7,C42-1,0)</f>
        <v>Serbia</v>
      </c>
      <c r="G43" s="190" t="s">
        <v>920</v>
      </c>
      <c r="H43" s="188"/>
      <c r="I43" s="190" t="s">
        <v>920</v>
      </c>
      <c r="J43" s="193"/>
      <c r="K43" s="193"/>
      <c r="L43" s="193"/>
      <c r="M43" s="193"/>
      <c r="N43" s="193"/>
      <c r="O43" s="193"/>
      <c r="P43" s="193"/>
      <c r="Q43" s="193"/>
      <c r="CF43" s="3"/>
      <c r="CG43" s="3"/>
      <c r="CH43" s="3"/>
      <c r="CJ43" s="5"/>
      <c r="CK43" s="5"/>
      <c r="CL43" s="5"/>
    </row>
    <row r="44" spans="2:90" ht="15" customHeight="1" x14ac:dyDescent="0.2">
      <c r="B44" s="278" t="str">
        <f ca="1">OFFSET(Tournament!$C$7,C44-1,0)</f>
        <v>D</v>
      </c>
      <c r="C44" s="280">
        <v>19</v>
      </c>
      <c r="D44" s="184">
        <f t="shared" ref="D44" ca="1" si="17">E44</f>
        <v>45464.75</v>
      </c>
      <c r="E44" s="185">
        <f ca="1">OFFSET(Tournament!$F$7,C44-1,0)</f>
        <v>45464.75</v>
      </c>
      <c r="F44" s="186" t="str">
        <f ca="1">OFFSET(Tournament!$G$7,C44-1,0)</f>
        <v>Poland</v>
      </c>
      <c r="G44" s="190" t="s">
        <v>920</v>
      </c>
      <c r="H44" s="188"/>
      <c r="I44" s="190" t="s">
        <v>920</v>
      </c>
      <c r="J44" s="192"/>
      <c r="K44" s="192"/>
      <c r="L44" s="192"/>
      <c r="M44" s="192"/>
      <c r="N44" s="192"/>
      <c r="O44" s="192"/>
      <c r="P44" s="192"/>
      <c r="Q44" s="192"/>
      <c r="CF44" s="3"/>
      <c r="CG44" s="3"/>
      <c r="CH44" s="3"/>
      <c r="CJ44" s="5"/>
      <c r="CK44" s="5"/>
      <c r="CL44" s="5"/>
    </row>
    <row r="45" spans="2:90" ht="15" customHeight="1" x14ac:dyDescent="0.2">
      <c r="B45" s="279"/>
      <c r="C45" s="281"/>
      <c r="D45" s="282" t="str">
        <f ca="1">OFFSET(Tournament!$M$7,C44-1,0)</f>
        <v>Berlin</v>
      </c>
      <c r="E45" s="282"/>
      <c r="F45" s="187" t="str">
        <f ca="1">OFFSET(Tournament!$J$7,C44-1,0)</f>
        <v>Austria</v>
      </c>
      <c r="G45" s="190" t="s">
        <v>920</v>
      </c>
      <c r="H45" s="188"/>
      <c r="I45" s="190" t="s">
        <v>920</v>
      </c>
      <c r="J45" s="193"/>
      <c r="K45" s="193"/>
      <c r="L45" s="193"/>
      <c r="M45" s="193"/>
      <c r="N45" s="193"/>
      <c r="O45" s="193"/>
      <c r="P45" s="193"/>
      <c r="Q45" s="193"/>
      <c r="CF45" s="3"/>
      <c r="CG45" s="3"/>
      <c r="CH45" s="3"/>
      <c r="CJ45" s="5"/>
      <c r="CK45" s="5"/>
      <c r="CL45" s="5"/>
    </row>
    <row r="46" spans="2:90" ht="15" customHeight="1" x14ac:dyDescent="0.2">
      <c r="B46" s="278" t="str">
        <f ca="1">OFFSET(Tournament!$C$7,C46-1,0)</f>
        <v>D</v>
      </c>
      <c r="C46" s="280">
        <v>20</v>
      </c>
      <c r="D46" s="184">
        <f t="shared" ref="D46" ca="1" si="18">E46</f>
        <v>45464.875</v>
      </c>
      <c r="E46" s="185">
        <f ca="1">OFFSET(Tournament!$F$7,C46-1,0)</f>
        <v>45464.875</v>
      </c>
      <c r="F46" s="186" t="str">
        <f ca="1">OFFSET(Tournament!$G$7,C46-1,0)</f>
        <v>Netherlands</v>
      </c>
      <c r="G46" s="190" t="s">
        <v>920</v>
      </c>
      <c r="H46" s="188"/>
      <c r="I46" s="190" t="s">
        <v>920</v>
      </c>
      <c r="J46" s="192"/>
      <c r="K46" s="192"/>
      <c r="L46" s="192"/>
      <c r="M46" s="192"/>
      <c r="N46" s="192"/>
      <c r="O46" s="192"/>
      <c r="P46" s="192"/>
      <c r="Q46" s="192"/>
      <c r="CF46" s="3"/>
      <c r="CG46" s="3"/>
      <c r="CH46" s="3"/>
      <c r="CJ46" s="5"/>
      <c r="CK46" s="5"/>
      <c r="CL46" s="5"/>
    </row>
    <row r="47" spans="2:90" ht="15" customHeight="1" x14ac:dyDescent="0.2">
      <c r="B47" s="279"/>
      <c r="C47" s="281"/>
      <c r="D47" s="282" t="str">
        <f ca="1">OFFSET(Tournament!$M$7,C46-1,0)</f>
        <v>Leipzig</v>
      </c>
      <c r="E47" s="282"/>
      <c r="F47" s="187" t="str">
        <f ca="1">OFFSET(Tournament!$J$7,C46-1,0)</f>
        <v>France</v>
      </c>
      <c r="G47" s="190" t="s">
        <v>920</v>
      </c>
      <c r="H47" s="188"/>
      <c r="I47" s="190" t="s">
        <v>920</v>
      </c>
      <c r="J47" s="193"/>
      <c r="K47" s="193"/>
      <c r="L47" s="193"/>
      <c r="M47" s="193"/>
      <c r="N47" s="193"/>
      <c r="O47" s="193"/>
      <c r="P47" s="193"/>
      <c r="Q47" s="193"/>
      <c r="CF47" s="3"/>
      <c r="CG47" s="3"/>
      <c r="CH47" s="3"/>
      <c r="CJ47" s="5"/>
      <c r="CK47" s="5"/>
      <c r="CL47" s="5"/>
    </row>
    <row r="48" spans="2:90" ht="15" customHeight="1" x14ac:dyDescent="0.2">
      <c r="B48" s="278" t="str">
        <f ca="1">OFFSET(Tournament!$C$7,C48-1,0)</f>
        <v>E</v>
      </c>
      <c r="C48" s="280">
        <v>21</v>
      </c>
      <c r="D48" s="184">
        <f t="shared" ref="D48" ca="1" si="19">E48</f>
        <v>45464.625</v>
      </c>
      <c r="E48" s="185">
        <f ca="1">OFFSET(Tournament!$F$7,C48-1,0)</f>
        <v>45464.625</v>
      </c>
      <c r="F48" s="186" t="str">
        <f ca="1">OFFSET(Tournament!$G$7,C48-1,0)</f>
        <v>Slovakia</v>
      </c>
      <c r="G48" s="190" t="s">
        <v>920</v>
      </c>
      <c r="H48" s="188"/>
      <c r="I48" s="190" t="s">
        <v>920</v>
      </c>
      <c r="J48" s="173"/>
      <c r="K48" s="173"/>
      <c r="L48" s="173"/>
      <c r="M48" s="173"/>
      <c r="N48" s="173"/>
      <c r="O48" s="173"/>
      <c r="P48" s="173"/>
      <c r="Q48" s="173"/>
      <c r="CF48" s="3"/>
      <c r="CG48" s="3"/>
      <c r="CH48" s="3"/>
      <c r="CJ48" s="5"/>
      <c r="CK48" s="5"/>
      <c r="CL48" s="5"/>
    </row>
    <row r="49" spans="2:90" ht="15" customHeight="1" x14ac:dyDescent="0.2">
      <c r="B49" s="279"/>
      <c r="C49" s="281"/>
      <c r="D49" s="282" t="str">
        <f ca="1">OFFSET(Tournament!$M$7,C48-1,0)</f>
        <v>Dusseldorf</v>
      </c>
      <c r="E49" s="282"/>
      <c r="F49" s="187" t="str">
        <f ca="1">OFFSET(Tournament!$J$7,C48-1,0)</f>
        <v>Ukraine</v>
      </c>
      <c r="G49" s="190" t="s">
        <v>920</v>
      </c>
      <c r="H49" s="188"/>
      <c r="I49" s="190" t="s">
        <v>920</v>
      </c>
      <c r="J49" s="173"/>
      <c r="K49" s="173"/>
      <c r="L49" s="173"/>
      <c r="M49" s="173"/>
      <c r="N49" s="173"/>
      <c r="O49" s="173"/>
      <c r="P49" s="173"/>
      <c r="Q49" s="173"/>
      <c r="CF49" s="3"/>
      <c r="CG49" s="3"/>
      <c r="CH49" s="3"/>
      <c r="CJ49" s="5"/>
      <c r="CK49" s="5"/>
      <c r="CL49" s="5"/>
    </row>
    <row r="50" spans="2:90" ht="15" customHeight="1" x14ac:dyDescent="0.2">
      <c r="B50" s="278" t="str">
        <f ca="1">OFFSET(Tournament!$C$7,C50-1,0)</f>
        <v>E</v>
      </c>
      <c r="C50" s="280">
        <v>22</v>
      </c>
      <c r="D50" s="184">
        <f t="shared" ref="D50" ca="1" si="20">E50</f>
        <v>45465.875</v>
      </c>
      <c r="E50" s="185">
        <f ca="1">OFFSET(Tournament!$F$7,C50-1,0)</f>
        <v>45465.875</v>
      </c>
      <c r="F50" s="186" t="str">
        <f ca="1">OFFSET(Tournament!$G$7,C50-1,0)</f>
        <v>Belgium</v>
      </c>
      <c r="G50" s="190" t="s">
        <v>920</v>
      </c>
      <c r="H50" s="188"/>
      <c r="I50" s="190" t="s">
        <v>920</v>
      </c>
      <c r="J50" s="192"/>
      <c r="K50" s="192"/>
      <c r="L50" s="192"/>
      <c r="M50" s="192"/>
      <c r="N50" s="192"/>
      <c r="O50" s="192"/>
      <c r="P50" s="192"/>
      <c r="Q50" s="192"/>
      <c r="CF50" s="3"/>
      <c r="CG50" s="3"/>
      <c r="CH50" s="3"/>
      <c r="CJ50" s="5"/>
      <c r="CK50" s="5"/>
      <c r="CL50" s="5"/>
    </row>
    <row r="51" spans="2:90" ht="15" customHeight="1" x14ac:dyDescent="0.2">
      <c r="B51" s="279"/>
      <c r="C51" s="281"/>
      <c r="D51" s="282" t="str">
        <f ca="1">OFFSET(Tournament!$M$7,C50-1,0)</f>
        <v>Cologne</v>
      </c>
      <c r="E51" s="282"/>
      <c r="F51" s="187" t="str">
        <f ca="1">OFFSET(Tournament!$J$7,C50-1,0)</f>
        <v>Romania</v>
      </c>
      <c r="G51" s="190" t="s">
        <v>920</v>
      </c>
      <c r="H51" s="188"/>
      <c r="I51" s="190" t="s">
        <v>920</v>
      </c>
      <c r="J51" s="193"/>
      <c r="K51" s="193"/>
      <c r="L51" s="193"/>
      <c r="M51" s="193"/>
      <c r="N51" s="193"/>
      <c r="O51" s="193"/>
      <c r="P51" s="193"/>
      <c r="Q51" s="193"/>
      <c r="CF51" s="3"/>
      <c r="CG51" s="3"/>
      <c r="CH51" s="3"/>
      <c r="CJ51" s="5"/>
      <c r="CK51" s="5"/>
      <c r="CL51" s="5"/>
    </row>
    <row r="52" spans="2:90" ht="15" customHeight="1" x14ac:dyDescent="0.2">
      <c r="B52" s="278" t="str">
        <f ca="1">OFFSET(Tournament!$C$7,C52-1,0)</f>
        <v>F</v>
      </c>
      <c r="C52" s="280">
        <v>23</v>
      </c>
      <c r="D52" s="184">
        <f t="shared" ref="D52" ca="1" si="21">E52</f>
        <v>45465.75</v>
      </c>
      <c r="E52" s="185">
        <f ca="1">OFFSET(Tournament!$F$7,C52-1,0)</f>
        <v>45465.75</v>
      </c>
      <c r="F52" s="186" t="str">
        <f ca="1">OFFSET(Tournament!$G$7,C52-1,0)</f>
        <v>Türkiye</v>
      </c>
      <c r="G52" s="190" t="s">
        <v>920</v>
      </c>
      <c r="H52" s="188"/>
      <c r="I52" s="190" t="s">
        <v>920</v>
      </c>
      <c r="J52" s="192"/>
      <c r="K52" s="192"/>
      <c r="L52" s="192"/>
      <c r="M52" s="192"/>
      <c r="N52" s="192"/>
      <c r="O52" s="192"/>
      <c r="P52" s="192"/>
      <c r="Q52" s="192"/>
      <c r="CF52" s="3"/>
      <c r="CG52" s="3"/>
      <c r="CH52" s="3"/>
      <c r="CJ52" s="5"/>
      <c r="CK52" s="5"/>
      <c r="CL52" s="5"/>
    </row>
    <row r="53" spans="2:90" ht="15" customHeight="1" x14ac:dyDescent="0.2">
      <c r="B53" s="279"/>
      <c r="C53" s="281"/>
      <c r="D53" s="282" t="str">
        <f ca="1">OFFSET(Tournament!$M$7,C52-1,0)</f>
        <v>Dortmund</v>
      </c>
      <c r="E53" s="282"/>
      <c r="F53" s="187" t="str">
        <f ca="1">OFFSET(Tournament!$J$7,C52-1,0)</f>
        <v>Portugal</v>
      </c>
      <c r="G53" s="190" t="s">
        <v>920</v>
      </c>
      <c r="H53" s="188"/>
      <c r="I53" s="190" t="s">
        <v>920</v>
      </c>
      <c r="J53" s="193"/>
      <c r="K53" s="193"/>
      <c r="L53" s="193"/>
      <c r="M53" s="193"/>
      <c r="N53" s="193"/>
      <c r="O53" s="193"/>
      <c r="P53" s="193"/>
      <c r="Q53" s="193"/>
      <c r="CF53" s="3"/>
      <c r="CG53" s="3"/>
      <c r="CH53" s="3"/>
      <c r="CJ53" s="5"/>
      <c r="CK53" s="5"/>
      <c r="CL53" s="5"/>
    </row>
    <row r="54" spans="2:90" ht="15" customHeight="1" x14ac:dyDescent="0.2">
      <c r="B54" s="278" t="str">
        <f ca="1">OFFSET(Tournament!$C$7,C54-1,0)</f>
        <v>F</v>
      </c>
      <c r="C54" s="280">
        <v>24</v>
      </c>
      <c r="D54" s="184">
        <f t="shared" ref="D54" ca="1" si="22">E54</f>
        <v>45465.625</v>
      </c>
      <c r="E54" s="185">
        <f ca="1">OFFSET(Tournament!$F$7,C54-1,0)</f>
        <v>45465.625</v>
      </c>
      <c r="F54" s="186" t="str">
        <f ca="1">OFFSET(Tournament!$G$7,C54-1,0)</f>
        <v>Georgia</v>
      </c>
      <c r="G54" s="190" t="s">
        <v>920</v>
      </c>
      <c r="H54" s="188"/>
      <c r="I54" s="190" t="s">
        <v>920</v>
      </c>
      <c r="J54" s="192"/>
      <c r="K54" s="192"/>
      <c r="L54" s="192"/>
      <c r="M54" s="192"/>
      <c r="N54" s="192"/>
      <c r="O54" s="192"/>
      <c r="P54" s="192"/>
      <c r="Q54" s="192"/>
      <c r="CF54" s="3"/>
      <c r="CG54" s="3"/>
      <c r="CH54" s="3"/>
      <c r="CJ54" s="5"/>
      <c r="CK54" s="5"/>
      <c r="CL54" s="5"/>
    </row>
    <row r="55" spans="2:90" ht="15" customHeight="1" x14ac:dyDescent="0.2">
      <c r="B55" s="279"/>
      <c r="C55" s="281"/>
      <c r="D55" s="282" t="str">
        <f ca="1">OFFSET(Tournament!$M$7,C54-1,0)</f>
        <v>Hamburg</v>
      </c>
      <c r="E55" s="282"/>
      <c r="F55" s="187" t="str">
        <f ca="1">OFFSET(Tournament!$J$7,C54-1,0)</f>
        <v>Czechia</v>
      </c>
      <c r="G55" s="190" t="s">
        <v>920</v>
      </c>
      <c r="H55" s="188"/>
      <c r="I55" s="190" t="s">
        <v>920</v>
      </c>
      <c r="J55" s="193"/>
      <c r="K55" s="193"/>
      <c r="L55" s="193"/>
      <c r="M55" s="193"/>
      <c r="N55" s="193"/>
      <c r="O55" s="193"/>
      <c r="P55" s="193"/>
      <c r="Q55" s="193"/>
      <c r="CF55" s="3"/>
      <c r="CG55" s="3"/>
      <c r="CH55" s="3"/>
      <c r="CJ55" s="5"/>
      <c r="CK55" s="5"/>
      <c r="CL55" s="5"/>
    </row>
    <row r="56" spans="2:90" ht="15" customHeight="1" x14ac:dyDescent="0.2">
      <c r="B56" s="278" t="str">
        <f ca="1">OFFSET(Tournament!$C$7,C56-1,0)</f>
        <v>A</v>
      </c>
      <c r="C56" s="280">
        <v>25</v>
      </c>
      <c r="D56" s="184">
        <f t="shared" ref="D56" ca="1" si="23">E56</f>
        <v>45466.875</v>
      </c>
      <c r="E56" s="185">
        <f ca="1">OFFSET(Tournament!$F$7,C56-1,0)</f>
        <v>45466.875</v>
      </c>
      <c r="F56" s="186" t="str">
        <f ca="1">OFFSET(Tournament!$G$7,C56-1,0)</f>
        <v>Switzerland</v>
      </c>
      <c r="G56" s="190" t="s">
        <v>920</v>
      </c>
      <c r="H56" s="188"/>
      <c r="I56" s="190" t="s">
        <v>920</v>
      </c>
      <c r="J56" s="173"/>
      <c r="K56" s="173"/>
      <c r="L56" s="173"/>
      <c r="M56" s="173"/>
      <c r="N56" s="173"/>
      <c r="O56" s="173"/>
      <c r="P56" s="173"/>
      <c r="Q56" s="173"/>
      <c r="CF56" s="3"/>
      <c r="CG56" s="3"/>
      <c r="CH56" s="3"/>
      <c r="CJ56" s="5"/>
      <c r="CK56" s="5"/>
      <c r="CL56" s="5"/>
    </row>
    <row r="57" spans="2:90" ht="15" customHeight="1" x14ac:dyDescent="0.2">
      <c r="B57" s="279"/>
      <c r="C57" s="281"/>
      <c r="D57" s="282" t="str">
        <f ca="1">OFFSET(Tournament!$M$7,C56-1,0)</f>
        <v>Frankfurt</v>
      </c>
      <c r="E57" s="282"/>
      <c r="F57" s="187" t="str">
        <f ca="1">OFFSET(Tournament!$J$7,C56-1,0)</f>
        <v>Germany</v>
      </c>
      <c r="G57" s="190" t="s">
        <v>920</v>
      </c>
      <c r="H57" s="188"/>
      <c r="I57" s="190" t="s">
        <v>920</v>
      </c>
      <c r="J57" s="173"/>
      <c r="K57" s="173"/>
      <c r="L57" s="173"/>
      <c r="M57" s="173"/>
      <c r="N57" s="173"/>
      <c r="O57" s="173"/>
      <c r="P57" s="173"/>
      <c r="Q57" s="173"/>
      <c r="CF57" s="3"/>
      <c r="CG57" s="3"/>
      <c r="CH57" s="3"/>
      <c r="CJ57" s="5"/>
      <c r="CK57" s="5"/>
      <c r="CL57" s="5"/>
    </row>
    <row r="58" spans="2:90" ht="15" customHeight="1" x14ac:dyDescent="0.2">
      <c r="B58" s="278" t="str">
        <f ca="1">OFFSET(Tournament!$C$7,C58-1,0)</f>
        <v>A</v>
      </c>
      <c r="C58" s="280">
        <v>26</v>
      </c>
      <c r="D58" s="184">
        <f t="shared" ref="D58" ca="1" si="24">E58</f>
        <v>45466.875</v>
      </c>
      <c r="E58" s="185">
        <f ca="1">OFFSET(Tournament!$F$7,C58-1,0)</f>
        <v>45466.875</v>
      </c>
      <c r="F58" s="186" t="str">
        <f ca="1">OFFSET(Tournament!$G$7,C58-1,0)</f>
        <v>Scotland</v>
      </c>
      <c r="G58" s="190" t="s">
        <v>920</v>
      </c>
      <c r="H58" s="188"/>
      <c r="I58" s="190" t="s">
        <v>920</v>
      </c>
      <c r="J58" s="192"/>
      <c r="K58" s="192"/>
      <c r="L58" s="192"/>
      <c r="M58" s="192"/>
      <c r="N58" s="192"/>
      <c r="O58" s="192"/>
      <c r="P58" s="192"/>
      <c r="Q58" s="192"/>
      <c r="CF58" s="3"/>
      <c r="CG58" s="3"/>
      <c r="CH58" s="3"/>
      <c r="CJ58" s="5"/>
      <c r="CK58" s="5"/>
      <c r="CL58" s="5"/>
    </row>
    <row r="59" spans="2:90" ht="15" customHeight="1" x14ac:dyDescent="0.2">
      <c r="B59" s="279"/>
      <c r="C59" s="281"/>
      <c r="D59" s="282" t="str">
        <f ca="1">OFFSET(Tournament!$M$7,C58-1,0)</f>
        <v>Stuttgart</v>
      </c>
      <c r="E59" s="282"/>
      <c r="F59" s="187" t="str">
        <f ca="1">OFFSET(Tournament!$J$7,C58-1,0)</f>
        <v>Hungary</v>
      </c>
      <c r="G59" s="190" t="s">
        <v>920</v>
      </c>
      <c r="H59" s="188"/>
      <c r="I59" s="190" t="s">
        <v>920</v>
      </c>
      <c r="J59" s="193"/>
      <c r="K59" s="193"/>
      <c r="L59" s="193"/>
      <c r="M59" s="193"/>
      <c r="N59" s="193"/>
      <c r="O59" s="193"/>
      <c r="P59" s="193"/>
      <c r="Q59" s="193"/>
      <c r="CF59" s="3"/>
      <c r="CG59" s="3"/>
      <c r="CH59" s="3"/>
      <c r="CJ59" s="5"/>
      <c r="CK59" s="5"/>
      <c r="CL59" s="5"/>
    </row>
    <row r="60" spans="2:90" ht="15" customHeight="1" x14ac:dyDescent="0.2">
      <c r="B60" s="278" t="str">
        <f ca="1">OFFSET(Tournament!$C$7,C60-1,0)</f>
        <v>B</v>
      </c>
      <c r="C60" s="280">
        <v>27</v>
      </c>
      <c r="D60" s="184">
        <f t="shared" ref="D60" ca="1" si="25">E60</f>
        <v>45467.875</v>
      </c>
      <c r="E60" s="185">
        <f ca="1">OFFSET(Tournament!$F$7,C60-1,0)</f>
        <v>45467.875</v>
      </c>
      <c r="F60" s="186" t="str">
        <f ca="1">OFFSET(Tournament!$G$7,C60-1,0)</f>
        <v>Albania</v>
      </c>
      <c r="G60" s="190" t="s">
        <v>920</v>
      </c>
      <c r="H60" s="188"/>
      <c r="I60" s="190" t="s">
        <v>920</v>
      </c>
      <c r="J60" s="173"/>
      <c r="K60" s="173"/>
      <c r="L60" s="173"/>
      <c r="M60" s="173"/>
      <c r="N60" s="173"/>
      <c r="O60" s="173"/>
      <c r="P60" s="173"/>
      <c r="Q60" s="173"/>
      <c r="CF60" s="3"/>
      <c r="CG60" s="3"/>
      <c r="CH60" s="3"/>
      <c r="CJ60" s="5"/>
      <c r="CK60" s="5"/>
      <c r="CL60" s="5"/>
    </row>
    <row r="61" spans="2:90" ht="15" customHeight="1" x14ac:dyDescent="0.2">
      <c r="B61" s="279"/>
      <c r="C61" s="281"/>
      <c r="D61" s="282" t="str">
        <f ca="1">OFFSET(Tournament!$M$7,C60-1,0)</f>
        <v>Dusseldorf</v>
      </c>
      <c r="E61" s="282"/>
      <c r="F61" s="187" t="str">
        <f ca="1">OFFSET(Tournament!$J$7,C60-1,0)</f>
        <v>Spain</v>
      </c>
      <c r="G61" s="190" t="s">
        <v>920</v>
      </c>
      <c r="H61" s="188"/>
      <c r="I61" s="190" t="s">
        <v>920</v>
      </c>
      <c r="J61" s="173"/>
      <c r="K61" s="173"/>
      <c r="L61" s="173"/>
      <c r="M61" s="173"/>
      <c r="N61" s="173"/>
      <c r="O61" s="173"/>
      <c r="P61" s="173"/>
      <c r="Q61" s="173"/>
      <c r="CF61" s="3"/>
      <c r="CG61" s="3"/>
      <c r="CH61" s="3"/>
      <c r="CJ61" s="5"/>
      <c r="CK61" s="5"/>
      <c r="CL61" s="5"/>
    </row>
    <row r="62" spans="2:90" ht="15" customHeight="1" x14ac:dyDescent="0.2">
      <c r="B62" s="278" t="str">
        <f ca="1">OFFSET(Tournament!$C$7,C62-1,0)</f>
        <v>B</v>
      </c>
      <c r="C62" s="280">
        <v>28</v>
      </c>
      <c r="D62" s="184">
        <f t="shared" ref="D62" ca="1" si="26">E62</f>
        <v>45467.875</v>
      </c>
      <c r="E62" s="185">
        <f ca="1">OFFSET(Tournament!$F$7,C62-1,0)</f>
        <v>45467.875</v>
      </c>
      <c r="F62" s="186" t="str">
        <f ca="1">OFFSET(Tournament!$G$7,C62-1,0)</f>
        <v>Croatia</v>
      </c>
      <c r="G62" s="190" t="s">
        <v>920</v>
      </c>
      <c r="H62" s="188"/>
      <c r="I62" s="190" t="s">
        <v>920</v>
      </c>
      <c r="J62" s="192"/>
      <c r="K62" s="192"/>
      <c r="L62" s="192"/>
      <c r="M62" s="192"/>
      <c r="N62" s="192"/>
      <c r="O62" s="192"/>
      <c r="P62" s="192"/>
      <c r="Q62" s="192"/>
      <c r="CF62" s="3"/>
      <c r="CG62" s="3"/>
      <c r="CH62" s="3"/>
      <c r="CJ62" s="5"/>
      <c r="CK62" s="5"/>
      <c r="CL62" s="5"/>
    </row>
    <row r="63" spans="2:90" ht="15" customHeight="1" x14ac:dyDescent="0.2">
      <c r="B63" s="279"/>
      <c r="C63" s="281"/>
      <c r="D63" s="282" t="str">
        <f ca="1">OFFSET(Tournament!$M$7,C62-1,0)</f>
        <v>Leipzig</v>
      </c>
      <c r="E63" s="282"/>
      <c r="F63" s="187" t="str">
        <f ca="1">OFFSET(Tournament!$J$7,C62-1,0)</f>
        <v>Italy</v>
      </c>
      <c r="G63" s="190" t="s">
        <v>920</v>
      </c>
      <c r="H63" s="188"/>
      <c r="I63" s="190" t="s">
        <v>920</v>
      </c>
      <c r="J63" s="193"/>
      <c r="K63" s="193"/>
      <c r="L63" s="193"/>
      <c r="M63" s="193"/>
      <c r="N63" s="193"/>
      <c r="O63" s="193"/>
      <c r="P63" s="193"/>
      <c r="Q63" s="193"/>
      <c r="CF63" s="3"/>
      <c r="CG63" s="3"/>
      <c r="CH63" s="3"/>
      <c r="CJ63" s="5"/>
      <c r="CK63" s="5"/>
      <c r="CL63" s="5"/>
    </row>
    <row r="64" spans="2:90" ht="15" customHeight="1" x14ac:dyDescent="0.2">
      <c r="B64" s="278" t="str">
        <f ca="1">OFFSET(Tournament!$C$7,C64-1,0)</f>
        <v>C</v>
      </c>
      <c r="C64" s="280">
        <v>29</v>
      </c>
      <c r="D64" s="184">
        <f t="shared" ref="D64" ca="1" si="27">E64</f>
        <v>45468.875</v>
      </c>
      <c r="E64" s="185">
        <f ca="1">OFFSET(Tournament!$F$7,C64-1,0)</f>
        <v>45468.875</v>
      </c>
      <c r="F64" s="186" t="str">
        <f ca="1">OFFSET(Tournament!$G$7,C64-1,0)</f>
        <v>England</v>
      </c>
      <c r="G64" s="190" t="s">
        <v>920</v>
      </c>
      <c r="H64" s="188"/>
      <c r="I64" s="190" t="s">
        <v>920</v>
      </c>
      <c r="J64" s="192"/>
      <c r="K64" s="192"/>
      <c r="L64" s="192"/>
      <c r="M64" s="192"/>
      <c r="N64" s="192"/>
      <c r="O64" s="192"/>
      <c r="P64" s="192"/>
      <c r="Q64" s="192"/>
      <c r="CF64" s="3"/>
      <c r="CG64" s="3"/>
      <c r="CH64" s="3"/>
      <c r="CJ64" s="5"/>
      <c r="CK64" s="5"/>
      <c r="CL64" s="5"/>
    </row>
    <row r="65" spans="2:90" ht="15" customHeight="1" x14ac:dyDescent="0.2">
      <c r="B65" s="279"/>
      <c r="C65" s="281"/>
      <c r="D65" s="282" t="str">
        <f ca="1">OFFSET(Tournament!$M$7,C64-1,0)</f>
        <v>Cologne</v>
      </c>
      <c r="E65" s="282"/>
      <c r="F65" s="187" t="str">
        <f ca="1">OFFSET(Tournament!$J$7,C64-1,0)</f>
        <v>Slovenia</v>
      </c>
      <c r="G65" s="190" t="s">
        <v>920</v>
      </c>
      <c r="H65" s="188"/>
      <c r="I65" s="190" t="s">
        <v>920</v>
      </c>
      <c r="J65" s="193"/>
      <c r="K65" s="193"/>
      <c r="L65" s="193"/>
      <c r="M65" s="193"/>
      <c r="N65" s="193"/>
      <c r="O65" s="193"/>
      <c r="P65" s="193"/>
      <c r="Q65" s="193"/>
      <c r="CF65" s="3"/>
      <c r="CG65" s="3"/>
      <c r="CH65" s="3"/>
      <c r="CJ65" s="5"/>
      <c r="CK65" s="5"/>
      <c r="CL65" s="5"/>
    </row>
    <row r="66" spans="2:90" ht="15" customHeight="1" x14ac:dyDescent="0.2">
      <c r="B66" s="278" t="str">
        <f ca="1">OFFSET(Tournament!$C$7,C66-1,0)</f>
        <v>C</v>
      </c>
      <c r="C66" s="280">
        <v>30</v>
      </c>
      <c r="D66" s="184">
        <f t="shared" ref="D66" ca="1" si="28">E66</f>
        <v>45468.875</v>
      </c>
      <c r="E66" s="185">
        <f ca="1">OFFSET(Tournament!$F$7,C66-1,0)</f>
        <v>45468.875</v>
      </c>
      <c r="F66" s="186" t="str">
        <f ca="1">OFFSET(Tournament!$G$7,C66-1,0)</f>
        <v>Denmark</v>
      </c>
      <c r="G66" s="190" t="s">
        <v>920</v>
      </c>
      <c r="H66" s="188"/>
      <c r="I66" s="190" t="s">
        <v>920</v>
      </c>
      <c r="J66" s="173"/>
      <c r="K66" s="173"/>
      <c r="L66" s="173"/>
      <c r="M66" s="173"/>
      <c r="N66" s="173"/>
      <c r="O66" s="173"/>
      <c r="P66" s="173"/>
      <c r="Q66" s="173"/>
      <c r="CF66" s="3"/>
      <c r="CG66" s="3"/>
      <c r="CH66" s="3"/>
      <c r="CJ66" s="5"/>
      <c r="CK66" s="5"/>
      <c r="CL66" s="5"/>
    </row>
    <row r="67" spans="2:90" ht="15" customHeight="1" x14ac:dyDescent="0.2">
      <c r="B67" s="279"/>
      <c r="C67" s="281"/>
      <c r="D67" s="282" t="str">
        <f ca="1">OFFSET(Tournament!$M$7,C66-1,0)</f>
        <v>Munich</v>
      </c>
      <c r="E67" s="282"/>
      <c r="F67" s="187" t="str">
        <f ca="1">OFFSET(Tournament!$J$7,C66-1,0)</f>
        <v>Serbia</v>
      </c>
      <c r="G67" s="190" t="s">
        <v>920</v>
      </c>
      <c r="H67" s="188"/>
      <c r="I67" s="190" t="s">
        <v>920</v>
      </c>
      <c r="J67" s="173"/>
      <c r="K67" s="173"/>
      <c r="L67" s="173"/>
      <c r="M67" s="173"/>
      <c r="N67" s="173"/>
      <c r="O67" s="173"/>
      <c r="P67" s="173"/>
      <c r="Q67" s="173"/>
      <c r="CF67" s="3"/>
      <c r="CG67" s="3"/>
      <c r="CH67" s="3"/>
      <c r="CJ67" s="5"/>
      <c r="CK67" s="5"/>
      <c r="CL67" s="5"/>
    </row>
    <row r="68" spans="2:90" ht="15" customHeight="1" x14ac:dyDescent="0.2">
      <c r="B68" s="278" t="str">
        <f ca="1">OFFSET(Tournament!$C$7,C68-1,0)</f>
        <v>D</v>
      </c>
      <c r="C68" s="280">
        <v>31</v>
      </c>
      <c r="D68" s="184">
        <f t="shared" ref="D68" ca="1" si="29">E68</f>
        <v>45468.75</v>
      </c>
      <c r="E68" s="185">
        <f ca="1">OFFSET(Tournament!$F$7,C68-1,0)</f>
        <v>45468.75</v>
      </c>
      <c r="F68" s="186" t="str">
        <f ca="1">OFFSET(Tournament!$G$7,C68-1,0)</f>
        <v>Netherlands</v>
      </c>
      <c r="G68" s="190" t="s">
        <v>920</v>
      </c>
      <c r="H68" s="188"/>
      <c r="I68" s="190" t="s">
        <v>920</v>
      </c>
      <c r="J68" s="192"/>
      <c r="K68" s="192"/>
      <c r="L68" s="192"/>
      <c r="M68" s="192"/>
      <c r="N68" s="192"/>
      <c r="O68" s="192"/>
      <c r="P68" s="192"/>
      <c r="Q68" s="192"/>
      <c r="CF68" s="3"/>
      <c r="CG68" s="3"/>
      <c r="CH68" s="3"/>
      <c r="CJ68" s="5"/>
      <c r="CK68" s="5"/>
      <c r="CL68" s="5"/>
    </row>
    <row r="69" spans="2:90" ht="15" customHeight="1" x14ac:dyDescent="0.2">
      <c r="B69" s="279"/>
      <c r="C69" s="281"/>
      <c r="D69" s="282" t="str">
        <f ca="1">OFFSET(Tournament!$M$7,C68-1,0)</f>
        <v>Berlin</v>
      </c>
      <c r="E69" s="282"/>
      <c r="F69" s="187" t="str">
        <f ca="1">OFFSET(Tournament!$J$7,C68-1,0)</f>
        <v>Austria</v>
      </c>
      <c r="G69" s="190" t="s">
        <v>920</v>
      </c>
      <c r="H69" s="188"/>
      <c r="I69" s="190" t="s">
        <v>920</v>
      </c>
      <c r="J69" s="193"/>
      <c r="K69" s="193"/>
      <c r="L69" s="193"/>
      <c r="M69" s="193"/>
      <c r="N69" s="193"/>
      <c r="O69" s="193"/>
      <c r="P69" s="193"/>
      <c r="Q69" s="193"/>
      <c r="CF69" s="3"/>
      <c r="CG69" s="3"/>
      <c r="CH69" s="3"/>
      <c r="CJ69" s="5"/>
      <c r="CK69" s="5"/>
      <c r="CL69" s="5"/>
    </row>
    <row r="70" spans="2:90" ht="15" customHeight="1" x14ac:dyDescent="0.2">
      <c r="B70" s="278" t="str">
        <f ca="1">OFFSET(Tournament!$C$7,C70-1,0)</f>
        <v>D</v>
      </c>
      <c r="C70" s="280">
        <v>32</v>
      </c>
      <c r="D70" s="184">
        <f t="shared" ref="D70" ca="1" si="30">E70</f>
        <v>45468.75</v>
      </c>
      <c r="E70" s="185">
        <f ca="1">OFFSET(Tournament!$F$7,C70-1,0)</f>
        <v>45468.75</v>
      </c>
      <c r="F70" s="186" t="str">
        <f ca="1">OFFSET(Tournament!$G$7,C70-1,0)</f>
        <v>France</v>
      </c>
      <c r="G70" s="190" t="s">
        <v>920</v>
      </c>
      <c r="H70" s="188"/>
      <c r="I70" s="190" t="s">
        <v>920</v>
      </c>
      <c r="J70" s="192"/>
      <c r="K70" s="192"/>
      <c r="L70" s="192"/>
      <c r="M70" s="192"/>
      <c r="N70" s="192"/>
      <c r="O70" s="192"/>
      <c r="P70" s="192"/>
      <c r="Q70" s="192"/>
      <c r="CF70" s="3"/>
      <c r="CG70" s="3"/>
      <c r="CH70" s="3"/>
      <c r="CJ70" s="5"/>
      <c r="CK70" s="5"/>
      <c r="CL70" s="5"/>
    </row>
    <row r="71" spans="2:90" ht="15" customHeight="1" x14ac:dyDescent="0.2">
      <c r="B71" s="279"/>
      <c r="C71" s="281"/>
      <c r="D71" s="282" t="str">
        <f ca="1">OFFSET(Tournament!$M$7,C70-1,0)</f>
        <v>Dortmund</v>
      </c>
      <c r="E71" s="282"/>
      <c r="F71" s="187" t="str">
        <f ca="1">OFFSET(Tournament!$J$7,C70-1,0)</f>
        <v>Poland</v>
      </c>
      <c r="G71" s="190" t="s">
        <v>920</v>
      </c>
      <c r="H71" s="188"/>
      <c r="I71" s="190" t="s">
        <v>920</v>
      </c>
      <c r="J71" s="193"/>
      <c r="K71" s="193"/>
      <c r="L71" s="193"/>
      <c r="M71" s="193"/>
      <c r="N71" s="193"/>
      <c r="O71" s="193"/>
      <c r="P71" s="193"/>
      <c r="Q71" s="193"/>
      <c r="CF71" s="3"/>
      <c r="CG71" s="3"/>
      <c r="CH71" s="3"/>
      <c r="CJ71" s="5"/>
      <c r="CK71" s="5"/>
      <c r="CL71" s="5"/>
    </row>
    <row r="72" spans="2:90" ht="15" customHeight="1" x14ac:dyDescent="0.2">
      <c r="B72" s="278" t="str">
        <f ca="1">OFFSET(Tournament!$C$7,C72-1,0)</f>
        <v>E</v>
      </c>
      <c r="C72" s="280">
        <v>33</v>
      </c>
      <c r="D72" s="184">
        <f t="shared" ref="D72" ca="1" si="31">E72</f>
        <v>45469.75</v>
      </c>
      <c r="E72" s="185">
        <f ca="1">OFFSET(Tournament!$F$7,C72-1,0)</f>
        <v>45469.75</v>
      </c>
      <c r="F72" s="186" t="str">
        <f ca="1">OFFSET(Tournament!$G$7,C72-1,0)</f>
        <v>Slovakia</v>
      </c>
      <c r="G72" s="190" t="s">
        <v>920</v>
      </c>
      <c r="H72" s="188"/>
      <c r="I72" s="190" t="s">
        <v>920</v>
      </c>
      <c r="J72" s="173"/>
      <c r="K72" s="173"/>
      <c r="L72" s="173"/>
      <c r="M72" s="173"/>
      <c r="N72" s="173"/>
      <c r="O72" s="173"/>
      <c r="P72" s="173"/>
      <c r="Q72" s="173"/>
      <c r="CF72" s="3"/>
      <c r="CG72" s="3"/>
      <c r="CH72" s="3"/>
      <c r="CJ72" s="5"/>
      <c r="CK72" s="5"/>
      <c r="CL72" s="5"/>
    </row>
    <row r="73" spans="2:90" ht="15" customHeight="1" x14ac:dyDescent="0.2">
      <c r="B73" s="279"/>
      <c r="C73" s="281"/>
      <c r="D73" s="282" t="str">
        <f ca="1">OFFSET(Tournament!$M$7,C72-1,0)</f>
        <v>Frankfurt</v>
      </c>
      <c r="E73" s="282"/>
      <c r="F73" s="187" t="str">
        <f ca="1">OFFSET(Tournament!$J$7,C72-1,0)</f>
        <v>Romania</v>
      </c>
      <c r="G73" s="190" t="s">
        <v>920</v>
      </c>
      <c r="H73" s="188"/>
      <c r="I73" s="190" t="s">
        <v>920</v>
      </c>
      <c r="J73" s="173"/>
      <c r="K73" s="173"/>
      <c r="L73" s="173"/>
      <c r="M73" s="173"/>
      <c r="N73" s="173"/>
      <c r="O73" s="173"/>
      <c r="P73" s="173"/>
      <c r="Q73" s="173"/>
      <c r="CF73" s="3"/>
      <c r="CG73" s="3"/>
      <c r="CH73" s="3"/>
      <c r="CJ73" s="5"/>
      <c r="CK73" s="5"/>
      <c r="CL73" s="5"/>
    </row>
    <row r="74" spans="2:90" ht="15" customHeight="1" x14ac:dyDescent="0.2">
      <c r="B74" s="278" t="str">
        <f ca="1">OFFSET(Tournament!$C$7,C74-1,0)</f>
        <v>E</v>
      </c>
      <c r="C74" s="280">
        <v>34</v>
      </c>
      <c r="D74" s="184">
        <f t="shared" ref="D74" ca="1" si="32">E74</f>
        <v>45469.75</v>
      </c>
      <c r="E74" s="185">
        <f ca="1">OFFSET(Tournament!$F$7,C74-1,0)</f>
        <v>45469.75</v>
      </c>
      <c r="F74" s="186" t="str">
        <f ca="1">OFFSET(Tournament!$G$7,C74-1,0)</f>
        <v>Ukraine</v>
      </c>
      <c r="G74" s="190" t="s">
        <v>920</v>
      </c>
      <c r="H74" s="188"/>
      <c r="I74" s="190" t="s">
        <v>920</v>
      </c>
      <c r="J74" s="192"/>
      <c r="K74" s="192"/>
      <c r="L74" s="192"/>
      <c r="M74" s="192"/>
      <c r="N74" s="192"/>
      <c r="O74" s="192"/>
      <c r="P74" s="192"/>
      <c r="Q74" s="192"/>
      <c r="CF74" s="3"/>
      <c r="CG74" s="3"/>
      <c r="CH74" s="3"/>
      <c r="CJ74" s="5"/>
      <c r="CK74" s="5"/>
      <c r="CL74" s="5"/>
    </row>
    <row r="75" spans="2:90" ht="15" customHeight="1" x14ac:dyDescent="0.2">
      <c r="B75" s="279"/>
      <c r="C75" s="281"/>
      <c r="D75" s="282" t="str">
        <f ca="1">OFFSET(Tournament!$M$7,C74-1,0)</f>
        <v>Stuttgart</v>
      </c>
      <c r="E75" s="282"/>
      <c r="F75" s="187" t="str">
        <f ca="1">OFFSET(Tournament!$J$7,C74-1,0)</f>
        <v>Belgium</v>
      </c>
      <c r="G75" s="190" t="s">
        <v>920</v>
      </c>
      <c r="H75" s="188"/>
      <c r="I75" s="190" t="s">
        <v>920</v>
      </c>
      <c r="J75" s="193"/>
      <c r="K75" s="193"/>
      <c r="L75" s="193"/>
      <c r="M75" s="193"/>
      <c r="N75" s="193"/>
      <c r="O75" s="193"/>
      <c r="P75" s="193"/>
      <c r="Q75" s="193"/>
      <c r="CF75" s="3"/>
      <c r="CG75" s="3"/>
      <c r="CH75" s="3"/>
      <c r="CJ75" s="5"/>
      <c r="CK75" s="5"/>
      <c r="CL75" s="5"/>
    </row>
    <row r="76" spans="2:90" ht="15" customHeight="1" x14ac:dyDescent="0.2">
      <c r="B76" s="278" t="str">
        <f ca="1">OFFSET(Tournament!$C$7,C76-1,0)</f>
        <v>F</v>
      </c>
      <c r="C76" s="280">
        <v>35</v>
      </c>
      <c r="D76" s="184">
        <f t="shared" ref="D76" ca="1" si="33">E76</f>
        <v>45469.875</v>
      </c>
      <c r="E76" s="185">
        <f ca="1">OFFSET(Tournament!$F$7,C76-1,0)</f>
        <v>45469.875</v>
      </c>
      <c r="F76" s="186" t="str">
        <f ca="1">OFFSET(Tournament!$G$7,C76-1,0)</f>
        <v>Georgia</v>
      </c>
      <c r="G76" s="190" t="s">
        <v>920</v>
      </c>
      <c r="H76" s="188"/>
      <c r="I76" s="190" t="s">
        <v>920</v>
      </c>
      <c r="J76" s="173"/>
      <c r="K76" s="173"/>
      <c r="L76" s="173"/>
      <c r="M76" s="173"/>
      <c r="N76" s="173"/>
      <c r="O76" s="173"/>
      <c r="P76" s="173"/>
      <c r="Q76" s="173"/>
      <c r="CF76" s="3"/>
      <c r="CG76" s="3"/>
      <c r="CH76" s="3"/>
      <c r="CJ76" s="5"/>
      <c r="CK76" s="5"/>
      <c r="CL76" s="5"/>
    </row>
    <row r="77" spans="2:90" ht="15" customHeight="1" x14ac:dyDescent="0.2">
      <c r="B77" s="279"/>
      <c r="C77" s="281"/>
      <c r="D77" s="282" t="str">
        <f ca="1">OFFSET(Tournament!$M$7,C76-1,0)</f>
        <v>Gelsenkirchen</v>
      </c>
      <c r="E77" s="282"/>
      <c r="F77" s="187" t="str">
        <f ca="1">OFFSET(Tournament!$J$7,C76-1,0)</f>
        <v>Portugal</v>
      </c>
      <c r="G77" s="190" t="s">
        <v>920</v>
      </c>
      <c r="H77" s="188"/>
      <c r="I77" s="190" t="s">
        <v>920</v>
      </c>
      <c r="J77" s="173"/>
      <c r="K77" s="173"/>
      <c r="L77" s="173"/>
      <c r="M77" s="173"/>
      <c r="N77" s="173"/>
      <c r="O77" s="173"/>
      <c r="P77" s="173"/>
      <c r="Q77" s="173"/>
      <c r="CF77" s="3"/>
      <c r="CG77" s="3"/>
      <c r="CH77" s="3"/>
      <c r="CJ77" s="5"/>
      <c r="CK77" s="5"/>
      <c r="CL77" s="5"/>
    </row>
    <row r="78" spans="2:90" ht="15" customHeight="1" x14ac:dyDescent="0.2">
      <c r="B78" s="278" t="str">
        <f ca="1">OFFSET(Tournament!$C$7,C78-1,0)</f>
        <v>F</v>
      </c>
      <c r="C78" s="280">
        <v>36</v>
      </c>
      <c r="D78" s="184">
        <f t="shared" ref="D78" ca="1" si="34">E78</f>
        <v>45469.875</v>
      </c>
      <c r="E78" s="185">
        <f ca="1">OFFSET(Tournament!$F$7,C78-1,0)</f>
        <v>45469.875</v>
      </c>
      <c r="F78" s="186" t="str">
        <f ca="1">OFFSET(Tournament!$G$7,C78-1,0)</f>
        <v>Czechia</v>
      </c>
      <c r="G78" s="190" t="s">
        <v>920</v>
      </c>
      <c r="H78" s="188"/>
      <c r="I78" s="190" t="s">
        <v>920</v>
      </c>
      <c r="J78" s="192"/>
      <c r="K78" s="192"/>
      <c r="L78" s="192"/>
      <c r="M78" s="192"/>
      <c r="N78" s="192"/>
      <c r="O78" s="192"/>
      <c r="P78" s="192"/>
      <c r="Q78" s="192"/>
      <c r="CF78" s="3"/>
      <c r="CG78" s="3"/>
      <c r="CH78" s="3"/>
      <c r="CJ78" s="5"/>
      <c r="CK78" s="5"/>
      <c r="CL78" s="5"/>
    </row>
    <row r="79" spans="2:90" ht="15" customHeight="1" x14ac:dyDescent="0.2">
      <c r="B79" s="279"/>
      <c r="C79" s="281"/>
      <c r="D79" s="282" t="str">
        <f ca="1">OFFSET(Tournament!$M$7,C78-1,0)</f>
        <v>Hamburg</v>
      </c>
      <c r="E79" s="282"/>
      <c r="F79" s="187" t="str">
        <f ca="1">OFFSET(Tournament!$J$7,C78-1,0)</f>
        <v>Türkiye</v>
      </c>
      <c r="G79" s="190" t="s">
        <v>920</v>
      </c>
      <c r="H79" s="188"/>
      <c r="I79" s="190" t="s">
        <v>920</v>
      </c>
      <c r="J79" s="193"/>
      <c r="K79" s="193"/>
      <c r="L79" s="193"/>
      <c r="M79" s="193"/>
      <c r="N79" s="193"/>
      <c r="O79" s="193"/>
      <c r="P79" s="193"/>
      <c r="Q79" s="193"/>
      <c r="CF79" s="3"/>
      <c r="CG79" s="3"/>
      <c r="CH79" s="3"/>
      <c r="CJ79" s="5"/>
      <c r="CK79" s="5"/>
      <c r="CL79" s="5"/>
    </row>
    <row r="80" spans="2:90" ht="5.0999999999999996" customHeight="1" x14ac:dyDescent="0.2">
      <c r="D80" s="4"/>
      <c r="E80" s="4"/>
      <c r="F80" s="198"/>
    </row>
    <row r="81" spans="2:17" ht="5.0999999999999996" customHeight="1" x14ac:dyDescent="0.2">
      <c r="B81" s="277"/>
      <c r="C81" s="277"/>
      <c r="D81" s="277"/>
      <c r="E81" s="277"/>
      <c r="F81" s="277"/>
      <c r="G81" s="277"/>
      <c r="H81" s="277"/>
      <c r="I81" s="277"/>
      <c r="J81" s="277"/>
      <c r="K81" s="277"/>
      <c r="L81" s="277"/>
      <c r="M81" s="277"/>
      <c r="N81" s="277"/>
      <c r="O81" s="277"/>
      <c r="P81" s="277"/>
      <c r="Q81" s="277"/>
    </row>
    <row r="82" spans="2:17" ht="14.45" customHeight="1" x14ac:dyDescent="0.2">
      <c r="B82" s="158" t="s">
        <v>1060</v>
      </c>
    </row>
    <row r="83" spans="2:17" ht="14.45" customHeight="1" x14ac:dyDescent="0.2"/>
    <row r="84" spans="2:17" ht="14.45" customHeight="1" x14ac:dyDescent="0.2"/>
    <row r="85" spans="2:17" ht="14.45" customHeight="1" x14ac:dyDescent="0.2"/>
    <row r="86" spans="2:17" ht="14.45" customHeight="1" x14ac:dyDescent="0.2"/>
    <row r="87" spans="2:17" ht="14.45" customHeight="1" x14ac:dyDescent="0.2"/>
    <row r="88" spans="2:17" ht="14.45" customHeight="1" x14ac:dyDescent="0.2"/>
    <row r="89" spans="2:17" ht="14.45" customHeight="1" x14ac:dyDescent="0.2"/>
    <row r="90" spans="2:17" ht="14.45" customHeight="1" x14ac:dyDescent="0.2"/>
    <row r="91" spans="2:17" ht="14.1" customHeight="1" x14ac:dyDescent="0.2"/>
    <row r="92" spans="2:17" ht="30.95" hidden="1" customHeight="1" x14ac:dyDescent="0.2"/>
    <row r="93" spans="2:17" ht="30.95" hidden="1" customHeight="1" x14ac:dyDescent="0.2"/>
    <row r="94" spans="2:17" ht="30.95" hidden="1" customHeight="1" x14ac:dyDescent="0.2"/>
    <row r="95" spans="2:17" ht="30.95" hidden="1" customHeight="1" x14ac:dyDescent="0.2"/>
    <row r="96" spans="2:17" ht="30.95" hidden="1" customHeight="1" x14ac:dyDescent="0.2"/>
    <row r="97" ht="30.95" hidden="1" customHeight="1" x14ac:dyDescent="0.2"/>
    <row r="98" ht="30.95" hidden="1" customHeight="1" x14ac:dyDescent="0.2"/>
    <row r="99" ht="30.95" hidden="1" customHeight="1" x14ac:dyDescent="0.2"/>
    <row r="100" ht="30.95" hidden="1" customHeight="1" x14ac:dyDescent="0.2"/>
    <row r="101" ht="30.95" hidden="1" customHeight="1" x14ac:dyDescent="0.2"/>
    <row r="102" ht="30.95" hidden="1" customHeight="1" x14ac:dyDescent="0.2"/>
    <row r="103" ht="30.95" hidden="1" customHeight="1" x14ac:dyDescent="0.2"/>
    <row r="104" ht="30.95" hidden="1" customHeight="1" x14ac:dyDescent="0.2"/>
    <row r="105" ht="30.95" hidden="1" customHeight="1" x14ac:dyDescent="0.2"/>
    <row r="106" ht="30.95" hidden="1" customHeight="1" x14ac:dyDescent="0.2"/>
    <row r="107" ht="30.95" hidden="1" customHeight="1" x14ac:dyDescent="0.2"/>
    <row r="108" ht="30.95" hidden="1" customHeight="1" x14ac:dyDescent="0.2"/>
    <row r="109" ht="30.95" hidden="1" customHeight="1" x14ac:dyDescent="0.2"/>
    <row r="110" ht="30.95" hidden="1" customHeight="1" x14ac:dyDescent="0.2"/>
    <row r="111" ht="30.95" hidden="1" customHeight="1" x14ac:dyDescent="0.2"/>
    <row r="112" ht="30.95" hidden="1" customHeight="1" x14ac:dyDescent="0.2"/>
    <row r="113" ht="30.95" hidden="1" customHeight="1" x14ac:dyDescent="0.2"/>
    <row r="114" ht="30.95" hidden="1" customHeight="1" x14ac:dyDescent="0.2"/>
    <row r="115" ht="30.95" hidden="1" customHeight="1" x14ac:dyDescent="0.2"/>
    <row r="116" ht="30.95" hidden="1" customHeight="1" x14ac:dyDescent="0.2"/>
    <row r="117" ht="30.95" hidden="1" customHeight="1" x14ac:dyDescent="0.2"/>
    <row r="118" ht="30.95" hidden="1" customHeight="1" x14ac:dyDescent="0.2"/>
    <row r="119" ht="30.95" hidden="1" customHeight="1" x14ac:dyDescent="0.2"/>
    <row r="120" ht="30.95" hidden="1" customHeight="1" x14ac:dyDescent="0.2"/>
    <row r="121" ht="30.95" hidden="1" customHeight="1" x14ac:dyDescent="0.2"/>
    <row r="122" ht="30.95" hidden="1" customHeight="1" x14ac:dyDescent="0.2"/>
    <row r="123" ht="30.95" hidden="1" customHeight="1" x14ac:dyDescent="0.2"/>
    <row r="124" ht="30.95" hidden="1" customHeight="1" x14ac:dyDescent="0.2"/>
    <row r="125" ht="30.95" hidden="1" customHeight="1" x14ac:dyDescent="0.2"/>
    <row r="126" ht="30.95" hidden="1" customHeight="1" x14ac:dyDescent="0.2"/>
    <row r="127" ht="30.95" hidden="1" customHeight="1" x14ac:dyDescent="0.2"/>
    <row r="128" ht="30.95" hidden="1" customHeight="1" x14ac:dyDescent="0.2"/>
    <row r="129" ht="30.95" hidden="1" customHeight="1" x14ac:dyDescent="0.2"/>
    <row r="130" ht="30.95" hidden="1" customHeight="1" x14ac:dyDescent="0.2"/>
    <row r="131" ht="30.95" hidden="1" customHeight="1" x14ac:dyDescent="0.2"/>
    <row r="132" ht="30.95" hidden="1" customHeight="1" x14ac:dyDescent="0.2"/>
    <row r="133" ht="30.95" hidden="1" customHeight="1" x14ac:dyDescent="0.2"/>
    <row r="134" ht="30.95" hidden="1" customHeight="1" x14ac:dyDescent="0.2"/>
    <row r="135" ht="30.95" hidden="1" customHeight="1" x14ac:dyDescent="0.2"/>
  </sheetData>
  <sheetProtection algorithmName="SHA-512" hashValue="WHC9DPqpJFf/bckfsB8v5iL0LBrXSglKqVY2vYQj8USCRRH4Bnf2BPTaOz69ezweHqwvmmA0S7ycLpzDhvPXOg==" saltValue="MrJa57bcpqpXTGbqHGVndg==" spinCount="100000" sheet="1" formatCells="0" formatColumns="0" formatRows="0"/>
  <mergeCells count="110">
    <mergeCell ref="B6:Q6"/>
    <mergeCell ref="C8:C9"/>
    <mergeCell ref="D9:E9"/>
    <mergeCell ref="C10:C11"/>
    <mergeCell ref="D11:E11"/>
    <mergeCell ref="C18:C19"/>
    <mergeCell ref="D19:E19"/>
    <mergeCell ref="C20:C21"/>
    <mergeCell ref="D21:E21"/>
    <mergeCell ref="C22:C23"/>
    <mergeCell ref="D23:E23"/>
    <mergeCell ref="C12:C13"/>
    <mergeCell ref="D13:E13"/>
    <mergeCell ref="C14:C15"/>
    <mergeCell ref="D15:E15"/>
    <mergeCell ref="B16:B17"/>
    <mergeCell ref="C16:C17"/>
    <mergeCell ref="D17:E17"/>
    <mergeCell ref="C32:C33"/>
    <mergeCell ref="D33:E33"/>
    <mergeCell ref="C34:C35"/>
    <mergeCell ref="D35:E35"/>
    <mergeCell ref="C36:C37"/>
    <mergeCell ref="D37:E37"/>
    <mergeCell ref="C24:C25"/>
    <mergeCell ref="D25:E25"/>
    <mergeCell ref="C26:C27"/>
    <mergeCell ref="D27:E27"/>
    <mergeCell ref="C28:C29"/>
    <mergeCell ref="D29:E29"/>
    <mergeCell ref="C30:C31"/>
    <mergeCell ref="D31:E31"/>
    <mergeCell ref="C44:C45"/>
    <mergeCell ref="D45:E45"/>
    <mergeCell ref="C46:C47"/>
    <mergeCell ref="D47:E47"/>
    <mergeCell ref="C48:C49"/>
    <mergeCell ref="D49:E49"/>
    <mergeCell ref="B48:B49"/>
    <mergeCell ref="B38:B39"/>
    <mergeCell ref="C38:C39"/>
    <mergeCell ref="D39:E39"/>
    <mergeCell ref="C40:C41"/>
    <mergeCell ref="D41:E41"/>
    <mergeCell ref="C42:C43"/>
    <mergeCell ref="D43:E43"/>
    <mergeCell ref="B50:B51"/>
    <mergeCell ref="C50:C51"/>
    <mergeCell ref="D51:E51"/>
    <mergeCell ref="C52:C53"/>
    <mergeCell ref="D53:E53"/>
    <mergeCell ref="C54:C55"/>
    <mergeCell ref="D55:E55"/>
    <mergeCell ref="B52:B53"/>
    <mergeCell ref="B54:B55"/>
    <mergeCell ref="D67:E67"/>
    <mergeCell ref="C68:C69"/>
    <mergeCell ref="D69:E69"/>
    <mergeCell ref="C70:C71"/>
    <mergeCell ref="D71:E71"/>
    <mergeCell ref="C56:C57"/>
    <mergeCell ref="D57:E57"/>
    <mergeCell ref="C58:C59"/>
    <mergeCell ref="D59:E59"/>
    <mergeCell ref="C60:C61"/>
    <mergeCell ref="D61:E61"/>
    <mergeCell ref="C62:C63"/>
    <mergeCell ref="D63:E63"/>
    <mergeCell ref="B30:B31"/>
    <mergeCell ref="B34:B35"/>
    <mergeCell ref="B36:B37"/>
    <mergeCell ref="B40:B41"/>
    <mergeCell ref="B42:B43"/>
    <mergeCell ref="B46:B47"/>
    <mergeCell ref="B8:B9"/>
    <mergeCell ref="B10:B11"/>
    <mergeCell ref="B12:B13"/>
    <mergeCell ref="B14:B15"/>
    <mergeCell ref="B18:B19"/>
    <mergeCell ref="B20:B21"/>
    <mergeCell ref="B24:B25"/>
    <mergeCell ref="B26:B27"/>
    <mergeCell ref="B28:B29"/>
    <mergeCell ref="B44:B45"/>
    <mergeCell ref="B32:B33"/>
    <mergeCell ref="B22:B23"/>
    <mergeCell ref="B81:Q81"/>
    <mergeCell ref="B68:B69"/>
    <mergeCell ref="B70:B71"/>
    <mergeCell ref="B72:B73"/>
    <mergeCell ref="B74:B75"/>
    <mergeCell ref="B76:B77"/>
    <mergeCell ref="B78:B79"/>
    <mergeCell ref="B56:B57"/>
    <mergeCell ref="B58:B59"/>
    <mergeCell ref="B60:B61"/>
    <mergeCell ref="B62:B63"/>
    <mergeCell ref="B64:B65"/>
    <mergeCell ref="B66:B67"/>
    <mergeCell ref="C72:C73"/>
    <mergeCell ref="D73:E73"/>
    <mergeCell ref="C74:C75"/>
    <mergeCell ref="D75:E75"/>
    <mergeCell ref="C76:C77"/>
    <mergeCell ref="D77:E77"/>
    <mergeCell ref="C78:C79"/>
    <mergeCell ref="D79:E79"/>
    <mergeCell ref="C64:C65"/>
    <mergeCell ref="D65:E65"/>
    <mergeCell ref="C66:C67"/>
  </mergeCells>
  <conditionalFormatting sqref="F8">
    <cfRule type="expression" dxfId="312" priority="182">
      <formula>$H8&gt;$H9</formula>
    </cfRule>
    <cfRule type="expression" dxfId="311" priority="181">
      <formula>$H8&lt;$H9</formula>
    </cfRule>
  </conditionalFormatting>
  <conditionalFormatting sqref="F9">
    <cfRule type="expression" dxfId="310" priority="180">
      <formula>$H8&gt;$H9</formula>
    </cfRule>
    <cfRule type="expression" dxfId="309" priority="179">
      <formula>$H8&lt;$H9</formula>
    </cfRule>
  </conditionalFormatting>
  <conditionalFormatting sqref="F10">
    <cfRule type="expression" dxfId="308" priority="177">
      <formula>$H10&lt;$H11</formula>
    </cfRule>
    <cfRule type="expression" dxfId="307" priority="178">
      <formula>$H10&gt;$H11</formula>
    </cfRule>
  </conditionalFormatting>
  <conditionalFormatting sqref="F11">
    <cfRule type="expression" dxfId="306" priority="176">
      <formula>$H10&gt;$H11</formula>
    </cfRule>
    <cfRule type="expression" dxfId="305" priority="175">
      <formula>$H10&lt;$H11</formula>
    </cfRule>
  </conditionalFormatting>
  <conditionalFormatting sqref="F12">
    <cfRule type="expression" dxfId="304" priority="174">
      <formula>$H12&gt;$H13</formula>
    </cfRule>
    <cfRule type="expression" dxfId="303" priority="173">
      <formula>$H12&lt;$H13</formula>
    </cfRule>
  </conditionalFormatting>
  <conditionalFormatting sqref="F13">
    <cfRule type="expression" dxfId="302" priority="172">
      <formula>$H12&gt;$H13</formula>
    </cfRule>
    <cfRule type="expression" dxfId="301" priority="171">
      <formula>$H12&lt;$H13</formula>
    </cfRule>
  </conditionalFormatting>
  <conditionalFormatting sqref="F14">
    <cfRule type="expression" dxfId="300" priority="169">
      <formula>$H14&lt;$H15</formula>
    </cfRule>
    <cfRule type="expression" dxfId="299" priority="170">
      <formula>$H14&gt;$H15</formula>
    </cfRule>
  </conditionalFormatting>
  <conditionalFormatting sqref="F15">
    <cfRule type="expression" dxfId="298" priority="167">
      <formula>$H14&lt;$H15</formula>
    </cfRule>
    <cfRule type="expression" dxfId="297" priority="168">
      <formula>$H14&gt;$H15</formula>
    </cfRule>
  </conditionalFormatting>
  <conditionalFormatting sqref="F16">
    <cfRule type="expression" dxfId="296" priority="166">
      <formula>$H16&gt;$H17</formula>
    </cfRule>
    <cfRule type="expression" dxfId="295" priority="165">
      <formula>$H16&lt;$H17</formula>
    </cfRule>
  </conditionalFormatting>
  <conditionalFormatting sqref="F17">
    <cfRule type="expression" dxfId="294" priority="164">
      <formula>$H16&gt;$H17</formula>
    </cfRule>
    <cfRule type="expression" dxfId="293" priority="163">
      <formula>$H16&lt;$H17</formula>
    </cfRule>
  </conditionalFormatting>
  <conditionalFormatting sqref="F18">
    <cfRule type="expression" dxfId="292" priority="162">
      <formula>$H18&gt;$H19</formula>
    </cfRule>
    <cfRule type="expression" dxfId="291" priority="161">
      <formula>$H18&lt;$H19</formula>
    </cfRule>
  </conditionalFormatting>
  <conditionalFormatting sqref="F19">
    <cfRule type="expression" dxfId="290" priority="160">
      <formula>$H18&gt;$H19</formula>
    </cfRule>
    <cfRule type="expression" dxfId="289" priority="159">
      <formula>$H18&lt;$H19</formula>
    </cfRule>
  </conditionalFormatting>
  <conditionalFormatting sqref="F20">
    <cfRule type="expression" dxfId="288" priority="158">
      <formula>$H20&gt;$H21</formula>
    </cfRule>
    <cfRule type="expression" dxfId="287" priority="157">
      <formula>$H20&lt;$H21</formula>
    </cfRule>
  </conditionalFormatting>
  <conditionalFormatting sqref="F21">
    <cfRule type="expression" dxfId="286" priority="156">
      <formula>$H20&gt;$H21</formula>
    </cfRule>
    <cfRule type="expression" dxfId="285" priority="155">
      <formula>$H20&lt;$H21</formula>
    </cfRule>
  </conditionalFormatting>
  <conditionalFormatting sqref="F22">
    <cfRule type="expression" dxfId="284" priority="153">
      <formula>$H22&lt;$H23</formula>
    </cfRule>
    <cfRule type="expression" dxfId="283" priority="154">
      <formula>$H22&gt;$H23</formula>
    </cfRule>
  </conditionalFormatting>
  <conditionalFormatting sqref="F23">
    <cfRule type="expression" dxfId="282" priority="152">
      <formula>$H22&gt;$H23</formula>
    </cfRule>
    <cfRule type="expression" dxfId="281" priority="151">
      <formula>$H22&lt;$H23</formula>
    </cfRule>
  </conditionalFormatting>
  <conditionalFormatting sqref="F24">
    <cfRule type="expression" dxfId="280" priority="117">
      <formula>$H24&lt;$H25</formula>
    </cfRule>
    <cfRule type="expression" dxfId="279" priority="118">
      <formula>$H24&gt;$H25</formula>
    </cfRule>
  </conditionalFormatting>
  <conditionalFormatting sqref="F25">
    <cfRule type="expression" dxfId="278" priority="116">
      <formula>$H24&gt;$H25</formula>
    </cfRule>
    <cfRule type="expression" dxfId="277" priority="115">
      <formula>$H24&lt;$H25</formula>
    </cfRule>
  </conditionalFormatting>
  <conditionalFormatting sqref="F26">
    <cfRule type="expression" dxfId="276" priority="114">
      <formula>$H26&gt;$H27</formula>
    </cfRule>
    <cfRule type="expression" dxfId="275" priority="113">
      <formula>$H26&lt;$H27</formula>
    </cfRule>
  </conditionalFormatting>
  <conditionalFormatting sqref="F27">
    <cfRule type="expression" dxfId="274" priority="112">
      <formula>$H26&gt;$H27</formula>
    </cfRule>
    <cfRule type="expression" dxfId="273" priority="111">
      <formula>$H26&lt;$H27</formula>
    </cfRule>
  </conditionalFormatting>
  <conditionalFormatting sqref="F28">
    <cfRule type="expression" dxfId="272" priority="110">
      <formula>$H28&gt;$H29</formula>
    </cfRule>
    <cfRule type="expression" dxfId="271" priority="109">
      <formula>$H28&lt;$H29</formula>
    </cfRule>
  </conditionalFormatting>
  <conditionalFormatting sqref="F29">
    <cfRule type="expression" dxfId="270" priority="108">
      <formula>$H28&gt;$H29</formula>
    </cfRule>
    <cfRule type="expression" dxfId="269" priority="107">
      <formula>$H28&lt;$H29</formula>
    </cfRule>
  </conditionalFormatting>
  <conditionalFormatting sqref="F30">
    <cfRule type="expression" dxfId="268" priority="106">
      <formula>$H30&gt;$H31</formula>
    </cfRule>
    <cfRule type="expression" dxfId="267" priority="105">
      <formula>$H30&lt;$H31</formula>
    </cfRule>
  </conditionalFormatting>
  <conditionalFormatting sqref="F31">
    <cfRule type="expression" dxfId="266" priority="104">
      <formula>$H30&gt;$H31</formula>
    </cfRule>
    <cfRule type="expression" dxfId="265" priority="103">
      <formula>$H30&lt;$H31</formula>
    </cfRule>
  </conditionalFormatting>
  <conditionalFormatting sqref="F32">
    <cfRule type="expression" dxfId="264" priority="101">
      <formula>$H32&lt;$H33</formula>
    </cfRule>
    <cfRule type="expression" dxfId="263" priority="102">
      <formula>$H32&gt;$H33</formula>
    </cfRule>
  </conditionalFormatting>
  <conditionalFormatting sqref="F33">
    <cfRule type="expression" dxfId="262" priority="100">
      <formula>$H32&gt;$H33</formula>
    </cfRule>
    <cfRule type="expression" dxfId="261" priority="99">
      <formula>$H32&lt;$H33</formula>
    </cfRule>
  </conditionalFormatting>
  <conditionalFormatting sqref="F34">
    <cfRule type="expression" dxfId="260" priority="97">
      <formula>$H34&lt;$H35</formula>
    </cfRule>
    <cfRule type="expression" dxfId="259" priority="98">
      <formula>$H34&gt;$H35</formula>
    </cfRule>
  </conditionalFormatting>
  <conditionalFormatting sqref="F35">
    <cfRule type="expression" dxfId="258" priority="96">
      <formula>$H34&gt;$H35</formula>
    </cfRule>
    <cfRule type="expression" dxfId="257" priority="95">
      <formula>$H34&lt;$H35</formula>
    </cfRule>
  </conditionalFormatting>
  <conditionalFormatting sqref="F36">
    <cfRule type="expression" dxfId="256" priority="94">
      <formula>$H36&gt;$H37</formula>
    </cfRule>
    <cfRule type="expression" dxfId="255" priority="93">
      <formula>$H36&lt;$H37</formula>
    </cfRule>
  </conditionalFormatting>
  <conditionalFormatting sqref="F37">
    <cfRule type="expression" dxfId="254" priority="92">
      <formula>$H36&gt;$H37</formula>
    </cfRule>
    <cfRule type="expression" dxfId="253" priority="91">
      <formula>$H36&lt;$H37</formula>
    </cfRule>
  </conditionalFormatting>
  <conditionalFormatting sqref="F38">
    <cfRule type="expression" dxfId="252" priority="90">
      <formula>$H38&gt;$H39</formula>
    </cfRule>
    <cfRule type="expression" dxfId="251" priority="89">
      <formula>$H38&lt;$H39</formula>
    </cfRule>
  </conditionalFormatting>
  <conditionalFormatting sqref="F39">
    <cfRule type="expression" dxfId="250" priority="88">
      <formula>$H38&gt;$H39</formula>
    </cfRule>
    <cfRule type="expression" dxfId="249" priority="87">
      <formula>$H38&lt;$H39</formula>
    </cfRule>
  </conditionalFormatting>
  <conditionalFormatting sqref="F40">
    <cfRule type="expression" dxfId="248" priority="86">
      <formula>$H40&gt;$H41</formula>
    </cfRule>
    <cfRule type="expression" dxfId="247" priority="85">
      <formula>$H40&lt;$H41</formula>
    </cfRule>
  </conditionalFormatting>
  <conditionalFormatting sqref="F41">
    <cfRule type="expression" dxfId="246" priority="84">
      <formula>$H40&gt;$H41</formula>
    </cfRule>
    <cfRule type="expression" dxfId="245" priority="83">
      <formula>$H40&lt;$H41</formula>
    </cfRule>
  </conditionalFormatting>
  <conditionalFormatting sqref="F42">
    <cfRule type="expression" dxfId="244" priority="81">
      <formula>$H42&lt;$H43</formula>
    </cfRule>
    <cfRule type="expression" dxfId="243" priority="82">
      <formula>$H42&gt;$H43</formula>
    </cfRule>
  </conditionalFormatting>
  <conditionalFormatting sqref="F43">
    <cfRule type="expression" dxfId="242" priority="80">
      <formula>$H42&gt;$H43</formula>
    </cfRule>
    <cfRule type="expression" dxfId="241" priority="79">
      <formula>$H42&lt;$H43</formula>
    </cfRule>
  </conditionalFormatting>
  <conditionalFormatting sqref="F44">
    <cfRule type="expression" dxfId="240" priority="78">
      <formula>$H44&gt;$H45</formula>
    </cfRule>
    <cfRule type="expression" dxfId="239" priority="77">
      <formula>$H44&lt;$H45</formula>
    </cfRule>
  </conditionalFormatting>
  <conditionalFormatting sqref="F45">
    <cfRule type="expression" dxfId="238" priority="76">
      <formula>$H44&gt;$H45</formula>
    </cfRule>
    <cfRule type="expression" dxfId="237" priority="75">
      <formula>$H44&lt;$H45</formula>
    </cfRule>
  </conditionalFormatting>
  <conditionalFormatting sqref="F46">
    <cfRule type="expression" dxfId="236" priority="74">
      <formula>$H46&gt;$H47</formula>
    </cfRule>
    <cfRule type="expression" dxfId="235" priority="73">
      <formula>$H46&lt;$H47</formula>
    </cfRule>
  </conditionalFormatting>
  <conditionalFormatting sqref="F47">
    <cfRule type="expression" dxfId="234" priority="72">
      <formula>$H46&gt;$H47</formula>
    </cfRule>
    <cfRule type="expression" dxfId="233" priority="71">
      <formula>$H46&lt;$H47</formula>
    </cfRule>
  </conditionalFormatting>
  <conditionalFormatting sqref="F48">
    <cfRule type="expression" dxfId="232" priority="70">
      <formula>$H48&gt;$H49</formula>
    </cfRule>
    <cfRule type="expression" dxfId="231" priority="69">
      <formula>$H48&lt;$H49</formula>
    </cfRule>
  </conditionalFormatting>
  <conditionalFormatting sqref="F49">
    <cfRule type="expression" dxfId="230" priority="67">
      <formula>$H48&lt;$H49</formula>
    </cfRule>
    <cfRule type="expression" dxfId="229" priority="68">
      <formula>$H48&gt;$H49</formula>
    </cfRule>
  </conditionalFormatting>
  <conditionalFormatting sqref="F50">
    <cfRule type="expression" dxfId="228" priority="66">
      <formula>$H50&gt;$H51</formula>
    </cfRule>
    <cfRule type="expression" dxfId="227" priority="65">
      <formula>$H50&lt;$H51</formula>
    </cfRule>
  </conditionalFormatting>
  <conditionalFormatting sqref="F51">
    <cfRule type="expression" dxfId="226" priority="63">
      <formula>$H50&lt;$H51</formula>
    </cfRule>
    <cfRule type="expression" dxfId="225" priority="64">
      <formula>$H50&gt;$H51</formula>
    </cfRule>
  </conditionalFormatting>
  <conditionalFormatting sqref="F52">
    <cfRule type="expression" dxfId="224" priority="61">
      <formula>$H52&lt;$H53</formula>
    </cfRule>
    <cfRule type="expression" dxfId="223" priority="62">
      <formula>$H52&gt;$H53</formula>
    </cfRule>
  </conditionalFormatting>
  <conditionalFormatting sqref="F53">
    <cfRule type="expression" dxfId="222" priority="60">
      <formula>$H52&gt;$H53</formula>
    </cfRule>
    <cfRule type="expression" dxfId="221" priority="59">
      <formula>$H52&lt;$H53</formula>
    </cfRule>
  </conditionalFormatting>
  <conditionalFormatting sqref="F54">
    <cfRule type="expression" dxfId="220" priority="58">
      <formula>$H54&gt;$H55</formula>
    </cfRule>
    <cfRule type="expression" dxfId="219" priority="57">
      <formula>$H54&lt;$H55</formula>
    </cfRule>
  </conditionalFormatting>
  <conditionalFormatting sqref="F55">
    <cfRule type="expression" dxfId="218" priority="56">
      <formula>$H54&gt;$H55</formula>
    </cfRule>
    <cfRule type="expression" dxfId="217" priority="55">
      <formula>$H54&lt;$H55</formula>
    </cfRule>
  </conditionalFormatting>
  <conditionalFormatting sqref="F56">
    <cfRule type="expression" dxfId="216" priority="54">
      <formula>$H56&gt;$H57</formula>
    </cfRule>
    <cfRule type="expression" dxfId="215" priority="53">
      <formula>$H56&lt;$H57</formula>
    </cfRule>
  </conditionalFormatting>
  <conditionalFormatting sqref="F57">
    <cfRule type="expression" dxfId="214" priority="52">
      <formula>$H56&gt;$H57</formula>
    </cfRule>
    <cfRule type="expression" dxfId="213" priority="51">
      <formula>$H56&lt;$H57</formula>
    </cfRule>
  </conditionalFormatting>
  <conditionalFormatting sqref="F58">
    <cfRule type="expression" dxfId="212" priority="50">
      <formula>$H58&gt;$H59</formula>
    </cfRule>
    <cfRule type="expression" dxfId="211" priority="49">
      <formula>$H58&lt;$H59</formula>
    </cfRule>
  </conditionalFormatting>
  <conditionalFormatting sqref="F59">
    <cfRule type="expression" dxfId="210" priority="47">
      <formula>$H58&lt;$H59</formula>
    </cfRule>
    <cfRule type="expression" dxfId="209" priority="48">
      <formula>$H58&gt;$H59</formula>
    </cfRule>
  </conditionalFormatting>
  <conditionalFormatting sqref="F60">
    <cfRule type="expression" dxfId="208" priority="46">
      <formula>$H60&gt;$H61</formula>
    </cfRule>
    <cfRule type="expression" dxfId="207" priority="45">
      <formula>$H60&lt;$H61</formula>
    </cfRule>
  </conditionalFormatting>
  <conditionalFormatting sqref="F61">
    <cfRule type="expression" dxfId="206" priority="43">
      <formula>$H60&lt;$H61</formula>
    </cfRule>
    <cfRule type="expression" dxfId="205" priority="44">
      <formula>$H60&gt;$H61</formula>
    </cfRule>
  </conditionalFormatting>
  <conditionalFormatting sqref="F62">
    <cfRule type="expression" dxfId="204" priority="42">
      <formula>$H62&gt;$H63</formula>
    </cfRule>
    <cfRule type="expression" dxfId="203" priority="41">
      <formula>$H62&lt;$H63</formula>
    </cfRule>
  </conditionalFormatting>
  <conditionalFormatting sqref="F63">
    <cfRule type="expression" dxfId="202" priority="40">
      <formula>$H62&gt;$H63</formula>
    </cfRule>
    <cfRule type="expression" dxfId="201" priority="39">
      <formula>$H62&lt;$H63</formula>
    </cfRule>
  </conditionalFormatting>
  <conditionalFormatting sqref="F64">
    <cfRule type="expression" dxfId="200" priority="38">
      <formula>$H64&gt;$H65</formula>
    </cfRule>
    <cfRule type="expression" dxfId="199" priority="37">
      <formula>$H64&lt;$H65</formula>
    </cfRule>
  </conditionalFormatting>
  <conditionalFormatting sqref="F65">
    <cfRule type="expression" dxfId="198" priority="36">
      <formula>$H64&gt;$H65</formula>
    </cfRule>
    <cfRule type="expression" dxfId="197" priority="35">
      <formula>$H64&lt;$H65</formula>
    </cfRule>
  </conditionalFormatting>
  <conditionalFormatting sqref="F66">
    <cfRule type="expression" dxfId="196" priority="34">
      <formula>$H66&gt;$H67</formula>
    </cfRule>
    <cfRule type="expression" dxfId="195" priority="33">
      <formula>$H66&lt;$H67</formula>
    </cfRule>
  </conditionalFormatting>
  <conditionalFormatting sqref="F67">
    <cfRule type="expression" dxfId="194" priority="32">
      <formula>$H66&gt;$H67</formula>
    </cfRule>
    <cfRule type="expression" dxfId="193" priority="31">
      <formula>$H66&lt;$H67</formula>
    </cfRule>
  </conditionalFormatting>
  <conditionalFormatting sqref="F68">
    <cfRule type="expression" dxfId="192" priority="29">
      <formula>$H68&lt;$H69</formula>
    </cfRule>
    <cfRule type="expression" dxfId="191" priority="30">
      <formula>$H68&gt;$H69</formula>
    </cfRule>
  </conditionalFormatting>
  <conditionalFormatting sqref="F69">
    <cfRule type="expression" dxfId="190" priority="28">
      <formula>$H68&gt;$H69</formula>
    </cfRule>
    <cfRule type="expression" dxfId="189" priority="27">
      <formula>$H68&lt;$H69</formula>
    </cfRule>
  </conditionalFormatting>
  <conditionalFormatting sqref="F70">
    <cfRule type="expression" dxfId="188" priority="26">
      <formula>$H70&gt;$H71</formula>
    </cfRule>
    <cfRule type="expression" dxfId="187" priority="25">
      <formula>$H70&lt;$H71</formula>
    </cfRule>
  </conditionalFormatting>
  <conditionalFormatting sqref="F71">
    <cfRule type="expression" dxfId="186" priority="24">
      <formula>$H70&gt;$H71</formula>
    </cfRule>
    <cfRule type="expression" dxfId="185" priority="23">
      <formula>$H70&lt;$H71</formula>
    </cfRule>
  </conditionalFormatting>
  <conditionalFormatting sqref="F72">
    <cfRule type="expression" dxfId="184" priority="22">
      <formula>$H72&gt;$H73</formula>
    </cfRule>
    <cfRule type="expression" dxfId="183" priority="21">
      <formula>$H72&lt;$H73</formula>
    </cfRule>
  </conditionalFormatting>
  <conditionalFormatting sqref="F73">
    <cfRule type="expression" dxfId="182" priority="20">
      <formula>$H72&gt;$H73</formula>
    </cfRule>
    <cfRule type="expression" dxfId="181" priority="19">
      <formula>$H72&lt;$H73</formula>
    </cfRule>
  </conditionalFormatting>
  <conditionalFormatting sqref="F74">
    <cfRule type="expression" dxfId="180" priority="18">
      <formula>$H74&gt;$H75</formula>
    </cfRule>
    <cfRule type="expression" dxfId="179" priority="17">
      <formula>$H74&lt;$H75</formula>
    </cfRule>
  </conditionalFormatting>
  <conditionalFormatting sqref="F75">
    <cfRule type="expression" dxfId="178" priority="16">
      <formula>$H74&gt;$H75</formula>
    </cfRule>
    <cfRule type="expression" dxfId="177" priority="15">
      <formula>$H74&lt;$H75</formula>
    </cfRule>
  </conditionalFormatting>
  <conditionalFormatting sqref="F76">
    <cfRule type="expression" dxfId="176" priority="14">
      <formula>$H76&gt;$H77</formula>
    </cfRule>
    <cfRule type="expression" dxfId="175" priority="13">
      <formula>$H76&lt;$H77</formula>
    </cfRule>
  </conditionalFormatting>
  <conditionalFormatting sqref="F77">
    <cfRule type="expression" dxfId="174" priority="12">
      <formula>$H76&gt;$H77</formula>
    </cfRule>
    <cfRule type="expression" dxfId="173" priority="11">
      <formula>$H76&lt;$H77</formula>
    </cfRule>
  </conditionalFormatting>
  <conditionalFormatting sqref="F78">
    <cfRule type="expression" dxfId="172" priority="10">
      <formula>$H78&gt;$H79</formula>
    </cfRule>
    <cfRule type="expression" dxfId="171" priority="9">
      <formula>$H78&lt;$H79</formula>
    </cfRule>
  </conditionalFormatting>
  <conditionalFormatting sqref="F79">
    <cfRule type="expression" dxfId="170" priority="7">
      <formula>$H78&lt;$H79</formula>
    </cfRule>
    <cfRule type="expression" dxfId="169" priority="8">
      <formula>$H78&gt;$H79</formula>
    </cfRule>
  </conditionalFormatting>
  <conditionalFormatting sqref="F80">
    <cfRule type="expression" dxfId="168" priority="621" stopIfTrue="1">
      <formula>H80&gt;#REF!</formula>
    </cfRule>
    <cfRule type="expression" dxfId="167" priority="622" stopIfTrue="1">
      <formula>H80&lt;#REF!</formula>
    </cfRule>
  </conditionalFormatting>
  <conditionalFormatting sqref="H8:H79">
    <cfRule type="expression" dxfId="166" priority="616">
      <formula>ISBLANK(H8)</formula>
    </cfRule>
  </conditionalFormatting>
  <conditionalFormatting sqref="J8:Q79">
    <cfRule type="expression" dxfId="165" priority="1">
      <formula>$H8&gt;=J$1</formula>
    </cfRule>
  </conditionalFormatting>
  <dataValidations count="72">
    <dataValidation type="list" allowBlank="1" showInputMessage="1" showErrorMessage="1" sqref="J75:Q75" xr:uid="{00000000-0002-0000-0200-000000000000}">
      <formula1>E1E4</formula1>
    </dataValidation>
    <dataValidation type="list" allowBlank="1" showInputMessage="1" showErrorMessage="1" sqref="J74:Q74" xr:uid="{00000000-0002-0000-0200-000001000000}">
      <formula1>E4E1</formula1>
    </dataValidation>
    <dataValidation type="list" allowBlank="1" showInputMessage="1" showErrorMessage="1" sqref="J72:Q72" xr:uid="{00000000-0002-0000-0200-000002000000}">
      <formula1>E2E3</formula1>
    </dataValidation>
    <dataValidation type="list" allowBlank="1" showInputMessage="1" showErrorMessage="1" sqref="J73:Q73" xr:uid="{00000000-0002-0000-0200-000003000000}">
      <formula1>E3E2</formula1>
    </dataValidation>
    <dataValidation type="list" allowBlank="1" showInputMessage="1" showErrorMessage="1" sqref="J76:Q76" xr:uid="{00000000-0002-0000-0200-000004000000}">
      <formula1>F4F1</formula1>
    </dataValidation>
    <dataValidation type="list" allowBlank="1" showInputMessage="1" showErrorMessage="1" sqref="J77:Q77" xr:uid="{00000000-0002-0000-0200-000005000000}">
      <formula1>F1F4</formula1>
    </dataValidation>
    <dataValidation type="list" allowBlank="1" showInputMessage="1" showErrorMessage="1" sqref="J78:Q78" xr:uid="{00000000-0002-0000-0200-000006000000}">
      <formula1>F2F3</formula1>
    </dataValidation>
    <dataValidation type="list" allowBlank="1" showInputMessage="1" showErrorMessage="1" sqref="J79:Q79" xr:uid="{00000000-0002-0000-0200-000007000000}">
      <formula1>F3F2</formula1>
    </dataValidation>
    <dataValidation type="list" allowBlank="1" showInputMessage="1" showErrorMessage="1" sqref="J71:Q71" xr:uid="{00000000-0002-0000-0200-000008000000}">
      <formula1>D1D4</formula1>
    </dataValidation>
    <dataValidation type="list" allowBlank="1" showInputMessage="1" showErrorMessage="1" sqref="J70:Q70" xr:uid="{00000000-0002-0000-0200-000009000000}">
      <formula1>D4D1</formula1>
    </dataValidation>
    <dataValidation type="list" allowBlank="1" showInputMessage="1" showErrorMessage="1" sqref="J69:Q69" xr:uid="{00000000-0002-0000-0200-00000A000000}">
      <formula1>D3D2</formula1>
    </dataValidation>
    <dataValidation type="list" allowBlank="1" showInputMessage="1" showErrorMessage="1" sqref="J68:Q68" xr:uid="{00000000-0002-0000-0200-00000B000000}">
      <formula1>D2D3</formula1>
    </dataValidation>
    <dataValidation type="list" allowBlank="1" showInputMessage="1" showErrorMessage="1" sqref="J65:Q65" xr:uid="{00000000-0002-0000-0200-00000C000000}">
      <formula1>AC3C2</formula1>
    </dataValidation>
    <dataValidation type="list" allowBlank="1" showInputMessage="1" showErrorMessage="1" sqref="J64:Q64" xr:uid="{00000000-0002-0000-0200-00000D000000}">
      <formula1>AC2C3</formula1>
    </dataValidation>
    <dataValidation type="list" allowBlank="1" showInputMessage="1" showErrorMessage="1" sqref="J67:Q67" xr:uid="{00000000-0002-0000-0200-00000E000000}">
      <formula1>AC1C4</formula1>
    </dataValidation>
    <dataValidation type="list" allowBlank="1" showInputMessage="1" showErrorMessage="1" sqref="J66:Q66" xr:uid="{00000000-0002-0000-0200-00000F000000}">
      <formula1>AC4C1</formula1>
    </dataValidation>
    <dataValidation type="list" allowBlank="1" showInputMessage="1" showErrorMessage="1" sqref="J8:Q8" xr:uid="{00000000-0002-0000-0200-000010000000}">
      <formula1>A1A2</formula1>
    </dataValidation>
    <dataValidation type="list" allowBlank="1" showInputMessage="1" showErrorMessage="1" sqref="J9:Q9" xr:uid="{00000000-0002-0000-0200-000011000000}">
      <formula1>A2A1</formula1>
    </dataValidation>
    <dataValidation type="list" allowBlank="1" showInputMessage="1" showErrorMessage="1" sqref="J10:Q10" xr:uid="{00000000-0002-0000-0200-000012000000}">
      <formula1>A3A4</formula1>
    </dataValidation>
    <dataValidation type="list" allowBlank="1" showInputMessage="1" showErrorMessage="1" sqref="J11:Q11" xr:uid="{00000000-0002-0000-0200-000013000000}">
      <formula1>A4A3</formula1>
    </dataValidation>
    <dataValidation type="list" allowBlank="1" showInputMessage="1" showErrorMessage="1" sqref="J14:Q14" xr:uid="{00000000-0002-0000-0200-000014000000}">
      <formula1>B1B2</formula1>
    </dataValidation>
    <dataValidation type="list" allowBlank="1" showInputMessage="1" showErrorMessage="1" sqref="J15:Q15" xr:uid="{00000000-0002-0000-0200-000015000000}">
      <formula1>B2B1</formula1>
    </dataValidation>
    <dataValidation type="list" allowBlank="1" showInputMessage="1" showErrorMessage="1" sqref="J12:Q12" xr:uid="{00000000-0002-0000-0200-000016000000}">
      <formula1>B3B4</formula1>
    </dataValidation>
    <dataValidation type="list" allowBlank="1" showInputMessage="1" showErrorMessage="1" sqref="J13:Q13" xr:uid="{00000000-0002-0000-0200-000017000000}">
      <formula1>B4B3</formula1>
    </dataValidation>
    <dataValidation type="list" allowBlank="1" showInputMessage="1" showErrorMessage="1" sqref="J16:Q16" xr:uid="{00000000-0002-0000-0200-000018000000}">
      <formula1>AC1C2</formula1>
    </dataValidation>
    <dataValidation type="list" allowBlank="1" showInputMessage="1" showErrorMessage="1" sqref="J17:Q17" xr:uid="{00000000-0002-0000-0200-000019000000}">
      <formula1>AC2C1</formula1>
    </dataValidation>
    <dataValidation type="list" allowBlank="1" showInputMessage="1" showErrorMessage="1" sqref="J18:Q18" xr:uid="{00000000-0002-0000-0200-00001A000000}">
      <formula1>AC3C4</formula1>
    </dataValidation>
    <dataValidation type="list" allowBlank="1" showInputMessage="1" showErrorMessage="1" sqref="J19:Q19" xr:uid="{00000000-0002-0000-0200-00001B000000}">
      <formula1>AC4C3</formula1>
    </dataValidation>
    <dataValidation type="list" allowBlank="1" showInputMessage="1" showErrorMessage="1" sqref="J20:Q20" xr:uid="{00000000-0002-0000-0200-00001C000000}">
      <formula1>D1D2</formula1>
    </dataValidation>
    <dataValidation type="list" allowBlank="1" showInputMessage="1" showErrorMessage="1" sqref="J21:Q21" xr:uid="{00000000-0002-0000-0200-00001D000000}">
      <formula1>D2D1</formula1>
    </dataValidation>
    <dataValidation type="list" allowBlank="1" showInputMessage="1" showErrorMessage="1" sqref="J22:Q22" xr:uid="{00000000-0002-0000-0200-00001E000000}">
      <formula1>D3D4</formula1>
    </dataValidation>
    <dataValidation type="list" allowBlank="1" showInputMessage="1" showErrorMessage="1" sqref="J23:Q23" xr:uid="{00000000-0002-0000-0200-00001F000000}">
      <formula1>D4D3</formula1>
    </dataValidation>
    <dataValidation type="list" allowBlank="1" showInputMessage="1" showErrorMessage="1" sqref="J24:Q24" xr:uid="{00000000-0002-0000-0200-000020000000}">
      <formula1>E1E2</formula1>
    </dataValidation>
    <dataValidation type="list" allowBlank="1" showInputMessage="1" showErrorMessage="1" sqref="J25:Q25" xr:uid="{00000000-0002-0000-0200-000021000000}">
      <formula1>E2E1</formula1>
    </dataValidation>
    <dataValidation type="list" allowBlank="1" showInputMessage="1" showErrorMessage="1" sqref="J26:Q26" xr:uid="{00000000-0002-0000-0200-000022000000}">
      <formula1>E3E4</formula1>
    </dataValidation>
    <dataValidation type="list" allowBlank="1" showInputMessage="1" showErrorMessage="1" sqref="J27:Q27" xr:uid="{00000000-0002-0000-0200-000023000000}">
      <formula1>E4E3</formula1>
    </dataValidation>
    <dataValidation type="list" allowBlank="1" showInputMessage="1" showErrorMessage="1" sqref="J30:Q30" xr:uid="{00000000-0002-0000-0200-000024000000}">
      <formula1>F1F2</formula1>
    </dataValidation>
    <dataValidation type="list" allowBlank="1" showInputMessage="1" showErrorMessage="1" sqref="J31:Q31" xr:uid="{00000000-0002-0000-0200-000025000000}">
      <formula1>F2F1</formula1>
    </dataValidation>
    <dataValidation type="list" allowBlank="1" showInputMessage="1" showErrorMessage="1" sqref="J28:Q28" xr:uid="{00000000-0002-0000-0200-000026000000}">
      <formula1>F3F4</formula1>
    </dataValidation>
    <dataValidation type="list" allowBlank="1" showInputMessage="1" showErrorMessage="1" sqref="J29:Q29" xr:uid="{00000000-0002-0000-0200-000027000000}">
      <formula1>F4F3</formula1>
    </dataValidation>
    <dataValidation type="list" allowBlank="1" showInputMessage="1" showErrorMessage="1" sqref="J34:Q34" xr:uid="{00000000-0002-0000-0200-000028000000}">
      <formula1>A1A3</formula1>
    </dataValidation>
    <dataValidation type="list" allowBlank="1" showInputMessage="1" showErrorMessage="1" sqref="J35:Q35" xr:uid="{00000000-0002-0000-0200-000029000000}">
      <formula1>A3A1</formula1>
    </dataValidation>
    <dataValidation type="list" allowBlank="1" showInputMessage="1" showErrorMessage="1" sqref="J33:Q33" xr:uid="{00000000-0002-0000-0200-00002A000000}">
      <formula1>A4A2</formula1>
    </dataValidation>
    <dataValidation type="list" allowBlank="1" showInputMessage="1" showErrorMessage="1" sqref="J32:Q32" xr:uid="{00000000-0002-0000-0200-00002B000000}">
      <formula1>A2A4</formula1>
    </dataValidation>
    <dataValidation type="list" allowBlank="1" showInputMessage="1" showErrorMessage="1" sqref="J39:Q39" xr:uid="{00000000-0002-0000-0200-00002C000000}">
      <formula1>B1B3</formula1>
    </dataValidation>
    <dataValidation type="list" allowBlank="1" showInputMessage="1" showErrorMessage="1" sqref="J38:Q38" xr:uid="{00000000-0002-0000-0200-00002D000000}">
      <formula1>B3B1</formula1>
    </dataValidation>
    <dataValidation type="list" allowBlank="1" showInputMessage="1" showErrorMessage="1" sqref="J36:Q36" xr:uid="{00000000-0002-0000-0200-00002E000000}">
      <formula1>B4B2</formula1>
    </dataValidation>
    <dataValidation type="list" allowBlank="1" showInputMessage="1" showErrorMessage="1" sqref="J37:Q37" xr:uid="{00000000-0002-0000-0200-00002F000000}">
      <formula1>B2B4</formula1>
    </dataValidation>
    <dataValidation type="list" allowBlank="1" showInputMessage="1" showErrorMessage="1" sqref="J43:Q43" xr:uid="{00000000-0002-0000-0200-000030000000}">
      <formula1>AC1C3</formula1>
    </dataValidation>
    <dataValidation type="list" allowBlank="1" showInputMessage="1" showErrorMessage="1" sqref="J42:Q42" xr:uid="{00000000-0002-0000-0200-000031000000}">
      <formula1>AC3C1</formula1>
    </dataValidation>
    <dataValidation type="list" allowBlank="1" showInputMessage="1" showErrorMessage="1" sqref="J40:Q40" xr:uid="{00000000-0002-0000-0200-000032000000}">
      <formula1>AC4C2</formula1>
    </dataValidation>
    <dataValidation type="list" allowBlank="1" showInputMessage="1" showErrorMessage="1" sqref="J41:Q41" xr:uid="{00000000-0002-0000-0200-000033000000}">
      <formula1>AC2C4</formula1>
    </dataValidation>
    <dataValidation type="list" allowBlank="1" showInputMessage="1" showErrorMessage="1" sqref="J44:Q44" xr:uid="{00000000-0002-0000-0200-000034000000}">
      <formula1>D1D3</formula1>
    </dataValidation>
    <dataValidation type="list" allowBlank="1" showInputMessage="1" showErrorMessage="1" sqref="J45:Q45" xr:uid="{00000000-0002-0000-0200-000035000000}">
      <formula1>D3D1</formula1>
    </dataValidation>
    <dataValidation type="list" allowBlank="1" showInputMessage="1" showErrorMessage="1" sqref="J47:Q47" xr:uid="{00000000-0002-0000-0200-000036000000}">
      <formula1>D4D2</formula1>
    </dataValidation>
    <dataValidation type="list" allowBlank="1" showInputMessage="1" showErrorMessage="1" sqref="J46:Q46" xr:uid="{00000000-0002-0000-0200-000037000000}">
      <formula1>D2D4</formula1>
    </dataValidation>
    <dataValidation type="list" allowBlank="1" showInputMessage="1" showErrorMessage="1" sqref="J50:Q50" xr:uid="{00000000-0002-0000-0200-000038000000}">
      <formula1>E1E3</formula1>
    </dataValidation>
    <dataValidation type="list" allowBlank="1" showInputMessage="1" showErrorMessage="1" sqref="J51:Q51" xr:uid="{00000000-0002-0000-0200-000039000000}">
      <formula1>E3E1</formula1>
    </dataValidation>
    <dataValidation type="list" allowBlank="1" showInputMessage="1" showErrorMessage="1" sqref="J49:Q49" xr:uid="{00000000-0002-0000-0200-00003A000000}">
      <formula1>E4E2</formula1>
    </dataValidation>
    <dataValidation type="list" allowBlank="1" showInputMessage="1" showErrorMessage="1" sqref="J48:Q48" xr:uid="{00000000-0002-0000-0200-00003B000000}">
      <formula1>E2E4</formula1>
    </dataValidation>
    <dataValidation type="list" allowBlank="1" showInputMessage="1" showErrorMessage="1" sqref="J53:Q53" xr:uid="{00000000-0002-0000-0200-00003C000000}">
      <formula1>F1F3</formula1>
    </dataValidation>
    <dataValidation type="list" allowBlank="1" showInputMessage="1" showErrorMessage="1" sqref="J52:Q52" xr:uid="{00000000-0002-0000-0200-00003D000000}">
      <formula1>F3F1</formula1>
    </dataValidation>
    <dataValidation type="list" allowBlank="1" showInputMessage="1" showErrorMessage="1" sqref="J54:Q54" xr:uid="{00000000-0002-0000-0200-00003E000000}">
      <formula1>F4F2</formula1>
    </dataValidation>
    <dataValidation type="list" allowBlank="1" showInputMessage="1" showErrorMessage="1" sqref="J55:Q55" xr:uid="{00000000-0002-0000-0200-00003F000000}">
      <formula1>F2F4</formula1>
    </dataValidation>
    <dataValidation type="list" allowBlank="1" showInputMessage="1" showErrorMessage="1" sqref="J56:Q56" xr:uid="{00000000-0002-0000-0200-000040000000}">
      <formula1>A4A1</formula1>
    </dataValidation>
    <dataValidation type="list" allowBlank="1" showInputMessage="1" showErrorMessage="1" sqref="J57:Q57" xr:uid="{00000000-0002-0000-0200-000041000000}">
      <formula1>A1A4</formula1>
    </dataValidation>
    <dataValidation type="list" allowBlank="1" showInputMessage="1" showErrorMessage="1" sqref="J58:Q58" xr:uid="{00000000-0002-0000-0200-000042000000}">
      <formula1>A2A3</formula1>
    </dataValidation>
    <dataValidation type="list" allowBlank="1" showInputMessage="1" showErrorMessage="1" sqref="J59:Q59" xr:uid="{00000000-0002-0000-0200-000043000000}">
      <formula1>A3A2</formula1>
    </dataValidation>
    <dataValidation type="list" allowBlank="1" showInputMessage="1" showErrorMessage="1" sqref="J62:Q62" xr:uid="{00000000-0002-0000-0200-000044000000}">
      <formula1>B4B1</formula1>
    </dataValidation>
    <dataValidation type="list" allowBlank="1" showInputMessage="1" showErrorMessage="1" sqref="J63:Q63" xr:uid="{00000000-0002-0000-0200-000045000000}">
      <formula1>B1B4</formula1>
    </dataValidation>
    <dataValidation type="list" allowBlank="1" showInputMessage="1" showErrorMessage="1" sqref="J60:Q60" xr:uid="{00000000-0002-0000-0200-000046000000}">
      <formula1>B2B3</formula1>
    </dataValidation>
    <dataValidation type="list" allowBlank="1" showInputMessage="1" showErrorMessage="1" sqref="J61:Q61" xr:uid="{00000000-0002-0000-0200-000047000000}">
      <formula1>B3B2</formula1>
    </dataValidation>
  </dataValidations>
  <printOptions horizontalCentered="1" verticalCentered="1"/>
  <pageMargins left="0.39" right="0.32" top="0.28999999999999998" bottom="0.39" header="0.21" footer="0.26"/>
  <pageSetup scale="40" orientation="portrait" horizontalDpi="300" verticalDpi="300" r:id="rId1"/>
  <headerFooter alignWithMargins="0">
    <oddFooter>&amp;C
copyright (c) exceltemplate.net 2013</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D633"/>
  <sheetViews>
    <sheetView showGridLines="0" topLeftCell="X43" zoomScaleNormal="100" workbookViewId="0">
      <selection activeCell="AB53" sqref="AB53"/>
    </sheetView>
  </sheetViews>
  <sheetFormatPr defaultColWidth="8.85546875" defaultRowHeight="12.75" x14ac:dyDescent="0.2"/>
  <cols>
    <col min="1" max="1" width="3.140625" style="252" bestFit="1" customWidth="1"/>
    <col min="2" max="4" width="19.42578125" style="252" bestFit="1" customWidth="1"/>
    <col min="5" max="5" width="18.85546875" style="252" bestFit="1" customWidth="1"/>
    <col min="6" max="7" width="19.42578125" style="252" bestFit="1" customWidth="1"/>
    <col min="8" max="8" width="15.85546875" style="252" bestFit="1" customWidth="1"/>
    <col min="9" max="9" width="19.42578125" style="252" bestFit="1" customWidth="1"/>
    <col min="10" max="10" width="21.5703125" style="252" bestFit="1" customWidth="1"/>
    <col min="11" max="13" width="21.85546875" style="252" bestFit="1" customWidth="1"/>
    <col min="14" max="15" width="22.42578125" style="252" bestFit="1" customWidth="1"/>
    <col min="16" max="16" width="18.85546875" style="252" bestFit="1" customWidth="1"/>
    <col min="17" max="17" width="22.42578125" style="252" bestFit="1" customWidth="1"/>
    <col min="18" max="19" width="19.85546875" style="252" bestFit="1" customWidth="1"/>
    <col min="20" max="20" width="17.42578125" style="252" bestFit="1" customWidth="1"/>
    <col min="21" max="21" width="19.85546875" style="252" bestFit="1" customWidth="1"/>
    <col min="22" max="22" width="19.5703125" style="252" bestFit="1" customWidth="1"/>
    <col min="23" max="23" width="19.7109375" style="252" bestFit="1" customWidth="1"/>
    <col min="24" max="24" width="17.140625" style="252" bestFit="1" customWidth="1"/>
    <col min="25" max="25" width="19.5703125" style="252" bestFit="1" customWidth="1"/>
    <col min="26" max="34" width="8.85546875" style="252"/>
    <col min="35" max="35" width="15.5703125" style="252" bestFit="1" customWidth="1"/>
    <col min="36" max="36" width="19" style="252" bestFit="1" customWidth="1"/>
    <col min="37" max="37" width="21.7109375" style="252" bestFit="1" customWidth="1"/>
    <col min="38" max="38" width="19.5703125" style="252" bestFit="1" customWidth="1"/>
    <col min="39" max="39" width="19" style="252" bestFit="1" customWidth="1"/>
    <col min="40" max="40" width="22.5703125" style="252" bestFit="1" customWidth="1"/>
    <col min="41" max="41" width="17.5703125" style="252" bestFit="1" customWidth="1"/>
    <col min="42" max="42" width="19.5703125" style="252" bestFit="1" customWidth="1"/>
    <col min="43" max="44" width="15.28515625" style="252" bestFit="1" customWidth="1"/>
    <col min="45" max="45" width="20" style="252" bestFit="1" customWidth="1"/>
    <col min="46" max="46" width="16.28515625" style="252" bestFit="1" customWidth="1"/>
    <col min="47" max="47" width="18" style="252" bestFit="1" customWidth="1"/>
    <col min="48" max="48" width="17" style="252" bestFit="1" customWidth="1"/>
    <col min="49" max="49" width="19.7109375" style="252" bestFit="1" customWidth="1"/>
    <col min="50" max="50" width="16.28515625" style="252" bestFit="1" customWidth="1"/>
    <col min="51" max="51" width="8.85546875" style="252"/>
    <col min="52" max="52" width="16.140625" style="252" bestFit="1" customWidth="1"/>
    <col min="53" max="53" width="19" style="252" bestFit="1" customWidth="1"/>
    <col min="54" max="54" width="20" style="252" bestFit="1" customWidth="1"/>
    <col min="55" max="55" width="16.28515625" style="252" bestFit="1" customWidth="1"/>
    <col min="56" max="56" width="18" style="252" bestFit="1" customWidth="1"/>
    <col min="57" max="57" width="15.28515625" style="252" bestFit="1" customWidth="1"/>
    <col min="58" max="58" width="19.7109375" style="252" bestFit="1" customWidth="1"/>
    <col min="59" max="59" width="17.5703125" style="252" bestFit="1" customWidth="1"/>
    <col min="60" max="60" width="8.85546875" style="252"/>
    <col min="61" max="61" width="20" style="252" bestFit="1" customWidth="1"/>
    <col min="62" max="62" width="19" style="252" bestFit="1" customWidth="1"/>
    <col min="63" max="63" width="17.5703125" style="252" bestFit="1" customWidth="1"/>
    <col min="64" max="64" width="15.28515625" style="252" bestFit="1" customWidth="1"/>
    <col min="65" max="65" width="8.85546875" style="252"/>
    <col min="66" max="67" width="5.140625" style="252" bestFit="1" customWidth="1"/>
    <col min="68" max="68" width="8.85546875" style="252"/>
    <col min="69" max="69" width="17.5703125" style="252" bestFit="1" customWidth="1"/>
    <col min="70" max="70" width="20" style="252" bestFit="1" customWidth="1"/>
    <col min="71" max="71" width="8.85546875" style="252"/>
    <col min="72" max="72" width="15.42578125" style="253" bestFit="1" customWidth="1"/>
    <col min="73" max="74" width="4.140625" style="253" bestFit="1" customWidth="1"/>
    <col min="75" max="75" width="3.140625" style="253" bestFit="1" customWidth="1"/>
    <col min="76" max="76" width="19" style="253" bestFit="1" customWidth="1"/>
    <col min="77" max="77" width="2.140625" style="253" bestFit="1" customWidth="1"/>
    <col min="78" max="78" width="18.140625" style="253" bestFit="1" customWidth="1"/>
    <col min="79" max="79" width="23" style="253" bestFit="1" customWidth="1"/>
    <col min="80" max="80" width="4.140625" style="252" bestFit="1" customWidth="1"/>
    <col min="81" max="81" width="10.5703125" style="252" bestFit="1" customWidth="1"/>
    <col min="82" max="95" width="3.140625" style="252" bestFit="1" customWidth="1"/>
    <col min="96" max="96" width="2.140625" style="252" bestFit="1" customWidth="1"/>
    <col min="97" max="97" width="4.140625" style="252" bestFit="1" customWidth="1"/>
    <col min="98" max="98" width="3.140625" style="252" bestFit="1" customWidth="1"/>
    <col min="99" max="99" width="5" style="252" bestFit="1" customWidth="1"/>
    <col min="100" max="100" width="10.42578125" style="252" bestFit="1" customWidth="1"/>
    <col min="101" max="101" width="2.140625" style="252" bestFit="1" customWidth="1"/>
    <col min="102" max="103" width="8.85546875" style="252"/>
    <col min="104" max="104" width="4.140625" style="252" bestFit="1" customWidth="1"/>
    <col min="105" max="105" width="10.42578125" style="252" bestFit="1" customWidth="1"/>
    <col min="106" max="106" width="2" style="252" bestFit="1" customWidth="1"/>
    <col min="107" max="107" width="14.85546875" style="252" bestFit="1" customWidth="1"/>
    <col min="108" max="108" width="7.5703125" style="252" bestFit="1" customWidth="1"/>
    <col min="109" max="110" width="8.85546875" style="252"/>
    <col min="111" max="111" width="5.5703125" style="252" bestFit="1" customWidth="1"/>
    <col min="112" max="112" width="3" style="252" bestFit="1" customWidth="1"/>
    <col min="113" max="113" width="4.5703125" style="252" customWidth="1"/>
    <col min="114" max="114" width="2" style="252" bestFit="1" customWidth="1"/>
    <col min="115" max="16384" width="8.85546875" style="252"/>
  </cols>
  <sheetData>
    <row r="1" spans="1:108" x14ac:dyDescent="0.2">
      <c r="AI1" s="252">
        <v>1</v>
      </c>
      <c r="AJ1" s="252">
        <v>2</v>
      </c>
      <c r="AK1" s="252">
        <v>3</v>
      </c>
      <c r="AL1" s="252">
        <v>4</v>
      </c>
      <c r="AM1" s="252">
        <v>5</v>
      </c>
      <c r="AN1" s="252">
        <v>6</v>
      </c>
      <c r="AO1" s="252">
        <v>7</v>
      </c>
      <c r="AP1" s="252">
        <v>8</v>
      </c>
      <c r="AQ1" s="252">
        <v>9</v>
      </c>
      <c r="AR1" s="252">
        <v>10</v>
      </c>
      <c r="AS1" s="252">
        <v>11</v>
      </c>
      <c r="AT1" s="252">
        <v>12</v>
      </c>
      <c r="AU1" s="252">
        <v>13</v>
      </c>
      <c r="AV1" s="252">
        <v>14</v>
      </c>
      <c r="AW1" s="252">
        <v>15</v>
      </c>
      <c r="AX1" s="252">
        <v>16</v>
      </c>
      <c r="AZ1" s="252">
        <v>1</v>
      </c>
      <c r="BA1" s="252">
        <v>2</v>
      </c>
      <c r="BB1" s="252">
        <v>3</v>
      </c>
      <c r="BC1" s="252">
        <v>4</v>
      </c>
      <c r="BD1" s="252">
        <v>5</v>
      </c>
      <c r="BE1" s="252">
        <v>6</v>
      </c>
      <c r="BF1" s="252">
        <v>7</v>
      </c>
      <c r="BG1" s="252">
        <v>8</v>
      </c>
      <c r="BI1" s="252">
        <v>1</v>
      </c>
      <c r="BJ1" s="252">
        <v>2</v>
      </c>
      <c r="BK1" s="252">
        <v>3</v>
      </c>
      <c r="BL1" s="252">
        <v>4</v>
      </c>
      <c r="BN1" s="252">
        <v>31</v>
      </c>
      <c r="BO1" s="252">
        <v>32</v>
      </c>
      <c r="BQ1" s="252">
        <v>1</v>
      </c>
      <c r="BR1" s="252">
        <v>2</v>
      </c>
      <c r="BX1" s="253" t="s">
        <v>877</v>
      </c>
      <c r="CC1" s="252">
        <f t="shared" ref="CC1:CP1" ca="1" si="0">IF(CC2&lt;&gt;0,CD1+1,CD1)</f>
        <v>15</v>
      </c>
      <c r="CD1" s="252">
        <f t="shared" ca="1" si="0"/>
        <v>14</v>
      </c>
      <c r="CE1" s="252">
        <f t="shared" ca="1" si="0"/>
        <v>13</v>
      </c>
      <c r="CF1" s="252">
        <f t="shared" ca="1" si="0"/>
        <v>12</v>
      </c>
      <c r="CG1" s="252">
        <f t="shared" ca="1" si="0"/>
        <v>11</v>
      </c>
      <c r="CH1" s="252">
        <f t="shared" ca="1" si="0"/>
        <v>10</v>
      </c>
      <c r="CI1" s="252">
        <f t="shared" ca="1" si="0"/>
        <v>9</v>
      </c>
      <c r="CJ1" s="252">
        <f t="shared" ca="1" si="0"/>
        <v>8</v>
      </c>
      <c r="CK1" s="252">
        <f t="shared" ca="1" si="0"/>
        <v>7</v>
      </c>
      <c r="CL1" s="252">
        <f t="shared" ca="1" si="0"/>
        <v>6</v>
      </c>
      <c r="CM1" s="252">
        <f t="shared" ca="1" si="0"/>
        <v>5</v>
      </c>
      <c r="CN1" s="252">
        <f t="shared" ca="1" si="0"/>
        <v>4</v>
      </c>
      <c r="CO1" s="252">
        <f t="shared" ca="1" si="0"/>
        <v>3</v>
      </c>
      <c r="CP1" s="252">
        <f t="shared" ca="1" si="0"/>
        <v>2</v>
      </c>
      <c r="CQ1" s="252">
        <f ca="1">IF(CQ2&lt;&gt;0,CR1+1,CR1)</f>
        <v>1</v>
      </c>
      <c r="CR1" s="252">
        <v>0</v>
      </c>
    </row>
    <row r="2" spans="1:108" x14ac:dyDescent="0.2">
      <c r="A2" s="252">
        <v>1</v>
      </c>
      <c r="B2" s="254" t="str">
        <f>'Player Database'!C5</f>
        <v>Germany</v>
      </c>
      <c r="C2" s="254" t="str">
        <f>'Player Database'!D5</f>
        <v>Scotland</v>
      </c>
      <c r="D2" s="254" t="str">
        <f>'Player Database'!E5</f>
        <v>Hungary</v>
      </c>
      <c r="E2" s="254" t="str">
        <f>'Player Database'!F5</f>
        <v>Switzerland</v>
      </c>
      <c r="F2" s="254" t="str">
        <f>'Player Database'!G5</f>
        <v>Italy</v>
      </c>
      <c r="G2" s="254" t="str">
        <f>'Player Database'!H5</f>
        <v>Albania</v>
      </c>
      <c r="H2" s="254" t="str">
        <f>'Player Database'!I5</f>
        <v>Spain</v>
      </c>
      <c r="I2" s="254" t="str">
        <f>'Player Database'!J5</f>
        <v>Croatia</v>
      </c>
      <c r="J2" s="254" t="str">
        <f>'Player Database'!K5</f>
        <v>Serbia</v>
      </c>
      <c r="K2" s="254" t="str">
        <f>'Player Database'!L5</f>
        <v>England</v>
      </c>
      <c r="L2" s="254" t="str">
        <f>'Player Database'!M5</f>
        <v>Slovenia</v>
      </c>
      <c r="M2" s="254" t="str">
        <f>'Player Database'!N5</f>
        <v>Denmark</v>
      </c>
      <c r="N2" s="254" t="str">
        <f>'Player Database'!O5</f>
        <v>Poland</v>
      </c>
      <c r="O2" s="254" t="str">
        <f>'Player Database'!P5</f>
        <v>Netherlands</v>
      </c>
      <c r="P2" s="254" t="str">
        <f>'Player Database'!Q5</f>
        <v>Austria</v>
      </c>
      <c r="Q2" s="254" t="str">
        <f>'Player Database'!R5</f>
        <v>France</v>
      </c>
      <c r="R2" s="254" t="str">
        <f>'Player Database'!S5</f>
        <v>Belgium</v>
      </c>
      <c r="S2" s="254" t="str">
        <f>'Player Database'!T5</f>
        <v>Slovakia</v>
      </c>
      <c r="T2" s="254" t="str">
        <f>'Player Database'!U5</f>
        <v>Romania</v>
      </c>
      <c r="U2" s="254" t="str">
        <f>'Player Database'!V5</f>
        <v>Ukraine</v>
      </c>
      <c r="V2" s="254" t="str">
        <f>'Player Database'!W5</f>
        <v>Portugal</v>
      </c>
      <c r="W2" s="254" t="str">
        <f>'Player Database'!X5</f>
        <v>Czechia</v>
      </c>
      <c r="X2" s="254" t="str">
        <f>'Player Database'!Y5</f>
        <v>Türkiye</v>
      </c>
      <c r="Y2" s="254" t="str">
        <f>'Player Database'!Z5</f>
        <v>Georgia</v>
      </c>
      <c r="Z2" s="254"/>
      <c r="AA2" s="254"/>
      <c r="AB2" s="254"/>
      <c r="AC2" s="254"/>
      <c r="AD2" s="254"/>
      <c r="AE2" s="254"/>
      <c r="AF2" s="254"/>
      <c r="AG2" s="254"/>
      <c r="AI2" s="252" t="str">
        <f ca="1">'Knock Out Stages'!$F7</f>
        <v>Group A Winner</v>
      </c>
      <c r="AJ2" s="252" t="str">
        <f ca="1">'Knock Out Stages'!$F8</f>
        <v>Group C Runner Up</v>
      </c>
      <c r="AK2" s="252" t="str">
        <f ca="1">'Knock Out Stages'!$F9</f>
        <v>Group A Runner Up</v>
      </c>
      <c r="AL2" s="252" t="str">
        <f ca="1">'Knock Out Stages'!$F10</f>
        <v>Group B Runner Up</v>
      </c>
      <c r="AM2" s="252" t="str">
        <f ca="1">'Knock Out Stages'!$F11</f>
        <v>Group B Winner</v>
      </c>
      <c r="AN2" s="252" t="str">
        <f ca="1">'Knock Out Stages'!$F12</f>
        <v>Group A/D/E/F 3rd Place</v>
      </c>
      <c r="AO2" s="252" t="str">
        <f ca="1">'Knock Out Stages'!$F13</f>
        <v>Group C Winner</v>
      </c>
      <c r="AP2" s="252" t="str">
        <f ca="1">'Knock Out Stages'!$F14</f>
        <v>Group D/E/F 3rd Place</v>
      </c>
      <c r="AQ2" s="252" t="str">
        <f ca="1">'Knock Out Stages'!$F15</f>
        <v>Group F Winner</v>
      </c>
      <c r="AR2" s="252" t="str">
        <f ca="1">'Knock Out Stages'!$F16</f>
        <v>Group A/B/C 3rd Place</v>
      </c>
      <c r="AS2" s="252" t="str">
        <f ca="1">'Knock Out Stages'!$F17</f>
        <v>Group D Runner Up</v>
      </c>
      <c r="AT2" s="252" t="str">
        <f ca="1">'Knock Out Stages'!$F18</f>
        <v>Group E Runner Up</v>
      </c>
      <c r="AU2" s="252" t="str">
        <f ca="1">'Knock Out Stages'!$F19</f>
        <v>Group E Winner</v>
      </c>
      <c r="AV2" s="252" t="str">
        <f ca="1">'Knock Out Stages'!$F20</f>
        <v>Group A/B/C/D 3rd Place</v>
      </c>
      <c r="AW2" s="252" t="str">
        <f ca="1">'Knock Out Stages'!$F21</f>
        <v>Group D Winner</v>
      </c>
      <c r="AX2" s="252" t="str">
        <f ca="1">'Knock Out Stages'!$F22</f>
        <v>Group F Runner Up</v>
      </c>
      <c r="AZ2" s="252" t="str">
        <f ca="1">'Knock Out Stages'!$F26</f>
        <v>Match 39 Winner</v>
      </c>
      <c r="BA2" s="252" t="str">
        <f ca="1">'Knock Out Stages'!$F27</f>
        <v>Match 37 Winner</v>
      </c>
      <c r="BB2" s="252" t="str">
        <f ca="1">'Knock Out Stages'!$F28</f>
        <v>Match 41 Winner</v>
      </c>
      <c r="BC2" s="252" t="str">
        <f ca="1">'Knock Out Stages'!$F29</f>
        <v>Match 42 Winner</v>
      </c>
      <c r="BD2" s="252" t="str">
        <f ca="1">'Knock Out Stages'!$F30</f>
        <v>Match 43 Winner</v>
      </c>
      <c r="BE2" s="252" t="str">
        <f ca="1">'Knock Out Stages'!$F31</f>
        <v>Match 44 Winner</v>
      </c>
      <c r="BF2" s="252" t="str">
        <f ca="1">'Knock Out Stages'!$F32</f>
        <v>Match 40 Winner</v>
      </c>
      <c r="BG2" s="252" t="str">
        <f ca="1">'Knock Out Stages'!$F33</f>
        <v>Match 38 Winner</v>
      </c>
      <c r="BI2" s="252" t="str">
        <f ca="1">'Knock Out Stages'!$F37</f>
        <v>Match 45 Winner</v>
      </c>
      <c r="BJ2" s="252" t="str">
        <f ca="1">'Knock Out Stages'!$F38</f>
        <v>Match 46 Winner</v>
      </c>
      <c r="BK2" s="252" t="str">
        <f ca="1">'Knock Out Stages'!$F39</f>
        <v>Match 47 Winner</v>
      </c>
      <c r="BL2" s="252" t="str">
        <f ca="1">'Knock Out Stages'!$F40</f>
        <v>Match 48 Winner</v>
      </c>
      <c r="BN2" s="252" t="e">
        <f>'Knock Out Stages'!#REF!</f>
        <v>#REF!</v>
      </c>
      <c r="BO2" s="252" t="e">
        <f>'Knock Out Stages'!#REF!</f>
        <v>#REF!</v>
      </c>
      <c r="BQ2" s="252" t="str">
        <f ca="1">'Knock Out Stages'!$F44</f>
        <v>Match 49 Winner</v>
      </c>
      <c r="BR2" s="252" t="str">
        <f ca="1">'Knock Out Stages'!$F45</f>
        <v>Match 50 Winner</v>
      </c>
      <c r="CC2" s="252">
        <f ca="1">COUNTA(CC4:CC45)</f>
        <v>42</v>
      </c>
      <c r="CD2" s="252">
        <f t="shared" ref="CD2:CQ2" ca="1" si="1">COUNTA(CD4:CD45)</f>
        <v>42</v>
      </c>
      <c r="CE2" s="252">
        <f t="shared" ca="1" si="1"/>
        <v>42</v>
      </c>
      <c r="CF2" s="252">
        <f t="shared" ca="1" si="1"/>
        <v>42</v>
      </c>
      <c r="CG2" s="252">
        <f t="shared" ca="1" si="1"/>
        <v>42</v>
      </c>
      <c r="CH2" s="252">
        <f t="shared" ca="1" si="1"/>
        <v>42</v>
      </c>
      <c r="CI2" s="252">
        <f t="shared" ca="1" si="1"/>
        <v>42</v>
      </c>
      <c r="CJ2" s="252">
        <f t="shared" ca="1" si="1"/>
        <v>42</v>
      </c>
      <c r="CK2" s="252">
        <f t="shared" ca="1" si="1"/>
        <v>42</v>
      </c>
      <c r="CL2" s="252">
        <f t="shared" ca="1" si="1"/>
        <v>42</v>
      </c>
      <c r="CM2" s="252">
        <f t="shared" ca="1" si="1"/>
        <v>42</v>
      </c>
      <c r="CN2" s="252">
        <f t="shared" ca="1" si="1"/>
        <v>42</v>
      </c>
      <c r="CO2" s="252">
        <f t="shared" ca="1" si="1"/>
        <v>42</v>
      </c>
      <c r="CP2" s="252">
        <f t="shared" ca="1" si="1"/>
        <v>42</v>
      </c>
      <c r="CQ2" s="252">
        <f t="shared" ca="1" si="1"/>
        <v>42</v>
      </c>
    </row>
    <row r="3" spans="1:108" x14ac:dyDescent="0.2">
      <c r="A3" s="252">
        <v>1</v>
      </c>
      <c r="B3" s="252" t="str">
        <f>'Player Database'!C6</f>
        <v>Manuel Neuer</v>
      </c>
      <c r="C3" s="252" t="str">
        <f>'Player Database'!D6</f>
        <v>Angus Gunn</v>
      </c>
      <c r="D3" s="252" t="str">
        <f>'Player Database'!E6</f>
        <v>Péter Gulácsi</v>
      </c>
      <c r="E3" s="252" t="str">
        <f>'Player Database'!F6</f>
        <v>Yann Sommer</v>
      </c>
      <c r="F3" s="252" t="str">
        <f>'Player Database'!G6</f>
        <v>Gianluigi Donnarumma</v>
      </c>
      <c r="G3" s="252" t="str">
        <f>'Player Database'!H6</f>
        <v>Etrit Berisha</v>
      </c>
      <c r="H3" s="252" t="str">
        <f>'Player Database'!I6</f>
        <v>David Raya</v>
      </c>
      <c r="I3" s="252" t="str">
        <f>'Player Database'!J6</f>
        <v>Dominik Livaković</v>
      </c>
      <c r="J3" s="252" t="str">
        <f>'Player Database'!K6</f>
        <v>Predrag Rajković</v>
      </c>
      <c r="K3" s="252" t="str">
        <f>'Player Database'!L6</f>
        <v>Jordan Pickford</v>
      </c>
      <c r="L3" s="252" t="str">
        <f>'Player Database'!M6</f>
        <v>Jan Oblak</v>
      </c>
      <c r="M3" s="252" t="str">
        <f>'Player Database'!N6</f>
        <v>Kasper Schmeichel</v>
      </c>
      <c r="N3" s="252" t="str">
        <f>'Player Database'!O6</f>
        <v>Wojciech Szczęsny</v>
      </c>
      <c r="O3" s="252" t="str">
        <f>'Player Database'!P6</f>
        <v>Bart Verbruggen</v>
      </c>
      <c r="P3" s="252" t="str">
        <f>'Player Database'!Q6</f>
        <v>Heinz Lindner</v>
      </c>
      <c r="Q3" s="252" t="str">
        <f>'Player Database'!R6</f>
        <v>Brice Samba</v>
      </c>
      <c r="R3" s="252" t="str">
        <f>'Player Database'!S6</f>
        <v>Koen Casteels</v>
      </c>
      <c r="S3" s="252" t="str">
        <f>'Player Database'!T6</f>
        <v>Martin Dúbravka</v>
      </c>
      <c r="T3" s="252" t="str">
        <f>'Player Database'!U6</f>
        <v>Florin Niță</v>
      </c>
      <c r="U3" s="252" t="str">
        <f>'Player Database'!V6</f>
        <v>Heorhiy Bushchan</v>
      </c>
      <c r="V3" s="252" t="str">
        <f>'Player Database'!W6</f>
        <v>Rui Patrício</v>
      </c>
      <c r="W3" s="252" t="str">
        <f>'Player Database'!X6</f>
        <v>Jindřich Staněk</v>
      </c>
      <c r="X3" s="252" t="str">
        <f>'Player Database'!Y6</f>
        <v>Mert Günok</v>
      </c>
      <c r="Y3" s="252" t="str">
        <f>'Player Database'!Z6</f>
        <v>Giorgi Loria</v>
      </c>
      <c r="AI3" s="252" t="str">
        <f t="shared" ref="AI3:AX12" ca="1" si="2">IFERROR(INDEX($B$3:$AG$28,$A3,MATCH(AI$2,$B$2:$AG$2,0)),"")</f>
        <v/>
      </c>
      <c r="AJ3" s="252" t="str">
        <f t="shared" ca="1" si="2"/>
        <v/>
      </c>
      <c r="AK3" s="252" t="str">
        <f t="shared" ca="1" si="2"/>
        <v/>
      </c>
      <c r="AL3" s="252" t="str">
        <f t="shared" ca="1" si="2"/>
        <v/>
      </c>
      <c r="AM3" s="252" t="str">
        <f t="shared" ca="1" si="2"/>
        <v/>
      </c>
      <c r="AN3" s="252" t="str">
        <f t="shared" ca="1" si="2"/>
        <v/>
      </c>
      <c r="AO3" s="252" t="str">
        <f t="shared" ca="1" si="2"/>
        <v/>
      </c>
      <c r="AP3" s="252" t="str">
        <f t="shared" ca="1" si="2"/>
        <v/>
      </c>
      <c r="AQ3" s="252" t="str">
        <f t="shared" ca="1" si="2"/>
        <v/>
      </c>
      <c r="AR3" s="252" t="str">
        <f t="shared" ca="1" si="2"/>
        <v/>
      </c>
      <c r="AS3" s="252" t="str">
        <f t="shared" ca="1" si="2"/>
        <v/>
      </c>
      <c r="AT3" s="252" t="str">
        <f t="shared" ca="1" si="2"/>
        <v/>
      </c>
      <c r="AU3" s="252" t="str">
        <f t="shared" ca="1" si="2"/>
        <v/>
      </c>
      <c r="AV3" s="252" t="str">
        <f t="shared" ca="1" si="2"/>
        <v/>
      </c>
      <c r="AW3" s="252" t="str">
        <f t="shared" ca="1" si="2"/>
        <v/>
      </c>
      <c r="AX3" s="252" t="str">
        <f t="shared" ca="1" si="2"/>
        <v/>
      </c>
      <c r="AZ3" s="252" t="str">
        <f t="shared" ref="AZ3:BG12" ca="1" si="3">IFERROR(INDEX($B$3:$AG$28,$A3,MATCH(AZ$2,$B$2:$AG$2,0)),"")</f>
        <v/>
      </c>
      <c r="BA3" s="252" t="str">
        <f t="shared" ca="1" si="3"/>
        <v/>
      </c>
      <c r="BB3" s="252" t="str">
        <f t="shared" ca="1" si="3"/>
        <v/>
      </c>
      <c r="BC3" s="252" t="str">
        <f t="shared" ca="1" si="3"/>
        <v/>
      </c>
      <c r="BD3" s="252" t="str">
        <f t="shared" ca="1" si="3"/>
        <v/>
      </c>
      <c r="BE3" s="252" t="str">
        <f t="shared" ca="1" si="3"/>
        <v/>
      </c>
      <c r="BF3" s="252" t="str">
        <f t="shared" ca="1" si="3"/>
        <v/>
      </c>
      <c r="BG3" s="252" t="str">
        <f t="shared" ca="1" si="3"/>
        <v/>
      </c>
      <c r="BI3" s="252" t="str">
        <f t="shared" ref="BI3:BL28" ca="1" si="4">IFERROR(INDEX($B$3:$AG$28,$A3,MATCH(BI$2,$B$2:$AG$2,0)),"")</f>
        <v/>
      </c>
      <c r="BJ3" s="252" t="str">
        <f t="shared" ca="1" si="4"/>
        <v/>
      </c>
      <c r="BK3" s="252" t="str">
        <f t="shared" ca="1" si="4"/>
        <v/>
      </c>
      <c r="BL3" s="252" t="str">
        <f t="shared" ca="1" si="4"/>
        <v/>
      </c>
      <c r="BN3" s="252" t="str">
        <f t="shared" ref="BN3:BO28" si="5">IFERROR(INDEX($B$3:$AG$28,$A3,MATCH(BN$2,$B$2:$AG$2,0)),"")</f>
        <v/>
      </c>
      <c r="BO3" s="252" t="str">
        <f t="shared" si="5"/>
        <v/>
      </c>
      <c r="BQ3" s="252" t="str">
        <f t="shared" ref="BQ3:BR28" ca="1" si="6">IFERROR(INDEX($B$3:$AG$28,$A3,MATCH(BQ$2,$B$2:$AG$2,0)),"")</f>
        <v/>
      </c>
      <c r="BR3" s="252" t="str">
        <f t="shared" ca="1" si="6"/>
        <v/>
      </c>
      <c r="BT3" s="253" t="str">
        <f>B2</f>
        <v>Germany</v>
      </c>
      <c r="BU3" s="253">
        <v>1</v>
      </c>
      <c r="BW3" s="253">
        <v>1</v>
      </c>
      <c r="BX3" s="253" t="str">
        <f t="shared" ref="BX3:BX25" si="7">B3</f>
        <v>Manuel Neuer</v>
      </c>
      <c r="BY3" s="253">
        <f>COUNTIF('Group Stages'!$J$8:$Q$80,BX3)+COUNTIF('Knock Out Stages'!$K$7:$R$45,BX3)</f>
        <v>0</v>
      </c>
      <c r="CA3" s="253" t="str">
        <f>'Player Database'!C6</f>
        <v>Manuel Neuer</v>
      </c>
      <c r="CC3" s="252">
        <v>1</v>
      </c>
      <c r="CD3" s="252">
        <v>2</v>
      </c>
      <c r="CE3" s="252">
        <v>3</v>
      </c>
      <c r="CF3" s="252">
        <v>4</v>
      </c>
      <c r="CG3" s="252">
        <v>5</v>
      </c>
      <c r="CH3" s="252">
        <v>6</v>
      </c>
      <c r="CI3" s="252">
        <v>7</v>
      </c>
      <c r="CJ3" s="252">
        <v>8</v>
      </c>
      <c r="CK3" s="252">
        <v>9</v>
      </c>
      <c r="CL3" s="252">
        <v>10</v>
      </c>
      <c r="CM3" s="252">
        <v>11</v>
      </c>
      <c r="CN3" s="252">
        <v>12</v>
      </c>
      <c r="CO3" s="252">
        <v>13</v>
      </c>
      <c r="CP3" s="252">
        <v>14</v>
      </c>
      <c r="CQ3" s="252">
        <v>15</v>
      </c>
      <c r="CW3" s="252">
        <v>0</v>
      </c>
    </row>
    <row r="4" spans="1:108" x14ac:dyDescent="0.2">
      <c r="A4" s="252">
        <v>2</v>
      </c>
      <c r="B4" s="252" t="str">
        <f>'Player Database'!C7</f>
        <v>Antonio Rüdiger</v>
      </c>
      <c r="C4" s="252" t="str">
        <f>'Player Database'!D7</f>
        <v>Anthony Ralston</v>
      </c>
      <c r="D4" s="252" t="str">
        <f>'Player Database'!E7</f>
        <v>Ádám Lang</v>
      </c>
      <c r="E4" s="252" t="str">
        <f>'Player Database'!F7</f>
        <v>Leonidas Stergiou</v>
      </c>
      <c r="F4" s="252" t="str">
        <f>'Player Database'!G7</f>
        <v>Giovanni Di Lorenzo</v>
      </c>
      <c r="G4" s="252" t="str">
        <f>'Player Database'!H7</f>
        <v>Iván Balliu</v>
      </c>
      <c r="H4" s="252" t="str">
        <f>'Player Database'!I7</f>
        <v>Dani Carvajal</v>
      </c>
      <c r="I4" s="252" t="str">
        <f>'Player Database'!J7</f>
        <v>Josip Stanišić</v>
      </c>
      <c r="J4" s="252" t="str">
        <f>'Player Database'!K7</f>
        <v>Strahinja Pavlović</v>
      </c>
      <c r="K4" s="252" t="str">
        <f>'Player Database'!L7</f>
        <v>Kyle Walker</v>
      </c>
      <c r="L4" s="252" t="str">
        <f>'Player Database'!M7</f>
        <v>Žan Karničnik</v>
      </c>
      <c r="M4" s="252" t="str">
        <f>'Player Database'!N7</f>
        <v>Joachim Andersen</v>
      </c>
      <c r="N4" s="252" t="str">
        <f>'Player Database'!O7</f>
        <v>Bartosz Salamon</v>
      </c>
      <c r="O4" s="252" t="str">
        <f>'Player Database'!P7</f>
        <v>Lutsharel Geertruida</v>
      </c>
      <c r="P4" s="252" t="str">
        <f>'Player Database'!Q7</f>
        <v>Maximilian Wöber</v>
      </c>
      <c r="Q4" s="252" t="str">
        <f>'Player Database'!R7</f>
        <v>Benjamin Pavard</v>
      </c>
      <c r="R4" s="252" t="str">
        <f>'Player Database'!S7</f>
        <v>Zeno Debast</v>
      </c>
      <c r="S4" s="252" t="str">
        <f>'Player Database'!T7</f>
        <v>Peter Pekarík</v>
      </c>
      <c r="T4" s="252" t="str">
        <f>'Player Database'!U7</f>
        <v>Andrei Rațiu</v>
      </c>
      <c r="U4" s="252" t="str">
        <f>'Player Database'!V7</f>
        <v>Yukhym Konoplya</v>
      </c>
      <c r="V4" s="252" t="str">
        <f>'Player Database'!W7</f>
        <v>Nélson Semedo</v>
      </c>
      <c r="W4" s="252" t="str">
        <f>'Player Database'!X7</f>
        <v>David Zima</v>
      </c>
      <c r="X4" s="252" t="str">
        <f>'Player Database'!Y7</f>
        <v>Zeki Çelik</v>
      </c>
      <c r="Y4" s="252" t="str">
        <f>'Player Database'!Z7</f>
        <v>Otar Kakabadze</v>
      </c>
      <c r="AI4" s="252" t="str">
        <f t="shared" ca="1" si="2"/>
        <v/>
      </c>
      <c r="AJ4" s="252" t="str">
        <f t="shared" ca="1" si="2"/>
        <v/>
      </c>
      <c r="AK4" s="252" t="str">
        <f t="shared" ca="1" si="2"/>
        <v/>
      </c>
      <c r="AL4" s="252" t="str">
        <f t="shared" ca="1" si="2"/>
        <v/>
      </c>
      <c r="AM4" s="252" t="str">
        <f t="shared" ca="1" si="2"/>
        <v/>
      </c>
      <c r="AN4" s="252" t="str">
        <f t="shared" ca="1" si="2"/>
        <v/>
      </c>
      <c r="AO4" s="252" t="str">
        <f t="shared" ca="1" si="2"/>
        <v/>
      </c>
      <c r="AP4" s="252" t="str">
        <f t="shared" ca="1" si="2"/>
        <v/>
      </c>
      <c r="AQ4" s="252" t="str">
        <f t="shared" ca="1" si="2"/>
        <v/>
      </c>
      <c r="AR4" s="252" t="str">
        <f t="shared" ca="1" si="2"/>
        <v/>
      </c>
      <c r="AS4" s="252" t="str">
        <f t="shared" ca="1" si="2"/>
        <v/>
      </c>
      <c r="AT4" s="252" t="str">
        <f t="shared" ca="1" si="2"/>
        <v/>
      </c>
      <c r="AU4" s="252" t="str">
        <f t="shared" ca="1" si="2"/>
        <v/>
      </c>
      <c r="AV4" s="252" t="str">
        <f t="shared" ca="1" si="2"/>
        <v/>
      </c>
      <c r="AW4" s="252" t="str">
        <f t="shared" ca="1" si="2"/>
        <v/>
      </c>
      <c r="AX4" s="252" t="str">
        <f t="shared" ca="1" si="2"/>
        <v/>
      </c>
      <c r="AZ4" s="252" t="str">
        <f t="shared" ca="1" si="3"/>
        <v/>
      </c>
      <c r="BA4" s="252" t="str">
        <f t="shared" ca="1" si="3"/>
        <v/>
      </c>
      <c r="BB4" s="252" t="str">
        <f t="shared" ca="1" si="3"/>
        <v/>
      </c>
      <c r="BC4" s="252" t="str">
        <f t="shared" ca="1" si="3"/>
        <v/>
      </c>
      <c r="BD4" s="252" t="str">
        <f t="shared" ca="1" si="3"/>
        <v/>
      </c>
      <c r="BE4" s="252" t="str">
        <f t="shared" ca="1" si="3"/>
        <v/>
      </c>
      <c r="BF4" s="252" t="str">
        <f t="shared" ca="1" si="3"/>
        <v/>
      </c>
      <c r="BG4" s="252" t="str">
        <f t="shared" ca="1" si="3"/>
        <v/>
      </c>
      <c r="BI4" s="252" t="str">
        <f t="shared" ca="1" si="4"/>
        <v/>
      </c>
      <c r="BJ4" s="252" t="str">
        <f t="shared" ca="1" si="4"/>
        <v/>
      </c>
      <c r="BK4" s="252" t="str">
        <f t="shared" ca="1" si="4"/>
        <v/>
      </c>
      <c r="BL4" s="252" t="str">
        <f t="shared" ca="1" si="4"/>
        <v/>
      </c>
      <c r="BN4" s="252" t="str">
        <f t="shared" si="5"/>
        <v/>
      </c>
      <c r="BO4" s="252" t="str">
        <f t="shared" si="5"/>
        <v/>
      </c>
      <c r="BQ4" s="252" t="str">
        <f t="shared" ca="1" si="6"/>
        <v/>
      </c>
      <c r="BR4" s="252" t="str">
        <f t="shared" ca="1" si="6"/>
        <v/>
      </c>
      <c r="BT4" s="253" t="str">
        <f>BT3</f>
        <v>Germany</v>
      </c>
      <c r="BU4" s="253">
        <f>BU3+1</f>
        <v>2</v>
      </c>
      <c r="BW4" s="253">
        <v>1</v>
      </c>
      <c r="BX4" s="253" t="str">
        <f t="shared" si="7"/>
        <v>Antonio Rüdiger</v>
      </c>
      <c r="BY4" s="253">
        <f>COUNTIF('Group Stages'!$J$8:$Q$80,BX4)+COUNTIF('Knock Out Stages'!$K$7:$R$45,BX4)</f>
        <v>0</v>
      </c>
      <c r="CA4" s="253" t="str">
        <f>'Player Database'!C7</f>
        <v>Antonio Rüdiger</v>
      </c>
      <c r="CB4" s="252">
        <v>1</v>
      </c>
      <c r="CC4" s="252" t="str">
        <f t="array" aca="1" ref="CC4" ca="1">IFERROR(INDEX($BX$3:$BX$810, SMALL(IF(COUNTIF(CC$3, $BY$3:$BY$810), ROW($BX$3:$BX$810)-MIN(ROW($BX$3:$BX$810))+1), $CB4), 0),"")</f>
        <v>Kai Havertz</v>
      </c>
      <c r="CD4" s="252" t="str">
        <f t="array" aca="1" ref="CD4" ca="1">IFERROR(INDEX($BX$3:$BX$810, SMALL(IF(COUNTIF(CD$3, $BY$3:$BY$810), ROW($BX$3:$BX$810)-MIN(ROW($BX$3:$BX$810))+1), $CB4), 0),"")</f>
        <v/>
      </c>
      <c r="CE4" s="252" t="str">
        <f t="array" aca="1" ref="CE4" ca="1">IFERROR(INDEX($BX$3:$BX$810, SMALL(IF(COUNTIF(CE$3, $BY$3:$BY$810), ROW($BX$3:$BX$810)-MIN(ROW($BX$3:$BX$810))+1), $CB4), 0),"")</f>
        <v/>
      </c>
      <c r="CF4" s="252" t="str">
        <f t="array" aca="1" ref="CF4" ca="1">IFERROR(INDEX($BX$3:$BX$810, SMALL(IF(COUNTIF(CF$3, $BY$3:$BY$810), ROW($BX$3:$BX$810)-MIN(ROW($BX$3:$BX$810))+1), $CB4), 0),"")</f>
        <v/>
      </c>
      <c r="CG4" s="252" t="str">
        <f t="array" aca="1" ref="CG4" ca="1">IFERROR(INDEX($BX$3:$BX$810, SMALL(IF(COUNTIF(CG$3, $BY$3:$BY$810), ROW($BX$3:$BX$810)-MIN(ROW($BX$3:$BX$810))+1), $CB4), 0),"")</f>
        <v/>
      </c>
      <c r="CH4" s="252" t="str">
        <f t="array" aca="1" ref="CH4" ca="1">IFERROR(INDEX($BX$3:$BX$810, SMALL(IF(COUNTIF(CH$3, $BY$3:$BY$810), ROW($BX$3:$BX$810)-MIN(ROW($BX$3:$BX$810))+1), $CB4), 0),"")</f>
        <v/>
      </c>
      <c r="CI4" s="252" t="str">
        <f t="array" aca="1" ref="CI4" ca="1">IFERROR(INDEX($BX$3:$BX$810, SMALL(IF(COUNTIF(CI$3, $BY$3:$BY$810), ROW($BX$3:$BX$810)-MIN(ROW($BX$3:$BX$810))+1), $CB4), 0),"")</f>
        <v/>
      </c>
      <c r="CJ4" s="252" t="str">
        <f t="array" aca="1" ref="CJ4" ca="1">IFERROR(INDEX($BX$3:$BX$810, SMALL(IF(COUNTIF(CJ$3, $BY$3:$BY$810), ROW($BX$3:$BX$810)-MIN(ROW($BX$3:$BX$810))+1), $CB4), 0),"")</f>
        <v/>
      </c>
      <c r="CK4" s="252" t="str">
        <f t="array" aca="1" ref="CK4" ca="1">IFERROR(INDEX($BX$3:$BX$810, SMALL(IF(COUNTIF(CK$3, $BY$3:$BY$810), ROW($BX$3:$BX$810)-MIN(ROW($BX$3:$BX$810))+1), $CB4), 0),"")</f>
        <v/>
      </c>
      <c r="CL4" s="252" t="str">
        <f t="array" aca="1" ref="CL4" ca="1">IFERROR(INDEX($BX$3:$BX$810, SMALL(IF(COUNTIF(CL$3, $BY$3:$BY$810), ROW($BX$3:$BX$810)-MIN(ROW($BX$3:$BX$810))+1), $CB4), 0),"")</f>
        <v/>
      </c>
      <c r="CM4" s="252" t="str">
        <f t="array" aca="1" ref="CM4" ca="1">IFERROR(INDEX($BX$3:$BX$810, SMALL(IF(COUNTIF(CM$3, $BY$3:$BY$810), ROW($BX$3:$BX$810)-MIN(ROW($BX$3:$BX$810))+1), $CB4), 0),"")</f>
        <v/>
      </c>
      <c r="CN4" s="252" t="str">
        <f t="array" aca="1" ref="CN4" ca="1">IFERROR(INDEX($BX$3:$BX$810, SMALL(IF(COUNTIF(CN$3, $BY$3:$BY$810), ROW($BX$3:$BX$810)-MIN(ROW($BX$3:$BX$810))+1), $CB4), 0),"")</f>
        <v/>
      </c>
      <c r="CO4" s="252" t="str">
        <f t="array" aca="1" ref="CO4" ca="1">IFERROR(INDEX($BX$3:$BX$810, SMALL(IF(COUNTIF(CO$3, $BY$3:$BY$810), ROW($BX$3:$BX$810)-MIN(ROW($BX$3:$BX$810))+1), $CB4), 0),"")</f>
        <v/>
      </c>
      <c r="CP4" s="252" t="str">
        <f t="array" aca="1" ref="CP4" ca="1">IFERROR(INDEX($BX$3:$BX$810, SMALL(IF(COUNTIF(CP$3, $BY$3:$BY$810), ROW($BX$3:$BX$810)-MIN(ROW($BX$3:$BX$810))+1), $CB4), 0),"")</f>
        <v/>
      </c>
      <c r="CQ4" s="252" t="str">
        <f t="array" aca="1" ref="CQ4" ca="1">IFERROR(INDEX($BX$3:$BX$810, SMALL(IF(COUNTIF(CQ$3, $BY$3:$BY$810), ROW($BX$3:$BX$810)-MIN(ROW($BX$3:$BX$810))+1), $CB4), 0),"")</f>
        <v/>
      </c>
      <c r="CS4" s="252">
        <v>1</v>
      </c>
      <c r="CT4" s="252">
        <v>1</v>
      </c>
      <c r="CV4" s="252" t="str">
        <f t="shared" ref="CV4:CV45" ca="1" si="8">CQ4</f>
        <v/>
      </c>
      <c r="CW4" s="252">
        <f ca="1">IF(CV4&lt;&gt;"",CW3+1,CW3)</f>
        <v>0</v>
      </c>
      <c r="CZ4" s="252">
        <v>1</v>
      </c>
      <c r="DA4" s="252" t="str">
        <f ca="1">IFERROR(INDEX($CV$4:$CV$633,MATCH(CZ4,$CW$4:$CW$633,0),0),"")</f>
        <v>Kai Havertz</v>
      </c>
      <c r="DB4" s="252">
        <f t="shared" ref="DB4:DB35" ca="1" si="9">IFERROR(VLOOKUP(DA4,$BX$3:$BY$810,2,FALSE),"")</f>
        <v>1</v>
      </c>
      <c r="DC4" s="252" t="str">
        <f t="shared" ref="DC4:DC35" ca="1" si="10">IFERROR(VLOOKUP(DA4,$BX$3:$CA$810,4,FALSE),"")</f>
        <v>Kai Havertz</v>
      </c>
      <c r="DD4" s="252" t="str">
        <f t="shared" ref="DD4:DD35" ca="1" si="11">IFERROR(INDEX($BT$3:$BT$810,MATCH(DA4,$BX$3:$BX$810,0),0),"")</f>
        <v>Germany</v>
      </c>
    </row>
    <row r="5" spans="1:108" x14ac:dyDescent="0.2">
      <c r="A5" s="252">
        <v>3</v>
      </c>
      <c r="B5" s="252" t="str">
        <f>'Player Database'!C8</f>
        <v>David Raum</v>
      </c>
      <c r="C5" s="252" t="str">
        <f>'Player Database'!D8</f>
        <v>Andrew Robertson</v>
      </c>
      <c r="D5" s="252" t="str">
        <f>'Player Database'!E8</f>
        <v>Botond Balogh</v>
      </c>
      <c r="E5" s="252" t="str">
        <f>'Player Database'!F8</f>
        <v>Silvan Widmer</v>
      </c>
      <c r="F5" s="252" t="str">
        <f>'Player Database'!G8</f>
        <v>Federico Dimarco</v>
      </c>
      <c r="G5" s="252" t="str">
        <f>'Player Database'!H8</f>
        <v>Mario Mitaj</v>
      </c>
      <c r="H5" s="252" t="str">
        <f>'Player Database'!I8</f>
        <v>Robin Le Normand</v>
      </c>
      <c r="I5" s="252" t="str">
        <f>'Player Database'!J8</f>
        <v>Marin Pongračić</v>
      </c>
      <c r="J5" s="252" t="str">
        <f>'Player Database'!K8</f>
        <v>Nemanja Stojić</v>
      </c>
      <c r="K5" s="252" t="str">
        <f>'Player Database'!L8</f>
        <v>Luke Shaw</v>
      </c>
      <c r="L5" s="252" t="str">
        <f>'Player Database'!M8</f>
        <v>Jure Balkovec</v>
      </c>
      <c r="M5" s="252" t="str">
        <f>'Player Database'!N8</f>
        <v>Jannik Vestergaard</v>
      </c>
      <c r="N5" s="252" t="str">
        <f>'Player Database'!O8</f>
        <v>Paweł Dawidowicz</v>
      </c>
      <c r="O5" s="252" t="str">
        <f>'Player Database'!P8</f>
        <v>Matthijs de Ligt</v>
      </c>
      <c r="P5" s="252" t="str">
        <f>'Player Database'!Q8</f>
        <v>Gernot Trauner</v>
      </c>
      <c r="Q5" s="252" t="str">
        <f>'Player Database'!R8</f>
        <v>Ferland Mendy</v>
      </c>
      <c r="R5" s="252" t="str">
        <f>'Player Database'!S8</f>
        <v>Arthur Theate</v>
      </c>
      <c r="S5" s="252" t="str">
        <f>'Player Database'!T8</f>
        <v>Denis Vavro</v>
      </c>
      <c r="T5" s="252" t="str">
        <f>'Player Database'!U8</f>
        <v>Radu Drăgușin</v>
      </c>
      <c r="U5" s="252" t="str">
        <f>'Player Database'!V8</f>
        <v>Oleksandr Svatok</v>
      </c>
      <c r="V5" s="252" t="str">
        <f>'Player Database'!W8</f>
        <v>Pepe</v>
      </c>
      <c r="W5" s="252" t="str">
        <f>'Player Database'!X8</f>
        <v>Tomáš Holeš</v>
      </c>
      <c r="X5" s="252" t="str">
        <f>'Player Database'!Y8</f>
        <v>Merih Demiral</v>
      </c>
      <c r="Y5" s="252" t="str">
        <f>'Player Database'!Z8</f>
        <v>Lasha Dvali</v>
      </c>
      <c r="AI5" s="252" t="str">
        <f t="shared" ca="1" si="2"/>
        <v/>
      </c>
      <c r="AJ5" s="252" t="str">
        <f t="shared" ca="1" si="2"/>
        <v/>
      </c>
      <c r="AK5" s="252" t="str">
        <f t="shared" ca="1" si="2"/>
        <v/>
      </c>
      <c r="AL5" s="252" t="str">
        <f t="shared" ca="1" si="2"/>
        <v/>
      </c>
      <c r="AM5" s="252" t="str">
        <f t="shared" ca="1" si="2"/>
        <v/>
      </c>
      <c r="AN5" s="252" t="str">
        <f t="shared" ca="1" si="2"/>
        <v/>
      </c>
      <c r="AO5" s="252" t="str">
        <f t="shared" ca="1" si="2"/>
        <v/>
      </c>
      <c r="AP5" s="252" t="str">
        <f t="shared" ca="1" si="2"/>
        <v/>
      </c>
      <c r="AQ5" s="252" t="str">
        <f t="shared" ca="1" si="2"/>
        <v/>
      </c>
      <c r="AR5" s="252" t="str">
        <f t="shared" ca="1" si="2"/>
        <v/>
      </c>
      <c r="AS5" s="252" t="str">
        <f t="shared" ca="1" si="2"/>
        <v/>
      </c>
      <c r="AT5" s="252" t="str">
        <f t="shared" ca="1" si="2"/>
        <v/>
      </c>
      <c r="AU5" s="252" t="str">
        <f t="shared" ca="1" si="2"/>
        <v/>
      </c>
      <c r="AV5" s="252" t="str">
        <f t="shared" ca="1" si="2"/>
        <v/>
      </c>
      <c r="AW5" s="252" t="str">
        <f t="shared" ca="1" si="2"/>
        <v/>
      </c>
      <c r="AX5" s="252" t="str">
        <f t="shared" ca="1" si="2"/>
        <v/>
      </c>
      <c r="AZ5" s="252" t="str">
        <f t="shared" ca="1" si="3"/>
        <v/>
      </c>
      <c r="BA5" s="252" t="str">
        <f t="shared" ca="1" si="3"/>
        <v/>
      </c>
      <c r="BB5" s="252" t="str">
        <f t="shared" ca="1" si="3"/>
        <v/>
      </c>
      <c r="BC5" s="252" t="str">
        <f t="shared" ca="1" si="3"/>
        <v/>
      </c>
      <c r="BD5" s="252" t="str">
        <f t="shared" ca="1" si="3"/>
        <v/>
      </c>
      <c r="BE5" s="252" t="str">
        <f t="shared" ca="1" si="3"/>
        <v/>
      </c>
      <c r="BF5" s="252" t="str">
        <f t="shared" ca="1" si="3"/>
        <v/>
      </c>
      <c r="BG5" s="252" t="str">
        <f t="shared" ca="1" si="3"/>
        <v/>
      </c>
      <c r="BI5" s="252" t="str">
        <f t="shared" ca="1" si="4"/>
        <v/>
      </c>
      <c r="BJ5" s="252" t="str">
        <f t="shared" ca="1" si="4"/>
        <v/>
      </c>
      <c r="BK5" s="252" t="str">
        <f t="shared" ca="1" si="4"/>
        <v/>
      </c>
      <c r="BL5" s="252" t="str">
        <f t="shared" ca="1" si="4"/>
        <v/>
      </c>
      <c r="BN5" s="252" t="str">
        <f t="shared" si="5"/>
        <v/>
      </c>
      <c r="BO5" s="252" t="str">
        <f t="shared" si="5"/>
        <v/>
      </c>
      <c r="BQ5" s="252" t="str">
        <f t="shared" ca="1" si="6"/>
        <v/>
      </c>
      <c r="BR5" s="252" t="str">
        <f t="shared" ca="1" si="6"/>
        <v/>
      </c>
      <c r="BT5" s="253" t="str">
        <f t="shared" ref="BT5:BT28" si="12">BT4</f>
        <v>Germany</v>
      </c>
      <c r="BU5" s="253">
        <f t="shared" ref="BU5:BU74" si="13">BU4+1</f>
        <v>3</v>
      </c>
      <c r="BW5" s="253">
        <v>1</v>
      </c>
      <c r="BX5" s="253" t="str">
        <f t="shared" si="7"/>
        <v>David Raum</v>
      </c>
      <c r="BY5" s="253">
        <f>COUNTIF('Group Stages'!$J$8:$Q$80,BX5)+COUNTIF('Knock Out Stages'!$K$7:$R$45,BX5)</f>
        <v>0</v>
      </c>
      <c r="CA5" s="253" t="str">
        <f>'Player Database'!C8</f>
        <v>David Raum</v>
      </c>
      <c r="CB5" s="252">
        <v>2</v>
      </c>
      <c r="CC5" s="252" t="str">
        <f t="array" aca="1" ref="CC5" ca="1">IFERROR(INDEX($BX$3:$BX$810, SMALL(IF(COUNTIF(CC$3, $BY$3:$BY$810), ROW($BX$3:$BX$810)-MIN(ROW($BX$3:$BX$810))+1), $CB5), 0),"")</f>
        <v>Niclas Füllkrug</v>
      </c>
      <c r="CD5" s="252" t="str">
        <f t="array" aca="1" ref="CD5" ca="1">IFERROR(INDEX($BX$3:$BX$810, SMALL(IF(COUNTIF(CD$3, $BY$3:$BY$810), ROW($BX$3:$BX$810)-MIN(ROW($BX$3:$BX$810))+1), $CB5), 0),"")</f>
        <v/>
      </c>
      <c r="CE5" s="252" t="str">
        <f t="array" aca="1" ref="CE5" ca="1">IFERROR(INDEX($BX$3:$BX$810, SMALL(IF(COUNTIF(CE$3, $BY$3:$BY$810), ROW($BX$3:$BX$810)-MIN(ROW($BX$3:$BX$810))+1), $CB5), 0),"")</f>
        <v/>
      </c>
      <c r="CF5" s="252" t="str">
        <f t="array" aca="1" ref="CF5" ca="1">IFERROR(INDEX($BX$3:$BX$810, SMALL(IF(COUNTIF(CF$3, $BY$3:$BY$810), ROW($BX$3:$BX$810)-MIN(ROW($BX$3:$BX$810))+1), $CB5), 0),"")</f>
        <v/>
      </c>
      <c r="CG5" s="252" t="str">
        <f t="array" aca="1" ref="CG5" ca="1">IFERROR(INDEX($BX$3:$BX$810, SMALL(IF(COUNTIF(CG$3, $BY$3:$BY$810), ROW($BX$3:$BX$810)-MIN(ROW($BX$3:$BX$810))+1), $CB5), 0),"")</f>
        <v/>
      </c>
      <c r="CH5" s="252" t="str">
        <f t="array" aca="1" ref="CH5" ca="1">IFERROR(INDEX($BX$3:$BX$810, SMALL(IF(COUNTIF(CH$3, $BY$3:$BY$810), ROW($BX$3:$BX$810)-MIN(ROW($BX$3:$BX$810))+1), $CB5), 0),"")</f>
        <v/>
      </c>
      <c r="CI5" s="252" t="str">
        <f t="array" aca="1" ref="CI5" ca="1">IFERROR(INDEX($BX$3:$BX$810, SMALL(IF(COUNTIF(CI$3, $BY$3:$BY$810), ROW($BX$3:$BX$810)-MIN(ROW($BX$3:$BX$810))+1), $CB5), 0),"")</f>
        <v/>
      </c>
      <c r="CJ5" s="252" t="str">
        <f t="array" aca="1" ref="CJ5" ca="1">IFERROR(INDEX($BX$3:$BX$810, SMALL(IF(COUNTIF(CJ$3, $BY$3:$BY$810), ROW($BX$3:$BX$810)-MIN(ROW($BX$3:$BX$810))+1), $CB5), 0),"")</f>
        <v/>
      </c>
      <c r="CK5" s="252" t="str">
        <f t="array" aca="1" ref="CK5" ca="1">IFERROR(INDEX($BX$3:$BX$810, SMALL(IF(COUNTIF(CK$3, $BY$3:$BY$810), ROW($BX$3:$BX$810)-MIN(ROW($BX$3:$BX$810))+1), $CB5), 0),"")</f>
        <v/>
      </c>
      <c r="CL5" s="252" t="str">
        <f t="array" aca="1" ref="CL5" ca="1">IFERROR(INDEX($BX$3:$BX$810, SMALL(IF(COUNTIF(CL$3, $BY$3:$BY$810), ROW($BX$3:$BX$810)-MIN(ROW($BX$3:$BX$810))+1), $CB5), 0),"")</f>
        <v/>
      </c>
      <c r="CM5" s="252" t="str">
        <f t="array" aca="1" ref="CM5" ca="1">IFERROR(INDEX($BX$3:$BX$810, SMALL(IF(COUNTIF(CM$3, $BY$3:$BY$810), ROW($BX$3:$BX$810)-MIN(ROW($BX$3:$BX$810))+1), $CB5), 0),"")</f>
        <v/>
      </c>
      <c r="CN5" s="252" t="str">
        <f t="array" aca="1" ref="CN5" ca="1">IFERROR(INDEX($BX$3:$BX$810, SMALL(IF(COUNTIF(CN$3, $BY$3:$BY$810), ROW($BX$3:$BX$810)-MIN(ROW($BX$3:$BX$810))+1), $CB5), 0),"")</f>
        <v/>
      </c>
      <c r="CO5" s="252" t="str">
        <f t="array" aca="1" ref="CO5" ca="1">IFERROR(INDEX($BX$3:$BX$810, SMALL(IF(COUNTIF(CO$3, $BY$3:$BY$810), ROW($BX$3:$BX$810)-MIN(ROW($BX$3:$BX$810))+1), $CB5), 0),"")</f>
        <v/>
      </c>
      <c r="CP5" s="252" t="str">
        <f t="array" aca="1" ref="CP5" ca="1">IFERROR(INDEX($BX$3:$BX$810, SMALL(IF(COUNTIF(CP$3, $BY$3:$BY$810), ROW($BX$3:$BX$810)-MIN(ROW($BX$3:$BX$810))+1), $CB5), 0),"")</f>
        <v/>
      </c>
      <c r="CQ5" s="252" t="str">
        <f t="array" aca="1" ref="CQ5" ca="1">IFERROR(INDEX($BX$3:$BX$810, SMALL(IF(COUNTIF(CQ$3, $BY$3:$BY$810), ROW($BX$3:$BX$810)-MIN(ROW($BX$3:$BX$810))+1), $CB5), 0),"")</f>
        <v/>
      </c>
      <c r="CS5" s="252">
        <v>2</v>
      </c>
      <c r="CT5" s="252">
        <v>1</v>
      </c>
      <c r="CV5" s="252" t="str">
        <f t="shared" ca="1" si="8"/>
        <v/>
      </c>
      <c r="CW5" s="252">
        <f t="shared" ref="CW5:CW68" ca="1" si="14">IF(CV5&lt;&gt;"",CW4+1,CW4)</f>
        <v>0</v>
      </c>
      <c r="CZ5" s="252">
        <v>2</v>
      </c>
      <c r="DA5" s="252" t="str">
        <f t="shared" ref="DA5:DA68" ca="1" si="15">IFERROR(INDEX($CV$4:$CV$633,MATCH(CZ5,$CW$4:$CW$633,0),0),"")</f>
        <v>Niclas Füllkrug</v>
      </c>
      <c r="DB5" s="252">
        <f t="shared" ca="1" si="9"/>
        <v>1</v>
      </c>
      <c r="DC5" s="252" t="str">
        <f t="shared" ca="1" si="10"/>
        <v>Niclas Füllkrug</v>
      </c>
      <c r="DD5" s="252" t="str">
        <f t="shared" ca="1" si="11"/>
        <v>Germany</v>
      </c>
    </row>
    <row r="6" spans="1:108" x14ac:dyDescent="0.2">
      <c r="A6" s="252">
        <v>4</v>
      </c>
      <c r="B6" s="252" t="str">
        <f>'Player Database'!C9</f>
        <v>Jonathan Tah</v>
      </c>
      <c r="C6" s="252" t="str">
        <f>'Player Database'!D9</f>
        <v>Scott McTominay</v>
      </c>
      <c r="D6" s="252" t="str">
        <f>'Player Database'!E9</f>
        <v>Attila Szalai</v>
      </c>
      <c r="E6" s="252" t="str">
        <f>'Player Database'!F9</f>
        <v>Nico Elvedi</v>
      </c>
      <c r="F6" s="252" t="str">
        <f>'Player Database'!G9</f>
        <v>Alessandro Buongiorno</v>
      </c>
      <c r="G6" s="252" t="str">
        <f>'Player Database'!H9</f>
        <v>Elseid Hysaj</v>
      </c>
      <c r="H6" s="252" t="str">
        <f>'Player Database'!I9</f>
        <v>Nacho</v>
      </c>
      <c r="I6" s="252" t="str">
        <f>'Player Database'!J9</f>
        <v>Joško Gvardiol</v>
      </c>
      <c r="J6" s="252" t="str">
        <f>'Player Database'!K9</f>
        <v>Nikola Milenković</v>
      </c>
      <c r="K6" s="252" t="str">
        <f>'Player Database'!L9</f>
        <v>Declan Rice</v>
      </c>
      <c r="L6" s="252" t="str">
        <f>'Player Database'!M9</f>
        <v>Miha Blažič</v>
      </c>
      <c r="M6" s="252" t="str">
        <f>'Player Database'!N9</f>
        <v>Simon Kjær</v>
      </c>
      <c r="N6" s="252" t="str">
        <f>'Player Database'!O9</f>
        <v>Sebastian Walukiewicz</v>
      </c>
      <c r="O6" s="252" t="str">
        <f>'Player Database'!P9</f>
        <v>Virgil van Dijk</v>
      </c>
      <c r="P6" s="252" t="str">
        <f>'Player Database'!Q9</f>
        <v>Kevin Danso</v>
      </c>
      <c r="Q6" s="252" t="str">
        <f>'Player Database'!R9</f>
        <v>Dayot Upamecano</v>
      </c>
      <c r="R6" s="252" t="str">
        <f>'Player Database'!S9</f>
        <v>Wout Faes</v>
      </c>
      <c r="S6" s="252" t="str">
        <f>'Player Database'!T9</f>
        <v>Adam Obert</v>
      </c>
      <c r="T6" s="252" t="str">
        <f>'Player Database'!U9</f>
        <v>Adrian Rus</v>
      </c>
      <c r="U6" s="252" t="str">
        <f>'Player Database'!V9</f>
        <v>Maksym Taloverov</v>
      </c>
      <c r="V6" s="252" t="str">
        <f>'Player Database'!W9</f>
        <v>Rúben Dias</v>
      </c>
      <c r="W6" s="252" t="str">
        <f>'Player Database'!X9</f>
        <v>Robin Hranáč</v>
      </c>
      <c r="X6" s="252" t="str">
        <f>'Player Database'!Y9</f>
        <v>Samet Akaydin</v>
      </c>
      <c r="Y6" s="252" t="str">
        <f>'Player Database'!Z9</f>
        <v>Guram Kashia</v>
      </c>
      <c r="AI6" s="252" t="str">
        <f t="shared" ca="1" si="2"/>
        <v/>
      </c>
      <c r="AJ6" s="252" t="str">
        <f t="shared" ca="1" si="2"/>
        <v/>
      </c>
      <c r="AK6" s="252" t="str">
        <f t="shared" ca="1" si="2"/>
        <v/>
      </c>
      <c r="AL6" s="252" t="str">
        <f t="shared" ca="1" si="2"/>
        <v/>
      </c>
      <c r="AM6" s="252" t="str">
        <f t="shared" ca="1" si="2"/>
        <v/>
      </c>
      <c r="AN6" s="252" t="str">
        <f t="shared" ca="1" si="2"/>
        <v/>
      </c>
      <c r="AO6" s="252" t="str">
        <f t="shared" ca="1" si="2"/>
        <v/>
      </c>
      <c r="AP6" s="252" t="str">
        <f t="shared" ca="1" si="2"/>
        <v/>
      </c>
      <c r="AQ6" s="252" t="str">
        <f t="shared" ca="1" si="2"/>
        <v/>
      </c>
      <c r="AR6" s="252" t="str">
        <f t="shared" ca="1" si="2"/>
        <v/>
      </c>
      <c r="AS6" s="252" t="str">
        <f t="shared" ca="1" si="2"/>
        <v/>
      </c>
      <c r="AT6" s="252" t="str">
        <f t="shared" ca="1" si="2"/>
        <v/>
      </c>
      <c r="AU6" s="252" t="str">
        <f t="shared" ca="1" si="2"/>
        <v/>
      </c>
      <c r="AV6" s="252" t="str">
        <f t="shared" ca="1" si="2"/>
        <v/>
      </c>
      <c r="AW6" s="252" t="str">
        <f t="shared" ca="1" si="2"/>
        <v/>
      </c>
      <c r="AX6" s="252" t="str">
        <f t="shared" ca="1" si="2"/>
        <v/>
      </c>
      <c r="AZ6" s="252" t="str">
        <f t="shared" ca="1" si="3"/>
        <v/>
      </c>
      <c r="BA6" s="252" t="str">
        <f t="shared" ca="1" si="3"/>
        <v/>
      </c>
      <c r="BB6" s="252" t="str">
        <f t="shared" ca="1" si="3"/>
        <v/>
      </c>
      <c r="BC6" s="252" t="str">
        <f t="shared" ca="1" si="3"/>
        <v/>
      </c>
      <c r="BD6" s="252" t="str">
        <f t="shared" ca="1" si="3"/>
        <v/>
      </c>
      <c r="BE6" s="252" t="str">
        <f t="shared" ca="1" si="3"/>
        <v/>
      </c>
      <c r="BF6" s="252" t="str">
        <f t="shared" ca="1" si="3"/>
        <v/>
      </c>
      <c r="BG6" s="252" t="str">
        <f t="shared" ca="1" si="3"/>
        <v/>
      </c>
      <c r="BI6" s="252" t="str">
        <f t="shared" ca="1" si="4"/>
        <v/>
      </c>
      <c r="BJ6" s="252" t="str">
        <f t="shared" ca="1" si="4"/>
        <v/>
      </c>
      <c r="BK6" s="252" t="str">
        <f t="shared" ca="1" si="4"/>
        <v/>
      </c>
      <c r="BL6" s="252" t="str">
        <f t="shared" ca="1" si="4"/>
        <v/>
      </c>
      <c r="BN6" s="252" t="str">
        <f t="shared" si="5"/>
        <v/>
      </c>
      <c r="BO6" s="252" t="str">
        <f t="shared" si="5"/>
        <v/>
      </c>
      <c r="BQ6" s="252" t="str">
        <f t="shared" ca="1" si="6"/>
        <v/>
      </c>
      <c r="BR6" s="252" t="str">
        <f t="shared" ca="1" si="6"/>
        <v/>
      </c>
      <c r="BT6" s="253" t="str">
        <f t="shared" si="12"/>
        <v>Germany</v>
      </c>
      <c r="BU6" s="253">
        <f t="shared" si="13"/>
        <v>4</v>
      </c>
      <c r="BW6" s="253">
        <v>1</v>
      </c>
      <c r="BX6" s="253" t="str">
        <f t="shared" si="7"/>
        <v>Jonathan Tah</v>
      </c>
      <c r="BY6" s="253">
        <f>COUNTIF('Group Stages'!$J$8:$Q$80,BX6)+COUNTIF('Knock Out Stages'!$K$7:$R$45,BX6)</f>
        <v>0</v>
      </c>
      <c r="CA6" s="253" t="str">
        <f>'Player Database'!C9</f>
        <v>Jonathan Tah</v>
      </c>
      <c r="CB6" s="252">
        <v>3</v>
      </c>
      <c r="CC6" s="252" t="str">
        <f t="array" aca="1" ref="CC6" ca="1">IFERROR(INDEX($BX$3:$BX$810, SMALL(IF(COUNTIF(CC$3, $BY$3:$BY$810), ROW($BX$3:$BX$810)-MIN(ROW($BX$3:$BX$810))+1), $CB6), 0),"")</f>
        <v>Jamal Musiala</v>
      </c>
      <c r="CD6" s="252" t="str">
        <f t="array" aca="1" ref="CD6" ca="1">IFERROR(INDEX($BX$3:$BX$810, SMALL(IF(COUNTIF(CD$3, $BY$3:$BY$810), ROW($BX$3:$BX$810)-MIN(ROW($BX$3:$BX$810))+1), $CB6), 0),"")</f>
        <v/>
      </c>
      <c r="CE6" s="252" t="str">
        <f t="array" aca="1" ref="CE6" ca="1">IFERROR(INDEX($BX$3:$BX$810, SMALL(IF(COUNTIF(CE$3, $BY$3:$BY$810), ROW($BX$3:$BX$810)-MIN(ROW($BX$3:$BX$810))+1), $CB6), 0),"")</f>
        <v/>
      </c>
      <c r="CF6" s="252" t="str">
        <f t="array" aca="1" ref="CF6" ca="1">IFERROR(INDEX($BX$3:$BX$810, SMALL(IF(COUNTIF(CF$3, $BY$3:$BY$810), ROW($BX$3:$BX$810)-MIN(ROW($BX$3:$BX$810))+1), $CB6), 0),"")</f>
        <v/>
      </c>
      <c r="CG6" s="252" t="str">
        <f t="array" aca="1" ref="CG6" ca="1">IFERROR(INDEX($BX$3:$BX$810, SMALL(IF(COUNTIF(CG$3, $BY$3:$BY$810), ROW($BX$3:$BX$810)-MIN(ROW($BX$3:$BX$810))+1), $CB6), 0),"")</f>
        <v/>
      </c>
      <c r="CH6" s="252" t="str">
        <f t="array" aca="1" ref="CH6" ca="1">IFERROR(INDEX($BX$3:$BX$810, SMALL(IF(COUNTIF(CH$3, $BY$3:$BY$810), ROW($BX$3:$BX$810)-MIN(ROW($BX$3:$BX$810))+1), $CB6), 0),"")</f>
        <v/>
      </c>
      <c r="CI6" s="252" t="str">
        <f t="array" aca="1" ref="CI6" ca="1">IFERROR(INDEX($BX$3:$BX$810, SMALL(IF(COUNTIF(CI$3, $BY$3:$BY$810), ROW($BX$3:$BX$810)-MIN(ROW($BX$3:$BX$810))+1), $CB6), 0),"")</f>
        <v/>
      </c>
      <c r="CJ6" s="252" t="str">
        <f t="array" aca="1" ref="CJ6" ca="1">IFERROR(INDEX($BX$3:$BX$810, SMALL(IF(COUNTIF(CJ$3, $BY$3:$BY$810), ROW($BX$3:$BX$810)-MIN(ROW($BX$3:$BX$810))+1), $CB6), 0),"")</f>
        <v/>
      </c>
      <c r="CK6" s="252" t="str">
        <f t="array" aca="1" ref="CK6" ca="1">IFERROR(INDEX($BX$3:$BX$810, SMALL(IF(COUNTIF(CK$3, $BY$3:$BY$810), ROW($BX$3:$BX$810)-MIN(ROW($BX$3:$BX$810))+1), $CB6), 0),"")</f>
        <v/>
      </c>
      <c r="CL6" s="252" t="str">
        <f t="array" aca="1" ref="CL6" ca="1">IFERROR(INDEX($BX$3:$BX$810, SMALL(IF(COUNTIF(CL$3, $BY$3:$BY$810), ROW($BX$3:$BX$810)-MIN(ROW($BX$3:$BX$810))+1), $CB6), 0),"")</f>
        <v/>
      </c>
      <c r="CM6" s="252" t="str">
        <f t="array" aca="1" ref="CM6" ca="1">IFERROR(INDEX($BX$3:$BX$810, SMALL(IF(COUNTIF(CM$3, $BY$3:$BY$810), ROW($BX$3:$BX$810)-MIN(ROW($BX$3:$BX$810))+1), $CB6), 0),"")</f>
        <v/>
      </c>
      <c r="CN6" s="252" t="str">
        <f t="array" aca="1" ref="CN6" ca="1">IFERROR(INDEX($BX$3:$BX$810, SMALL(IF(COUNTIF(CN$3, $BY$3:$BY$810), ROW($BX$3:$BX$810)-MIN(ROW($BX$3:$BX$810))+1), $CB6), 0),"")</f>
        <v/>
      </c>
      <c r="CO6" s="252" t="str">
        <f t="array" aca="1" ref="CO6" ca="1">IFERROR(INDEX($BX$3:$BX$810, SMALL(IF(COUNTIF(CO$3, $BY$3:$BY$810), ROW($BX$3:$BX$810)-MIN(ROW($BX$3:$BX$810))+1), $CB6), 0),"")</f>
        <v/>
      </c>
      <c r="CP6" s="252" t="str">
        <f t="array" aca="1" ref="CP6" ca="1">IFERROR(INDEX($BX$3:$BX$810, SMALL(IF(COUNTIF(CP$3, $BY$3:$BY$810), ROW($BX$3:$BX$810)-MIN(ROW($BX$3:$BX$810))+1), $CB6), 0),"")</f>
        <v/>
      </c>
      <c r="CQ6" s="252" t="str">
        <f t="array" aca="1" ref="CQ6" ca="1">IFERROR(INDEX($BX$3:$BX$810, SMALL(IF(COUNTIF(CQ$3, $BY$3:$BY$810), ROW($BX$3:$BX$810)-MIN(ROW($BX$3:$BX$810))+1), $CB6), 0),"")</f>
        <v/>
      </c>
      <c r="CS6" s="252">
        <v>3</v>
      </c>
      <c r="CT6" s="252">
        <v>1</v>
      </c>
      <c r="CV6" s="252" t="str">
        <f t="shared" ca="1" si="8"/>
        <v/>
      </c>
      <c r="CW6" s="252">
        <f t="shared" ca="1" si="14"/>
        <v>0</v>
      </c>
      <c r="CZ6" s="252">
        <v>3</v>
      </c>
      <c r="DA6" s="252" t="str">
        <f t="shared" ca="1" si="15"/>
        <v>Jamal Musiala</v>
      </c>
      <c r="DB6" s="252">
        <f t="shared" ca="1" si="9"/>
        <v>1</v>
      </c>
      <c r="DC6" s="252" t="str">
        <f t="shared" ca="1" si="10"/>
        <v>Jamal Musiala</v>
      </c>
      <c r="DD6" s="252" t="str">
        <f t="shared" ca="1" si="11"/>
        <v>Germany</v>
      </c>
    </row>
    <row r="7" spans="1:108" x14ac:dyDescent="0.2">
      <c r="A7" s="252">
        <v>5</v>
      </c>
      <c r="B7" s="252" t="str">
        <f>'Player Database'!C10</f>
        <v>Pascal Groß</v>
      </c>
      <c r="C7" s="252" t="str">
        <f>'Player Database'!D10</f>
        <v>Grant Hanley</v>
      </c>
      <c r="D7" s="252" t="str">
        <f>'Player Database'!E10</f>
        <v>Attila Fiola</v>
      </c>
      <c r="E7" s="252" t="str">
        <f>'Player Database'!F10</f>
        <v>Manuel Akanji</v>
      </c>
      <c r="F7" s="252" t="str">
        <f>'Player Database'!G10</f>
        <v>Riccardo Calafiori</v>
      </c>
      <c r="G7" s="252" t="str">
        <f>'Player Database'!H10</f>
        <v>Arlind Ajeti</v>
      </c>
      <c r="H7" s="252" t="str">
        <f>'Player Database'!I10</f>
        <v>Daniel Vivian</v>
      </c>
      <c r="I7" s="252" t="str">
        <f>'Player Database'!J10</f>
        <v>Martin Erlić</v>
      </c>
      <c r="J7" s="252" t="str">
        <f>'Player Database'!K10</f>
        <v>Nemanja Maksimović</v>
      </c>
      <c r="K7" s="252" t="str">
        <f>'Player Database'!L10</f>
        <v>John Stones</v>
      </c>
      <c r="L7" s="252" t="str">
        <f>'Player Database'!M10</f>
        <v>Jon Gorenc Stanković</v>
      </c>
      <c r="M7" s="252" t="str">
        <f>'Player Database'!N10</f>
        <v>Joakim Mæhle</v>
      </c>
      <c r="N7" s="252" t="str">
        <f>'Player Database'!O10</f>
        <v>Jan Bednarek</v>
      </c>
      <c r="O7" s="252" t="str">
        <f>'Player Database'!P10</f>
        <v>Nathan Aké</v>
      </c>
      <c r="P7" s="252" t="str">
        <f>'Player Database'!Q10</f>
        <v>Stefan Posch</v>
      </c>
      <c r="Q7" s="252" t="str">
        <f>'Player Database'!R10</f>
        <v>Jules Koundé</v>
      </c>
      <c r="R7" s="252" t="str">
        <f>'Player Database'!S10</f>
        <v>Jan Vertonghen</v>
      </c>
      <c r="S7" s="252" t="str">
        <f>'Player Database'!T10</f>
        <v>Tomáš Rigo</v>
      </c>
      <c r="T7" s="252" t="str">
        <f>'Player Database'!U10</f>
        <v>Ionuț Nedelcearu</v>
      </c>
      <c r="U7" s="252" t="str">
        <f>'Player Database'!V10</f>
        <v>Serhiy Sydorchuk</v>
      </c>
      <c r="V7" s="252" t="str">
        <f>'Player Database'!W10</f>
        <v>Diogo Dalot</v>
      </c>
      <c r="W7" s="252" t="str">
        <f>'Player Database'!X10</f>
        <v>Vladimír Coufal</v>
      </c>
      <c r="X7" s="252" t="str">
        <f>'Player Database'!Y10</f>
        <v>Okay Yokuşlu</v>
      </c>
      <c r="Y7" s="252" t="str">
        <f>'Player Database'!Z10</f>
        <v>Solomon Kvirkvelia</v>
      </c>
      <c r="AI7" s="252" t="str">
        <f t="shared" ca="1" si="2"/>
        <v/>
      </c>
      <c r="AJ7" s="252" t="str">
        <f t="shared" ca="1" si="2"/>
        <v/>
      </c>
      <c r="AK7" s="252" t="str">
        <f t="shared" ca="1" si="2"/>
        <v/>
      </c>
      <c r="AL7" s="252" t="str">
        <f t="shared" ca="1" si="2"/>
        <v/>
      </c>
      <c r="AM7" s="252" t="str">
        <f t="shared" ca="1" si="2"/>
        <v/>
      </c>
      <c r="AN7" s="252" t="str">
        <f t="shared" ca="1" si="2"/>
        <v/>
      </c>
      <c r="AO7" s="252" t="str">
        <f t="shared" ca="1" si="2"/>
        <v/>
      </c>
      <c r="AP7" s="252" t="str">
        <f t="shared" ca="1" si="2"/>
        <v/>
      </c>
      <c r="AQ7" s="252" t="str">
        <f t="shared" ca="1" si="2"/>
        <v/>
      </c>
      <c r="AR7" s="252" t="str">
        <f t="shared" ca="1" si="2"/>
        <v/>
      </c>
      <c r="AS7" s="252" t="str">
        <f t="shared" ca="1" si="2"/>
        <v/>
      </c>
      <c r="AT7" s="252" t="str">
        <f t="shared" ca="1" si="2"/>
        <v/>
      </c>
      <c r="AU7" s="252" t="str">
        <f t="shared" ca="1" si="2"/>
        <v/>
      </c>
      <c r="AV7" s="252" t="str">
        <f t="shared" ca="1" si="2"/>
        <v/>
      </c>
      <c r="AW7" s="252" t="str">
        <f t="shared" ca="1" si="2"/>
        <v/>
      </c>
      <c r="AX7" s="252" t="str">
        <f t="shared" ca="1" si="2"/>
        <v/>
      </c>
      <c r="AZ7" s="252" t="str">
        <f t="shared" ca="1" si="3"/>
        <v/>
      </c>
      <c r="BA7" s="252" t="str">
        <f t="shared" ca="1" si="3"/>
        <v/>
      </c>
      <c r="BB7" s="252" t="str">
        <f t="shared" ca="1" si="3"/>
        <v/>
      </c>
      <c r="BC7" s="252" t="str">
        <f t="shared" ca="1" si="3"/>
        <v/>
      </c>
      <c r="BD7" s="252" t="str">
        <f t="shared" ca="1" si="3"/>
        <v/>
      </c>
      <c r="BE7" s="252" t="str">
        <f t="shared" ca="1" si="3"/>
        <v/>
      </c>
      <c r="BF7" s="252" t="str">
        <f t="shared" ca="1" si="3"/>
        <v/>
      </c>
      <c r="BG7" s="252" t="str">
        <f t="shared" ca="1" si="3"/>
        <v/>
      </c>
      <c r="BI7" s="252" t="str">
        <f t="shared" ca="1" si="4"/>
        <v/>
      </c>
      <c r="BJ7" s="252" t="str">
        <f t="shared" ca="1" si="4"/>
        <v/>
      </c>
      <c r="BK7" s="252" t="str">
        <f t="shared" ca="1" si="4"/>
        <v/>
      </c>
      <c r="BL7" s="252" t="str">
        <f t="shared" ca="1" si="4"/>
        <v/>
      </c>
      <c r="BN7" s="252" t="str">
        <f t="shared" si="5"/>
        <v/>
      </c>
      <c r="BO7" s="252" t="str">
        <f t="shared" si="5"/>
        <v/>
      </c>
      <c r="BQ7" s="252" t="str">
        <f t="shared" ca="1" si="6"/>
        <v/>
      </c>
      <c r="BR7" s="252" t="str">
        <f t="shared" ca="1" si="6"/>
        <v/>
      </c>
      <c r="BT7" s="253" t="str">
        <f t="shared" si="12"/>
        <v>Germany</v>
      </c>
      <c r="BU7" s="253">
        <f t="shared" si="13"/>
        <v>5</v>
      </c>
      <c r="BW7" s="253">
        <v>1</v>
      </c>
      <c r="BX7" s="253" t="str">
        <f t="shared" si="7"/>
        <v>Pascal Groß</v>
      </c>
      <c r="BY7" s="253">
        <f>COUNTIF('Group Stages'!$J$8:$Q$80,BX7)+COUNTIF('Knock Out Stages'!$K$7:$R$45,BX7)</f>
        <v>0</v>
      </c>
      <c r="CA7" s="253" t="str">
        <f>'Player Database'!C10</f>
        <v>Pascal Groß</v>
      </c>
      <c r="CB7" s="252">
        <v>4</v>
      </c>
      <c r="CC7" s="252" t="str">
        <f t="array" aca="1" ref="CC7" ca="1">IFERROR(INDEX($BX$3:$BX$810, SMALL(IF(COUNTIF(CC$3, $BY$3:$BY$810), ROW($BX$3:$BX$810)-MIN(ROW($BX$3:$BX$810))+1), $CB7), 0),"")</f>
        <v>Florian Wirtz</v>
      </c>
      <c r="CD7" s="252" t="str">
        <f t="array" aca="1" ref="CD7" ca="1">IFERROR(INDEX($BX$3:$BX$810, SMALL(IF(COUNTIF(CD$3, $BY$3:$BY$810), ROW($BX$3:$BX$810)-MIN(ROW($BX$3:$BX$810))+1), $CB7), 0),"")</f>
        <v/>
      </c>
      <c r="CE7" s="252" t="str">
        <f t="array" aca="1" ref="CE7" ca="1">IFERROR(INDEX($BX$3:$BX$810, SMALL(IF(COUNTIF(CE$3, $BY$3:$BY$810), ROW($BX$3:$BX$810)-MIN(ROW($BX$3:$BX$810))+1), $CB7), 0),"")</f>
        <v/>
      </c>
      <c r="CF7" s="252" t="str">
        <f t="array" aca="1" ref="CF7" ca="1">IFERROR(INDEX($BX$3:$BX$810, SMALL(IF(COUNTIF(CF$3, $BY$3:$BY$810), ROW($BX$3:$BX$810)-MIN(ROW($BX$3:$BX$810))+1), $CB7), 0),"")</f>
        <v/>
      </c>
      <c r="CG7" s="252" t="str">
        <f t="array" aca="1" ref="CG7" ca="1">IFERROR(INDEX($BX$3:$BX$810, SMALL(IF(COUNTIF(CG$3, $BY$3:$BY$810), ROW($BX$3:$BX$810)-MIN(ROW($BX$3:$BX$810))+1), $CB7), 0),"")</f>
        <v/>
      </c>
      <c r="CH7" s="252" t="str">
        <f t="array" aca="1" ref="CH7" ca="1">IFERROR(INDEX($BX$3:$BX$810, SMALL(IF(COUNTIF(CH$3, $BY$3:$BY$810), ROW($BX$3:$BX$810)-MIN(ROW($BX$3:$BX$810))+1), $CB7), 0),"")</f>
        <v/>
      </c>
      <c r="CI7" s="252" t="str">
        <f t="array" aca="1" ref="CI7" ca="1">IFERROR(INDEX($BX$3:$BX$810, SMALL(IF(COUNTIF(CI$3, $BY$3:$BY$810), ROW($BX$3:$BX$810)-MIN(ROW($BX$3:$BX$810))+1), $CB7), 0),"")</f>
        <v/>
      </c>
      <c r="CJ7" s="252" t="str">
        <f t="array" aca="1" ref="CJ7" ca="1">IFERROR(INDEX($BX$3:$BX$810, SMALL(IF(COUNTIF(CJ$3, $BY$3:$BY$810), ROW($BX$3:$BX$810)-MIN(ROW($BX$3:$BX$810))+1), $CB7), 0),"")</f>
        <v/>
      </c>
      <c r="CK7" s="252" t="str">
        <f t="array" aca="1" ref="CK7" ca="1">IFERROR(INDEX($BX$3:$BX$810, SMALL(IF(COUNTIF(CK$3, $BY$3:$BY$810), ROW($BX$3:$BX$810)-MIN(ROW($BX$3:$BX$810))+1), $CB7), 0),"")</f>
        <v/>
      </c>
      <c r="CL7" s="252" t="str">
        <f t="array" aca="1" ref="CL7" ca="1">IFERROR(INDEX($BX$3:$BX$810, SMALL(IF(COUNTIF(CL$3, $BY$3:$BY$810), ROW($BX$3:$BX$810)-MIN(ROW($BX$3:$BX$810))+1), $CB7), 0),"")</f>
        <v/>
      </c>
      <c r="CM7" s="252" t="str">
        <f t="array" aca="1" ref="CM7" ca="1">IFERROR(INDEX($BX$3:$BX$810, SMALL(IF(COUNTIF(CM$3, $BY$3:$BY$810), ROW($BX$3:$BX$810)-MIN(ROW($BX$3:$BX$810))+1), $CB7), 0),"")</f>
        <v/>
      </c>
      <c r="CN7" s="252" t="str">
        <f t="array" aca="1" ref="CN7" ca="1">IFERROR(INDEX($BX$3:$BX$810, SMALL(IF(COUNTIF(CN$3, $BY$3:$BY$810), ROW($BX$3:$BX$810)-MIN(ROW($BX$3:$BX$810))+1), $CB7), 0),"")</f>
        <v/>
      </c>
      <c r="CO7" s="252" t="str">
        <f t="array" aca="1" ref="CO7" ca="1">IFERROR(INDEX($BX$3:$BX$810, SMALL(IF(COUNTIF(CO$3, $BY$3:$BY$810), ROW($BX$3:$BX$810)-MIN(ROW($BX$3:$BX$810))+1), $CB7), 0),"")</f>
        <v/>
      </c>
      <c r="CP7" s="252" t="str">
        <f t="array" aca="1" ref="CP7" ca="1">IFERROR(INDEX($BX$3:$BX$810, SMALL(IF(COUNTIF(CP$3, $BY$3:$BY$810), ROW($BX$3:$BX$810)-MIN(ROW($BX$3:$BX$810))+1), $CB7), 0),"")</f>
        <v/>
      </c>
      <c r="CQ7" s="252" t="str">
        <f t="array" aca="1" ref="CQ7" ca="1">IFERROR(INDEX($BX$3:$BX$810, SMALL(IF(COUNTIF(CQ$3, $BY$3:$BY$810), ROW($BX$3:$BX$810)-MIN(ROW($BX$3:$BX$810))+1), $CB7), 0),"")</f>
        <v/>
      </c>
      <c r="CS7" s="252">
        <v>4</v>
      </c>
      <c r="CT7" s="252">
        <v>1</v>
      </c>
      <c r="CV7" s="252" t="str">
        <f t="shared" ca="1" si="8"/>
        <v/>
      </c>
      <c r="CW7" s="252">
        <f t="shared" ca="1" si="14"/>
        <v>0</v>
      </c>
      <c r="CZ7" s="252">
        <v>4</v>
      </c>
      <c r="DA7" s="252" t="str">
        <f t="shared" ca="1" si="15"/>
        <v>Florian Wirtz</v>
      </c>
      <c r="DB7" s="252">
        <f t="shared" ca="1" si="9"/>
        <v>1</v>
      </c>
      <c r="DC7" s="252" t="str">
        <f t="shared" ca="1" si="10"/>
        <v>Florian Wirtz</v>
      </c>
      <c r="DD7" s="252" t="str">
        <f t="shared" ca="1" si="11"/>
        <v>Germany</v>
      </c>
    </row>
    <row r="8" spans="1:108" x14ac:dyDescent="0.2">
      <c r="A8" s="252">
        <v>6</v>
      </c>
      <c r="B8" s="252" t="str">
        <f>'Player Database'!C11</f>
        <v>Joshua Kimmich</v>
      </c>
      <c r="C8" s="252" t="str">
        <f>'Player Database'!D11</f>
        <v>Kieran Tierney</v>
      </c>
      <c r="D8" s="252" t="str">
        <f>'Player Database'!E11</f>
        <v>Willi Orbán</v>
      </c>
      <c r="E8" s="252" t="str">
        <f>'Player Database'!F11</f>
        <v>Denis Zakaria</v>
      </c>
      <c r="F8" s="252" t="str">
        <f>'Player Database'!G11</f>
        <v>Federico Gatti</v>
      </c>
      <c r="G8" s="252" t="str">
        <f>'Player Database'!H11</f>
        <v>Berat Djimsiti</v>
      </c>
      <c r="H8" s="252" t="str">
        <f>'Player Database'!I11</f>
        <v>Mikel Merino</v>
      </c>
      <c r="I8" s="252" t="str">
        <f>'Player Database'!J11</f>
        <v>Josip Šutalo</v>
      </c>
      <c r="J8" s="252" t="str">
        <f>'Player Database'!K11</f>
        <v>Nemanja Gudelj</v>
      </c>
      <c r="K8" s="252" t="str">
        <f>'Player Database'!L11</f>
        <v>Marc Guéhi</v>
      </c>
      <c r="L8" s="252" t="str">
        <f>'Player Database'!M11</f>
        <v>Jaka Bijol</v>
      </c>
      <c r="M8" s="252" t="str">
        <f>'Player Database'!N11</f>
        <v>Andreas Christensen</v>
      </c>
      <c r="N8" s="252" t="str">
        <f>'Player Database'!O11</f>
        <v>Jakub Piotrowski</v>
      </c>
      <c r="O8" s="252" t="str">
        <f>'Player Database'!P11</f>
        <v>Stefan de Vrij</v>
      </c>
      <c r="P8" s="252" t="str">
        <f>'Player Database'!Q11</f>
        <v>Nicolas Seiwald</v>
      </c>
      <c r="Q8" s="252" t="str">
        <f>'Player Database'!R11</f>
        <v>Eduardo Camavinga</v>
      </c>
      <c r="R8" s="252" t="str">
        <f>'Player Database'!S11</f>
        <v>Axel Witsel</v>
      </c>
      <c r="S8" s="252" t="str">
        <f>'Player Database'!T11</f>
        <v>Norbert Gyömbér</v>
      </c>
      <c r="T8" s="252" t="str">
        <f>'Player Database'!U11</f>
        <v>Marius Marin</v>
      </c>
      <c r="U8" s="252" t="str">
        <f>'Player Database'!V11</f>
        <v>Taras Stepanenko</v>
      </c>
      <c r="V8" s="252" t="str">
        <f>'Player Database'!W11</f>
        <v>João Palhinha</v>
      </c>
      <c r="W8" s="252" t="str">
        <f>'Player Database'!X11</f>
        <v>Martin Vitík</v>
      </c>
      <c r="X8" s="252" t="str">
        <f>'Player Database'!Y11</f>
        <v>Orkun Kökçü</v>
      </c>
      <c r="Y8" s="252" t="str">
        <f>'Player Database'!Z11</f>
        <v>Giorgi Kochorashvili</v>
      </c>
      <c r="AI8" s="252" t="str">
        <f t="shared" ca="1" si="2"/>
        <v/>
      </c>
      <c r="AJ8" s="252" t="str">
        <f t="shared" ca="1" si="2"/>
        <v/>
      </c>
      <c r="AK8" s="252" t="str">
        <f t="shared" ca="1" si="2"/>
        <v/>
      </c>
      <c r="AL8" s="252" t="str">
        <f t="shared" ca="1" si="2"/>
        <v/>
      </c>
      <c r="AM8" s="252" t="str">
        <f t="shared" ca="1" si="2"/>
        <v/>
      </c>
      <c r="AN8" s="252" t="str">
        <f t="shared" ca="1" si="2"/>
        <v/>
      </c>
      <c r="AO8" s="252" t="str">
        <f t="shared" ca="1" si="2"/>
        <v/>
      </c>
      <c r="AP8" s="252" t="str">
        <f t="shared" ca="1" si="2"/>
        <v/>
      </c>
      <c r="AQ8" s="252" t="str">
        <f t="shared" ca="1" si="2"/>
        <v/>
      </c>
      <c r="AR8" s="252" t="str">
        <f t="shared" ca="1" si="2"/>
        <v/>
      </c>
      <c r="AS8" s="252" t="str">
        <f t="shared" ca="1" si="2"/>
        <v/>
      </c>
      <c r="AT8" s="252" t="str">
        <f t="shared" ca="1" si="2"/>
        <v/>
      </c>
      <c r="AU8" s="252" t="str">
        <f t="shared" ca="1" si="2"/>
        <v/>
      </c>
      <c r="AV8" s="252" t="str">
        <f t="shared" ca="1" si="2"/>
        <v/>
      </c>
      <c r="AW8" s="252" t="str">
        <f t="shared" ca="1" si="2"/>
        <v/>
      </c>
      <c r="AX8" s="252" t="str">
        <f t="shared" ca="1" si="2"/>
        <v/>
      </c>
      <c r="AZ8" s="252" t="str">
        <f t="shared" ca="1" si="3"/>
        <v/>
      </c>
      <c r="BA8" s="252" t="str">
        <f t="shared" ca="1" si="3"/>
        <v/>
      </c>
      <c r="BB8" s="252" t="str">
        <f t="shared" ca="1" si="3"/>
        <v/>
      </c>
      <c r="BC8" s="252" t="str">
        <f t="shared" ca="1" si="3"/>
        <v/>
      </c>
      <c r="BD8" s="252" t="str">
        <f t="shared" ca="1" si="3"/>
        <v/>
      </c>
      <c r="BE8" s="252" t="str">
        <f t="shared" ca="1" si="3"/>
        <v/>
      </c>
      <c r="BF8" s="252" t="str">
        <f t="shared" ca="1" si="3"/>
        <v/>
      </c>
      <c r="BG8" s="252" t="str">
        <f t="shared" ca="1" si="3"/>
        <v/>
      </c>
      <c r="BI8" s="252" t="str">
        <f t="shared" ca="1" si="4"/>
        <v/>
      </c>
      <c r="BJ8" s="252" t="str">
        <f t="shared" ca="1" si="4"/>
        <v/>
      </c>
      <c r="BK8" s="252" t="str">
        <f t="shared" ca="1" si="4"/>
        <v/>
      </c>
      <c r="BL8" s="252" t="str">
        <f t="shared" ca="1" si="4"/>
        <v/>
      </c>
      <c r="BN8" s="252" t="str">
        <f t="shared" si="5"/>
        <v/>
      </c>
      <c r="BO8" s="252" t="str">
        <f t="shared" si="5"/>
        <v/>
      </c>
      <c r="BQ8" s="252" t="str">
        <f t="shared" ca="1" si="6"/>
        <v/>
      </c>
      <c r="BR8" s="252" t="str">
        <f t="shared" ca="1" si="6"/>
        <v/>
      </c>
      <c r="BT8" s="253" t="str">
        <f t="shared" si="12"/>
        <v>Germany</v>
      </c>
      <c r="BU8" s="253">
        <f t="shared" si="13"/>
        <v>6</v>
      </c>
      <c r="BW8" s="253">
        <v>1</v>
      </c>
      <c r="BX8" s="253" t="str">
        <f t="shared" si="7"/>
        <v>Joshua Kimmich</v>
      </c>
      <c r="BY8" s="253">
        <f>COUNTIF('Group Stages'!$J$8:$Q$80,BX8)+COUNTIF('Knock Out Stages'!$K$7:$R$45,BX8)</f>
        <v>0</v>
      </c>
      <c r="CA8" s="253" t="str">
        <f>'Player Database'!C11</f>
        <v>Joshua Kimmich</v>
      </c>
      <c r="CB8" s="252">
        <v>5</v>
      </c>
      <c r="CC8" s="252" t="str">
        <f t="array" aca="1" ref="CC8" ca="1">IFERROR(INDEX($BX$3:$BX$810, SMALL(IF(COUNTIF(CC$3, $BY$3:$BY$810), ROW($BX$3:$BX$810)-MIN(ROW($BX$3:$BX$810))+1), $CB8), 0),"")</f>
        <v>Emre Can</v>
      </c>
      <c r="CD8" s="252" t="str">
        <f t="array" aca="1" ref="CD8" ca="1">IFERROR(INDEX($BX$3:$BX$810, SMALL(IF(COUNTIF(CD$3, $BY$3:$BY$810), ROW($BX$3:$BX$810)-MIN(ROW($BX$3:$BX$810))+1), $CB8), 0),"")</f>
        <v/>
      </c>
      <c r="CE8" s="252" t="str">
        <f t="array" aca="1" ref="CE8" ca="1">IFERROR(INDEX($BX$3:$BX$810, SMALL(IF(COUNTIF(CE$3, $BY$3:$BY$810), ROW($BX$3:$BX$810)-MIN(ROW($BX$3:$BX$810))+1), $CB8), 0),"")</f>
        <v/>
      </c>
      <c r="CF8" s="252" t="str">
        <f t="array" aca="1" ref="CF8" ca="1">IFERROR(INDEX($BX$3:$BX$810, SMALL(IF(COUNTIF(CF$3, $BY$3:$BY$810), ROW($BX$3:$BX$810)-MIN(ROW($BX$3:$BX$810))+1), $CB8), 0),"")</f>
        <v/>
      </c>
      <c r="CG8" s="252" t="str">
        <f t="array" aca="1" ref="CG8" ca="1">IFERROR(INDEX($BX$3:$BX$810, SMALL(IF(COUNTIF(CG$3, $BY$3:$BY$810), ROW($BX$3:$BX$810)-MIN(ROW($BX$3:$BX$810))+1), $CB8), 0),"")</f>
        <v/>
      </c>
      <c r="CH8" s="252" t="str">
        <f t="array" aca="1" ref="CH8" ca="1">IFERROR(INDEX($BX$3:$BX$810, SMALL(IF(COUNTIF(CH$3, $BY$3:$BY$810), ROW($BX$3:$BX$810)-MIN(ROW($BX$3:$BX$810))+1), $CB8), 0),"")</f>
        <v/>
      </c>
      <c r="CI8" s="252" t="str">
        <f t="array" aca="1" ref="CI8" ca="1">IFERROR(INDEX($BX$3:$BX$810, SMALL(IF(COUNTIF(CI$3, $BY$3:$BY$810), ROW($BX$3:$BX$810)-MIN(ROW($BX$3:$BX$810))+1), $CB8), 0),"")</f>
        <v/>
      </c>
      <c r="CJ8" s="252" t="str">
        <f t="array" aca="1" ref="CJ8" ca="1">IFERROR(INDEX($BX$3:$BX$810, SMALL(IF(COUNTIF(CJ$3, $BY$3:$BY$810), ROW($BX$3:$BX$810)-MIN(ROW($BX$3:$BX$810))+1), $CB8), 0),"")</f>
        <v/>
      </c>
      <c r="CK8" s="252" t="str">
        <f t="array" aca="1" ref="CK8" ca="1">IFERROR(INDEX($BX$3:$BX$810, SMALL(IF(COUNTIF(CK$3, $BY$3:$BY$810), ROW($BX$3:$BX$810)-MIN(ROW($BX$3:$BX$810))+1), $CB8), 0),"")</f>
        <v/>
      </c>
      <c r="CL8" s="252" t="str">
        <f t="array" aca="1" ref="CL8" ca="1">IFERROR(INDEX($BX$3:$BX$810, SMALL(IF(COUNTIF(CL$3, $BY$3:$BY$810), ROW($BX$3:$BX$810)-MIN(ROW($BX$3:$BX$810))+1), $CB8), 0),"")</f>
        <v/>
      </c>
      <c r="CM8" s="252" t="str">
        <f t="array" aca="1" ref="CM8" ca="1">IFERROR(INDEX($BX$3:$BX$810, SMALL(IF(COUNTIF(CM$3, $BY$3:$BY$810), ROW($BX$3:$BX$810)-MIN(ROW($BX$3:$BX$810))+1), $CB8), 0),"")</f>
        <v/>
      </c>
      <c r="CN8" s="252" t="str">
        <f t="array" aca="1" ref="CN8" ca="1">IFERROR(INDEX($BX$3:$BX$810, SMALL(IF(COUNTIF(CN$3, $BY$3:$BY$810), ROW($BX$3:$BX$810)-MIN(ROW($BX$3:$BX$810))+1), $CB8), 0),"")</f>
        <v/>
      </c>
      <c r="CO8" s="252" t="str">
        <f t="array" aca="1" ref="CO8" ca="1">IFERROR(INDEX($BX$3:$BX$810, SMALL(IF(COUNTIF(CO$3, $BY$3:$BY$810), ROW($BX$3:$BX$810)-MIN(ROW($BX$3:$BX$810))+1), $CB8), 0),"")</f>
        <v/>
      </c>
      <c r="CP8" s="252" t="str">
        <f t="array" aca="1" ref="CP8" ca="1">IFERROR(INDEX($BX$3:$BX$810, SMALL(IF(COUNTIF(CP$3, $BY$3:$BY$810), ROW($BX$3:$BX$810)-MIN(ROW($BX$3:$BX$810))+1), $CB8), 0),"")</f>
        <v/>
      </c>
      <c r="CQ8" s="252" t="str">
        <f t="array" aca="1" ref="CQ8" ca="1">IFERROR(INDEX($BX$3:$BX$810, SMALL(IF(COUNTIF(CQ$3, $BY$3:$BY$810), ROW($BX$3:$BX$810)-MIN(ROW($BX$3:$BX$810))+1), $CB8), 0),"")</f>
        <v/>
      </c>
      <c r="CS8" s="252">
        <v>5</v>
      </c>
      <c r="CT8" s="252">
        <v>1</v>
      </c>
      <c r="CV8" s="252" t="str">
        <f t="shared" ca="1" si="8"/>
        <v/>
      </c>
      <c r="CW8" s="252">
        <f t="shared" ca="1" si="14"/>
        <v>0</v>
      </c>
      <c r="CZ8" s="252">
        <v>5</v>
      </c>
      <c r="DA8" s="252" t="str">
        <f t="shared" ca="1" si="15"/>
        <v>Emre Can</v>
      </c>
      <c r="DB8" s="252">
        <f t="shared" ca="1" si="9"/>
        <v>1</v>
      </c>
      <c r="DC8" s="252" t="str">
        <f t="shared" ca="1" si="10"/>
        <v>Emre Can</v>
      </c>
      <c r="DD8" s="252" t="str">
        <f t="shared" ca="1" si="11"/>
        <v>Germany</v>
      </c>
    </row>
    <row r="9" spans="1:108" x14ac:dyDescent="0.2">
      <c r="A9" s="252">
        <v>7</v>
      </c>
      <c r="B9" s="252" t="str">
        <f>'Player Database'!C12</f>
        <v>Kai Havertz</v>
      </c>
      <c r="C9" s="252" t="str">
        <f>'Player Database'!D12</f>
        <v>John McGinn</v>
      </c>
      <c r="D9" s="252" t="str">
        <f>'Player Database'!E12</f>
        <v>Loïc Négo</v>
      </c>
      <c r="E9" s="252" t="str">
        <f>'Player Database'!F12</f>
        <v>Breel Embolo</v>
      </c>
      <c r="F9" s="252" t="str">
        <f>'Player Database'!G12</f>
        <v>Davide Frattesi</v>
      </c>
      <c r="G9" s="252" t="str">
        <f>'Player Database'!H12</f>
        <v>Rey Manaj</v>
      </c>
      <c r="H9" s="252" t="str">
        <f>'Player Database'!I12</f>
        <v>Álvaro Morata</v>
      </c>
      <c r="I9" s="252" t="str">
        <f>'Player Database'!J12</f>
        <v>Lovro Majer</v>
      </c>
      <c r="J9" s="252" t="str">
        <f>'Player Database'!K12</f>
        <v>Dušan Vlahović</v>
      </c>
      <c r="K9" s="252" t="str">
        <f>'Player Database'!L12</f>
        <v>Bukayo Saka</v>
      </c>
      <c r="L9" s="252" t="str">
        <f>'Player Database'!M12</f>
        <v>Benjamin Verbič</v>
      </c>
      <c r="M9" s="252" t="str">
        <f>'Player Database'!N12</f>
        <v>Mathias Jensen</v>
      </c>
      <c r="N9" s="252" t="str">
        <f>'Player Database'!O12</f>
        <v>Karol Świderski</v>
      </c>
      <c r="O9" s="252" t="str">
        <f>'Player Database'!P12</f>
        <v>Xavi Simons</v>
      </c>
      <c r="P9" s="252" t="str">
        <f>'Player Database'!Q12</f>
        <v>Marko Arnautović</v>
      </c>
      <c r="Q9" s="252" t="str">
        <f>'Player Database'!R12</f>
        <v>Antoine Griezmann</v>
      </c>
      <c r="R9" s="252" t="str">
        <f>'Player Database'!S12</f>
        <v>Kevin De Bruyne</v>
      </c>
      <c r="S9" s="252" t="str">
        <f>'Player Database'!T12</f>
        <v>Tomáš Suslov</v>
      </c>
      <c r="T9" s="252" t="str">
        <f>'Player Database'!U12</f>
        <v>Denis Alibec</v>
      </c>
      <c r="U9" s="252" t="str">
        <f>'Player Database'!V12</f>
        <v>Andriy Yarmolenko</v>
      </c>
      <c r="V9" s="252" t="str">
        <f>'Player Database'!W12</f>
        <v>Cristiano Ronaldo</v>
      </c>
      <c r="W9" s="252" t="str">
        <f>'Player Database'!X12</f>
        <v>Antonín Barák</v>
      </c>
      <c r="X9" s="252" t="str">
        <f>'Player Database'!Y12</f>
        <v>Kerem Aktürkoğlu</v>
      </c>
      <c r="Y9" s="252" t="str">
        <f>'Player Database'!Z12</f>
        <v>Khvicha Kvaratskhelia</v>
      </c>
      <c r="AI9" s="252" t="str">
        <f t="shared" ca="1" si="2"/>
        <v/>
      </c>
      <c r="AJ9" s="252" t="str">
        <f t="shared" ca="1" si="2"/>
        <v/>
      </c>
      <c r="AK9" s="252" t="str">
        <f t="shared" ca="1" si="2"/>
        <v/>
      </c>
      <c r="AL9" s="252" t="str">
        <f t="shared" ca="1" si="2"/>
        <v/>
      </c>
      <c r="AM9" s="252" t="str">
        <f t="shared" ca="1" si="2"/>
        <v/>
      </c>
      <c r="AN9" s="252" t="str">
        <f t="shared" ca="1" si="2"/>
        <v/>
      </c>
      <c r="AO9" s="252" t="str">
        <f t="shared" ca="1" si="2"/>
        <v/>
      </c>
      <c r="AP9" s="252" t="str">
        <f t="shared" ca="1" si="2"/>
        <v/>
      </c>
      <c r="AQ9" s="252" t="str">
        <f t="shared" ca="1" si="2"/>
        <v/>
      </c>
      <c r="AR9" s="252" t="str">
        <f t="shared" ca="1" si="2"/>
        <v/>
      </c>
      <c r="AS9" s="252" t="str">
        <f t="shared" ca="1" si="2"/>
        <v/>
      </c>
      <c r="AT9" s="252" t="str">
        <f t="shared" ca="1" si="2"/>
        <v/>
      </c>
      <c r="AU9" s="252" t="str">
        <f t="shared" ca="1" si="2"/>
        <v/>
      </c>
      <c r="AV9" s="252" t="str">
        <f t="shared" ca="1" si="2"/>
        <v/>
      </c>
      <c r="AW9" s="252" t="str">
        <f t="shared" ca="1" si="2"/>
        <v/>
      </c>
      <c r="AX9" s="252" t="str">
        <f t="shared" ca="1" si="2"/>
        <v/>
      </c>
      <c r="AZ9" s="252" t="str">
        <f t="shared" ca="1" si="3"/>
        <v/>
      </c>
      <c r="BA9" s="252" t="str">
        <f t="shared" ca="1" si="3"/>
        <v/>
      </c>
      <c r="BB9" s="252" t="str">
        <f t="shared" ca="1" si="3"/>
        <v/>
      </c>
      <c r="BC9" s="252" t="str">
        <f t="shared" ca="1" si="3"/>
        <v/>
      </c>
      <c r="BD9" s="252" t="str">
        <f t="shared" ca="1" si="3"/>
        <v/>
      </c>
      <c r="BE9" s="252" t="str">
        <f t="shared" ca="1" si="3"/>
        <v/>
      </c>
      <c r="BF9" s="252" t="str">
        <f t="shared" ca="1" si="3"/>
        <v/>
      </c>
      <c r="BG9" s="252" t="str">
        <f t="shared" ca="1" si="3"/>
        <v/>
      </c>
      <c r="BI9" s="252" t="str">
        <f t="shared" ca="1" si="4"/>
        <v/>
      </c>
      <c r="BJ9" s="252" t="str">
        <f t="shared" ca="1" si="4"/>
        <v/>
      </c>
      <c r="BK9" s="252" t="str">
        <f t="shared" ca="1" si="4"/>
        <v/>
      </c>
      <c r="BL9" s="252" t="str">
        <f t="shared" ca="1" si="4"/>
        <v/>
      </c>
      <c r="BN9" s="252" t="str">
        <f t="shared" si="5"/>
        <v/>
      </c>
      <c r="BO9" s="252" t="str">
        <f t="shared" si="5"/>
        <v/>
      </c>
      <c r="BQ9" s="252" t="str">
        <f t="shared" ca="1" si="6"/>
        <v/>
      </c>
      <c r="BR9" s="252" t="str">
        <f t="shared" ca="1" si="6"/>
        <v/>
      </c>
      <c r="BT9" s="253" t="str">
        <f t="shared" si="12"/>
        <v>Germany</v>
      </c>
      <c r="BU9" s="253">
        <f t="shared" si="13"/>
        <v>7</v>
      </c>
      <c r="BW9" s="253">
        <v>1</v>
      </c>
      <c r="BX9" s="253" t="str">
        <f t="shared" si="7"/>
        <v>Kai Havertz</v>
      </c>
      <c r="BY9" s="253">
        <f>COUNTIF('Group Stages'!$J$8:$Q$80,BX9)+COUNTIF('Knock Out Stages'!$K$7:$R$45,BX9)</f>
        <v>1</v>
      </c>
      <c r="CA9" s="253" t="str">
        <f>'Player Database'!C12</f>
        <v>Kai Havertz</v>
      </c>
      <c r="CB9" s="252">
        <v>6</v>
      </c>
      <c r="CC9" s="252" t="str">
        <f t="array" aca="1" ref="CC9" ca="1">IFERROR(INDEX($BX$3:$BX$810, SMALL(IF(COUNTIF(CC$3, $BY$3:$BY$810), ROW($BX$3:$BX$810)-MIN(ROW($BX$3:$BX$810))+1), $CB9), 0),"")</f>
        <v>Barnabás Varga</v>
      </c>
      <c r="CD9" s="252" t="str">
        <f t="array" aca="1" ref="CD9" ca="1">IFERROR(INDEX($BX$3:$BX$810, SMALL(IF(COUNTIF(CD$3, $BY$3:$BY$810), ROW($BX$3:$BX$810)-MIN(ROW($BX$3:$BX$810))+1), $CB9), 0),"")</f>
        <v/>
      </c>
      <c r="CE9" s="252" t="str">
        <f t="array" aca="1" ref="CE9" ca="1">IFERROR(INDEX($BX$3:$BX$810, SMALL(IF(COUNTIF(CE$3, $BY$3:$BY$810), ROW($BX$3:$BX$810)-MIN(ROW($BX$3:$BX$810))+1), $CB9), 0),"")</f>
        <v/>
      </c>
      <c r="CF9" s="252" t="str">
        <f t="array" aca="1" ref="CF9" ca="1">IFERROR(INDEX($BX$3:$BX$810, SMALL(IF(COUNTIF(CF$3, $BY$3:$BY$810), ROW($BX$3:$BX$810)-MIN(ROW($BX$3:$BX$810))+1), $CB9), 0),"")</f>
        <v/>
      </c>
      <c r="CG9" s="252" t="str">
        <f t="array" aca="1" ref="CG9" ca="1">IFERROR(INDEX($BX$3:$BX$810, SMALL(IF(COUNTIF(CG$3, $BY$3:$BY$810), ROW($BX$3:$BX$810)-MIN(ROW($BX$3:$BX$810))+1), $CB9), 0),"")</f>
        <v/>
      </c>
      <c r="CH9" s="252" t="str">
        <f t="array" aca="1" ref="CH9" ca="1">IFERROR(INDEX($BX$3:$BX$810, SMALL(IF(COUNTIF(CH$3, $BY$3:$BY$810), ROW($BX$3:$BX$810)-MIN(ROW($BX$3:$BX$810))+1), $CB9), 0),"")</f>
        <v/>
      </c>
      <c r="CI9" s="252" t="str">
        <f t="array" aca="1" ref="CI9" ca="1">IFERROR(INDEX($BX$3:$BX$810, SMALL(IF(COUNTIF(CI$3, $BY$3:$BY$810), ROW($BX$3:$BX$810)-MIN(ROW($BX$3:$BX$810))+1), $CB9), 0),"")</f>
        <v/>
      </c>
      <c r="CJ9" s="252" t="str">
        <f t="array" aca="1" ref="CJ9" ca="1">IFERROR(INDEX($BX$3:$BX$810, SMALL(IF(COUNTIF(CJ$3, $BY$3:$BY$810), ROW($BX$3:$BX$810)-MIN(ROW($BX$3:$BX$810))+1), $CB9), 0),"")</f>
        <v/>
      </c>
      <c r="CK9" s="252" t="str">
        <f t="array" aca="1" ref="CK9" ca="1">IFERROR(INDEX($BX$3:$BX$810, SMALL(IF(COUNTIF(CK$3, $BY$3:$BY$810), ROW($BX$3:$BX$810)-MIN(ROW($BX$3:$BX$810))+1), $CB9), 0),"")</f>
        <v/>
      </c>
      <c r="CL9" s="252" t="str">
        <f t="array" aca="1" ref="CL9" ca="1">IFERROR(INDEX($BX$3:$BX$810, SMALL(IF(COUNTIF(CL$3, $BY$3:$BY$810), ROW($BX$3:$BX$810)-MIN(ROW($BX$3:$BX$810))+1), $CB9), 0),"")</f>
        <v/>
      </c>
      <c r="CM9" s="252" t="str">
        <f t="array" aca="1" ref="CM9" ca="1">IFERROR(INDEX($BX$3:$BX$810, SMALL(IF(COUNTIF(CM$3, $BY$3:$BY$810), ROW($BX$3:$BX$810)-MIN(ROW($BX$3:$BX$810))+1), $CB9), 0),"")</f>
        <v/>
      </c>
      <c r="CN9" s="252" t="str">
        <f t="array" aca="1" ref="CN9" ca="1">IFERROR(INDEX($BX$3:$BX$810, SMALL(IF(COUNTIF(CN$3, $BY$3:$BY$810), ROW($BX$3:$BX$810)-MIN(ROW($BX$3:$BX$810))+1), $CB9), 0),"")</f>
        <v/>
      </c>
      <c r="CO9" s="252" t="str">
        <f t="array" aca="1" ref="CO9" ca="1">IFERROR(INDEX($BX$3:$BX$810, SMALL(IF(COUNTIF(CO$3, $BY$3:$BY$810), ROW($BX$3:$BX$810)-MIN(ROW($BX$3:$BX$810))+1), $CB9), 0),"")</f>
        <v/>
      </c>
      <c r="CP9" s="252" t="str">
        <f t="array" aca="1" ref="CP9" ca="1">IFERROR(INDEX($BX$3:$BX$810, SMALL(IF(COUNTIF(CP$3, $BY$3:$BY$810), ROW($BX$3:$BX$810)-MIN(ROW($BX$3:$BX$810))+1), $CB9), 0),"")</f>
        <v/>
      </c>
      <c r="CQ9" s="252" t="str">
        <f t="array" aca="1" ref="CQ9" ca="1">IFERROR(INDEX($BX$3:$BX$810, SMALL(IF(COUNTIF(CQ$3, $BY$3:$BY$810), ROW($BX$3:$BX$810)-MIN(ROW($BX$3:$BX$810))+1), $CB9), 0),"")</f>
        <v/>
      </c>
      <c r="CS9" s="252">
        <v>6</v>
      </c>
      <c r="CT9" s="252">
        <v>1</v>
      </c>
      <c r="CV9" s="252" t="str">
        <f t="shared" ca="1" si="8"/>
        <v/>
      </c>
      <c r="CW9" s="252">
        <f t="shared" ca="1" si="14"/>
        <v>0</v>
      </c>
      <c r="CZ9" s="252">
        <v>6</v>
      </c>
      <c r="DA9" s="252" t="str">
        <f t="shared" ca="1" si="15"/>
        <v>Barnabás Varga</v>
      </c>
      <c r="DB9" s="252">
        <f t="shared" ca="1" si="9"/>
        <v>1</v>
      </c>
      <c r="DC9" s="252" t="str">
        <f t="shared" ca="1" si="10"/>
        <v>Barnabás Varga</v>
      </c>
      <c r="DD9" s="252" t="str">
        <f t="shared" ca="1" si="11"/>
        <v>Hungary</v>
      </c>
    </row>
    <row r="10" spans="1:108" x14ac:dyDescent="0.2">
      <c r="A10" s="252">
        <v>8</v>
      </c>
      <c r="B10" s="252" t="str">
        <f>'Player Database'!C13</f>
        <v>Toni Kroos</v>
      </c>
      <c r="C10" s="252" t="str">
        <f>'Player Database'!D13</f>
        <v>Callum McGregor</v>
      </c>
      <c r="D10" s="252" t="str">
        <f>'Player Database'!E13</f>
        <v>Ádám Nagy</v>
      </c>
      <c r="E10" s="252" t="str">
        <f>'Player Database'!F13</f>
        <v>Remo Freuler</v>
      </c>
      <c r="F10" s="252" t="str">
        <f>'Player Database'!G13</f>
        <v>Jorginho</v>
      </c>
      <c r="G10" s="252" t="str">
        <f>'Player Database'!H13</f>
        <v>Klaus Gjasula</v>
      </c>
      <c r="H10" s="252" t="str">
        <f>'Player Database'!I13</f>
        <v>Fabián Ruiz</v>
      </c>
      <c r="I10" s="252" t="str">
        <f>'Player Database'!J13</f>
        <v>Mateo Kovačić</v>
      </c>
      <c r="J10" s="252" t="str">
        <f>'Player Database'!K13</f>
        <v>Luka Jović</v>
      </c>
      <c r="K10" s="252" t="str">
        <f>'Player Database'!L13</f>
        <v>Trent Alexander-Arnold</v>
      </c>
      <c r="L10" s="252" t="str">
        <f>'Player Database'!M13</f>
        <v>Sandi Lovrić</v>
      </c>
      <c r="M10" s="252" t="str">
        <f>'Player Database'!N13</f>
        <v>Thomas Delaney</v>
      </c>
      <c r="N10" s="252" t="str">
        <f>'Player Database'!O13</f>
        <v>Jakub Moder</v>
      </c>
      <c r="O10" s="252" t="str">
        <f>'Player Database'!P13</f>
        <v>Georginio Wijnaldum</v>
      </c>
      <c r="P10" s="252" t="str">
        <f>'Player Database'!Q13</f>
        <v>Alexander Prass</v>
      </c>
      <c r="Q10" s="252" t="str">
        <f>'Player Database'!R13</f>
        <v>Aurélien Tchouaméni</v>
      </c>
      <c r="R10" s="252" t="str">
        <f>'Player Database'!S13</f>
        <v>Youri Tielemans</v>
      </c>
      <c r="S10" s="252" t="str">
        <f>'Player Database'!T13</f>
        <v>Ondrej Duda</v>
      </c>
      <c r="T10" s="252" t="str">
        <f>'Player Database'!U13</f>
        <v>Alexandru Cicâldău</v>
      </c>
      <c r="U10" s="252" t="str">
        <f>'Player Database'!V13</f>
        <v>Ruslan Malinovskyi</v>
      </c>
      <c r="V10" s="252" t="str">
        <f>'Player Database'!W13</f>
        <v>Bruno Fernandes</v>
      </c>
      <c r="W10" s="252" t="str">
        <f>'Player Database'!X13</f>
        <v>Petr Ševčík</v>
      </c>
      <c r="X10" s="252" t="str">
        <f>'Player Database'!Y13</f>
        <v>Arda Güler</v>
      </c>
      <c r="Y10" s="252" t="str">
        <f>'Player Database'!Z13</f>
        <v>Budu Zivzivadze</v>
      </c>
      <c r="AI10" s="252" t="str">
        <f t="shared" ca="1" si="2"/>
        <v/>
      </c>
      <c r="AJ10" s="252" t="str">
        <f t="shared" ca="1" si="2"/>
        <v/>
      </c>
      <c r="AK10" s="252" t="str">
        <f t="shared" ca="1" si="2"/>
        <v/>
      </c>
      <c r="AL10" s="252" t="str">
        <f t="shared" ca="1" si="2"/>
        <v/>
      </c>
      <c r="AM10" s="252" t="str">
        <f t="shared" ca="1" si="2"/>
        <v/>
      </c>
      <c r="AN10" s="252" t="str">
        <f t="shared" ca="1" si="2"/>
        <v/>
      </c>
      <c r="AO10" s="252" t="str">
        <f t="shared" ca="1" si="2"/>
        <v/>
      </c>
      <c r="AP10" s="252" t="str">
        <f t="shared" ca="1" si="2"/>
        <v/>
      </c>
      <c r="AQ10" s="252" t="str">
        <f t="shared" ca="1" si="2"/>
        <v/>
      </c>
      <c r="AR10" s="252" t="str">
        <f t="shared" ca="1" si="2"/>
        <v/>
      </c>
      <c r="AS10" s="252" t="str">
        <f t="shared" ca="1" si="2"/>
        <v/>
      </c>
      <c r="AT10" s="252" t="str">
        <f t="shared" ca="1" si="2"/>
        <v/>
      </c>
      <c r="AU10" s="252" t="str">
        <f t="shared" ca="1" si="2"/>
        <v/>
      </c>
      <c r="AV10" s="252" t="str">
        <f t="shared" ca="1" si="2"/>
        <v/>
      </c>
      <c r="AW10" s="252" t="str">
        <f t="shared" ca="1" si="2"/>
        <v/>
      </c>
      <c r="AX10" s="252" t="str">
        <f t="shared" ca="1" si="2"/>
        <v/>
      </c>
      <c r="AZ10" s="252" t="str">
        <f t="shared" ca="1" si="3"/>
        <v/>
      </c>
      <c r="BA10" s="252" t="str">
        <f t="shared" ca="1" si="3"/>
        <v/>
      </c>
      <c r="BB10" s="252" t="str">
        <f t="shared" ca="1" si="3"/>
        <v/>
      </c>
      <c r="BC10" s="252" t="str">
        <f t="shared" ca="1" si="3"/>
        <v/>
      </c>
      <c r="BD10" s="252" t="str">
        <f t="shared" ca="1" si="3"/>
        <v/>
      </c>
      <c r="BE10" s="252" t="str">
        <f t="shared" ca="1" si="3"/>
        <v/>
      </c>
      <c r="BF10" s="252" t="str">
        <f t="shared" ca="1" si="3"/>
        <v/>
      </c>
      <c r="BG10" s="252" t="str">
        <f t="shared" ca="1" si="3"/>
        <v/>
      </c>
      <c r="BI10" s="252" t="str">
        <f t="shared" ca="1" si="4"/>
        <v/>
      </c>
      <c r="BJ10" s="252" t="str">
        <f t="shared" ca="1" si="4"/>
        <v/>
      </c>
      <c r="BK10" s="252" t="str">
        <f t="shared" ca="1" si="4"/>
        <v/>
      </c>
      <c r="BL10" s="252" t="str">
        <f t="shared" ca="1" si="4"/>
        <v/>
      </c>
      <c r="BN10" s="252" t="str">
        <f t="shared" si="5"/>
        <v/>
      </c>
      <c r="BO10" s="252" t="str">
        <f t="shared" si="5"/>
        <v/>
      </c>
      <c r="BQ10" s="252" t="str">
        <f t="shared" ca="1" si="6"/>
        <v/>
      </c>
      <c r="BR10" s="252" t="str">
        <f t="shared" ca="1" si="6"/>
        <v/>
      </c>
      <c r="BT10" s="253" t="str">
        <f t="shared" si="12"/>
        <v>Germany</v>
      </c>
      <c r="BU10" s="253">
        <f t="shared" si="13"/>
        <v>8</v>
      </c>
      <c r="BW10" s="253">
        <v>1</v>
      </c>
      <c r="BX10" s="253" t="str">
        <f t="shared" si="7"/>
        <v>Toni Kroos</v>
      </c>
      <c r="BY10" s="253">
        <f>COUNTIF('Group Stages'!$J$8:$Q$80,BX10)+COUNTIF('Knock Out Stages'!$K$7:$R$45,BX10)</f>
        <v>0</v>
      </c>
      <c r="CA10" s="253" t="str">
        <f>'Player Database'!C13</f>
        <v>Toni Kroos</v>
      </c>
      <c r="CB10" s="252">
        <v>7</v>
      </c>
      <c r="CC10" s="252" t="str">
        <f t="array" aca="1" ref="CC10" ca="1">IFERROR(INDEX($BX$3:$BX$810, SMALL(IF(COUNTIF(CC$3, $BY$3:$BY$810), ROW($BX$3:$BX$810)-MIN(ROW($BX$3:$BX$810))+1), $CB10), 0),"")</f>
        <v>Breel Embolo</v>
      </c>
      <c r="CD10" s="252" t="str">
        <f t="array" aca="1" ref="CD10" ca="1">IFERROR(INDEX($BX$3:$BX$810, SMALL(IF(COUNTIF(CD$3, $BY$3:$BY$810), ROW($BX$3:$BX$810)-MIN(ROW($BX$3:$BX$810))+1), $CB10), 0),"")</f>
        <v/>
      </c>
      <c r="CE10" s="252" t="str">
        <f t="array" aca="1" ref="CE10" ca="1">IFERROR(INDEX($BX$3:$BX$810, SMALL(IF(COUNTIF(CE$3, $BY$3:$BY$810), ROW($BX$3:$BX$810)-MIN(ROW($BX$3:$BX$810))+1), $CB10), 0),"")</f>
        <v/>
      </c>
      <c r="CF10" s="252" t="str">
        <f t="array" aca="1" ref="CF10" ca="1">IFERROR(INDEX($BX$3:$BX$810, SMALL(IF(COUNTIF(CF$3, $BY$3:$BY$810), ROW($BX$3:$BX$810)-MIN(ROW($BX$3:$BX$810))+1), $CB10), 0),"")</f>
        <v/>
      </c>
      <c r="CG10" s="252" t="str">
        <f t="array" aca="1" ref="CG10" ca="1">IFERROR(INDEX($BX$3:$BX$810, SMALL(IF(COUNTIF(CG$3, $BY$3:$BY$810), ROW($BX$3:$BX$810)-MIN(ROW($BX$3:$BX$810))+1), $CB10), 0),"")</f>
        <v/>
      </c>
      <c r="CH10" s="252" t="str">
        <f t="array" aca="1" ref="CH10" ca="1">IFERROR(INDEX($BX$3:$BX$810, SMALL(IF(COUNTIF(CH$3, $BY$3:$BY$810), ROW($BX$3:$BX$810)-MIN(ROW($BX$3:$BX$810))+1), $CB10), 0),"")</f>
        <v/>
      </c>
      <c r="CI10" s="252" t="str">
        <f t="array" aca="1" ref="CI10" ca="1">IFERROR(INDEX($BX$3:$BX$810, SMALL(IF(COUNTIF(CI$3, $BY$3:$BY$810), ROW($BX$3:$BX$810)-MIN(ROW($BX$3:$BX$810))+1), $CB10), 0),"")</f>
        <v/>
      </c>
      <c r="CJ10" s="252" t="str">
        <f t="array" aca="1" ref="CJ10" ca="1">IFERROR(INDEX($BX$3:$BX$810, SMALL(IF(COUNTIF(CJ$3, $BY$3:$BY$810), ROW($BX$3:$BX$810)-MIN(ROW($BX$3:$BX$810))+1), $CB10), 0),"")</f>
        <v/>
      </c>
      <c r="CK10" s="252" t="str">
        <f t="array" aca="1" ref="CK10" ca="1">IFERROR(INDEX($BX$3:$BX$810, SMALL(IF(COUNTIF(CK$3, $BY$3:$BY$810), ROW($BX$3:$BX$810)-MIN(ROW($BX$3:$BX$810))+1), $CB10), 0),"")</f>
        <v/>
      </c>
      <c r="CL10" s="252" t="str">
        <f t="array" aca="1" ref="CL10" ca="1">IFERROR(INDEX($BX$3:$BX$810, SMALL(IF(COUNTIF(CL$3, $BY$3:$BY$810), ROW($BX$3:$BX$810)-MIN(ROW($BX$3:$BX$810))+1), $CB10), 0),"")</f>
        <v/>
      </c>
      <c r="CM10" s="252" t="str">
        <f t="array" aca="1" ref="CM10" ca="1">IFERROR(INDEX($BX$3:$BX$810, SMALL(IF(COUNTIF(CM$3, $BY$3:$BY$810), ROW($BX$3:$BX$810)-MIN(ROW($BX$3:$BX$810))+1), $CB10), 0),"")</f>
        <v/>
      </c>
      <c r="CN10" s="252" t="str">
        <f t="array" aca="1" ref="CN10" ca="1">IFERROR(INDEX($BX$3:$BX$810, SMALL(IF(COUNTIF(CN$3, $BY$3:$BY$810), ROW($BX$3:$BX$810)-MIN(ROW($BX$3:$BX$810))+1), $CB10), 0),"")</f>
        <v/>
      </c>
      <c r="CO10" s="252" t="str">
        <f t="array" aca="1" ref="CO10" ca="1">IFERROR(INDEX($BX$3:$BX$810, SMALL(IF(COUNTIF(CO$3, $BY$3:$BY$810), ROW($BX$3:$BX$810)-MIN(ROW($BX$3:$BX$810))+1), $CB10), 0),"")</f>
        <v/>
      </c>
      <c r="CP10" s="252" t="str">
        <f t="array" aca="1" ref="CP10" ca="1">IFERROR(INDEX($BX$3:$BX$810, SMALL(IF(COUNTIF(CP$3, $BY$3:$BY$810), ROW($BX$3:$BX$810)-MIN(ROW($BX$3:$BX$810))+1), $CB10), 0),"")</f>
        <v/>
      </c>
      <c r="CQ10" s="252" t="str">
        <f t="array" aca="1" ref="CQ10" ca="1">IFERROR(INDEX($BX$3:$BX$810, SMALL(IF(COUNTIF(CQ$3, $BY$3:$BY$810), ROW($BX$3:$BX$810)-MIN(ROW($BX$3:$BX$810))+1), $CB10), 0),"")</f>
        <v/>
      </c>
      <c r="CS10" s="252">
        <v>7</v>
      </c>
      <c r="CT10" s="252">
        <v>1</v>
      </c>
      <c r="CV10" s="252" t="str">
        <f t="shared" ca="1" si="8"/>
        <v/>
      </c>
      <c r="CW10" s="252">
        <f t="shared" ca="1" si="14"/>
        <v>0</v>
      </c>
      <c r="CZ10" s="252">
        <v>7</v>
      </c>
      <c r="DA10" s="252" t="str">
        <f t="shared" ca="1" si="15"/>
        <v>Breel Embolo</v>
      </c>
      <c r="DB10" s="252">
        <f t="shared" ca="1" si="9"/>
        <v>1</v>
      </c>
      <c r="DC10" s="252" t="str">
        <f t="shared" ca="1" si="10"/>
        <v>Breel Embolo</v>
      </c>
      <c r="DD10" s="252" t="str">
        <f t="shared" ca="1" si="11"/>
        <v>Switzerland</v>
      </c>
    </row>
    <row r="11" spans="1:108" x14ac:dyDescent="0.2">
      <c r="A11" s="252">
        <v>9</v>
      </c>
      <c r="B11" s="252" t="str">
        <f>'Player Database'!C14</f>
        <v>Niclas Füllkrug</v>
      </c>
      <c r="C11" s="252" t="str">
        <f>'Player Database'!D14</f>
        <v>Lawrence Shankland</v>
      </c>
      <c r="D11" s="252" t="str">
        <f>'Player Database'!E14</f>
        <v>Martin Ádám</v>
      </c>
      <c r="E11" s="252" t="str">
        <f>'Player Database'!F14</f>
        <v>Noah Okafor</v>
      </c>
      <c r="F11" s="252" t="str">
        <f>'Player Database'!G14</f>
        <v>Gianluca Scamacca</v>
      </c>
      <c r="G11" s="252" t="str">
        <f>'Player Database'!H14</f>
        <v>Jasir Asani</v>
      </c>
      <c r="H11" s="252" t="str">
        <f>'Player Database'!I14</f>
        <v>Joselu</v>
      </c>
      <c r="I11" s="252" t="str">
        <f>'Player Database'!J14</f>
        <v>Andrej Kramarić</v>
      </c>
      <c r="J11" s="252" t="str">
        <f>'Player Database'!K14</f>
        <v>Aleksandar Mitrović</v>
      </c>
      <c r="K11" s="252" t="str">
        <f>'Player Database'!L14</f>
        <v>Harry Kane</v>
      </c>
      <c r="L11" s="252" t="str">
        <f>'Player Database'!M14</f>
        <v>Andraž Šporar</v>
      </c>
      <c r="M11" s="252" t="str">
        <f>'Player Database'!N14</f>
        <v>Rasmus Højlund</v>
      </c>
      <c r="N11" s="252" t="str">
        <f>'Player Database'!O14</f>
        <v>Robert Lewandowski</v>
      </c>
      <c r="O11" s="252" t="str">
        <f>'Player Database'!P14</f>
        <v>Wout Weghorst</v>
      </c>
      <c r="P11" s="252" t="str">
        <f>'Player Database'!Q14</f>
        <v>Marcel Sabitzer</v>
      </c>
      <c r="Q11" s="252" t="str">
        <f>'Player Database'!R14</f>
        <v>Olivier Giroud</v>
      </c>
      <c r="R11" s="252" t="str">
        <f>'Player Database'!S14</f>
        <v>Leandro Trossard</v>
      </c>
      <c r="S11" s="252" t="str">
        <f>'Player Database'!T14</f>
        <v>Róbert Boženík</v>
      </c>
      <c r="T11" s="252" t="str">
        <f>'Player Database'!U14</f>
        <v>George Pușcaș</v>
      </c>
      <c r="U11" s="252" t="str">
        <f>'Player Database'!V14</f>
        <v>Roman Yaremchuk</v>
      </c>
      <c r="V11" s="252" t="str">
        <f>'Player Database'!W14</f>
        <v>Gonçalo Ramos</v>
      </c>
      <c r="W11" s="252" t="str">
        <f>'Player Database'!X14</f>
        <v>Adam Hložek</v>
      </c>
      <c r="X11" s="252" t="str">
        <f>'Player Database'!Y14</f>
        <v>Cenk Tosun</v>
      </c>
      <c r="Y11" s="252" t="str">
        <f>'Player Database'!Z14</f>
        <v>Zuriko Davitashvili</v>
      </c>
      <c r="AI11" s="252" t="str">
        <f t="shared" ca="1" si="2"/>
        <v/>
      </c>
      <c r="AJ11" s="252" t="str">
        <f t="shared" ca="1" si="2"/>
        <v/>
      </c>
      <c r="AK11" s="252" t="str">
        <f t="shared" ca="1" si="2"/>
        <v/>
      </c>
      <c r="AL11" s="252" t="str">
        <f t="shared" ca="1" si="2"/>
        <v/>
      </c>
      <c r="AM11" s="252" t="str">
        <f t="shared" ca="1" si="2"/>
        <v/>
      </c>
      <c r="AN11" s="252" t="str">
        <f t="shared" ca="1" si="2"/>
        <v/>
      </c>
      <c r="AO11" s="252" t="str">
        <f t="shared" ca="1" si="2"/>
        <v/>
      </c>
      <c r="AP11" s="252" t="str">
        <f t="shared" ca="1" si="2"/>
        <v/>
      </c>
      <c r="AQ11" s="252" t="str">
        <f t="shared" ca="1" si="2"/>
        <v/>
      </c>
      <c r="AR11" s="252" t="str">
        <f t="shared" ca="1" si="2"/>
        <v/>
      </c>
      <c r="AS11" s="252" t="str">
        <f t="shared" ca="1" si="2"/>
        <v/>
      </c>
      <c r="AT11" s="252" t="str">
        <f t="shared" ca="1" si="2"/>
        <v/>
      </c>
      <c r="AU11" s="252" t="str">
        <f t="shared" ca="1" si="2"/>
        <v/>
      </c>
      <c r="AV11" s="252" t="str">
        <f t="shared" ca="1" si="2"/>
        <v/>
      </c>
      <c r="AW11" s="252" t="str">
        <f t="shared" ca="1" si="2"/>
        <v/>
      </c>
      <c r="AX11" s="252" t="str">
        <f t="shared" ca="1" si="2"/>
        <v/>
      </c>
      <c r="AZ11" s="252" t="str">
        <f t="shared" ca="1" si="3"/>
        <v/>
      </c>
      <c r="BA11" s="252" t="str">
        <f t="shared" ca="1" si="3"/>
        <v/>
      </c>
      <c r="BB11" s="252" t="str">
        <f t="shared" ca="1" si="3"/>
        <v/>
      </c>
      <c r="BC11" s="252" t="str">
        <f t="shared" ca="1" si="3"/>
        <v/>
      </c>
      <c r="BD11" s="252" t="str">
        <f t="shared" ca="1" si="3"/>
        <v/>
      </c>
      <c r="BE11" s="252" t="str">
        <f t="shared" ca="1" si="3"/>
        <v/>
      </c>
      <c r="BF11" s="252" t="str">
        <f t="shared" ca="1" si="3"/>
        <v/>
      </c>
      <c r="BG11" s="252" t="str">
        <f t="shared" ca="1" si="3"/>
        <v/>
      </c>
      <c r="BI11" s="252" t="str">
        <f t="shared" ca="1" si="4"/>
        <v/>
      </c>
      <c r="BJ11" s="252" t="str">
        <f t="shared" ca="1" si="4"/>
        <v/>
      </c>
      <c r="BK11" s="252" t="str">
        <f t="shared" ca="1" si="4"/>
        <v/>
      </c>
      <c r="BL11" s="252" t="str">
        <f t="shared" ca="1" si="4"/>
        <v/>
      </c>
      <c r="BN11" s="252" t="str">
        <f t="shared" si="5"/>
        <v/>
      </c>
      <c r="BO11" s="252" t="str">
        <f t="shared" si="5"/>
        <v/>
      </c>
      <c r="BQ11" s="252" t="str">
        <f t="shared" ca="1" si="6"/>
        <v/>
      </c>
      <c r="BR11" s="252" t="str">
        <f t="shared" ca="1" si="6"/>
        <v/>
      </c>
      <c r="BT11" s="253" t="str">
        <f t="shared" si="12"/>
        <v>Germany</v>
      </c>
      <c r="BU11" s="253">
        <f t="shared" si="13"/>
        <v>9</v>
      </c>
      <c r="BW11" s="253">
        <v>1</v>
      </c>
      <c r="BX11" s="253" t="str">
        <f t="shared" si="7"/>
        <v>Niclas Füllkrug</v>
      </c>
      <c r="BY11" s="253">
        <f>COUNTIF('Group Stages'!$J$8:$Q$80,BX11)+COUNTIF('Knock Out Stages'!$K$7:$R$45,BX11)</f>
        <v>1</v>
      </c>
      <c r="CA11" s="253" t="str">
        <f>'Player Database'!C14</f>
        <v>Niclas Füllkrug</v>
      </c>
      <c r="CB11" s="252">
        <v>8</v>
      </c>
      <c r="CC11" s="252" t="str">
        <f t="array" aca="1" ref="CC11" ca="1">IFERROR(INDEX($BX$3:$BX$810, SMALL(IF(COUNTIF(CC$3, $BY$3:$BY$810), ROW($BX$3:$BX$810)-MIN(ROW($BX$3:$BX$810))+1), $CB11), 0),"")</f>
        <v>Kwadwo Duah</v>
      </c>
      <c r="CD11" s="252" t="str">
        <f t="array" aca="1" ref="CD11" ca="1">IFERROR(INDEX($BX$3:$BX$810, SMALL(IF(COUNTIF(CD$3, $BY$3:$BY$810), ROW($BX$3:$BX$810)-MIN(ROW($BX$3:$BX$810))+1), $CB11), 0),"")</f>
        <v/>
      </c>
      <c r="CE11" s="252" t="str">
        <f t="array" aca="1" ref="CE11" ca="1">IFERROR(INDEX($BX$3:$BX$810, SMALL(IF(COUNTIF(CE$3, $BY$3:$BY$810), ROW($BX$3:$BX$810)-MIN(ROW($BX$3:$BX$810))+1), $CB11), 0),"")</f>
        <v/>
      </c>
      <c r="CF11" s="252" t="str">
        <f t="array" aca="1" ref="CF11" ca="1">IFERROR(INDEX($BX$3:$BX$810, SMALL(IF(COUNTIF(CF$3, $BY$3:$BY$810), ROW($BX$3:$BX$810)-MIN(ROW($BX$3:$BX$810))+1), $CB11), 0),"")</f>
        <v/>
      </c>
      <c r="CG11" s="252" t="str">
        <f t="array" aca="1" ref="CG11" ca="1">IFERROR(INDEX($BX$3:$BX$810, SMALL(IF(COUNTIF(CG$3, $BY$3:$BY$810), ROW($BX$3:$BX$810)-MIN(ROW($BX$3:$BX$810))+1), $CB11), 0),"")</f>
        <v/>
      </c>
      <c r="CH11" s="252" t="str">
        <f t="array" aca="1" ref="CH11" ca="1">IFERROR(INDEX($BX$3:$BX$810, SMALL(IF(COUNTIF(CH$3, $BY$3:$BY$810), ROW($BX$3:$BX$810)-MIN(ROW($BX$3:$BX$810))+1), $CB11), 0),"")</f>
        <v/>
      </c>
      <c r="CI11" s="252" t="str">
        <f t="array" aca="1" ref="CI11" ca="1">IFERROR(INDEX($BX$3:$BX$810, SMALL(IF(COUNTIF(CI$3, $BY$3:$BY$810), ROW($BX$3:$BX$810)-MIN(ROW($BX$3:$BX$810))+1), $CB11), 0),"")</f>
        <v/>
      </c>
      <c r="CJ11" s="252" t="str">
        <f t="array" aca="1" ref="CJ11" ca="1">IFERROR(INDEX($BX$3:$BX$810, SMALL(IF(COUNTIF(CJ$3, $BY$3:$BY$810), ROW($BX$3:$BX$810)-MIN(ROW($BX$3:$BX$810))+1), $CB11), 0),"")</f>
        <v/>
      </c>
      <c r="CK11" s="252" t="str">
        <f t="array" aca="1" ref="CK11" ca="1">IFERROR(INDEX($BX$3:$BX$810, SMALL(IF(COUNTIF(CK$3, $BY$3:$BY$810), ROW($BX$3:$BX$810)-MIN(ROW($BX$3:$BX$810))+1), $CB11), 0),"")</f>
        <v/>
      </c>
      <c r="CL11" s="252" t="str">
        <f t="array" aca="1" ref="CL11" ca="1">IFERROR(INDEX($BX$3:$BX$810, SMALL(IF(COUNTIF(CL$3, $BY$3:$BY$810), ROW($BX$3:$BX$810)-MIN(ROW($BX$3:$BX$810))+1), $CB11), 0),"")</f>
        <v/>
      </c>
      <c r="CM11" s="252" t="str">
        <f t="array" aca="1" ref="CM11" ca="1">IFERROR(INDEX($BX$3:$BX$810, SMALL(IF(COUNTIF(CM$3, $BY$3:$BY$810), ROW($BX$3:$BX$810)-MIN(ROW($BX$3:$BX$810))+1), $CB11), 0),"")</f>
        <v/>
      </c>
      <c r="CN11" s="252" t="str">
        <f t="array" aca="1" ref="CN11" ca="1">IFERROR(INDEX($BX$3:$BX$810, SMALL(IF(COUNTIF(CN$3, $BY$3:$BY$810), ROW($BX$3:$BX$810)-MIN(ROW($BX$3:$BX$810))+1), $CB11), 0),"")</f>
        <v/>
      </c>
      <c r="CO11" s="252" t="str">
        <f t="array" aca="1" ref="CO11" ca="1">IFERROR(INDEX($BX$3:$BX$810, SMALL(IF(COUNTIF(CO$3, $BY$3:$BY$810), ROW($BX$3:$BX$810)-MIN(ROW($BX$3:$BX$810))+1), $CB11), 0),"")</f>
        <v/>
      </c>
      <c r="CP11" s="252" t="str">
        <f t="array" aca="1" ref="CP11" ca="1">IFERROR(INDEX($BX$3:$BX$810, SMALL(IF(COUNTIF(CP$3, $BY$3:$BY$810), ROW($BX$3:$BX$810)-MIN(ROW($BX$3:$BX$810))+1), $CB11), 0),"")</f>
        <v/>
      </c>
      <c r="CQ11" s="252" t="str">
        <f t="array" aca="1" ref="CQ11" ca="1">IFERROR(INDEX($BX$3:$BX$810, SMALL(IF(COUNTIF(CQ$3, $BY$3:$BY$810), ROW($BX$3:$BX$810)-MIN(ROW($BX$3:$BX$810))+1), $CB11), 0),"")</f>
        <v/>
      </c>
      <c r="CS11" s="252">
        <v>8</v>
      </c>
      <c r="CT11" s="252">
        <v>1</v>
      </c>
      <c r="CV11" s="252" t="str">
        <f t="shared" ca="1" si="8"/>
        <v/>
      </c>
      <c r="CW11" s="252">
        <f t="shared" ca="1" si="14"/>
        <v>0</v>
      </c>
      <c r="CZ11" s="252">
        <v>8</v>
      </c>
      <c r="DA11" s="252" t="str">
        <f t="shared" ca="1" si="15"/>
        <v>Kwadwo Duah</v>
      </c>
      <c r="DB11" s="252">
        <f t="shared" ca="1" si="9"/>
        <v>1</v>
      </c>
      <c r="DC11" s="252" t="str">
        <f t="shared" ca="1" si="10"/>
        <v>Kwadwo Duah</v>
      </c>
      <c r="DD11" s="252" t="str">
        <f t="shared" ca="1" si="11"/>
        <v>Switzerland</v>
      </c>
    </row>
    <row r="12" spans="1:108" x14ac:dyDescent="0.2">
      <c r="A12" s="252">
        <v>10</v>
      </c>
      <c r="B12" s="252" t="str">
        <f>'Player Database'!C15</f>
        <v>Jamal Musiala</v>
      </c>
      <c r="C12" s="252" t="str">
        <f>'Player Database'!D15</f>
        <v>Ché Adams</v>
      </c>
      <c r="D12" s="252" t="str">
        <f>'Player Database'!E15</f>
        <v>Dominik Szoboszlai</v>
      </c>
      <c r="E12" s="252" t="str">
        <f>'Player Database'!F15</f>
        <v>Granit Xhaka</v>
      </c>
      <c r="F12" s="252" t="str">
        <f>'Player Database'!G15</f>
        <v>Lorenzo Pellegrini</v>
      </c>
      <c r="G12" s="252" t="str">
        <f>'Player Database'!H15</f>
        <v>Nedim Bajrami</v>
      </c>
      <c r="H12" s="252" t="str">
        <f>'Player Database'!I15</f>
        <v>Dani Olmo</v>
      </c>
      <c r="I12" s="252" t="str">
        <f>'Player Database'!J15</f>
        <v>Luka Modrić</v>
      </c>
      <c r="J12" s="252" t="str">
        <f>'Player Database'!K15</f>
        <v>Dušan Tadić</v>
      </c>
      <c r="K12" s="252" t="str">
        <f>'Player Database'!L15</f>
        <v>Jude Bellingham</v>
      </c>
      <c r="L12" s="252" t="str">
        <f>'Player Database'!M15</f>
        <v>Timi Max Elšnik</v>
      </c>
      <c r="M12" s="252" t="str">
        <f>'Player Database'!N15</f>
        <v>Christian Eriksen</v>
      </c>
      <c r="N12" s="252" t="str">
        <f>'Player Database'!O15</f>
        <v>Piotr Zieliński</v>
      </c>
      <c r="O12" s="252" t="str">
        <f>'Player Database'!P15</f>
        <v>Memphis Depay</v>
      </c>
      <c r="P12" s="252" t="str">
        <f>'Player Database'!Q15</f>
        <v>Florian Grillitsch</v>
      </c>
      <c r="Q12" s="252" t="str">
        <f>'Player Database'!R15</f>
        <v>Kylian Mbappé</v>
      </c>
      <c r="R12" s="252" t="str">
        <f>'Player Database'!S15</f>
        <v>Romelu Lukaku</v>
      </c>
      <c r="S12" s="252" t="str">
        <f>'Player Database'!T15</f>
        <v>Ľubomír Tupta</v>
      </c>
      <c r="T12" s="252" t="str">
        <f>'Player Database'!U15</f>
        <v>Ianis Hagi</v>
      </c>
      <c r="U12" s="252" t="str">
        <f>'Player Database'!V15</f>
        <v>Mykhaylo Mudryk</v>
      </c>
      <c r="V12" s="252" t="str">
        <f>'Player Database'!W15</f>
        <v>Bernardo Silva</v>
      </c>
      <c r="W12" s="252" t="str">
        <f>'Player Database'!X15</f>
        <v>Patrik Schick</v>
      </c>
      <c r="X12" s="252" t="str">
        <f>'Player Database'!Y15</f>
        <v>Hakan Çalhanoğlu</v>
      </c>
      <c r="Y12" s="252" t="str">
        <f>'Player Database'!Z15</f>
        <v>Giorgi Chakvetadze</v>
      </c>
      <c r="AI12" s="252" t="str">
        <f t="shared" ca="1" si="2"/>
        <v/>
      </c>
      <c r="AJ12" s="252" t="str">
        <f t="shared" ca="1" si="2"/>
        <v/>
      </c>
      <c r="AK12" s="252" t="str">
        <f t="shared" ca="1" si="2"/>
        <v/>
      </c>
      <c r="AL12" s="252" t="str">
        <f t="shared" ca="1" si="2"/>
        <v/>
      </c>
      <c r="AM12" s="252" t="str">
        <f t="shared" ca="1" si="2"/>
        <v/>
      </c>
      <c r="AN12" s="252" t="str">
        <f t="shared" ca="1" si="2"/>
        <v/>
      </c>
      <c r="AO12" s="252" t="str">
        <f t="shared" ca="1" si="2"/>
        <v/>
      </c>
      <c r="AP12" s="252" t="str">
        <f t="shared" ca="1" si="2"/>
        <v/>
      </c>
      <c r="AQ12" s="252" t="str">
        <f t="shared" ca="1" si="2"/>
        <v/>
      </c>
      <c r="AR12" s="252" t="str">
        <f t="shared" ca="1" si="2"/>
        <v/>
      </c>
      <c r="AS12" s="252" t="str">
        <f t="shared" ca="1" si="2"/>
        <v/>
      </c>
      <c r="AT12" s="252" t="str">
        <f t="shared" ca="1" si="2"/>
        <v/>
      </c>
      <c r="AU12" s="252" t="str">
        <f t="shared" ca="1" si="2"/>
        <v/>
      </c>
      <c r="AV12" s="252" t="str">
        <f t="shared" ca="1" si="2"/>
        <v/>
      </c>
      <c r="AW12" s="252" t="str">
        <f t="shared" ca="1" si="2"/>
        <v/>
      </c>
      <c r="AX12" s="252" t="str">
        <f t="shared" ca="1" si="2"/>
        <v/>
      </c>
      <c r="AZ12" s="252" t="str">
        <f t="shared" ca="1" si="3"/>
        <v/>
      </c>
      <c r="BA12" s="252" t="str">
        <f t="shared" ca="1" si="3"/>
        <v/>
      </c>
      <c r="BB12" s="252" t="str">
        <f t="shared" ca="1" si="3"/>
        <v/>
      </c>
      <c r="BC12" s="252" t="str">
        <f t="shared" ca="1" si="3"/>
        <v/>
      </c>
      <c r="BD12" s="252" t="str">
        <f t="shared" ca="1" si="3"/>
        <v/>
      </c>
      <c r="BE12" s="252" t="str">
        <f t="shared" ca="1" si="3"/>
        <v/>
      </c>
      <c r="BF12" s="252" t="str">
        <f t="shared" ca="1" si="3"/>
        <v/>
      </c>
      <c r="BG12" s="252" t="str">
        <f t="shared" ca="1" si="3"/>
        <v/>
      </c>
      <c r="BI12" s="252" t="str">
        <f t="shared" ca="1" si="4"/>
        <v/>
      </c>
      <c r="BJ12" s="252" t="str">
        <f t="shared" ca="1" si="4"/>
        <v/>
      </c>
      <c r="BK12" s="252" t="str">
        <f t="shared" ca="1" si="4"/>
        <v/>
      </c>
      <c r="BL12" s="252" t="str">
        <f t="shared" ca="1" si="4"/>
        <v/>
      </c>
      <c r="BN12" s="252" t="str">
        <f t="shared" si="5"/>
        <v/>
      </c>
      <c r="BO12" s="252" t="str">
        <f t="shared" si="5"/>
        <v/>
      </c>
      <c r="BQ12" s="252" t="str">
        <f t="shared" ca="1" si="6"/>
        <v/>
      </c>
      <c r="BR12" s="252" t="str">
        <f t="shared" ca="1" si="6"/>
        <v/>
      </c>
      <c r="BT12" s="253" t="str">
        <f t="shared" si="12"/>
        <v>Germany</v>
      </c>
      <c r="BU12" s="253">
        <f t="shared" si="13"/>
        <v>10</v>
      </c>
      <c r="BW12" s="253">
        <v>1</v>
      </c>
      <c r="BX12" s="253" t="str">
        <f t="shared" si="7"/>
        <v>Jamal Musiala</v>
      </c>
      <c r="BY12" s="253">
        <f>COUNTIF('Group Stages'!$J$8:$Q$80,BX12)+COUNTIF('Knock Out Stages'!$K$7:$R$45,BX12)</f>
        <v>1</v>
      </c>
      <c r="CA12" s="253" t="str">
        <f>'Player Database'!C15</f>
        <v>Jamal Musiala</v>
      </c>
      <c r="CB12" s="252">
        <v>9</v>
      </c>
      <c r="CC12" s="252" t="str">
        <f t="array" aca="1" ref="CC12" ca="1">IFERROR(INDEX($BX$3:$BX$810, SMALL(IF(COUNTIF(CC$3, $BY$3:$BY$810), ROW($BX$3:$BX$810)-MIN(ROW($BX$3:$BX$810))+1), $CB12), 0),"")</f>
        <v>Michel Aebischer</v>
      </c>
      <c r="CD12" s="252" t="str">
        <f t="array" aca="1" ref="CD12" ca="1">IFERROR(INDEX($BX$3:$BX$810, SMALL(IF(COUNTIF(CD$3, $BY$3:$BY$810), ROW($BX$3:$BX$810)-MIN(ROW($BX$3:$BX$810))+1), $CB12), 0),"")</f>
        <v/>
      </c>
      <c r="CE12" s="252" t="str">
        <f t="array" aca="1" ref="CE12" ca="1">IFERROR(INDEX($BX$3:$BX$810, SMALL(IF(COUNTIF(CE$3, $BY$3:$BY$810), ROW($BX$3:$BX$810)-MIN(ROW($BX$3:$BX$810))+1), $CB12), 0),"")</f>
        <v/>
      </c>
      <c r="CF12" s="252" t="str">
        <f t="array" aca="1" ref="CF12" ca="1">IFERROR(INDEX($BX$3:$BX$810, SMALL(IF(COUNTIF(CF$3, $BY$3:$BY$810), ROW($BX$3:$BX$810)-MIN(ROW($BX$3:$BX$810))+1), $CB12), 0),"")</f>
        <v/>
      </c>
      <c r="CG12" s="252" t="str">
        <f t="array" aca="1" ref="CG12" ca="1">IFERROR(INDEX($BX$3:$BX$810, SMALL(IF(COUNTIF(CG$3, $BY$3:$BY$810), ROW($BX$3:$BX$810)-MIN(ROW($BX$3:$BX$810))+1), $CB12), 0),"")</f>
        <v/>
      </c>
      <c r="CH12" s="252" t="str">
        <f t="array" aca="1" ref="CH12" ca="1">IFERROR(INDEX($BX$3:$BX$810, SMALL(IF(COUNTIF(CH$3, $BY$3:$BY$810), ROW($BX$3:$BX$810)-MIN(ROW($BX$3:$BX$810))+1), $CB12), 0),"")</f>
        <v/>
      </c>
      <c r="CI12" s="252" t="str">
        <f t="array" aca="1" ref="CI12" ca="1">IFERROR(INDEX($BX$3:$BX$810, SMALL(IF(COUNTIF(CI$3, $BY$3:$BY$810), ROW($BX$3:$BX$810)-MIN(ROW($BX$3:$BX$810))+1), $CB12), 0),"")</f>
        <v/>
      </c>
      <c r="CJ12" s="252" t="str">
        <f t="array" aca="1" ref="CJ12" ca="1">IFERROR(INDEX($BX$3:$BX$810, SMALL(IF(COUNTIF(CJ$3, $BY$3:$BY$810), ROW($BX$3:$BX$810)-MIN(ROW($BX$3:$BX$810))+1), $CB12), 0),"")</f>
        <v/>
      </c>
      <c r="CK12" s="252" t="str">
        <f t="array" aca="1" ref="CK12" ca="1">IFERROR(INDEX($BX$3:$BX$810, SMALL(IF(COUNTIF(CK$3, $BY$3:$BY$810), ROW($BX$3:$BX$810)-MIN(ROW($BX$3:$BX$810))+1), $CB12), 0),"")</f>
        <v/>
      </c>
      <c r="CL12" s="252" t="str">
        <f t="array" aca="1" ref="CL12" ca="1">IFERROR(INDEX($BX$3:$BX$810, SMALL(IF(COUNTIF(CL$3, $BY$3:$BY$810), ROW($BX$3:$BX$810)-MIN(ROW($BX$3:$BX$810))+1), $CB12), 0),"")</f>
        <v/>
      </c>
      <c r="CM12" s="252" t="str">
        <f t="array" aca="1" ref="CM12" ca="1">IFERROR(INDEX($BX$3:$BX$810, SMALL(IF(COUNTIF(CM$3, $BY$3:$BY$810), ROW($BX$3:$BX$810)-MIN(ROW($BX$3:$BX$810))+1), $CB12), 0),"")</f>
        <v/>
      </c>
      <c r="CN12" s="252" t="str">
        <f t="array" aca="1" ref="CN12" ca="1">IFERROR(INDEX($BX$3:$BX$810, SMALL(IF(COUNTIF(CN$3, $BY$3:$BY$810), ROW($BX$3:$BX$810)-MIN(ROW($BX$3:$BX$810))+1), $CB12), 0),"")</f>
        <v/>
      </c>
      <c r="CO12" s="252" t="str">
        <f t="array" aca="1" ref="CO12" ca="1">IFERROR(INDEX($BX$3:$BX$810, SMALL(IF(COUNTIF(CO$3, $BY$3:$BY$810), ROW($BX$3:$BX$810)-MIN(ROW($BX$3:$BX$810))+1), $CB12), 0),"")</f>
        <v/>
      </c>
      <c r="CP12" s="252" t="str">
        <f t="array" aca="1" ref="CP12" ca="1">IFERROR(INDEX($BX$3:$BX$810, SMALL(IF(COUNTIF(CP$3, $BY$3:$BY$810), ROW($BX$3:$BX$810)-MIN(ROW($BX$3:$BX$810))+1), $CB12), 0),"")</f>
        <v/>
      </c>
      <c r="CQ12" s="252" t="str">
        <f t="array" aca="1" ref="CQ12" ca="1">IFERROR(INDEX($BX$3:$BX$810, SMALL(IF(COUNTIF(CQ$3, $BY$3:$BY$810), ROW($BX$3:$BX$810)-MIN(ROW($BX$3:$BX$810))+1), $CB12), 0),"")</f>
        <v/>
      </c>
      <c r="CS12" s="252">
        <v>9</v>
      </c>
      <c r="CT12" s="252">
        <v>1</v>
      </c>
      <c r="CV12" s="252" t="str">
        <f t="shared" ca="1" si="8"/>
        <v/>
      </c>
      <c r="CW12" s="252">
        <f t="shared" ca="1" si="14"/>
        <v>0</v>
      </c>
      <c r="CZ12" s="252">
        <v>9</v>
      </c>
      <c r="DA12" s="252" t="str">
        <f t="shared" ca="1" si="15"/>
        <v>Michel Aebischer</v>
      </c>
      <c r="DB12" s="252">
        <f t="shared" ca="1" si="9"/>
        <v>1</v>
      </c>
      <c r="DC12" s="252" t="str">
        <f t="shared" ca="1" si="10"/>
        <v>Michel Aebischer</v>
      </c>
      <c r="DD12" s="252" t="str">
        <f t="shared" ca="1" si="11"/>
        <v>Switzerland</v>
      </c>
    </row>
    <row r="13" spans="1:108" x14ac:dyDescent="0.2">
      <c r="A13" s="252">
        <v>11</v>
      </c>
      <c r="B13" s="252" t="str">
        <f>'Player Database'!C16</f>
        <v>Chris Führich</v>
      </c>
      <c r="C13" s="252" t="str">
        <f>'Player Database'!D16</f>
        <v>Ryan Christie</v>
      </c>
      <c r="D13" s="252" t="str">
        <f>'Player Database'!E16</f>
        <v>Milos Kerkez</v>
      </c>
      <c r="E13" s="252" t="str">
        <f>'Player Database'!F16</f>
        <v>Renato Steffen</v>
      </c>
      <c r="F13" s="252" t="str">
        <f>'Player Database'!G16</f>
        <v>Giacomo Raspadori</v>
      </c>
      <c r="G13" s="252" t="str">
        <f>'Player Database'!H16</f>
        <v>Armando Broja</v>
      </c>
      <c r="H13" s="252" t="str">
        <f>'Player Database'!I16</f>
        <v>Ferran Torres</v>
      </c>
      <c r="I13" s="252" t="str">
        <f>'Player Database'!J16</f>
        <v>Marcelo Brozović</v>
      </c>
      <c r="J13" s="252" t="str">
        <f>'Player Database'!K16</f>
        <v>Filip Kostić</v>
      </c>
      <c r="K13" s="252" t="str">
        <f>'Player Database'!L16</f>
        <v>Phil Foden</v>
      </c>
      <c r="L13" s="252" t="str">
        <f>'Player Database'!M16</f>
        <v>Benjamin Šeško</v>
      </c>
      <c r="M13" s="252" t="str">
        <f>'Player Database'!N16</f>
        <v>Andreas Skov Olsen</v>
      </c>
      <c r="N13" s="252" t="str">
        <f>'Player Database'!O16</f>
        <v>Kamil Grosicki</v>
      </c>
      <c r="O13" s="252" t="str">
        <f>'Player Database'!P16</f>
        <v>Cody Gakpo</v>
      </c>
      <c r="P13" s="252" t="str">
        <f>'Player Database'!Q16</f>
        <v>Michael Gregoritsch</v>
      </c>
      <c r="Q13" s="252" t="str">
        <f>'Player Database'!R16</f>
        <v>Ousmane Dembélé</v>
      </c>
      <c r="R13" s="252" t="str">
        <f>'Player Database'!S16</f>
        <v>Yannick Carrasco</v>
      </c>
      <c r="S13" s="252" t="str">
        <f>'Player Database'!T16</f>
        <v>László Bénes</v>
      </c>
      <c r="T13" s="252" t="str">
        <f>'Player Database'!U16</f>
        <v>Nicușor Bancu</v>
      </c>
      <c r="U13" s="252" t="str">
        <f>'Player Database'!V16</f>
        <v>Artem Dovbyk</v>
      </c>
      <c r="V13" s="252" t="str">
        <f>'Player Database'!W16</f>
        <v>João Félix</v>
      </c>
      <c r="W13" s="252" t="str">
        <f>'Player Database'!X16</f>
        <v>Jan Kuchta</v>
      </c>
      <c r="X13" s="252" t="str">
        <f>'Player Database'!Y16</f>
        <v>Yusuf Yazıcı</v>
      </c>
      <c r="Y13" s="252" t="str">
        <f>'Player Database'!Z16</f>
        <v>Giorgi Kvilitaia</v>
      </c>
      <c r="AI13" s="252" t="str">
        <f t="shared" ref="AI13:AX22" ca="1" si="16">IFERROR(INDEX($B$3:$AG$28,$A13,MATCH(AI$2,$B$2:$AG$2,0)),"")</f>
        <v/>
      </c>
      <c r="AJ13" s="252" t="str">
        <f t="shared" ca="1" si="16"/>
        <v/>
      </c>
      <c r="AK13" s="252" t="str">
        <f t="shared" ca="1" si="16"/>
        <v/>
      </c>
      <c r="AL13" s="252" t="str">
        <f t="shared" ca="1" si="16"/>
        <v/>
      </c>
      <c r="AM13" s="252" t="str">
        <f t="shared" ca="1" si="16"/>
        <v/>
      </c>
      <c r="AN13" s="252" t="str">
        <f t="shared" ca="1" si="16"/>
        <v/>
      </c>
      <c r="AO13" s="252" t="str">
        <f t="shared" ca="1" si="16"/>
        <v/>
      </c>
      <c r="AP13" s="252" t="str">
        <f t="shared" ca="1" si="16"/>
        <v/>
      </c>
      <c r="AQ13" s="252" t="str">
        <f t="shared" ca="1" si="16"/>
        <v/>
      </c>
      <c r="AR13" s="252" t="str">
        <f t="shared" ca="1" si="16"/>
        <v/>
      </c>
      <c r="AS13" s="252" t="str">
        <f t="shared" ca="1" si="16"/>
        <v/>
      </c>
      <c r="AT13" s="252" t="str">
        <f t="shared" ca="1" si="16"/>
        <v/>
      </c>
      <c r="AU13" s="252" t="str">
        <f t="shared" ca="1" si="16"/>
        <v/>
      </c>
      <c r="AV13" s="252" t="str">
        <f t="shared" ca="1" si="16"/>
        <v/>
      </c>
      <c r="AW13" s="252" t="str">
        <f t="shared" ca="1" si="16"/>
        <v/>
      </c>
      <c r="AX13" s="252" t="str">
        <f t="shared" ca="1" si="16"/>
        <v/>
      </c>
      <c r="AZ13" s="252" t="str">
        <f t="shared" ref="AZ13:BG22" ca="1" si="17">IFERROR(INDEX($B$3:$AG$28,$A13,MATCH(AZ$2,$B$2:$AG$2,0)),"")</f>
        <v/>
      </c>
      <c r="BA13" s="252" t="str">
        <f t="shared" ca="1" si="17"/>
        <v/>
      </c>
      <c r="BB13" s="252" t="str">
        <f t="shared" ca="1" si="17"/>
        <v/>
      </c>
      <c r="BC13" s="252" t="str">
        <f t="shared" ca="1" si="17"/>
        <v/>
      </c>
      <c r="BD13" s="252" t="str">
        <f t="shared" ca="1" si="17"/>
        <v/>
      </c>
      <c r="BE13" s="252" t="str">
        <f t="shared" ca="1" si="17"/>
        <v/>
      </c>
      <c r="BF13" s="252" t="str">
        <f t="shared" ca="1" si="17"/>
        <v/>
      </c>
      <c r="BG13" s="252" t="str">
        <f t="shared" ca="1" si="17"/>
        <v/>
      </c>
      <c r="BI13" s="252" t="str">
        <f t="shared" ca="1" si="4"/>
        <v/>
      </c>
      <c r="BJ13" s="252" t="str">
        <f t="shared" ca="1" si="4"/>
        <v/>
      </c>
      <c r="BK13" s="252" t="str">
        <f t="shared" ca="1" si="4"/>
        <v/>
      </c>
      <c r="BL13" s="252" t="str">
        <f t="shared" ca="1" si="4"/>
        <v/>
      </c>
      <c r="BN13" s="252" t="str">
        <f t="shared" si="5"/>
        <v/>
      </c>
      <c r="BO13" s="252" t="str">
        <f t="shared" si="5"/>
        <v/>
      </c>
      <c r="BQ13" s="252" t="str">
        <f t="shared" ca="1" si="6"/>
        <v/>
      </c>
      <c r="BR13" s="252" t="str">
        <f t="shared" ca="1" si="6"/>
        <v/>
      </c>
      <c r="BT13" s="253" t="str">
        <f t="shared" si="12"/>
        <v>Germany</v>
      </c>
      <c r="BU13" s="253">
        <f t="shared" si="13"/>
        <v>11</v>
      </c>
      <c r="BW13" s="253">
        <v>1</v>
      </c>
      <c r="BX13" s="253" t="str">
        <f t="shared" si="7"/>
        <v>Chris Führich</v>
      </c>
      <c r="BY13" s="253">
        <f>COUNTIF('Group Stages'!$J$8:$Q$80,BX13)+COUNTIF('Knock Out Stages'!$K$7:$R$45,BX13)</f>
        <v>0</v>
      </c>
      <c r="CA13" s="253" t="str">
        <f>'Player Database'!C16</f>
        <v>Chris Führich</v>
      </c>
      <c r="CB13" s="252">
        <v>10</v>
      </c>
      <c r="CC13" s="252" t="str">
        <f t="array" aca="1" ref="CC13" ca="1">IFERROR(INDEX($BX$3:$BX$810, SMALL(IF(COUNTIF(CC$3, $BY$3:$BY$810), ROW($BX$3:$BX$810)-MIN(ROW($BX$3:$BX$810))+1), $CB13), 0),"")</f>
        <v>Nicolò Barella</v>
      </c>
      <c r="CD13" s="252" t="str">
        <f t="array" aca="1" ref="CD13" ca="1">IFERROR(INDEX($BX$3:$BX$810, SMALL(IF(COUNTIF(CD$3, $BY$3:$BY$810), ROW($BX$3:$BX$810)-MIN(ROW($BX$3:$BX$810))+1), $CB13), 0),"")</f>
        <v/>
      </c>
      <c r="CE13" s="252" t="str">
        <f t="array" aca="1" ref="CE13" ca="1">IFERROR(INDEX($BX$3:$BX$810, SMALL(IF(COUNTIF(CE$3, $BY$3:$BY$810), ROW($BX$3:$BX$810)-MIN(ROW($BX$3:$BX$810))+1), $CB13), 0),"")</f>
        <v/>
      </c>
      <c r="CF13" s="252" t="str">
        <f t="array" aca="1" ref="CF13" ca="1">IFERROR(INDEX($BX$3:$BX$810, SMALL(IF(COUNTIF(CF$3, $BY$3:$BY$810), ROW($BX$3:$BX$810)-MIN(ROW($BX$3:$BX$810))+1), $CB13), 0),"")</f>
        <v/>
      </c>
      <c r="CG13" s="252" t="str">
        <f t="array" aca="1" ref="CG13" ca="1">IFERROR(INDEX($BX$3:$BX$810, SMALL(IF(COUNTIF(CG$3, $BY$3:$BY$810), ROW($BX$3:$BX$810)-MIN(ROW($BX$3:$BX$810))+1), $CB13), 0),"")</f>
        <v/>
      </c>
      <c r="CH13" s="252" t="str">
        <f t="array" aca="1" ref="CH13" ca="1">IFERROR(INDEX($BX$3:$BX$810, SMALL(IF(COUNTIF(CH$3, $BY$3:$BY$810), ROW($BX$3:$BX$810)-MIN(ROW($BX$3:$BX$810))+1), $CB13), 0),"")</f>
        <v/>
      </c>
      <c r="CI13" s="252" t="str">
        <f t="array" aca="1" ref="CI13" ca="1">IFERROR(INDEX($BX$3:$BX$810, SMALL(IF(COUNTIF(CI$3, $BY$3:$BY$810), ROW($BX$3:$BX$810)-MIN(ROW($BX$3:$BX$810))+1), $CB13), 0),"")</f>
        <v/>
      </c>
      <c r="CJ13" s="252" t="str">
        <f t="array" aca="1" ref="CJ13" ca="1">IFERROR(INDEX($BX$3:$BX$810, SMALL(IF(COUNTIF(CJ$3, $BY$3:$BY$810), ROW($BX$3:$BX$810)-MIN(ROW($BX$3:$BX$810))+1), $CB13), 0),"")</f>
        <v/>
      </c>
      <c r="CK13" s="252" t="str">
        <f t="array" aca="1" ref="CK13" ca="1">IFERROR(INDEX($BX$3:$BX$810, SMALL(IF(COUNTIF(CK$3, $BY$3:$BY$810), ROW($BX$3:$BX$810)-MIN(ROW($BX$3:$BX$810))+1), $CB13), 0),"")</f>
        <v/>
      </c>
      <c r="CL13" s="252" t="str">
        <f t="array" aca="1" ref="CL13" ca="1">IFERROR(INDEX($BX$3:$BX$810, SMALL(IF(COUNTIF(CL$3, $BY$3:$BY$810), ROW($BX$3:$BX$810)-MIN(ROW($BX$3:$BX$810))+1), $CB13), 0),"")</f>
        <v/>
      </c>
      <c r="CM13" s="252" t="str">
        <f t="array" aca="1" ref="CM13" ca="1">IFERROR(INDEX($BX$3:$BX$810, SMALL(IF(COUNTIF(CM$3, $BY$3:$BY$810), ROW($BX$3:$BX$810)-MIN(ROW($BX$3:$BX$810))+1), $CB13), 0),"")</f>
        <v/>
      </c>
      <c r="CN13" s="252" t="str">
        <f t="array" aca="1" ref="CN13" ca="1">IFERROR(INDEX($BX$3:$BX$810, SMALL(IF(COUNTIF(CN$3, $BY$3:$BY$810), ROW($BX$3:$BX$810)-MIN(ROW($BX$3:$BX$810))+1), $CB13), 0),"")</f>
        <v/>
      </c>
      <c r="CO13" s="252" t="str">
        <f t="array" aca="1" ref="CO13" ca="1">IFERROR(INDEX($BX$3:$BX$810, SMALL(IF(COUNTIF(CO$3, $BY$3:$BY$810), ROW($BX$3:$BX$810)-MIN(ROW($BX$3:$BX$810))+1), $CB13), 0),"")</f>
        <v/>
      </c>
      <c r="CP13" s="252" t="str">
        <f t="array" aca="1" ref="CP13" ca="1">IFERROR(INDEX($BX$3:$BX$810, SMALL(IF(COUNTIF(CP$3, $BY$3:$BY$810), ROW($BX$3:$BX$810)-MIN(ROW($BX$3:$BX$810))+1), $CB13), 0),"")</f>
        <v/>
      </c>
      <c r="CQ13" s="252" t="str">
        <f t="array" aca="1" ref="CQ13" ca="1">IFERROR(INDEX($BX$3:$BX$810, SMALL(IF(COUNTIF(CQ$3, $BY$3:$BY$810), ROW($BX$3:$BX$810)-MIN(ROW($BX$3:$BX$810))+1), $CB13), 0),"")</f>
        <v/>
      </c>
      <c r="CS13" s="252">
        <v>10</v>
      </c>
      <c r="CT13" s="252">
        <v>1</v>
      </c>
      <c r="CV13" s="252" t="str">
        <f t="shared" ca="1" si="8"/>
        <v/>
      </c>
      <c r="CW13" s="252">
        <f t="shared" ca="1" si="14"/>
        <v>0</v>
      </c>
      <c r="CZ13" s="252">
        <v>10</v>
      </c>
      <c r="DA13" s="252" t="str">
        <f t="shared" ca="1" si="15"/>
        <v>Nicolò Barella</v>
      </c>
      <c r="DB13" s="252">
        <f t="shared" ca="1" si="9"/>
        <v>1</v>
      </c>
      <c r="DC13" s="252" t="str">
        <f t="shared" ca="1" si="10"/>
        <v>Nicolò Barella</v>
      </c>
      <c r="DD13" s="252" t="str">
        <f t="shared" ca="1" si="11"/>
        <v>Italy</v>
      </c>
    </row>
    <row r="14" spans="1:108" x14ac:dyDescent="0.2">
      <c r="A14" s="252">
        <v>12</v>
      </c>
      <c r="B14" s="252" t="str">
        <f>'Player Database'!C17</f>
        <v>Oliver Baumann</v>
      </c>
      <c r="C14" s="252" t="str">
        <f>'Player Database'!D17</f>
        <v>Liam Kelly</v>
      </c>
      <c r="D14" s="252" t="str">
        <f>'Player Database'!E17</f>
        <v>Dénes Dibusz</v>
      </c>
      <c r="E14" s="252" t="str">
        <f>'Player Database'!F17</f>
        <v>Yvon Mvogo</v>
      </c>
      <c r="F14" s="252" t="str">
        <f>'Player Database'!G17</f>
        <v>Guglielmo Vicario</v>
      </c>
      <c r="G14" s="252" t="str">
        <f>'Player Database'!H17</f>
        <v>Elhan Kastrati</v>
      </c>
      <c r="H14" s="252" t="str">
        <f>'Player Database'!I17</f>
        <v>Álex Grimaldo</v>
      </c>
      <c r="I14" s="252" t="str">
        <f>'Player Database'!J17</f>
        <v>Nediljko Labrović</v>
      </c>
      <c r="J14" s="252" t="str">
        <f>'Player Database'!K17</f>
        <v>Đorđe Petrović</v>
      </c>
      <c r="K14" s="252" t="str">
        <f>'Player Database'!L17</f>
        <v>Kieran Trippier</v>
      </c>
      <c r="L14" s="252" t="str">
        <f>'Player Database'!M17</f>
        <v>Vid Belec</v>
      </c>
      <c r="M14" s="252" t="str">
        <f>'Player Database'!N17</f>
        <v>Kasper Dolberg</v>
      </c>
      <c r="N14" s="252" t="str">
        <f>'Player Database'!O17</f>
        <v>Łukasz Skorupski</v>
      </c>
      <c r="O14" s="252" t="str">
        <f>'Player Database'!P17</f>
        <v>Jeremie Frimpong</v>
      </c>
      <c r="P14" s="252" t="str">
        <f>'Player Database'!Q17</f>
        <v>Niklas Hedl</v>
      </c>
      <c r="Q14" s="252" t="str">
        <f>'Player Database'!R17</f>
        <v>Randal Kolo Muani</v>
      </c>
      <c r="R14" s="252" t="str">
        <f>'Player Database'!S17</f>
        <v>Thomas Kaminski</v>
      </c>
      <c r="S14" s="252" t="str">
        <f>'Player Database'!T17</f>
        <v>Marek Rodák</v>
      </c>
      <c r="T14" s="252" t="str">
        <f>'Player Database'!U17</f>
        <v>Horațiu Moldovan</v>
      </c>
      <c r="U14" s="252" t="str">
        <f>'Player Database'!V17</f>
        <v>Anatoliy Trubin</v>
      </c>
      <c r="V14" s="252" t="str">
        <f>'Player Database'!W17</f>
        <v>José Sá</v>
      </c>
      <c r="W14" s="252" t="str">
        <f>'Player Database'!X17</f>
        <v>David Douděra</v>
      </c>
      <c r="X14" s="252" t="str">
        <f>'Player Database'!Y17</f>
        <v>Altay Bayındır</v>
      </c>
      <c r="Y14" s="252" t="str">
        <f>'Player Database'!Z17</f>
        <v>Luka Gugeshashvili</v>
      </c>
      <c r="AI14" s="252" t="str">
        <f t="shared" ca="1" si="16"/>
        <v/>
      </c>
      <c r="AJ14" s="252" t="str">
        <f t="shared" ca="1" si="16"/>
        <v/>
      </c>
      <c r="AK14" s="252" t="str">
        <f t="shared" ca="1" si="16"/>
        <v/>
      </c>
      <c r="AL14" s="252" t="str">
        <f t="shared" ca="1" si="16"/>
        <v/>
      </c>
      <c r="AM14" s="252" t="str">
        <f t="shared" ca="1" si="16"/>
        <v/>
      </c>
      <c r="AN14" s="252" t="str">
        <f t="shared" ca="1" si="16"/>
        <v/>
      </c>
      <c r="AO14" s="252" t="str">
        <f t="shared" ca="1" si="16"/>
        <v/>
      </c>
      <c r="AP14" s="252" t="str">
        <f t="shared" ca="1" si="16"/>
        <v/>
      </c>
      <c r="AQ14" s="252" t="str">
        <f t="shared" ca="1" si="16"/>
        <v/>
      </c>
      <c r="AR14" s="252" t="str">
        <f t="shared" ca="1" si="16"/>
        <v/>
      </c>
      <c r="AS14" s="252" t="str">
        <f t="shared" ca="1" si="16"/>
        <v/>
      </c>
      <c r="AT14" s="252" t="str">
        <f t="shared" ca="1" si="16"/>
        <v/>
      </c>
      <c r="AU14" s="252" t="str">
        <f t="shared" ca="1" si="16"/>
        <v/>
      </c>
      <c r="AV14" s="252" t="str">
        <f t="shared" ca="1" si="16"/>
        <v/>
      </c>
      <c r="AW14" s="252" t="str">
        <f t="shared" ca="1" si="16"/>
        <v/>
      </c>
      <c r="AX14" s="252" t="str">
        <f t="shared" ca="1" si="16"/>
        <v/>
      </c>
      <c r="AZ14" s="252" t="str">
        <f t="shared" ca="1" si="17"/>
        <v/>
      </c>
      <c r="BA14" s="252" t="str">
        <f t="shared" ca="1" si="17"/>
        <v/>
      </c>
      <c r="BB14" s="252" t="str">
        <f t="shared" ca="1" si="17"/>
        <v/>
      </c>
      <c r="BC14" s="252" t="str">
        <f t="shared" ca="1" si="17"/>
        <v/>
      </c>
      <c r="BD14" s="252" t="str">
        <f t="shared" ca="1" si="17"/>
        <v/>
      </c>
      <c r="BE14" s="252" t="str">
        <f t="shared" ca="1" si="17"/>
        <v/>
      </c>
      <c r="BF14" s="252" t="str">
        <f t="shared" ca="1" si="17"/>
        <v/>
      </c>
      <c r="BG14" s="252" t="str">
        <f t="shared" ca="1" si="17"/>
        <v/>
      </c>
      <c r="BI14" s="252" t="str">
        <f t="shared" ca="1" si="4"/>
        <v/>
      </c>
      <c r="BJ14" s="252" t="str">
        <f t="shared" ca="1" si="4"/>
        <v/>
      </c>
      <c r="BK14" s="252" t="str">
        <f t="shared" ca="1" si="4"/>
        <v/>
      </c>
      <c r="BL14" s="252" t="str">
        <f t="shared" ca="1" si="4"/>
        <v/>
      </c>
      <c r="BN14" s="252" t="str">
        <f t="shared" si="5"/>
        <v/>
      </c>
      <c r="BO14" s="252" t="str">
        <f t="shared" si="5"/>
        <v/>
      </c>
      <c r="BQ14" s="252" t="str">
        <f t="shared" ca="1" si="6"/>
        <v/>
      </c>
      <c r="BR14" s="252" t="str">
        <f t="shared" ca="1" si="6"/>
        <v/>
      </c>
      <c r="BT14" s="253" t="str">
        <f t="shared" si="12"/>
        <v>Germany</v>
      </c>
      <c r="BU14" s="253">
        <f t="shared" si="13"/>
        <v>12</v>
      </c>
      <c r="BW14" s="253">
        <v>1</v>
      </c>
      <c r="BX14" s="253" t="str">
        <f t="shared" si="7"/>
        <v>Oliver Baumann</v>
      </c>
      <c r="BY14" s="253">
        <f>COUNTIF('Group Stages'!$J$8:$Q$80,BX14)+COUNTIF('Knock Out Stages'!$K$7:$R$45,BX14)</f>
        <v>0</v>
      </c>
      <c r="CA14" s="253" t="str">
        <f>'Player Database'!C17</f>
        <v>Oliver Baumann</v>
      </c>
      <c r="CB14" s="252">
        <v>11</v>
      </c>
      <c r="CC14" s="252" t="str">
        <f t="array" aca="1" ref="CC14" ca="1">IFERROR(INDEX($BX$3:$BX$810, SMALL(IF(COUNTIF(CC$3, $BY$3:$BY$810), ROW($BX$3:$BX$810)-MIN(ROW($BX$3:$BX$810))+1), $CB14), 0),"")</f>
        <v>Alessandro Bastoni</v>
      </c>
      <c r="CD14" s="252" t="str">
        <f t="array" aca="1" ref="CD14" ca="1">IFERROR(INDEX($BX$3:$BX$810, SMALL(IF(COUNTIF(CD$3, $BY$3:$BY$810), ROW($BX$3:$BX$810)-MIN(ROW($BX$3:$BX$810))+1), $CB14), 0),"")</f>
        <v/>
      </c>
      <c r="CE14" s="252" t="str">
        <f t="array" aca="1" ref="CE14" ca="1">IFERROR(INDEX($BX$3:$BX$810, SMALL(IF(COUNTIF(CE$3, $BY$3:$BY$810), ROW($BX$3:$BX$810)-MIN(ROW($BX$3:$BX$810))+1), $CB14), 0),"")</f>
        <v/>
      </c>
      <c r="CF14" s="252" t="str">
        <f t="array" aca="1" ref="CF14" ca="1">IFERROR(INDEX($BX$3:$BX$810, SMALL(IF(COUNTIF(CF$3, $BY$3:$BY$810), ROW($BX$3:$BX$810)-MIN(ROW($BX$3:$BX$810))+1), $CB14), 0),"")</f>
        <v/>
      </c>
      <c r="CG14" s="252" t="str">
        <f t="array" aca="1" ref="CG14" ca="1">IFERROR(INDEX($BX$3:$BX$810, SMALL(IF(COUNTIF(CG$3, $BY$3:$BY$810), ROW($BX$3:$BX$810)-MIN(ROW($BX$3:$BX$810))+1), $CB14), 0),"")</f>
        <v/>
      </c>
      <c r="CH14" s="252" t="str">
        <f t="array" aca="1" ref="CH14" ca="1">IFERROR(INDEX($BX$3:$BX$810, SMALL(IF(COUNTIF(CH$3, $BY$3:$BY$810), ROW($BX$3:$BX$810)-MIN(ROW($BX$3:$BX$810))+1), $CB14), 0),"")</f>
        <v/>
      </c>
      <c r="CI14" s="252" t="str">
        <f t="array" aca="1" ref="CI14" ca="1">IFERROR(INDEX($BX$3:$BX$810, SMALL(IF(COUNTIF(CI$3, $BY$3:$BY$810), ROW($BX$3:$BX$810)-MIN(ROW($BX$3:$BX$810))+1), $CB14), 0),"")</f>
        <v/>
      </c>
      <c r="CJ14" s="252" t="str">
        <f t="array" aca="1" ref="CJ14" ca="1">IFERROR(INDEX($BX$3:$BX$810, SMALL(IF(COUNTIF(CJ$3, $BY$3:$BY$810), ROW($BX$3:$BX$810)-MIN(ROW($BX$3:$BX$810))+1), $CB14), 0),"")</f>
        <v/>
      </c>
      <c r="CK14" s="252" t="str">
        <f t="array" aca="1" ref="CK14" ca="1">IFERROR(INDEX($BX$3:$BX$810, SMALL(IF(COUNTIF(CK$3, $BY$3:$BY$810), ROW($BX$3:$BX$810)-MIN(ROW($BX$3:$BX$810))+1), $CB14), 0),"")</f>
        <v/>
      </c>
      <c r="CL14" s="252" t="str">
        <f t="array" aca="1" ref="CL14" ca="1">IFERROR(INDEX($BX$3:$BX$810, SMALL(IF(COUNTIF(CL$3, $BY$3:$BY$810), ROW($BX$3:$BX$810)-MIN(ROW($BX$3:$BX$810))+1), $CB14), 0),"")</f>
        <v/>
      </c>
      <c r="CM14" s="252" t="str">
        <f t="array" aca="1" ref="CM14" ca="1">IFERROR(INDEX($BX$3:$BX$810, SMALL(IF(COUNTIF(CM$3, $BY$3:$BY$810), ROW($BX$3:$BX$810)-MIN(ROW($BX$3:$BX$810))+1), $CB14), 0),"")</f>
        <v/>
      </c>
      <c r="CN14" s="252" t="str">
        <f t="array" aca="1" ref="CN14" ca="1">IFERROR(INDEX($BX$3:$BX$810, SMALL(IF(COUNTIF(CN$3, $BY$3:$BY$810), ROW($BX$3:$BX$810)-MIN(ROW($BX$3:$BX$810))+1), $CB14), 0),"")</f>
        <v/>
      </c>
      <c r="CO14" s="252" t="str">
        <f t="array" aca="1" ref="CO14" ca="1">IFERROR(INDEX($BX$3:$BX$810, SMALL(IF(COUNTIF(CO$3, $BY$3:$BY$810), ROW($BX$3:$BX$810)-MIN(ROW($BX$3:$BX$810))+1), $CB14), 0),"")</f>
        <v/>
      </c>
      <c r="CP14" s="252" t="str">
        <f t="array" aca="1" ref="CP14" ca="1">IFERROR(INDEX($BX$3:$BX$810, SMALL(IF(COUNTIF(CP$3, $BY$3:$BY$810), ROW($BX$3:$BX$810)-MIN(ROW($BX$3:$BX$810))+1), $CB14), 0),"")</f>
        <v/>
      </c>
      <c r="CQ14" s="252" t="str">
        <f t="array" aca="1" ref="CQ14" ca="1">IFERROR(INDEX($BX$3:$BX$810, SMALL(IF(COUNTIF(CQ$3, $BY$3:$BY$810), ROW($BX$3:$BX$810)-MIN(ROW($BX$3:$BX$810))+1), $CB14), 0),"")</f>
        <v/>
      </c>
      <c r="CS14" s="252">
        <v>11</v>
      </c>
      <c r="CT14" s="252">
        <v>1</v>
      </c>
      <c r="CV14" s="252" t="str">
        <f t="shared" ca="1" si="8"/>
        <v/>
      </c>
      <c r="CW14" s="252">
        <f t="shared" ca="1" si="14"/>
        <v>0</v>
      </c>
      <c r="CZ14" s="252">
        <v>11</v>
      </c>
      <c r="DA14" s="252" t="str">
        <f t="shared" ca="1" si="15"/>
        <v>Alessandro Bastoni</v>
      </c>
      <c r="DB14" s="252">
        <f t="shared" ca="1" si="9"/>
        <v>1</v>
      </c>
      <c r="DC14" s="252" t="str">
        <f t="shared" ca="1" si="10"/>
        <v>Alessandro Bastoni</v>
      </c>
      <c r="DD14" s="252" t="str">
        <f t="shared" ca="1" si="11"/>
        <v>Italy</v>
      </c>
    </row>
    <row r="15" spans="1:108" x14ac:dyDescent="0.2">
      <c r="A15" s="252">
        <v>13</v>
      </c>
      <c r="B15" s="252" t="str">
        <f>'Player Database'!C18</f>
        <v>Thomas Müller</v>
      </c>
      <c r="C15" s="252" t="str">
        <f>'Player Database'!D18</f>
        <v>Jack Hendry</v>
      </c>
      <c r="D15" s="252" t="str">
        <f>'Player Database'!E18</f>
        <v>András Schäfer</v>
      </c>
      <c r="E15" s="252" t="str">
        <f>'Player Database'!F18</f>
        <v>Ricardo Rodriguez</v>
      </c>
      <c r="F15" s="252" t="str">
        <f>'Player Database'!G18</f>
        <v>Matteo Darmian</v>
      </c>
      <c r="G15" s="252" t="str">
        <f>'Player Database'!H18</f>
        <v>Enea Mihaj</v>
      </c>
      <c r="H15" s="252" t="str">
        <f>'Player Database'!I18</f>
        <v>Álex Remiro</v>
      </c>
      <c r="I15" s="252" t="str">
        <f>'Player Database'!J18</f>
        <v>Nikola Vlašić</v>
      </c>
      <c r="J15" s="252" t="str">
        <f>'Player Database'!K18</f>
        <v>Miloš Veljković</v>
      </c>
      <c r="K15" s="252" t="str">
        <f>'Player Database'!L18</f>
        <v>Aaron Ramsdale</v>
      </c>
      <c r="L15" s="252" t="str">
        <f>'Player Database'!M18</f>
        <v>Erik Janža</v>
      </c>
      <c r="M15" s="252" t="str">
        <f>'Player Database'!N18</f>
        <v>Mathias Jørgensen</v>
      </c>
      <c r="N15" s="252" t="str">
        <f>'Player Database'!O18</f>
        <v>Taras Romanczuk</v>
      </c>
      <c r="O15" s="252" t="str">
        <f>'Player Database'!P18</f>
        <v>Justin Bijlow</v>
      </c>
      <c r="P15" s="252" t="str">
        <f>'Player Database'!Q18</f>
        <v>Patrick Pentz</v>
      </c>
      <c r="Q15" s="252" t="str">
        <f>'Player Database'!R18</f>
        <v>N'Golo Kanté</v>
      </c>
      <c r="R15" s="252" t="str">
        <f>'Player Database'!S18</f>
        <v>Matz Sels</v>
      </c>
      <c r="S15" s="252" t="str">
        <f>'Player Database'!T18</f>
        <v>Patrik Hrošovský</v>
      </c>
      <c r="T15" s="252" t="str">
        <f>'Player Database'!U18</f>
        <v>Valentin Mihăilă</v>
      </c>
      <c r="U15" s="252" t="str">
        <f>'Player Database'!V18</f>
        <v>Illya Zabarnyi</v>
      </c>
      <c r="V15" s="252" t="str">
        <f>'Player Database'!W18</f>
        <v>Danilo Pereira</v>
      </c>
      <c r="W15" s="252" t="str">
        <f>'Player Database'!X18</f>
        <v>Mojmír Chytil</v>
      </c>
      <c r="X15" s="252" t="str">
        <f>'Player Database'!Y18</f>
        <v>Ahmetcan Kaplan</v>
      </c>
      <c r="Y15" s="252" t="str">
        <f>'Player Database'!Z18</f>
        <v>Giorgi Gocholeishvili</v>
      </c>
      <c r="AI15" s="252" t="str">
        <f t="shared" ca="1" si="16"/>
        <v/>
      </c>
      <c r="AJ15" s="252" t="str">
        <f t="shared" ca="1" si="16"/>
        <v/>
      </c>
      <c r="AK15" s="252" t="str">
        <f t="shared" ca="1" si="16"/>
        <v/>
      </c>
      <c r="AL15" s="252" t="str">
        <f t="shared" ca="1" si="16"/>
        <v/>
      </c>
      <c r="AM15" s="252" t="str">
        <f t="shared" ca="1" si="16"/>
        <v/>
      </c>
      <c r="AN15" s="252" t="str">
        <f t="shared" ca="1" si="16"/>
        <v/>
      </c>
      <c r="AO15" s="252" t="str">
        <f t="shared" ca="1" si="16"/>
        <v/>
      </c>
      <c r="AP15" s="252" t="str">
        <f t="shared" ca="1" si="16"/>
        <v/>
      </c>
      <c r="AQ15" s="252" t="str">
        <f t="shared" ca="1" si="16"/>
        <v/>
      </c>
      <c r="AR15" s="252" t="str">
        <f t="shared" ca="1" si="16"/>
        <v/>
      </c>
      <c r="AS15" s="252" t="str">
        <f t="shared" ca="1" si="16"/>
        <v/>
      </c>
      <c r="AT15" s="252" t="str">
        <f t="shared" ca="1" si="16"/>
        <v/>
      </c>
      <c r="AU15" s="252" t="str">
        <f t="shared" ca="1" si="16"/>
        <v/>
      </c>
      <c r="AV15" s="252" t="str">
        <f t="shared" ca="1" si="16"/>
        <v/>
      </c>
      <c r="AW15" s="252" t="str">
        <f t="shared" ca="1" si="16"/>
        <v/>
      </c>
      <c r="AX15" s="252" t="str">
        <f t="shared" ca="1" si="16"/>
        <v/>
      </c>
      <c r="AZ15" s="252" t="str">
        <f t="shared" ca="1" si="17"/>
        <v/>
      </c>
      <c r="BA15" s="252" t="str">
        <f t="shared" ca="1" si="17"/>
        <v/>
      </c>
      <c r="BB15" s="252" t="str">
        <f t="shared" ca="1" si="17"/>
        <v/>
      </c>
      <c r="BC15" s="252" t="str">
        <f t="shared" ca="1" si="17"/>
        <v/>
      </c>
      <c r="BD15" s="252" t="str">
        <f t="shared" ca="1" si="17"/>
        <v/>
      </c>
      <c r="BE15" s="252" t="str">
        <f t="shared" ca="1" si="17"/>
        <v/>
      </c>
      <c r="BF15" s="252" t="str">
        <f t="shared" ca="1" si="17"/>
        <v/>
      </c>
      <c r="BG15" s="252" t="str">
        <f t="shared" ca="1" si="17"/>
        <v/>
      </c>
      <c r="BI15" s="252" t="str">
        <f t="shared" ca="1" si="4"/>
        <v/>
      </c>
      <c r="BJ15" s="252" t="str">
        <f t="shared" ca="1" si="4"/>
        <v/>
      </c>
      <c r="BK15" s="252" t="str">
        <f t="shared" ca="1" si="4"/>
        <v/>
      </c>
      <c r="BL15" s="252" t="str">
        <f t="shared" ca="1" si="4"/>
        <v/>
      </c>
      <c r="BN15" s="252" t="str">
        <f t="shared" si="5"/>
        <v/>
      </c>
      <c r="BO15" s="252" t="str">
        <f t="shared" si="5"/>
        <v/>
      </c>
      <c r="BQ15" s="252" t="str">
        <f t="shared" ca="1" si="6"/>
        <v/>
      </c>
      <c r="BR15" s="252" t="str">
        <f t="shared" ca="1" si="6"/>
        <v/>
      </c>
      <c r="BT15" s="253" t="str">
        <f t="shared" si="12"/>
        <v>Germany</v>
      </c>
      <c r="BU15" s="253">
        <f t="shared" si="13"/>
        <v>13</v>
      </c>
      <c r="BW15" s="253">
        <v>1</v>
      </c>
      <c r="BX15" s="253" t="str">
        <f t="shared" si="7"/>
        <v>Thomas Müller</v>
      </c>
      <c r="BY15" s="253">
        <f>COUNTIF('Group Stages'!$J$8:$Q$80,BX15)+COUNTIF('Knock Out Stages'!$K$7:$R$45,BX15)</f>
        <v>0</v>
      </c>
      <c r="CA15" s="253" t="str">
        <f>'Player Database'!C18</f>
        <v>Thomas Müller</v>
      </c>
      <c r="CB15" s="252">
        <v>12</v>
      </c>
      <c r="CC15" s="252" t="str">
        <f t="array" aca="1" ref="CC15" ca="1">IFERROR(INDEX($BX$3:$BX$810, SMALL(IF(COUNTIF(CC$3, $BY$3:$BY$810), ROW($BX$3:$BX$810)-MIN(ROW($BX$3:$BX$810))+1), $CB15), 0),"")</f>
        <v>Nedim Bajrami</v>
      </c>
      <c r="CD15" s="252" t="str">
        <f t="array" aca="1" ref="CD15" ca="1">IFERROR(INDEX($BX$3:$BX$810, SMALL(IF(COUNTIF(CD$3, $BY$3:$BY$810), ROW($BX$3:$BX$810)-MIN(ROW($BX$3:$BX$810))+1), $CB15), 0),"")</f>
        <v/>
      </c>
      <c r="CE15" s="252" t="str">
        <f t="array" aca="1" ref="CE15" ca="1">IFERROR(INDEX($BX$3:$BX$810, SMALL(IF(COUNTIF(CE$3, $BY$3:$BY$810), ROW($BX$3:$BX$810)-MIN(ROW($BX$3:$BX$810))+1), $CB15), 0),"")</f>
        <v/>
      </c>
      <c r="CF15" s="252" t="str">
        <f t="array" aca="1" ref="CF15" ca="1">IFERROR(INDEX($BX$3:$BX$810, SMALL(IF(COUNTIF(CF$3, $BY$3:$BY$810), ROW($BX$3:$BX$810)-MIN(ROW($BX$3:$BX$810))+1), $CB15), 0),"")</f>
        <v/>
      </c>
      <c r="CG15" s="252" t="str">
        <f t="array" aca="1" ref="CG15" ca="1">IFERROR(INDEX($BX$3:$BX$810, SMALL(IF(COUNTIF(CG$3, $BY$3:$BY$810), ROW($BX$3:$BX$810)-MIN(ROW($BX$3:$BX$810))+1), $CB15), 0),"")</f>
        <v/>
      </c>
      <c r="CH15" s="252" t="str">
        <f t="array" aca="1" ref="CH15" ca="1">IFERROR(INDEX($BX$3:$BX$810, SMALL(IF(COUNTIF(CH$3, $BY$3:$BY$810), ROW($BX$3:$BX$810)-MIN(ROW($BX$3:$BX$810))+1), $CB15), 0),"")</f>
        <v/>
      </c>
      <c r="CI15" s="252" t="str">
        <f t="array" aca="1" ref="CI15" ca="1">IFERROR(INDEX($BX$3:$BX$810, SMALL(IF(COUNTIF(CI$3, $BY$3:$BY$810), ROW($BX$3:$BX$810)-MIN(ROW($BX$3:$BX$810))+1), $CB15), 0),"")</f>
        <v/>
      </c>
      <c r="CJ15" s="252" t="str">
        <f t="array" aca="1" ref="CJ15" ca="1">IFERROR(INDEX($BX$3:$BX$810, SMALL(IF(COUNTIF(CJ$3, $BY$3:$BY$810), ROW($BX$3:$BX$810)-MIN(ROW($BX$3:$BX$810))+1), $CB15), 0),"")</f>
        <v/>
      </c>
      <c r="CK15" s="252" t="str">
        <f t="array" aca="1" ref="CK15" ca="1">IFERROR(INDEX($BX$3:$BX$810, SMALL(IF(COUNTIF(CK$3, $BY$3:$BY$810), ROW($BX$3:$BX$810)-MIN(ROW($BX$3:$BX$810))+1), $CB15), 0),"")</f>
        <v/>
      </c>
      <c r="CL15" s="252" t="str">
        <f t="array" aca="1" ref="CL15" ca="1">IFERROR(INDEX($BX$3:$BX$810, SMALL(IF(COUNTIF(CL$3, $BY$3:$BY$810), ROW($BX$3:$BX$810)-MIN(ROW($BX$3:$BX$810))+1), $CB15), 0),"")</f>
        <v/>
      </c>
      <c r="CM15" s="252" t="str">
        <f t="array" aca="1" ref="CM15" ca="1">IFERROR(INDEX($BX$3:$BX$810, SMALL(IF(COUNTIF(CM$3, $BY$3:$BY$810), ROW($BX$3:$BX$810)-MIN(ROW($BX$3:$BX$810))+1), $CB15), 0),"")</f>
        <v/>
      </c>
      <c r="CN15" s="252" t="str">
        <f t="array" aca="1" ref="CN15" ca="1">IFERROR(INDEX($BX$3:$BX$810, SMALL(IF(COUNTIF(CN$3, $BY$3:$BY$810), ROW($BX$3:$BX$810)-MIN(ROW($BX$3:$BX$810))+1), $CB15), 0),"")</f>
        <v/>
      </c>
      <c r="CO15" s="252" t="str">
        <f t="array" aca="1" ref="CO15" ca="1">IFERROR(INDEX($BX$3:$BX$810, SMALL(IF(COUNTIF(CO$3, $BY$3:$BY$810), ROW($BX$3:$BX$810)-MIN(ROW($BX$3:$BX$810))+1), $CB15), 0),"")</f>
        <v/>
      </c>
      <c r="CP15" s="252" t="str">
        <f t="array" aca="1" ref="CP15" ca="1">IFERROR(INDEX($BX$3:$BX$810, SMALL(IF(COUNTIF(CP$3, $BY$3:$BY$810), ROW($BX$3:$BX$810)-MIN(ROW($BX$3:$BX$810))+1), $CB15), 0),"")</f>
        <v/>
      </c>
      <c r="CQ15" s="252" t="str">
        <f t="array" aca="1" ref="CQ15" ca="1">IFERROR(INDEX($BX$3:$BX$810, SMALL(IF(COUNTIF(CQ$3, $BY$3:$BY$810), ROW($BX$3:$BX$810)-MIN(ROW($BX$3:$BX$810))+1), $CB15), 0),"")</f>
        <v/>
      </c>
      <c r="CS15" s="252">
        <v>12</v>
      </c>
      <c r="CT15" s="252">
        <v>1</v>
      </c>
      <c r="CV15" s="252" t="str">
        <f t="shared" ca="1" si="8"/>
        <v/>
      </c>
      <c r="CW15" s="252">
        <f t="shared" ca="1" si="14"/>
        <v>0</v>
      </c>
      <c r="CZ15" s="252">
        <v>12</v>
      </c>
      <c r="DA15" s="252" t="str">
        <f t="shared" ca="1" si="15"/>
        <v>Nedim Bajrami</v>
      </c>
      <c r="DB15" s="252">
        <f t="shared" ca="1" si="9"/>
        <v>1</v>
      </c>
      <c r="DC15" s="252" t="str">
        <f t="shared" ca="1" si="10"/>
        <v>Nedim Bajrami</v>
      </c>
      <c r="DD15" s="252" t="str">
        <f t="shared" ca="1" si="11"/>
        <v>Albania</v>
      </c>
    </row>
    <row r="16" spans="1:108" x14ac:dyDescent="0.2">
      <c r="A16" s="252">
        <v>14</v>
      </c>
      <c r="B16" s="252" t="str">
        <f>'Player Database'!C19</f>
        <v>Maximilian Beier</v>
      </c>
      <c r="C16" s="252" t="str">
        <f>'Player Database'!D19</f>
        <v>Billy Gilmour</v>
      </c>
      <c r="D16" s="252" t="str">
        <f>'Player Database'!E19</f>
        <v>Bendegúz Bolla</v>
      </c>
      <c r="E16" s="252" t="str">
        <f>'Player Database'!F19</f>
        <v>Steven Zuber</v>
      </c>
      <c r="F16" s="252" t="str">
        <f>'Player Database'!G19</f>
        <v>Federico Chiesa</v>
      </c>
      <c r="G16" s="252" t="str">
        <f>'Player Database'!H19</f>
        <v>Qazim Laçi</v>
      </c>
      <c r="H16" s="252" t="str">
        <f>'Player Database'!I19</f>
        <v>Aymeric Laporte</v>
      </c>
      <c r="I16" s="252" t="str">
        <f>'Player Database'!J19</f>
        <v>Ivan Perišić</v>
      </c>
      <c r="J16" s="252" t="str">
        <f>'Player Database'!K19</f>
        <v>Andrija Živković</v>
      </c>
      <c r="K16" s="252" t="str">
        <f>'Player Database'!L19</f>
        <v>Ezri Konsa</v>
      </c>
      <c r="L16" s="252" t="str">
        <f>'Player Database'!M19</f>
        <v>Jasmin Kurtić</v>
      </c>
      <c r="M16" s="252" t="str">
        <f>'Player Database'!N19</f>
        <v>Mikkel Damsgaard</v>
      </c>
      <c r="N16" s="252" t="str">
        <f>'Player Database'!O19</f>
        <v>Jakub Kiwior</v>
      </c>
      <c r="O16" s="252" t="str">
        <f>'Player Database'!P19</f>
        <v>Tijjani Reijnders</v>
      </c>
      <c r="P16" s="252" t="str">
        <f>'Player Database'!Q19</f>
        <v>Leopold Querfeld</v>
      </c>
      <c r="Q16" s="252" t="str">
        <f>'Player Database'!R19</f>
        <v>Adrien Rabiot</v>
      </c>
      <c r="R16" s="252" t="str">
        <f>'Player Database'!S19</f>
        <v>Dodi Lukebakio</v>
      </c>
      <c r="S16" s="252" t="str">
        <f>'Player Database'!T19</f>
        <v>Milan Škriniar</v>
      </c>
      <c r="T16" s="252" t="str">
        <f>'Player Database'!U19</f>
        <v>Darius Olaru</v>
      </c>
      <c r="U16" s="252" t="str">
        <f>'Player Database'!V19</f>
        <v>Heorhiy Sudakov</v>
      </c>
      <c r="V16" s="252" t="str">
        <f>'Player Database'!W19</f>
        <v>Gonçalo Inácio</v>
      </c>
      <c r="W16" s="252" t="str">
        <f>'Player Database'!X19</f>
        <v>Lukáš Provod</v>
      </c>
      <c r="X16" s="252" t="str">
        <f>'Player Database'!Y19</f>
        <v>Abdülkerim Bardakcı</v>
      </c>
      <c r="Y16" s="252" t="str">
        <f>'Player Database'!Z19</f>
        <v>Luka Lochoshvili</v>
      </c>
      <c r="AI16" s="252" t="str">
        <f t="shared" ca="1" si="16"/>
        <v/>
      </c>
      <c r="AJ16" s="252" t="str">
        <f t="shared" ca="1" si="16"/>
        <v/>
      </c>
      <c r="AK16" s="252" t="str">
        <f t="shared" ca="1" si="16"/>
        <v/>
      </c>
      <c r="AL16" s="252" t="str">
        <f t="shared" ca="1" si="16"/>
        <v/>
      </c>
      <c r="AM16" s="252" t="str">
        <f t="shared" ca="1" si="16"/>
        <v/>
      </c>
      <c r="AN16" s="252" t="str">
        <f t="shared" ca="1" si="16"/>
        <v/>
      </c>
      <c r="AO16" s="252" t="str">
        <f t="shared" ca="1" si="16"/>
        <v/>
      </c>
      <c r="AP16" s="252" t="str">
        <f t="shared" ca="1" si="16"/>
        <v/>
      </c>
      <c r="AQ16" s="252" t="str">
        <f t="shared" ca="1" si="16"/>
        <v/>
      </c>
      <c r="AR16" s="252" t="str">
        <f t="shared" ca="1" si="16"/>
        <v/>
      </c>
      <c r="AS16" s="252" t="str">
        <f t="shared" ca="1" si="16"/>
        <v/>
      </c>
      <c r="AT16" s="252" t="str">
        <f t="shared" ca="1" si="16"/>
        <v/>
      </c>
      <c r="AU16" s="252" t="str">
        <f t="shared" ca="1" si="16"/>
        <v/>
      </c>
      <c r="AV16" s="252" t="str">
        <f t="shared" ca="1" si="16"/>
        <v/>
      </c>
      <c r="AW16" s="252" t="str">
        <f t="shared" ca="1" si="16"/>
        <v/>
      </c>
      <c r="AX16" s="252" t="str">
        <f t="shared" ca="1" si="16"/>
        <v/>
      </c>
      <c r="AZ16" s="252" t="str">
        <f t="shared" ca="1" si="17"/>
        <v/>
      </c>
      <c r="BA16" s="252" t="str">
        <f t="shared" ca="1" si="17"/>
        <v/>
      </c>
      <c r="BB16" s="252" t="str">
        <f t="shared" ca="1" si="17"/>
        <v/>
      </c>
      <c r="BC16" s="252" t="str">
        <f t="shared" ca="1" si="17"/>
        <v/>
      </c>
      <c r="BD16" s="252" t="str">
        <f t="shared" ca="1" si="17"/>
        <v/>
      </c>
      <c r="BE16" s="252" t="str">
        <f t="shared" ca="1" si="17"/>
        <v/>
      </c>
      <c r="BF16" s="252" t="str">
        <f t="shared" ca="1" si="17"/>
        <v/>
      </c>
      <c r="BG16" s="252" t="str">
        <f t="shared" ca="1" si="17"/>
        <v/>
      </c>
      <c r="BI16" s="252" t="str">
        <f t="shared" ca="1" si="4"/>
        <v/>
      </c>
      <c r="BJ16" s="252" t="str">
        <f t="shared" ca="1" si="4"/>
        <v/>
      </c>
      <c r="BK16" s="252" t="str">
        <f t="shared" ca="1" si="4"/>
        <v/>
      </c>
      <c r="BL16" s="252" t="str">
        <f t="shared" ca="1" si="4"/>
        <v/>
      </c>
      <c r="BN16" s="252" t="str">
        <f t="shared" si="5"/>
        <v/>
      </c>
      <c r="BO16" s="252" t="str">
        <f t="shared" si="5"/>
        <v/>
      </c>
      <c r="BQ16" s="252" t="str">
        <f t="shared" ca="1" si="6"/>
        <v/>
      </c>
      <c r="BR16" s="252" t="str">
        <f t="shared" ca="1" si="6"/>
        <v/>
      </c>
      <c r="BT16" s="253" t="str">
        <f t="shared" si="12"/>
        <v>Germany</v>
      </c>
      <c r="BU16" s="253">
        <f t="shared" si="13"/>
        <v>14</v>
      </c>
      <c r="BW16" s="253">
        <v>1</v>
      </c>
      <c r="BX16" s="253" t="str">
        <f t="shared" si="7"/>
        <v>Maximilian Beier</v>
      </c>
      <c r="BY16" s="253">
        <f>COUNTIF('Group Stages'!$J$8:$Q$80,BX16)+COUNTIF('Knock Out Stages'!$K$7:$R$45,BX16)</f>
        <v>0</v>
      </c>
      <c r="CA16" s="253" t="str">
        <f>'Player Database'!C19</f>
        <v>Maximilian Beier</v>
      </c>
      <c r="CB16" s="252">
        <v>13</v>
      </c>
      <c r="CC16" s="252" t="str">
        <f t="array" aca="1" ref="CC16" ca="1">IFERROR(INDEX($BX$3:$BX$810, SMALL(IF(COUNTIF(CC$3, $BY$3:$BY$810), ROW($BX$3:$BX$810)-MIN(ROW($BX$3:$BX$810))+1), $CB16), 0),"")</f>
        <v>Dani Carvajal</v>
      </c>
      <c r="CD16" s="252" t="str">
        <f t="array" aca="1" ref="CD16" ca="1">IFERROR(INDEX($BX$3:$BX$810, SMALL(IF(COUNTIF(CD$3, $BY$3:$BY$810), ROW($BX$3:$BX$810)-MIN(ROW($BX$3:$BX$810))+1), $CB16), 0),"")</f>
        <v/>
      </c>
      <c r="CE16" s="252" t="str">
        <f t="array" aca="1" ref="CE16" ca="1">IFERROR(INDEX($BX$3:$BX$810, SMALL(IF(COUNTIF(CE$3, $BY$3:$BY$810), ROW($BX$3:$BX$810)-MIN(ROW($BX$3:$BX$810))+1), $CB16), 0),"")</f>
        <v/>
      </c>
      <c r="CF16" s="252" t="str">
        <f t="array" aca="1" ref="CF16" ca="1">IFERROR(INDEX($BX$3:$BX$810, SMALL(IF(COUNTIF(CF$3, $BY$3:$BY$810), ROW($BX$3:$BX$810)-MIN(ROW($BX$3:$BX$810))+1), $CB16), 0),"")</f>
        <v/>
      </c>
      <c r="CG16" s="252" t="str">
        <f t="array" aca="1" ref="CG16" ca="1">IFERROR(INDEX($BX$3:$BX$810, SMALL(IF(COUNTIF(CG$3, $BY$3:$BY$810), ROW($BX$3:$BX$810)-MIN(ROW($BX$3:$BX$810))+1), $CB16), 0),"")</f>
        <v/>
      </c>
      <c r="CH16" s="252" t="str">
        <f t="array" aca="1" ref="CH16" ca="1">IFERROR(INDEX($BX$3:$BX$810, SMALL(IF(COUNTIF(CH$3, $BY$3:$BY$810), ROW($BX$3:$BX$810)-MIN(ROW($BX$3:$BX$810))+1), $CB16), 0),"")</f>
        <v/>
      </c>
      <c r="CI16" s="252" t="str">
        <f t="array" aca="1" ref="CI16" ca="1">IFERROR(INDEX($BX$3:$BX$810, SMALL(IF(COUNTIF(CI$3, $BY$3:$BY$810), ROW($BX$3:$BX$810)-MIN(ROW($BX$3:$BX$810))+1), $CB16), 0),"")</f>
        <v/>
      </c>
      <c r="CJ16" s="252" t="str">
        <f t="array" aca="1" ref="CJ16" ca="1">IFERROR(INDEX($BX$3:$BX$810, SMALL(IF(COUNTIF(CJ$3, $BY$3:$BY$810), ROW($BX$3:$BX$810)-MIN(ROW($BX$3:$BX$810))+1), $CB16), 0),"")</f>
        <v/>
      </c>
      <c r="CK16" s="252" t="str">
        <f t="array" aca="1" ref="CK16" ca="1">IFERROR(INDEX($BX$3:$BX$810, SMALL(IF(COUNTIF(CK$3, $BY$3:$BY$810), ROW($BX$3:$BX$810)-MIN(ROW($BX$3:$BX$810))+1), $CB16), 0),"")</f>
        <v/>
      </c>
      <c r="CL16" s="252" t="str">
        <f t="array" aca="1" ref="CL16" ca="1">IFERROR(INDEX($BX$3:$BX$810, SMALL(IF(COUNTIF(CL$3, $BY$3:$BY$810), ROW($BX$3:$BX$810)-MIN(ROW($BX$3:$BX$810))+1), $CB16), 0),"")</f>
        <v/>
      </c>
      <c r="CM16" s="252" t="str">
        <f t="array" aca="1" ref="CM16" ca="1">IFERROR(INDEX($BX$3:$BX$810, SMALL(IF(COUNTIF(CM$3, $BY$3:$BY$810), ROW($BX$3:$BX$810)-MIN(ROW($BX$3:$BX$810))+1), $CB16), 0),"")</f>
        <v/>
      </c>
      <c r="CN16" s="252" t="str">
        <f t="array" aca="1" ref="CN16" ca="1">IFERROR(INDEX($BX$3:$BX$810, SMALL(IF(COUNTIF(CN$3, $BY$3:$BY$810), ROW($BX$3:$BX$810)-MIN(ROW($BX$3:$BX$810))+1), $CB16), 0),"")</f>
        <v/>
      </c>
      <c r="CO16" s="252" t="str">
        <f t="array" aca="1" ref="CO16" ca="1">IFERROR(INDEX($BX$3:$BX$810, SMALL(IF(COUNTIF(CO$3, $BY$3:$BY$810), ROW($BX$3:$BX$810)-MIN(ROW($BX$3:$BX$810))+1), $CB16), 0),"")</f>
        <v/>
      </c>
      <c r="CP16" s="252" t="str">
        <f t="array" aca="1" ref="CP16" ca="1">IFERROR(INDEX($BX$3:$BX$810, SMALL(IF(COUNTIF(CP$3, $BY$3:$BY$810), ROW($BX$3:$BX$810)-MIN(ROW($BX$3:$BX$810))+1), $CB16), 0),"")</f>
        <v/>
      </c>
      <c r="CQ16" s="252" t="str">
        <f t="array" aca="1" ref="CQ16" ca="1">IFERROR(INDEX($BX$3:$BX$810, SMALL(IF(COUNTIF(CQ$3, $BY$3:$BY$810), ROW($BX$3:$BX$810)-MIN(ROW($BX$3:$BX$810))+1), $CB16), 0),"")</f>
        <v/>
      </c>
      <c r="CS16" s="252">
        <v>13</v>
      </c>
      <c r="CT16" s="252">
        <v>1</v>
      </c>
      <c r="CV16" s="252" t="str">
        <f t="shared" ca="1" si="8"/>
        <v/>
      </c>
      <c r="CW16" s="252">
        <f t="shared" ca="1" si="14"/>
        <v>0</v>
      </c>
      <c r="CZ16" s="252">
        <v>13</v>
      </c>
      <c r="DA16" s="252" t="str">
        <f t="shared" ca="1" si="15"/>
        <v>Dani Carvajal</v>
      </c>
      <c r="DB16" s="252">
        <f t="shared" ca="1" si="9"/>
        <v>1</v>
      </c>
      <c r="DC16" s="252" t="str">
        <f t="shared" ca="1" si="10"/>
        <v>Dani Carvajal</v>
      </c>
      <c r="DD16" s="252" t="str">
        <f t="shared" ca="1" si="11"/>
        <v>Spain</v>
      </c>
    </row>
    <row r="17" spans="1:108" x14ac:dyDescent="0.2">
      <c r="A17" s="252">
        <v>15</v>
      </c>
      <c r="B17" s="252" t="str">
        <f>'Player Database'!C20</f>
        <v>Nico Schlotterbeck</v>
      </c>
      <c r="C17" s="252" t="str">
        <f>'Player Database'!D20</f>
        <v>Ryan Porteous</v>
      </c>
      <c r="D17" s="252" t="str">
        <f>'Player Database'!E20</f>
        <v>László Kleinheisler</v>
      </c>
      <c r="E17" s="252" t="str">
        <f>'Player Database'!F20</f>
        <v>Cédric Zesiger</v>
      </c>
      <c r="F17" s="252" t="str">
        <f>'Player Database'!G20</f>
        <v>Raoul Bellanova</v>
      </c>
      <c r="G17" s="252" t="str">
        <f>'Player Database'!H20</f>
        <v>Taulant Seferi</v>
      </c>
      <c r="H17" s="252" t="str">
        <f>'Player Database'!I20</f>
        <v>Álex Baena</v>
      </c>
      <c r="I17" s="252" t="str">
        <f>'Player Database'!J20</f>
        <v>Mario Pašalić</v>
      </c>
      <c r="J17" s="252" t="str">
        <f>'Player Database'!K20</f>
        <v>Srđan Babić</v>
      </c>
      <c r="K17" s="252" t="str">
        <f>'Player Database'!L20</f>
        <v>Lewis Dunk</v>
      </c>
      <c r="L17" s="252" t="str">
        <f>'Player Database'!M20</f>
        <v>Tomi Horvat</v>
      </c>
      <c r="M17" s="252" t="str">
        <f>'Player Database'!N20</f>
        <v>Christian Nørgaard</v>
      </c>
      <c r="N17" s="252" t="str">
        <f>'Player Database'!O20</f>
        <v>Tymoteusz Puchacz</v>
      </c>
      <c r="O17" s="252" t="str">
        <f>'Player Database'!P20</f>
        <v>Micky van de Ven</v>
      </c>
      <c r="P17" s="252" t="str">
        <f>'Player Database'!Q20</f>
        <v>Philipp Lienhart</v>
      </c>
      <c r="Q17" s="252" t="str">
        <f>'Player Database'!R20</f>
        <v>Marcus Thuram</v>
      </c>
      <c r="R17" s="252" t="str">
        <f>'Player Database'!S20</f>
        <v>Thomas Meunier</v>
      </c>
      <c r="S17" s="252" t="str">
        <f>'Player Database'!T20</f>
        <v>Vernon De Marco</v>
      </c>
      <c r="T17" s="252" t="str">
        <f>'Player Database'!U20</f>
        <v>Andrei Burcă</v>
      </c>
      <c r="U17" s="252" t="str">
        <f>'Player Database'!V20</f>
        <v>Viktor Tsyhankov</v>
      </c>
      <c r="V17" s="252" t="str">
        <f>'Player Database'!W20</f>
        <v>João Neves</v>
      </c>
      <c r="W17" s="252" t="str">
        <f>'Player Database'!X20</f>
        <v>David Jurásek</v>
      </c>
      <c r="X17" s="252" t="str">
        <f>'Player Database'!Y20</f>
        <v>Salih Özcan</v>
      </c>
      <c r="Y17" s="252" t="str">
        <f>'Player Database'!Z20</f>
        <v>Giorgi Gvelesiani</v>
      </c>
      <c r="AI17" s="252" t="str">
        <f t="shared" ca="1" si="16"/>
        <v/>
      </c>
      <c r="AJ17" s="252" t="str">
        <f t="shared" ca="1" si="16"/>
        <v/>
      </c>
      <c r="AK17" s="252" t="str">
        <f t="shared" ca="1" si="16"/>
        <v/>
      </c>
      <c r="AL17" s="252" t="str">
        <f t="shared" ca="1" si="16"/>
        <v/>
      </c>
      <c r="AM17" s="252" t="str">
        <f t="shared" ca="1" si="16"/>
        <v/>
      </c>
      <c r="AN17" s="252" t="str">
        <f t="shared" ca="1" si="16"/>
        <v/>
      </c>
      <c r="AO17" s="252" t="str">
        <f t="shared" ca="1" si="16"/>
        <v/>
      </c>
      <c r="AP17" s="252" t="str">
        <f t="shared" ca="1" si="16"/>
        <v/>
      </c>
      <c r="AQ17" s="252" t="str">
        <f t="shared" ca="1" si="16"/>
        <v/>
      </c>
      <c r="AR17" s="252" t="str">
        <f t="shared" ca="1" si="16"/>
        <v/>
      </c>
      <c r="AS17" s="252" t="str">
        <f t="shared" ca="1" si="16"/>
        <v/>
      </c>
      <c r="AT17" s="252" t="str">
        <f t="shared" ca="1" si="16"/>
        <v/>
      </c>
      <c r="AU17" s="252" t="str">
        <f t="shared" ca="1" si="16"/>
        <v/>
      </c>
      <c r="AV17" s="252" t="str">
        <f t="shared" ca="1" si="16"/>
        <v/>
      </c>
      <c r="AW17" s="252" t="str">
        <f t="shared" ca="1" si="16"/>
        <v/>
      </c>
      <c r="AX17" s="252" t="str">
        <f t="shared" ca="1" si="16"/>
        <v/>
      </c>
      <c r="AZ17" s="252" t="str">
        <f t="shared" ca="1" si="17"/>
        <v/>
      </c>
      <c r="BA17" s="252" t="str">
        <f t="shared" ca="1" si="17"/>
        <v/>
      </c>
      <c r="BB17" s="252" t="str">
        <f t="shared" ca="1" si="17"/>
        <v/>
      </c>
      <c r="BC17" s="252" t="str">
        <f t="shared" ca="1" si="17"/>
        <v/>
      </c>
      <c r="BD17" s="252" t="str">
        <f t="shared" ca="1" si="17"/>
        <v/>
      </c>
      <c r="BE17" s="252" t="str">
        <f t="shared" ca="1" si="17"/>
        <v/>
      </c>
      <c r="BF17" s="252" t="str">
        <f t="shared" ca="1" si="17"/>
        <v/>
      </c>
      <c r="BG17" s="252" t="str">
        <f t="shared" ca="1" si="17"/>
        <v/>
      </c>
      <c r="BI17" s="252" t="str">
        <f t="shared" ca="1" si="4"/>
        <v/>
      </c>
      <c r="BJ17" s="252" t="str">
        <f t="shared" ca="1" si="4"/>
        <v/>
      </c>
      <c r="BK17" s="252" t="str">
        <f t="shared" ca="1" si="4"/>
        <v/>
      </c>
      <c r="BL17" s="252" t="str">
        <f t="shared" ca="1" si="4"/>
        <v/>
      </c>
      <c r="BN17" s="252" t="str">
        <f t="shared" si="5"/>
        <v/>
      </c>
      <c r="BO17" s="252" t="str">
        <f t="shared" si="5"/>
        <v/>
      </c>
      <c r="BQ17" s="252" t="str">
        <f t="shared" ca="1" si="6"/>
        <v/>
      </c>
      <c r="BR17" s="252" t="str">
        <f t="shared" ca="1" si="6"/>
        <v/>
      </c>
      <c r="BT17" s="253" t="str">
        <f t="shared" si="12"/>
        <v>Germany</v>
      </c>
      <c r="BU17" s="253">
        <f t="shared" si="13"/>
        <v>15</v>
      </c>
      <c r="BW17" s="253">
        <v>1</v>
      </c>
      <c r="BX17" s="253" t="str">
        <f t="shared" si="7"/>
        <v>Nico Schlotterbeck</v>
      </c>
      <c r="BY17" s="253">
        <f>COUNTIF('Group Stages'!$J$8:$Q$80,BX17)+COUNTIF('Knock Out Stages'!$K$7:$R$45,BX17)</f>
        <v>0</v>
      </c>
      <c r="CA17" s="253" t="str">
        <f>'Player Database'!C20</f>
        <v>Nico Schlotterbeck</v>
      </c>
      <c r="CB17" s="252">
        <v>14</v>
      </c>
      <c r="CC17" s="252" t="str">
        <f t="array" aca="1" ref="CC17" ca="1">IFERROR(INDEX($BX$3:$BX$810, SMALL(IF(COUNTIF(CC$3, $BY$3:$BY$810), ROW($BX$3:$BX$810)-MIN(ROW($BX$3:$BX$810))+1), $CB17), 0),"")</f>
        <v>Álvaro Morata</v>
      </c>
      <c r="CD17" s="252" t="str">
        <f t="array" aca="1" ref="CD17" ca="1">IFERROR(INDEX($BX$3:$BX$810, SMALL(IF(COUNTIF(CD$3, $BY$3:$BY$810), ROW($BX$3:$BX$810)-MIN(ROW($BX$3:$BX$810))+1), $CB17), 0),"")</f>
        <v/>
      </c>
      <c r="CE17" s="252" t="str">
        <f t="array" aca="1" ref="CE17" ca="1">IFERROR(INDEX($BX$3:$BX$810, SMALL(IF(COUNTIF(CE$3, $BY$3:$BY$810), ROW($BX$3:$BX$810)-MIN(ROW($BX$3:$BX$810))+1), $CB17), 0),"")</f>
        <v/>
      </c>
      <c r="CF17" s="252" t="str">
        <f t="array" aca="1" ref="CF17" ca="1">IFERROR(INDEX($BX$3:$BX$810, SMALL(IF(COUNTIF(CF$3, $BY$3:$BY$810), ROW($BX$3:$BX$810)-MIN(ROW($BX$3:$BX$810))+1), $CB17), 0),"")</f>
        <v/>
      </c>
      <c r="CG17" s="252" t="str">
        <f t="array" aca="1" ref="CG17" ca="1">IFERROR(INDEX($BX$3:$BX$810, SMALL(IF(COUNTIF(CG$3, $BY$3:$BY$810), ROW($BX$3:$BX$810)-MIN(ROW($BX$3:$BX$810))+1), $CB17), 0),"")</f>
        <v/>
      </c>
      <c r="CH17" s="252" t="str">
        <f t="array" aca="1" ref="CH17" ca="1">IFERROR(INDEX($BX$3:$BX$810, SMALL(IF(COUNTIF(CH$3, $BY$3:$BY$810), ROW($BX$3:$BX$810)-MIN(ROW($BX$3:$BX$810))+1), $CB17), 0),"")</f>
        <v/>
      </c>
      <c r="CI17" s="252" t="str">
        <f t="array" aca="1" ref="CI17" ca="1">IFERROR(INDEX($BX$3:$BX$810, SMALL(IF(COUNTIF(CI$3, $BY$3:$BY$810), ROW($BX$3:$BX$810)-MIN(ROW($BX$3:$BX$810))+1), $CB17), 0),"")</f>
        <v/>
      </c>
      <c r="CJ17" s="252" t="str">
        <f t="array" aca="1" ref="CJ17" ca="1">IFERROR(INDEX($BX$3:$BX$810, SMALL(IF(COUNTIF(CJ$3, $BY$3:$BY$810), ROW($BX$3:$BX$810)-MIN(ROW($BX$3:$BX$810))+1), $CB17), 0),"")</f>
        <v/>
      </c>
      <c r="CK17" s="252" t="str">
        <f t="array" aca="1" ref="CK17" ca="1">IFERROR(INDEX($BX$3:$BX$810, SMALL(IF(COUNTIF(CK$3, $BY$3:$BY$810), ROW($BX$3:$BX$810)-MIN(ROW($BX$3:$BX$810))+1), $CB17), 0),"")</f>
        <v/>
      </c>
      <c r="CL17" s="252" t="str">
        <f t="array" aca="1" ref="CL17" ca="1">IFERROR(INDEX($BX$3:$BX$810, SMALL(IF(COUNTIF(CL$3, $BY$3:$BY$810), ROW($BX$3:$BX$810)-MIN(ROW($BX$3:$BX$810))+1), $CB17), 0),"")</f>
        <v/>
      </c>
      <c r="CM17" s="252" t="str">
        <f t="array" aca="1" ref="CM17" ca="1">IFERROR(INDEX($BX$3:$BX$810, SMALL(IF(COUNTIF(CM$3, $BY$3:$BY$810), ROW($BX$3:$BX$810)-MIN(ROW($BX$3:$BX$810))+1), $CB17), 0),"")</f>
        <v/>
      </c>
      <c r="CN17" s="252" t="str">
        <f t="array" aca="1" ref="CN17" ca="1">IFERROR(INDEX($BX$3:$BX$810, SMALL(IF(COUNTIF(CN$3, $BY$3:$BY$810), ROW($BX$3:$BX$810)-MIN(ROW($BX$3:$BX$810))+1), $CB17), 0),"")</f>
        <v/>
      </c>
      <c r="CO17" s="252" t="str">
        <f t="array" aca="1" ref="CO17" ca="1">IFERROR(INDEX($BX$3:$BX$810, SMALL(IF(COUNTIF(CO$3, $BY$3:$BY$810), ROW($BX$3:$BX$810)-MIN(ROW($BX$3:$BX$810))+1), $CB17), 0),"")</f>
        <v/>
      </c>
      <c r="CP17" s="252" t="str">
        <f t="array" aca="1" ref="CP17" ca="1">IFERROR(INDEX($BX$3:$BX$810, SMALL(IF(COUNTIF(CP$3, $BY$3:$BY$810), ROW($BX$3:$BX$810)-MIN(ROW($BX$3:$BX$810))+1), $CB17), 0),"")</f>
        <v/>
      </c>
      <c r="CQ17" s="252" t="str">
        <f t="array" aca="1" ref="CQ17" ca="1">IFERROR(INDEX($BX$3:$BX$810, SMALL(IF(COUNTIF(CQ$3, $BY$3:$BY$810), ROW($BX$3:$BX$810)-MIN(ROW($BX$3:$BX$810))+1), $CB17), 0),"")</f>
        <v/>
      </c>
      <c r="CS17" s="252">
        <v>14</v>
      </c>
      <c r="CT17" s="252">
        <v>1</v>
      </c>
      <c r="CV17" s="252" t="str">
        <f t="shared" ca="1" si="8"/>
        <v/>
      </c>
      <c r="CW17" s="252">
        <f t="shared" ca="1" si="14"/>
        <v>0</v>
      </c>
      <c r="CZ17" s="252">
        <v>14</v>
      </c>
      <c r="DA17" s="252" t="str">
        <f t="shared" ca="1" si="15"/>
        <v>Álvaro Morata</v>
      </c>
      <c r="DB17" s="252">
        <f t="shared" ca="1" si="9"/>
        <v>1</v>
      </c>
      <c r="DC17" s="252" t="str">
        <f t="shared" ca="1" si="10"/>
        <v>Álvaro Morata</v>
      </c>
      <c r="DD17" s="252" t="str">
        <f t="shared" ca="1" si="11"/>
        <v>Spain</v>
      </c>
    </row>
    <row r="18" spans="1:108" x14ac:dyDescent="0.2">
      <c r="A18" s="252">
        <v>16</v>
      </c>
      <c r="B18" s="252" t="str">
        <f>'Player Database'!C21</f>
        <v>Waldemar Anton</v>
      </c>
      <c r="C18" s="252" t="str">
        <f>'Player Database'!D21</f>
        <v>Liam Cooper</v>
      </c>
      <c r="D18" s="252" t="str">
        <f>'Player Database'!E21</f>
        <v>Dániel Gazdag</v>
      </c>
      <c r="E18" s="252" t="str">
        <f>'Player Database'!F21</f>
        <v>Vincent Sierro</v>
      </c>
      <c r="F18" s="252" t="str">
        <f>'Player Database'!G21</f>
        <v>Bryan Cristante</v>
      </c>
      <c r="G18" s="252" t="str">
        <f>'Player Database'!H21</f>
        <v>Medon Berisha</v>
      </c>
      <c r="H18" s="252" t="str">
        <f>'Player Database'!I21</f>
        <v>Rodri</v>
      </c>
      <c r="I18" s="252" t="str">
        <f>'Player Database'!J21</f>
        <v>Ante Budimir</v>
      </c>
      <c r="J18" s="252" t="str">
        <f>'Player Database'!K21</f>
        <v>Srđan Mijailović</v>
      </c>
      <c r="K18" s="252" t="str">
        <f>'Player Database'!L21</f>
        <v>Conor Gallagher</v>
      </c>
      <c r="L18" s="252" t="str">
        <f>'Player Database'!M21</f>
        <v>Igor Vekić</v>
      </c>
      <c r="M18" s="252" t="str">
        <f>'Player Database'!N21</f>
        <v>Mads Hermansen</v>
      </c>
      <c r="N18" s="252" t="str">
        <f>'Player Database'!O21</f>
        <v>Adam Buksa</v>
      </c>
      <c r="O18" s="252" t="str">
        <f>'Player Database'!P21</f>
        <v>Joey Veerman</v>
      </c>
      <c r="P18" s="252" t="str">
        <f>'Player Database'!Q21</f>
        <v>Phillipp Mwene</v>
      </c>
      <c r="Q18" s="252" t="str">
        <f>'Player Database'!R21</f>
        <v>Mike Maignan</v>
      </c>
      <c r="R18" s="252" t="str">
        <f>'Player Database'!S21</f>
        <v>Aster Vranckx</v>
      </c>
      <c r="S18" s="252" t="str">
        <f>'Player Database'!T21</f>
        <v>Dávid Hancko</v>
      </c>
      <c r="T18" s="252" t="str">
        <f>'Player Database'!U21</f>
        <v>Ștefan Târnovanu</v>
      </c>
      <c r="U18" s="252" t="str">
        <f>'Player Database'!V21</f>
        <v>Vitaliy Mykolenko</v>
      </c>
      <c r="V18" s="252" t="str">
        <f>'Player Database'!W21</f>
        <v>Matheus Nunes</v>
      </c>
      <c r="W18" s="252" t="str">
        <f>'Player Database'!X21</f>
        <v>Matěj Kovář</v>
      </c>
      <c r="X18" s="252" t="str">
        <f>'Player Database'!Y21</f>
        <v>İsmail Yüksek</v>
      </c>
      <c r="Y18" s="252" t="str">
        <f>'Player Database'!Z21</f>
        <v>Nika Kvekveskiri</v>
      </c>
      <c r="AI18" s="252" t="str">
        <f t="shared" ca="1" si="16"/>
        <v/>
      </c>
      <c r="AJ18" s="252" t="str">
        <f t="shared" ca="1" si="16"/>
        <v/>
      </c>
      <c r="AK18" s="252" t="str">
        <f t="shared" ca="1" si="16"/>
        <v/>
      </c>
      <c r="AL18" s="252" t="str">
        <f t="shared" ca="1" si="16"/>
        <v/>
      </c>
      <c r="AM18" s="252" t="str">
        <f t="shared" ca="1" si="16"/>
        <v/>
      </c>
      <c r="AN18" s="252" t="str">
        <f t="shared" ca="1" si="16"/>
        <v/>
      </c>
      <c r="AO18" s="252" t="str">
        <f t="shared" ca="1" si="16"/>
        <v/>
      </c>
      <c r="AP18" s="252" t="str">
        <f t="shared" ca="1" si="16"/>
        <v/>
      </c>
      <c r="AQ18" s="252" t="str">
        <f t="shared" ca="1" si="16"/>
        <v/>
      </c>
      <c r="AR18" s="252" t="str">
        <f t="shared" ca="1" si="16"/>
        <v/>
      </c>
      <c r="AS18" s="252" t="str">
        <f t="shared" ca="1" si="16"/>
        <v/>
      </c>
      <c r="AT18" s="252" t="str">
        <f t="shared" ca="1" si="16"/>
        <v/>
      </c>
      <c r="AU18" s="252" t="str">
        <f t="shared" ca="1" si="16"/>
        <v/>
      </c>
      <c r="AV18" s="252" t="str">
        <f t="shared" ca="1" si="16"/>
        <v/>
      </c>
      <c r="AW18" s="252" t="str">
        <f t="shared" ca="1" si="16"/>
        <v/>
      </c>
      <c r="AX18" s="252" t="str">
        <f t="shared" ca="1" si="16"/>
        <v/>
      </c>
      <c r="AZ18" s="252" t="str">
        <f t="shared" ca="1" si="17"/>
        <v/>
      </c>
      <c r="BA18" s="252" t="str">
        <f t="shared" ca="1" si="17"/>
        <v/>
      </c>
      <c r="BB18" s="252" t="str">
        <f t="shared" ca="1" si="17"/>
        <v/>
      </c>
      <c r="BC18" s="252" t="str">
        <f t="shared" ca="1" si="17"/>
        <v/>
      </c>
      <c r="BD18" s="252" t="str">
        <f t="shared" ca="1" si="17"/>
        <v/>
      </c>
      <c r="BE18" s="252" t="str">
        <f t="shared" ca="1" si="17"/>
        <v/>
      </c>
      <c r="BF18" s="252" t="str">
        <f t="shared" ca="1" si="17"/>
        <v/>
      </c>
      <c r="BG18" s="252" t="str">
        <f t="shared" ca="1" si="17"/>
        <v/>
      </c>
      <c r="BI18" s="252" t="str">
        <f t="shared" ca="1" si="4"/>
        <v/>
      </c>
      <c r="BJ18" s="252" t="str">
        <f t="shared" ca="1" si="4"/>
        <v/>
      </c>
      <c r="BK18" s="252" t="str">
        <f t="shared" ca="1" si="4"/>
        <v/>
      </c>
      <c r="BL18" s="252" t="str">
        <f t="shared" ca="1" si="4"/>
        <v/>
      </c>
      <c r="BN18" s="252" t="str">
        <f t="shared" si="5"/>
        <v/>
      </c>
      <c r="BO18" s="252" t="str">
        <f t="shared" si="5"/>
        <v/>
      </c>
      <c r="BQ18" s="252" t="str">
        <f t="shared" ca="1" si="6"/>
        <v/>
      </c>
      <c r="BR18" s="252" t="str">
        <f t="shared" ca="1" si="6"/>
        <v/>
      </c>
      <c r="BT18" s="253" t="str">
        <f t="shared" si="12"/>
        <v>Germany</v>
      </c>
      <c r="BU18" s="253">
        <f t="shared" si="13"/>
        <v>16</v>
      </c>
      <c r="BW18" s="253">
        <v>1</v>
      </c>
      <c r="BX18" s="253" t="str">
        <f t="shared" si="7"/>
        <v>Waldemar Anton</v>
      </c>
      <c r="BY18" s="253">
        <f>COUNTIF('Group Stages'!$J$8:$Q$80,BX18)+COUNTIF('Knock Out Stages'!$K$7:$R$45,BX18)</f>
        <v>0</v>
      </c>
      <c r="CA18" s="253" t="str">
        <f>'Player Database'!C21</f>
        <v>Waldemar Anton</v>
      </c>
      <c r="CB18" s="252">
        <v>15</v>
      </c>
      <c r="CC18" s="252" t="str">
        <f t="array" aca="1" ref="CC18" ca="1">IFERROR(INDEX($BX$3:$BX$810, SMALL(IF(COUNTIF(CC$3, $BY$3:$BY$810), ROW($BX$3:$BX$810)-MIN(ROW($BX$3:$BX$810))+1), $CB18), 0),"")</f>
        <v>Fabián Ruiz</v>
      </c>
      <c r="CD18" s="252" t="str">
        <f t="array" aca="1" ref="CD18" ca="1">IFERROR(INDEX($BX$3:$BX$810, SMALL(IF(COUNTIF(CD$3, $BY$3:$BY$810), ROW($BX$3:$BX$810)-MIN(ROW($BX$3:$BX$810))+1), $CB18), 0),"")</f>
        <v/>
      </c>
      <c r="CE18" s="252" t="str">
        <f t="array" aca="1" ref="CE18" ca="1">IFERROR(INDEX($BX$3:$BX$810, SMALL(IF(COUNTIF(CE$3, $BY$3:$BY$810), ROW($BX$3:$BX$810)-MIN(ROW($BX$3:$BX$810))+1), $CB18), 0),"")</f>
        <v/>
      </c>
      <c r="CF18" s="252" t="str">
        <f t="array" aca="1" ref="CF18" ca="1">IFERROR(INDEX($BX$3:$BX$810, SMALL(IF(COUNTIF(CF$3, $BY$3:$BY$810), ROW($BX$3:$BX$810)-MIN(ROW($BX$3:$BX$810))+1), $CB18), 0),"")</f>
        <v/>
      </c>
      <c r="CG18" s="252" t="str">
        <f t="array" aca="1" ref="CG18" ca="1">IFERROR(INDEX($BX$3:$BX$810, SMALL(IF(COUNTIF(CG$3, $BY$3:$BY$810), ROW($BX$3:$BX$810)-MIN(ROW($BX$3:$BX$810))+1), $CB18), 0),"")</f>
        <v/>
      </c>
      <c r="CH18" s="252" t="str">
        <f t="array" aca="1" ref="CH18" ca="1">IFERROR(INDEX($BX$3:$BX$810, SMALL(IF(COUNTIF(CH$3, $BY$3:$BY$810), ROW($BX$3:$BX$810)-MIN(ROW($BX$3:$BX$810))+1), $CB18), 0),"")</f>
        <v/>
      </c>
      <c r="CI18" s="252" t="str">
        <f t="array" aca="1" ref="CI18" ca="1">IFERROR(INDEX($BX$3:$BX$810, SMALL(IF(COUNTIF(CI$3, $BY$3:$BY$810), ROW($BX$3:$BX$810)-MIN(ROW($BX$3:$BX$810))+1), $CB18), 0),"")</f>
        <v/>
      </c>
      <c r="CJ18" s="252" t="str">
        <f t="array" aca="1" ref="CJ18" ca="1">IFERROR(INDEX($BX$3:$BX$810, SMALL(IF(COUNTIF(CJ$3, $BY$3:$BY$810), ROW($BX$3:$BX$810)-MIN(ROW($BX$3:$BX$810))+1), $CB18), 0),"")</f>
        <v/>
      </c>
      <c r="CK18" s="252" t="str">
        <f t="array" aca="1" ref="CK18" ca="1">IFERROR(INDEX($BX$3:$BX$810, SMALL(IF(COUNTIF(CK$3, $BY$3:$BY$810), ROW($BX$3:$BX$810)-MIN(ROW($BX$3:$BX$810))+1), $CB18), 0),"")</f>
        <v/>
      </c>
      <c r="CL18" s="252" t="str">
        <f t="array" aca="1" ref="CL18" ca="1">IFERROR(INDEX($BX$3:$BX$810, SMALL(IF(COUNTIF(CL$3, $BY$3:$BY$810), ROW($BX$3:$BX$810)-MIN(ROW($BX$3:$BX$810))+1), $CB18), 0),"")</f>
        <v/>
      </c>
      <c r="CM18" s="252" t="str">
        <f t="array" aca="1" ref="CM18" ca="1">IFERROR(INDEX($BX$3:$BX$810, SMALL(IF(COUNTIF(CM$3, $BY$3:$BY$810), ROW($BX$3:$BX$810)-MIN(ROW($BX$3:$BX$810))+1), $CB18), 0),"")</f>
        <v/>
      </c>
      <c r="CN18" s="252" t="str">
        <f t="array" aca="1" ref="CN18" ca="1">IFERROR(INDEX($BX$3:$BX$810, SMALL(IF(COUNTIF(CN$3, $BY$3:$BY$810), ROW($BX$3:$BX$810)-MIN(ROW($BX$3:$BX$810))+1), $CB18), 0),"")</f>
        <v/>
      </c>
      <c r="CO18" s="252" t="str">
        <f t="array" aca="1" ref="CO18" ca="1">IFERROR(INDEX($BX$3:$BX$810, SMALL(IF(COUNTIF(CO$3, $BY$3:$BY$810), ROW($BX$3:$BX$810)-MIN(ROW($BX$3:$BX$810))+1), $CB18), 0),"")</f>
        <v/>
      </c>
      <c r="CP18" s="252" t="str">
        <f t="array" aca="1" ref="CP18" ca="1">IFERROR(INDEX($BX$3:$BX$810, SMALL(IF(COUNTIF(CP$3, $BY$3:$BY$810), ROW($BX$3:$BX$810)-MIN(ROW($BX$3:$BX$810))+1), $CB18), 0),"")</f>
        <v/>
      </c>
      <c r="CQ18" s="252" t="str">
        <f t="array" aca="1" ref="CQ18" ca="1">IFERROR(INDEX($BX$3:$BX$810, SMALL(IF(COUNTIF(CQ$3, $BY$3:$BY$810), ROW($BX$3:$BX$810)-MIN(ROW($BX$3:$BX$810))+1), $CB18), 0),"")</f>
        <v/>
      </c>
      <c r="CS18" s="252">
        <v>15</v>
      </c>
      <c r="CT18" s="252">
        <v>1</v>
      </c>
      <c r="CV18" s="252" t="str">
        <f t="shared" ca="1" si="8"/>
        <v/>
      </c>
      <c r="CW18" s="252">
        <f t="shared" ca="1" si="14"/>
        <v>0</v>
      </c>
      <c r="CZ18" s="252">
        <v>15</v>
      </c>
      <c r="DA18" s="252" t="str">
        <f t="shared" ca="1" si="15"/>
        <v>Fabián Ruiz</v>
      </c>
      <c r="DB18" s="252">
        <f t="shared" ca="1" si="9"/>
        <v>1</v>
      </c>
      <c r="DC18" s="252" t="str">
        <f t="shared" ca="1" si="10"/>
        <v>Fabián Ruiz</v>
      </c>
      <c r="DD18" s="252" t="str">
        <f t="shared" ca="1" si="11"/>
        <v>Spain</v>
      </c>
    </row>
    <row r="19" spans="1:108" x14ac:dyDescent="0.2">
      <c r="A19" s="252">
        <v>17</v>
      </c>
      <c r="B19" s="252" t="str">
        <f>'Player Database'!C22</f>
        <v>Florian Wirtz</v>
      </c>
      <c r="C19" s="252" t="str">
        <f>'Player Database'!D22</f>
        <v>Stuart Armstrong</v>
      </c>
      <c r="D19" s="252" t="str">
        <f>'Player Database'!E22</f>
        <v>Callum Styles</v>
      </c>
      <c r="E19" s="252" t="str">
        <f>'Player Database'!F22</f>
        <v>Ruben Vargas</v>
      </c>
      <c r="F19" s="252" t="str">
        <f>'Player Database'!G22</f>
        <v>Gianluca Mancini</v>
      </c>
      <c r="G19" s="252" t="str">
        <f>'Player Database'!H22</f>
        <v>Ernest Muçi</v>
      </c>
      <c r="H19" s="252" t="str">
        <f>'Player Database'!I22</f>
        <v>Nico Williams</v>
      </c>
      <c r="I19" s="252" t="str">
        <f>'Player Database'!J22</f>
        <v>Bruno Petković</v>
      </c>
      <c r="J19" s="252" t="str">
        <f>'Player Database'!K22</f>
        <v>Ivan Ilić</v>
      </c>
      <c r="K19" s="252" t="str">
        <f>'Player Database'!L22</f>
        <v>Ivan Toney</v>
      </c>
      <c r="L19" s="252" t="str">
        <f>'Player Database'!M22</f>
        <v>Jan Mlakar</v>
      </c>
      <c r="M19" s="252" t="str">
        <f>'Player Database'!N22</f>
        <v>Victor Kristiansen</v>
      </c>
      <c r="N19" s="252" t="str">
        <f>'Player Database'!O22</f>
        <v>Damian Szymański</v>
      </c>
      <c r="O19" s="252" t="str">
        <f>'Player Database'!P22</f>
        <v>Daley Blind</v>
      </c>
      <c r="P19" s="252" t="str">
        <f>'Player Database'!Q22</f>
        <v>Florian Kainz</v>
      </c>
      <c r="Q19" s="252" t="str">
        <f>'Player Database'!R22</f>
        <v>William Saliba</v>
      </c>
      <c r="R19" s="252" t="str">
        <f>'Player Database'!S22</f>
        <v>Charles De Ketelaere</v>
      </c>
      <c r="S19" s="252" t="str">
        <f>'Player Database'!T22</f>
        <v>Lukáš Haraslín</v>
      </c>
      <c r="T19" s="252" t="str">
        <f>'Player Database'!U22</f>
        <v>Florinel Coman</v>
      </c>
      <c r="U19" s="252" t="str">
        <f>'Player Database'!V22</f>
        <v>Oleksandr Zinchenko</v>
      </c>
      <c r="V19" s="252" t="str">
        <f>'Player Database'!W22</f>
        <v>Rafael Leão</v>
      </c>
      <c r="W19" s="252" t="str">
        <f>'Player Database'!X22</f>
        <v>Václav Černý</v>
      </c>
      <c r="X19" s="252" t="str">
        <f>'Player Database'!Y22</f>
        <v>İrfan Kahveci</v>
      </c>
      <c r="Y19" s="252" t="str">
        <f>'Player Database'!Z22</f>
        <v>Otar Kiteishvili</v>
      </c>
      <c r="AI19" s="252" t="str">
        <f t="shared" ca="1" si="16"/>
        <v/>
      </c>
      <c r="AJ19" s="252" t="str">
        <f t="shared" ca="1" si="16"/>
        <v/>
      </c>
      <c r="AK19" s="252" t="str">
        <f t="shared" ca="1" si="16"/>
        <v/>
      </c>
      <c r="AL19" s="252" t="str">
        <f t="shared" ca="1" si="16"/>
        <v/>
      </c>
      <c r="AM19" s="252" t="str">
        <f t="shared" ca="1" si="16"/>
        <v/>
      </c>
      <c r="AN19" s="252" t="str">
        <f t="shared" ca="1" si="16"/>
        <v/>
      </c>
      <c r="AO19" s="252" t="str">
        <f t="shared" ca="1" si="16"/>
        <v/>
      </c>
      <c r="AP19" s="252" t="str">
        <f t="shared" ca="1" si="16"/>
        <v/>
      </c>
      <c r="AQ19" s="252" t="str">
        <f t="shared" ca="1" si="16"/>
        <v/>
      </c>
      <c r="AR19" s="252" t="str">
        <f t="shared" ca="1" si="16"/>
        <v/>
      </c>
      <c r="AS19" s="252" t="str">
        <f t="shared" ca="1" si="16"/>
        <v/>
      </c>
      <c r="AT19" s="252" t="str">
        <f t="shared" ca="1" si="16"/>
        <v/>
      </c>
      <c r="AU19" s="252" t="str">
        <f t="shared" ca="1" si="16"/>
        <v/>
      </c>
      <c r="AV19" s="252" t="str">
        <f t="shared" ca="1" si="16"/>
        <v/>
      </c>
      <c r="AW19" s="252" t="str">
        <f t="shared" ca="1" si="16"/>
        <v/>
      </c>
      <c r="AX19" s="252" t="str">
        <f t="shared" ca="1" si="16"/>
        <v/>
      </c>
      <c r="AZ19" s="252" t="str">
        <f t="shared" ca="1" si="17"/>
        <v/>
      </c>
      <c r="BA19" s="252" t="str">
        <f t="shared" ca="1" si="17"/>
        <v/>
      </c>
      <c r="BB19" s="252" t="str">
        <f t="shared" ca="1" si="17"/>
        <v/>
      </c>
      <c r="BC19" s="252" t="str">
        <f t="shared" ca="1" si="17"/>
        <v/>
      </c>
      <c r="BD19" s="252" t="str">
        <f t="shared" ca="1" si="17"/>
        <v/>
      </c>
      <c r="BE19" s="252" t="str">
        <f t="shared" ca="1" si="17"/>
        <v/>
      </c>
      <c r="BF19" s="252" t="str">
        <f t="shared" ca="1" si="17"/>
        <v/>
      </c>
      <c r="BG19" s="252" t="str">
        <f t="shared" ca="1" si="17"/>
        <v/>
      </c>
      <c r="BI19" s="252" t="str">
        <f t="shared" ca="1" si="4"/>
        <v/>
      </c>
      <c r="BJ19" s="252" t="str">
        <f t="shared" ca="1" si="4"/>
        <v/>
      </c>
      <c r="BK19" s="252" t="str">
        <f t="shared" ca="1" si="4"/>
        <v/>
      </c>
      <c r="BL19" s="252" t="str">
        <f t="shared" ca="1" si="4"/>
        <v/>
      </c>
      <c r="BN19" s="252" t="str">
        <f t="shared" si="5"/>
        <v/>
      </c>
      <c r="BO19" s="252" t="str">
        <f t="shared" si="5"/>
        <v/>
      </c>
      <c r="BQ19" s="252" t="str">
        <f t="shared" ca="1" si="6"/>
        <v/>
      </c>
      <c r="BR19" s="252" t="str">
        <f t="shared" ca="1" si="6"/>
        <v/>
      </c>
      <c r="BT19" s="253" t="str">
        <f t="shared" si="12"/>
        <v>Germany</v>
      </c>
      <c r="BU19" s="253">
        <f t="shared" si="13"/>
        <v>17</v>
      </c>
      <c r="BW19" s="253">
        <v>1</v>
      </c>
      <c r="BX19" s="253" t="str">
        <f t="shared" si="7"/>
        <v>Florian Wirtz</v>
      </c>
      <c r="BY19" s="253">
        <f>COUNTIF('Group Stages'!$J$8:$Q$80,BX19)+COUNTIF('Knock Out Stages'!$K$7:$R$45,BX19)</f>
        <v>1</v>
      </c>
      <c r="CA19" s="253" t="str">
        <f>'Player Database'!C22</f>
        <v>Florian Wirtz</v>
      </c>
      <c r="CB19" s="252">
        <v>16</v>
      </c>
      <c r="CC19" s="252" t="str">
        <f t="array" aca="1" ref="CC19" ca="1">IFERROR(INDEX($BX$3:$BX$810, SMALL(IF(COUNTIF(CC$3, $BY$3:$BY$810), ROW($BX$3:$BX$810)-MIN(ROW($BX$3:$BX$810))+1), $CB19), 0),"")</f>
        <v/>
      </c>
      <c r="CD19" s="252" t="str">
        <f t="array" aca="1" ref="CD19" ca="1">IFERROR(INDEX($BX$3:$BX$810, SMALL(IF(COUNTIF(CD$3, $BY$3:$BY$810), ROW($BX$3:$BX$810)-MIN(ROW($BX$3:$BX$810))+1), $CB19), 0),"")</f>
        <v/>
      </c>
      <c r="CE19" s="252" t="str">
        <f t="array" aca="1" ref="CE19" ca="1">IFERROR(INDEX($BX$3:$BX$810, SMALL(IF(COUNTIF(CE$3, $BY$3:$BY$810), ROW($BX$3:$BX$810)-MIN(ROW($BX$3:$BX$810))+1), $CB19), 0),"")</f>
        <v/>
      </c>
      <c r="CF19" s="252" t="str">
        <f t="array" aca="1" ref="CF19" ca="1">IFERROR(INDEX($BX$3:$BX$810, SMALL(IF(COUNTIF(CF$3, $BY$3:$BY$810), ROW($BX$3:$BX$810)-MIN(ROW($BX$3:$BX$810))+1), $CB19), 0),"")</f>
        <v/>
      </c>
      <c r="CG19" s="252" t="str">
        <f t="array" aca="1" ref="CG19" ca="1">IFERROR(INDEX($BX$3:$BX$810, SMALL(IF(COUNTIF(CG$3, $BY$3:$BY$810), ROW($BX$3:$BX$810)-MIN(ROW($BX$3:$BX$810))+1), $CB19), 0),"")</f>
        <v/>
      </c>
      <c r="CH19" s="252" t="str">
        <f t="array" aca="1" ref="CH19" ca="1">IFERROR(INDEX($BX$3:$BX$810, SMALL(IF(COUNTIF(CH$3, $BY$3:$BY$810), ROW($BX$3:$BX$810)-MIN(ROW($BX$3:$BX$810))+1), $CB19), 0),"")</f>
        <v/>
      </c>
      <c r="CI19" s="252" t="str">
        <f t="array" aca="1" ref="CI19" ca="1">IFERROR(INDEX($BX$3:$BX$810, SMALL(IF(COUNTIF(CI$3, $BY$3:$BY$810), ROW($BX$3:$BX$810)-MIN(ROW($BX$3:$BX$810))+1), $CB19), 0),"")</f>
        <v/>
      </c>
      <c r="CJ19" s="252" t="str">
        <f t="array" aca="1" ref="CJ19" ca="1">IFERROR(INDEX($BX$3:$BX$810, SMALL(IF(COUNTIF(CJ$3, $BY$3:$BY$810), ROW($BX$3:$BX$810)-MIN(ROW($BX$3:$BX$810))+1), $CB19), 0),"")</f>
        <v/>
      </c>
      <c r="CK19" s="252" t="str">
        <f t="array" aca="1" ref="CK19" ca="1">IFERROR(INDEX($BX$3:$BX$810, SMALL(IF(COUNTIF(CK$3, $BY$3:$BY$810), ROW($BX$3:$BX$810)-MIN(ROW($BX$3:$BX$810))+1), $CB19), 0),"")</f>
        <v/>
      </c>
      <c r="CL19" s="252" t="str">
        <f t="array" aca="1" ref="CL19" ca="1">IFERROR(INDEX($BX$3:$BX$810, SMALL(IF(COUNTIF(CL$3, $BY$3:$BY$810), ROW($BX$3:$BX$810)-MIN(ROW($BX$3:$BX$810))+1), $CB19), 0),"")</f>
        <v/>
      </c>
      <c r="CM19" s="252" t="str">
        <f t="array" aca="1" ref="CM19" ca="1">IFERROR(INDEX($BX$3:$BX$810, SMALL(IF(COUNTIF(CM$3, $BY$3:$BY$810), ROW($BX$3:$BX$810)-MIN(ROW($BX$3:$BX$810))+1), $CB19), 0),"")</f>
        <v/>
      </c>
      <c r="CN19" s="252" t="str">
        <f t="array" aca="1" ref="CN19" ca="1">IFERROR(INDEX($BX$3:$BX$810, SMALL(IF(COUNTIF(CN$3, $BY$3:$BY$810), ROW($BX$3:$BX$810)-MIN(ROW($BX$3:$BX$810))+1), $CB19), 0),"")</f>
        <v/>
      </c>
      <c r="CO19" s="252" t="str">
        <f t="array" aca="1" ref="CO19" ca="1">IFERROR(INDEX($BX$3:$BX$810, SMALL(IF(COUNTIF(CO$3, $BY$3:$BY$810), ROW($BX$3:$BX$810)-MIN(ROW($BX$3:$BX$810))+1), $CB19), 0),"")</f>
        <v/>
      </c>
      <c r="CP19" s="252" t="str">
        <f t="array" aca="1" ref="CP19" ca="1">IFERROR(INDEX($BX$3:$BX$810, SMALL(IF(COUNTIF(CP$3, $BY$3:$BY$810), ROW($BX$3:$BX$810)-MIN(ROW($BX$3:$BX$810))+1), $CB19), 0),"")</f>
        <v/>
      </c>
      <c r="CQ19" s="252" t="str">
        <f t="array" aca="1" ref="CQ19" ca="1">IFERROR(INDEX($BX$3:$BX$810, SMALL(IF(COUNTIF(CQ$3, $BY$3:$BY$810), ROW($BX$3:$BX$810)-MIN(ROW($BX$3:$BX$810))+1), $CB19), 0),"")</f>
        <v/>
      </c>
      <c r="CS19" s="252">
        <v>16</v>
      </c>
      <c r="CT19" s="252">
        <v>1</v>
      </c>
      <c r="CV19" s="252" t="str">
        <f t="shared" ca="1" si="8"/>
        <v/>
      </c>
      <c r="CW19" s="252">
        <f t="shared" ca="1" si="14"/>
        <v>0</v>
      </c>
      <c r="CZ19" s="252">
        <v>16</v>
      </c>
      <c r="DA19" s="252" t="str">
        <f t="shared" ca="1" si="15"/>
        <v/>
      </c>
      <c r="DB19" s="252" t="str">
        <f t="shared" ca="1" si="9"/>
        <v/>
      </c>
      <c r="DC19" s="252" t="str">
        <f t="shared" ca="1" si="10"/>
        <v/>
      </c>
      <c r="DD19" s="252" t="str">
        <f t="shared" ca="1" si="11"/>
        <v/>
      </c>
    </row>
    <row r="20" spans="1:108" x14ac:dyDescent="0.2">
      <c r="A20" s="252">
        <v>18</v>
      </c>
      <c r="B20" s="252" t="str">
        <f>'Player Database'!C23</f>
        <v>Maximilian Mittelstädt</v>
      </c>
      <c r="C20" s="252" t="str">
        <f>'Player Database'!D23</f>
        <v>Lewis Morgan</v>
      </c>
      <c r="D20" s="252" t="str">
        <f>'Player Database'!E23</f>
        <v>Zsolt Nagy</v>
      </c>
      <c r="E20" s="252" t="str">
        <f>'Player Database'!F23</f>
        <v>Kwadwo Duah</v>
      </c>
      <c r="F20" s="252" t="str">
        <f>'Player Database'!G23</f>
        <v>Nicolò Barella</v>
      </c>
      <c r="G20" s="252" t="str">
        <f>'Player Database'!H23</f>
        <v>Ardian Ismajli</v>
      </c>
      <c r="H20" s="252" t="str">
        <f>'Player Database'!I23</f>
        <v>Martín Zubimendi</v>
      </c>
      <c r="I20" s="252" t="str">
        <f>'Player Database'!J23</f>
        <v>Luka Ivanušec</v>
      </c>
      <c r="J20" s="252" t="str">
        <f>'Player Database'!K23</f>
        <v>Petar Ratkov</v>
      </c>
      <c r="K20" s="252" t="str">
        <f>'Player Database'!L23</f>
        <v>Anthony Gordon</v>
      </c>
      <c r="L20" s="252" t="str">
        <f>'Player Database'!M23</f>
        <v>Žan Vipotnik</v>
      </c>
      <c r="M20" s="252" t="str">
        <f>'Player Database'!N23</f>
        <v>Alexander Bah</v>
      </c>
      <c r="N20" s="252" t="str">
        <f>'Player Database'!O23</f>
        <v>Bartosz Bereszyński</v>
      </c>
      <c r="O20" s="252" t="str">
        <f>'Player Database'!P23</f>
        <v>Donyell Malen</v>
      </c>
      <c r="P20" s="252" t="str">
        <f>'Player Database'!Q23</f>
        <v>Romano Schmid</v>
      </c>
      <c r="Q20" s="252" t="str">
        <f>'Player Database'!R23</f>
        <v>Warren Zaïre-Emery</v>
      </c>
      <c r="R20" s="252" t="str">
        <f>'Player Database'!S23</f>
        <v>Orel Mangala</v>
      </c>
      <c r="S20" s="252" t="str">
        <f>'Player Database'!T23</f>
        <v>David Strelec</v>
      </c>
      <c r="T20" s="252" t="str">
        <f>'Player Database'!U23</f>
        <v>Răzvan Marin</v>
      </c>
      <c r="U20" s="252" t="str">
        <f>'Player Database'!V23</f>
        <v>Volodymyr Brazhko</v>
      </c>
      <c r="V20" s="252" t="str">
        <f>'Player Database'!W23</f>
        <v>Rúben Neves</v>
      </c>
      <c r="W20" s="252" t="str">
        <f>'Player Database'!X23</f>
        <v>Ladislav Krejčí</v>
      </c>
      <c r="X20" s="252" t="str">
        <f>'Player Database'!Y23</f>
        <v>Mert Müldür</v>
      </c>
      <c r="Y20" s="252" t="str">
        <f>'Player Database'!Z23</f>
        <v>Sandro Altunashvili</v>
      </c>
      <c r="AI20" s="252" t="str">
        <f t="shared" ca="1" si="16"/>
        <v/>
      </c>
      <c r="AJ20" s="252" t="str">
        <f t="shared" ca="1" si="16"/>
        <v/>
      </c>
      <c r="AK20" s="252" t="str">
        <f t="shared" ca="1" si="16"/>
        <v/>
      </c>
      <c r="AL20" s="252" t="str">
        <f t="shared" ca="1" si="16"/>
        <v/>
      </c>
      <c r="AM20" s="252" t="str">
        <f t="shared" ca="1" si="16"/>
        <v/>
      </c>
      <c r="AN20" s="252" t="str">
        <f t="shared" ca="1" si="16"/>
        <v/>
      </c>
      <c r="AO20" s="252" t="str">
        <f t="shared" ca="1" si="16"/>
        <v/>
      </c>
      <c r="AP20" s="252" t="str">
        <f t="shared" ca="1" si="16"/>
        <v/>
      </c>
      <c r="AQ20" s="252" t="str">
        <f t="shared" ca="1" si="16"/>
        <v/>
      </c>
      <c r="AR20" s="252" t="str">
        <f t="shared" ca="1" si="16"/>
        <v/>
      </c>
      <c r="AS20" s="252" t="str">
        <f t="shared" ca="1" si="16"/>
        <v/>
      </c>
      <c r="AT20" s="252" t="str">
        <f t="shared" ca="1" si="16"/>
        <v/>
      </c>
      <c r="AU20" s="252" t="str">
        <f t="shared" ca="1" si="16"/>
        <v/>
      </c>
      <c r="AV20" s="252" t="str">
        <f t="shared" ca="1" si="16"/>
        <v/>
      </c>
      <c r="AW20" s="252" t="str">
        <f t="shared" ca="1" si="16"/>
        <v/>
      </c>
      <c r="AX20" s="252" t="str">
        <f t="shared" ca="1" si="16"/>
        <v/>
      </c>
      <c r="AZ20" s="252" t="str">
        <f t="shared" ca="1" si="17"/>
        <v/>
      </c>
      <c r="BA20" s="252" t="str">
        <f t="shared" ca="1" si="17"/>
        <v/>
      </c>
      <c r="BB20" s="252" t="str">
        <f t="shared" ca="1" si="17"/>
        <v/>
      </c>
      <c r="BC20" s="252" t="str">
        <f t="shared" ca="1" si="17"/>
        <v/>
      </c>
      <c r="BD20" s="252" t="str">
        <f t="shared" ca="1" si="17"/>
        <v/>
      </c>
      <c r="BE20" s="252" t="str">
        <f t="shared" ca="1" si="17"/>
        <v/>
      </c>
      <c r="BF20" s="252" t="str">
        <f t="shared" ca="1" si="17"/>
        <v/>
      </c>
      <c r="BG20" s="252" t="str">
        <f t="shared" ca="1" si="17"/>
        <v/>
      </c>
      <c r="BI20" s="252" t="str">
        <f t="shared" ca="1" si="4"/>
        <v/>
      </c>
      <c r="BJ20" s="252" t="str">
        <f t="shared" ca="1" si="4"/>
        <v/>
      </c>
      <c r="BK20" s="252" t="str">
        <f t="shared" ca="1" si="4"/>
        <v/>
      </c>
      <c r="BL20" s="252" t="str">
        <f t="shared" ca="1" si="4"/>
        <v/>
      </c>
      <c r="BN20" s="252" t="str">
        <f t="shared" si="5"/>
        <v/>
      </c>
      <c r="BO20" s="252" t="str">
        <f t="shared" si="5"/>
        <v/>
      </c>
      <c r="BQ20" s="252" t="str">
        <f t="shared" ca="1" si="6"/>
        <v/>
      </c>
      <c r="BR20" s="252" t="str">
        <f t="shared" ca="1" si="6"/>
        <v/>
      </c>
      <c r="BT20" s="253" t="str">
        <f t="shared" si="12"/>
        <v>Germany</v>
      </c>
      <c r="BU20" s="253">
        <f t="shared" si="13"/>
        <v>18</v>
      </c>
      <c r="BW20" s="253">
        <v>1</v>
      </c>
      <c r="BX20" s="253" t="str">
        <f t="shared" si="7"/>
        <v>Maximilian Mittelstädt</v>
      </c>
      <c r="BY20" s="253">
        <f>COUNTIF('Group Stages'!$J$8:$Q$80,BX20)+COUNTIF('Knock Out Stages'!$K$7:$R$45,BX20)</f>
        <v>0</v>
      </c>
      <c r="CA20" s="253" t="str">
        <f>'Player Database'!C23</f>
        <v>Maximilian Mittelstädt</v>
      </c>
      <c r="CB20" s="252">
        <v>17</v>
      </c>
      <c r="CC20" s="252" t="str">
        <f t="array" aca="1" ref="CC20" ca="1">IFERROR(INDEX($BX$3:$BX$810, SMALL(IF(COUNTIF(CC$3, $BY$3:$BY$810), ROW($BX$3:$BX$810)-MIN(ROW($BX$3:$BX$810))+1), $CB20), 0),"")</f>
        <v/>
      </c>
      <c r="CD20" s="252" t="str">
        <f t="array" aca="1" ref="CD20" ca="1">IFERROR(INDEX($BX$3:$BX$810, SMALL(IF(COUNTIF(CD$3, $BY$3:$BY$810), ROW($BX$3:$BX$810)-MIN(ROW($BX$3:$BX$810))+1), $CB20), 0),"")</f>
        <v/>
      </c>
      <c r="CE20" s="252" t="str">
        <f t="array" aca="1" ref="CE20" ca="1">IFERROR(INDEX($BX$3:$BX$810, SMALL(IF(COUNTIF(CE$3, $BY$3:$BY$810), ROW($BX$3:$BX$810)-MIN(ROW($BX$3:$BX$810))+1), $CB20), 0),"")</f>
        <v/>
      </c>
      <c r="CF20" s="252" t="str">
        <f t="array" aca="1" ref="CF20" ca="1">IFERROR(INDEX($BX$3:$BX$810, SMALL(IF(COUNTIF(CF$3, $BY$3:$BY$810), ROW($BX$3:$BX$810)-MIN(ROW($BX$3:$BX$810))+1), $CB20), 0),"")</f>
        <v/>
      </c>
      <c r="CG20" s="252" t="str">
        <f t="array" aca="1" ref="CG20" ca="1">IFERROR(INDEX($BX$3:$BX$810, SMALL(IF(COUNTIF(CG$3, $BY$3:$BY$810), ROW($BX$3:$BX$810)-MIN(ROW($BX$3:$BX$810))+1), $CB20), 0),"")</f>
        <v/>
      </c>
      <c r="CH20" s="252" t="str">
        <f t="array" aca="1" ref="CH20" ca="1">IFERROR(INDEX($BX$3:$BX$810, SMALL(IF(COUNTIF(CH$3, $BY$3:$BY$810), ROW($BX$3:$BX$810)-MIN(ROW($BX$3:$BX$810))+1), $CB20), 0),"")</f>
        <v/>
      </c>
      <c r="CI20" s="252" t="str">
        <f t="array" aca="1" ref="CI20" ca="1">IFERROR(INDEX($BX$3:$BX$810, SMALL(IF(COUNTIF(CI$3, $BY$3:$BY$810), ROW($BX$3:$BX$810)-MIN(ROW($BX$3:$BX$810))+1), $CB20), 0),"")</f>
        <v/>
      </c>
      <c r="CJ20" s="252" t="str">
        <f t="array" aca="1" ref="CJ20" ca="1">IFERROR(INDEX($BX$3:$BX$810, SMALL(IF(COUNTIF(CJ$3, $BY$3:$BY$810), ROW($BX$3:$BX$810)-MIN(ROW($BX$3:$BX$810))+1), $CB20), 0),"")</f>
        <v/>
      </c>
      <c r="CK20" s="252" t="str">
        <f t="array" aca="1" ref="CK20" ca="1">IFERROR(INDEX($BX$3:$BX$810, SMALL(IF(COUNTIF(CK$3, $BY$3:$BY$810), ROW($BX$3:$BX$810)-MIN(ROW($BX$3:$BX$810))+1), $CB20), 0),"")</f>
        <v/>
      </c>
      <c r="CL20" s="252" t="str">
        <f t="array" aca="1" ref="CL20" ca="1">IFERROR(INDEX($BX$3:$BX$810, SMALL(IF(COUNTIF(CL$3, $BY$3:$BY$810), ROW($BX$3:$BX$810)-MIN(ROW($BX$3:$BX$810))+1), $CB20), 0),"")</f>
        <v/>
      </c>
      <c r="CM20" s="252" t="str">
        <f t="array" aca="1" ref="CM20" ca="1">IFERROR(INDEX($BX$3:$BX$810, SMALL(IF(COUNTIF(CM$3, $BY$3:$BY$810), ROW($BX$3:$BX$810)-MIN(ROW($BX$3:$BX$810))+1), $CB20), 0),"")</f>
        <v/>
      </c>
      <c r="CN20" s="252" t="str">
        <f t="array" aca="1" ref="CN20" ca="1">IFERROR(INDEX($BX$3:$BX$810, SMALL(IF(COUNTIF(CN$3, $BY$3:$BY$810), ROW($BX$3:$BX$810)-MIN(ROW($BX$3:$BX$810))+1), $CB20), 0),"")</f>
        <v/>
      </c>
      <c r="CO20" s="252" t="str">
        <f t="array" aca="1" ref="CO20" ca="1">IFERROR(INDEX($BX$3:$BX$810, SMALL(IF(COUNTIF(CO$3, $BY$3:$BY$810), ROW($BX$3:$BX$810)-MIN(ROW($BX$3:$BX$810))+1), $CB20), 0),"")</f>
        <v/>
      </c>
      <c r="CP20" s="252" t="str">
        <f t="array" aca="1" ref="CP20" ca="1">IFERROR(INDEX($BX$3:$BX$810, SMALL(IF(COUNTIF(CP$3, $BY$3:$BY$810), ROW($BX$3:$BX$810)-MIN(ROW($BX$3:$BX$810))+1), $CB20), 0),"")</f>
        <v/>
      </c>
      <c r="CQ20" s="252" t="str">
        <f t="array" aca="1" ref="CQ20" ca="1">IFERROR(INDEX($BX$3:$BX$810, SMALL(IF(COUNTIF(CQ$3, $BY$3:$BY$810), ROW($BX$3:$BX$810)-MIN(ROW($BX$3:$BX$810))+1), $CB20), 0),"")</f>
        <v/>
      </c>
      <c r="CS20" s="252">
        <v>17</v>
      </c>
      <c r="CT20" s="252">
        <v>1</v>
      </c>
      <c r="CV20" s="252" t="str">
        <f t="shared" ca="1" si="8"/>
        <v/>
      </c>
      <c r="CW20" s="252">
        <f t="shared" ca="1" si="14"/>
        <v>0</v>
      </c>
      <c r="CZ20" s="252">
        <v>17</v>
      </c>
      <c r="DA20" s="252" t="str">
        <f t="shared" ca="1" si="15"/>
        <v/>
      </c>
      <c r="DB20" s="252" t="str">
        <f t="shared" ca="1" si="9"/>
        <v/>
      </c>
      <c r="DC20" s="252" t="str">
        <f t="shared" ca="1" si="10"/>
        <v/>
      </c>
      <c r="DD20" s="252" t="str">
        <f t="shared" ca="1" si="11"/>
        <v/>
      </c>
    </row>
    <row r="21" spans="1:108" x14ac:dyDescent="0.2">
      <c r="A21" s="252">
        <v>19</v>
      </c>
      <c r="B21" s="252" t="str">
        <f>'Player Database'!C24</f>
        <v>Leroy Sané</v>
      </c>
      <c r="C21" s="252" t="str">
        <f>'Player Database'!D24</f>
        <v>Tommy Conway</v>
      </c>
      <c r="D21" s="252" t="str">
        <f>'Player Database'!E24</f>
        <v>Barnabás Varga</v>
      </c>
      <c r="E21" s="252" t="str">
        <f>'Player Database'!F24</f>
        <v>Dan Ndoye</v>
      </c>
      <c r="F21" s="252" t="str">
        <f>'Player Database'!G24</f>
        <v>Mateo Retegui</v>
      </c>
      <c r="G21" s="252" t="str">
        <f>'Player Database'!H24</f>
        <v>Mirlind Daku</v>
      </c>
      <c r="H21" s="252" t="str">
        <f>'Player Database'!I24</f>
        <v>Lamine Yamal</v>
      </c>
      <c r="I21" s="252" t="str">
        <f>'Player Database'!J24</f>
        <v>Borna Sosa</v>
      </c>
      <c r="J21" s="252" t="str">
        <f>'Player Database'!K24</f>
        <v>Lazar Samardžić</v>
      </c>
      <c r="K21" s="252" t="str">
        <f>'Player Database'!L24</f>
        <v>Ollie Watkins</v>
      </c>
      <c r="L21" s="252" t="str">
        <f>'Player Database'!M24</f>
        <v>Žan Celar</v>
      </c>
      <c r="M21" s="252" t="str">
        <f>'Player Database'!N24</f>
        <v>Jonas Wind</v>
      </c>
      <c r="N21" s="252" t="str">
        <f>'Player Database'!O24</f>
        <v>Przemysław Frankowski</v>
      </c>
      <c r="O21" s="252" t="str">
        <f>'Player Database'!P24</f>
        <v>Brian Brobbey</v>
      </c>
      <c r="P21" s="252" t="str">
        <f>'Player Database'!Q24</f>
        <v>Christoph Baumgartner</v>
      </c>
      <c r="Q21" s="252" t="str">
        <f>'Player Database'!R24</f>
        <v>Youssouf Fofana</v>
      </c>
      <c r="R21" s="252" t="str">
        <f>'Player Database'!S24</f>
        <v>Johan Bakayoko</v>
      </c>
      <c r="S21" s="252" t="str">
        <f>'Player Database'!T24</f>
        <v>Juraj Kucka</v>
      </c>
      <c r="T21" s="252" t="str">
        <f>'Player Database'!U24</f>
        <v>Denis Drăguș</v>
      </c>
      <c r="U21" s="252" t="str">
        <f>'Player Database'!V24</f>
        <v>Mykola Shaparenko</v>
      </c>
      <c r="V21" s="252" t="str">
        <f>'Player Database'!W24</f>
        <v>Nuno Mendes</v>
      </c>
      <c r="W21" s="252" t="str">
        <f>'Player Database'!X24</f>
        <v>Tomáš Chorý</v>
      </c>
      <c r="X21" s="252" t="str">
        <f>'Player Database'!Y24</f>
        <v>Kenan Yıldız</v>
      </c>
      <c r="Y21" s="252" t="str">
        <f>'Player Database'!Z24</f>
        <v>Levan Shengelia</v>
      </c>
      <c r="AI21" s="252" t="str">
        <f t="shared" ca="1" si="16"/>
        <v/>
      </c>
      <c r="AJ21" s="252" t="str">
        <f t="shared" ca="1" si="16"/>
        <v/>
      </c>
      <c r="AK21" s="252" t="str">
        <f t="shared" ca="1" si="16"/>
        <v/>
      </c>
      <c r="AL21" s="252" t="str">
        <f t="shared" ca="1" si="16"/>
        <v/>
      </c>
      <c r="AM21" s="252" t="str">
        <f t="shared" ca="1" si="16"/>
        <v/>
      </c>
      <c r="AN21" s="252" t="str">
        <f t="shared" ca="1" si="16"/>
        <v/>
      </c>
      <c r="AO21" s="252" t="str">
        <f t="shared" ca="1" si="16"/>
        <v/>
      </c>
      <c r="AP21" s="252" t="str">
        <f t="shared" ca="1" si="16"/>
        <v/>
      </c>
      <c r="AQ21" s="252" t="str">
        <f t="shared" ca="1" si="16"/>
        <v/>
      </c>
      <c r="AR21" s="252" t="str">
        <f t="shared" ca="1" si="16"/>
        <v/>
      </c>
      <c r="AS21" s="252" t="str">
        <f t="shared" ca="1" si="16"/>
        <v/>
      </c>
      <c r="AT21" s="252" t="str">
        <f t="shared" ca="1" si="16"/>
        <v/>
      </c>
      <c r="AU21" s="252" t="str">
        <f t="shared" ca="1" si="16"/>
        <v/>
      </c>
      <c r="AV21" s="252" t="str">
        <f t="shared" ca="1" si="16"/>
        <v/>
      </c>
      <c r="AW21" s="252" t="str">
        <f t="shared" ca="1" si="16"/>
        <v/>
      </c>
      <c r="AX21" s="252" t="str">
        <f t="shared" ca="1" si="16"/>
        <v/>
      </c>
      <c r="AZ21" s="252" t="str">
        <f t="shared" ca="1" si="17"/>
        <v/>
      </c>
      <c r="BA21" s="252" t="str">
        <f t="shared" ca="1" si="17"/>
        <v/>
      </c>
      <c r="BB21" s="252" t="str">
        <f t="shared" ca="1" si="17"/>
        <v/>
      </c>
      <c r="BC21" s="252" t="str">
        <f t="shared" ca="1" si="17"/>
        <v/>
      </c>
      <c r="BD21" s="252" t="str">
        <f t="shared" ca="1" si="17"/>
        <v/>
      </c>
      <c r="BE21" s="252" t="str">
        <f t="shared" ca="1" si="17"/>
        <v/>
      </c>
      <c r="BF21" s="252" t="str">
        <f t="shared" ca="1" si="17"/>
        <v/>
      </c>
      <c r="BG21" s="252" t="str">
        <f t="shared" ca="1" si="17"/>
        <v/>
      </c>
      <c r="BI21" s="252" t="str">
        <f t="shared" ca="1" si="4"/>
        <v/>
      </c>
      <c r="BJ21" s="252" t="str">
        <f t="shared" ca="1" si="4"/>
        <v/>
      </c>
      <c r="BK21" s="252" t="str">
        <f t="shared" ca="1" si="4"/>
        <v/>
      </c>
      <c r="BL21" s="252" t="str">
        <f t="shared" ca="1" si="4"/>
        <v/>
      </c>
      <c r="BN21" s="252" t="str">
        <f t="shared" si="5"/>
        <v/>
      </c>
      <c r="BO21" s="252" t="str">
        <f t="shared" si="5"/>
        <v/>
      </c>
      <c r="BQ21" s="252" t="str">
        <f t="shared" ca="1" si="6"/>
        <v/>
      </c>
      <c r="BR21" s="252" t="str">
        <f t="shared" ca="1" si="6"/>
        <v/>
      </c>
      <c r="BT21" s="253" t="str">
        <f t="shared" si="12"/>
        <v>Germany</v>
      </c>
      <c r="BU21" s="253">
        <f t="shared" si="13"/>
        <v>19</v>
      </c>
      <c r="BW21" s="253">
        <v>1</v>
      </c>
      <c r="BX21" s="253" t="str">
        <f t="shared" si="7"/>
        <v>Leroy Sané</v>
      </c>
      <c r="BY21" s="253">
        <f>COUNTIF('Group Stages'!$J$8:$Q$80,BX21)+COUNTIF('Knock Out Stages'!$K$7:$R$45,BX21)</f>
        <v>0</v>
      </c>
      <c r="CA21" s="253" t="str">
        <f>'Player Database'!C24</f>
        <v>Leroy Sané</v>
      </c>
      <c r="CB21" s="252">
        <v>18</v>
      </c>
      <c r="CC21" s="252" t="str">
        <f t="array" aca="1" ref="CC21" ca="1">IFERROR(INDEX($BX$3:$BX$810, SMALL(IF(COUNTIF(CC$3, $BY$3:$BY$810), ROW($BX$3:$BX$810)-MIN(ROW($BX$3:$BX$810))+1), $CB21), 0),"")</f>
        <v/>
      </c>
      <c r="CD21" s="252" t="str">
        <f t="array" aca="1" ref="CD21" ca="1">IFERROR(INDEX($BX$3:$BX$810, SMALL(IF(COUNTIF(CD$3, $BY$3:$BY$810), ROW($BX$3:$BX$810)-MIN(ROW($BX$3:$BX$810))+1), $CB21), 0),"")</f>
        <v/>
      </c>
      <c r="CE21" s="252" t="str">
        <f t="array" aca="1" ref="CE21" ca="1">IFERROR(INDEX($BX$3:$BX$810, SMALL(IF(COUNTIF(CE$3, $BY$3:$BY$810), ROW($BX$3:$BX$810)-MIN(ROW($BX$3:$BX$810))+1), $CB21), 0),"")</f>
        <v/>
      </c>
      <c r="CF21" s="252" t="str">
        <f t="array" aca="1" ref="CF21" ca="1">IFERROR(INDEX($BX$3:$BX$810, SMALL(IF(COUNTIF(CF$3, $BY$3:$BY$810), ROW($BX$3:$BX$810)-MIN(ROW($BX$3:$BX$810))+1), $CB21), 0),"")</f>
        <v/>
      </c>
      <c r="CG21" s="252" t="str">
        <f t="array" aca="1" ref="CG21" ca="1">IFERROR(INDEX($BX$3:$BX$810, SMALL(IF(COUNTIF(CG$3, $BY$3:$BY$810), ROW($BX$3:$BX$810)-MIN(ROW($BX$3:$BX$810))+1), $CB21), 0),"")</f>
        <v/>
      </c>
      <c r="CH21" s="252" t="str">
        <f t="array" aca="1" ref="CH21" ca="1">IFERROR(INDEX($BX$3:$BX$810, SMALL(IF(COUNTIF(CH$3, $BY$3:$BY$810), ROW($BX$3:$BX$810)-MIN(ROW($BX$3:$BX$810))+1), $CB21), 0),"")</f>
        <v/>
      </c>
      <c r="CI21" s="252" t="str">
        <f t="array" aca="1" ref="CI21" ca="1">IFERROR(INDEX($BX$3:$BX$810, SMALL(IF(COUNTIF(CI$3, $BY$3:$BY$810), ROW($BX$3:$BX$810)-MIN(ROW($BX$3:$BX$810))+1), $CB21), 0),"")</f>
        <v/>
      </c>
      <c r="CJ21" s="252" t="str">
        <f t="array" aca="1" ref="CJ21" ca="1">IFERROR(INDEX($BX$3:$BX$810, SMALL(IF(COUNTIF(CJ$3, $BY$3:$BY$810), ROW($BX$3:$BX$810)-MIN(ROW($BX$3:$BX$810))+1), $CB21), 0),"")</f>
        <v/>
      </c>
      <c r="CK21" s="252" t="str">
        <f t="array" aca="1" ref="CK21" ca="1">IFERROR(INDEX($BX$3:$BX$810, SMALL(IF(COUNTIF(CK$3, $BY$3:$BY$810), ROW($BX$3:$BX$810)-MIN(ROW($BX$3:$BX$810))+1), $CB21), 0),"")</f>
        <v/>
      </c>
      <c r="CL21" s="252" t="str">
        <f t="array" aca="1" ref="CL21" ca="1">IFERROR(INDEX($BX$3:$BX$810, SMALL(IF(COUNTIF(CL$3, $BY$3:$BY$810), ROW($BX$3:$BX$810)-MIN(ROW($BX$3:$BX$810))+1), $CB21), 0),"")</f>
        <v/>
      </c>
      <c r="CM21" s="252" t="str">
        <f t="array" aca="1" ref="CM21" ca="1">IFERROR(INDEX($BX$3:$BX$810, SMALL(IF(COUNTIF(CM$3, $BY$3:$BY$810), ROW($BX$3:$BX$810)-MIN(ROW($BX$3:$BX$810))+1), $CB21), 0),"")</f>
        <v/>
      </c>
      <c r="CN21" s="252" t="str">
        <f t="array" aca="1" ref="CN21" ca="1">IFERROR(INDEX($BX$3:$BX$810, SMALL(IF(COUNTIF(CN$3, $BY$3:$BY$810), ROW($BX$3:$BX$810)-MIN(ROW($BX$3:$BX$810))+1), $CB21), 0),"")</f>
        <v/>
      </c>
      <c r="CO21" s="252" t="str">
        <f t="array" aca="1" ref="CO21" ca="1">IFERROR(INDEX($BX$3:$BX$810, SMALL(IF(COUNTIF(CO$3, $BY$3:$BY$810), ROW($BX$3:$BX$810)-MIN(ROW($BX$3:$BX$810))+1), $CB21), 0),"")</f>
        <v/>
      </c>
      <c r="CP21" s="252" t="str">
        <f t="array" aca="1" ref="CP21" ca="1">IFERROR(INDEX($BX$3:$BX$810, SMALL(IF(COUNTIF(CP$3, $BY$3:$BY$810), ROW($BX$3:$BX$810)-MIN(ROW($BX$3:$BX$810))+1), $CB21), 0),"")</f>
        <v/>
      </c>
      <c r="CQ21" s="252" t="str">
        <f t="array" aca="1" ref="CQ21" ca="1">IFERROR(INDEX($BX$3:$BX$810, SMALL(IF(COUNTIF(CQ$3, $BY$3:$BY$810), ROW($BX$3:$BX$810)-MIN(ROW($BX$3:$BX$810))+1), $CB21), 0),"")</f>
        <v/>
      </c>
      <c r="CS21" s="252">
        <v>18</v>
      </c>
      <c r="CT21" s="252">
        <v>1</v>
      </c>
      <c r="CV21" s="252" t="str">
        <f t="shared" ca="1" si="8"/>
        <v/>
      </c>
      <c r="CW21" s="252">
        <f t="shared" ca="1" si="14"/>
        <v>0</v>
      </c>
      <c r="CZ21" s="252">
        <v>18</v>
      </c>
      <c r="DA21" s="252" t="str">
        <f t="shared" ca="1" si="15"/>
        <v/>
      </c>
      <c r="DB21" s="252" t="str">
        <f t="shared" ca="1" si="9"/>
        <v/>
      </c>
      <c r="DC21" s="252" t="str">
        <f t="shared" ca="1" si="10"/>
        <v/>
      </c>
      <c r="DD21" s="252" t="str">
        <f t="shared" ca="1" si="11"/>
        <v/>
      </c>
    </row>
    <row r="22" spans="1:108" x14ac:dyDescent="0.2">
      <c r="A22" s="252">
        <v>20</v>
      </c>
      <c r="B22" s="252" t="str">
        <f>'Player Database'!C25</f>
        <v>Benjamin Henrichs</v>
      </c>
      <c r="C22" s="252" t="str">
        <f>'Player Database'!D25</f>
        <v>Ryan Jack</v>
      </c>
      <c r="D22" s="252" t="str">
        <f>'Player Database'!E25</f>
        <v>Roland Sallai</v>
      </c>
      <c r="E22" s="252" t="str">
        <f>'Player Database'!F25</f>
        <v>Michel Aebischer</v>
      </c>
      <c r="F22" s="252" t="str">
        <f>'Player Database'!G25</f>
        <v>Mattia Zaccagni</v>
      </c>
      <c r="G22" s="252" t="str">
        <f>'Player Database'!H25</f>
        <v>Ylber Ramadani</v>
      </c>
      <c r="H22" s="252" t="str">
        <f>'Player Database'!I25</f>
        <v>Pedri</v>
      </c>
      <c r="I22" s="252" t="str">
        <f>'Player Database'!J25</f>
        <v>Marko Pjaca</v>
      </c>
      <c r="J22" s="252" t="str">
        <f>'Player Database'!K25</f>
        <v>Sergej Milinković-Savić</v>
      </c>
      <c r="K22" s="252" t="str">
        <f>'Player Database'!L25</f>
        <v>Jarrod Bowen</v>
      </c>
      <c r="L22" s="252" t="str">
        <f>'Player Database'!M25</f>
        <v>Petar Stojanović</v>
      </c>
      <c r="M22" s="252" t="str">
        <f>'Player Database'!N25</f>
        <v>Yussuf Poulsen</v>
      </c>
      <c r="N22" s="252" t="str">
        <f>'Player Database'!O25</f>
        <v>Sebastian Szymański</v>
      </c>
      <c r="O22" s="252" t="str">
        <f>'Player Database'!P25</f>
        <v>Ian Maatsen</v>
      </c>
      <c r="P22" s="252" t="str">
        <f>'Player Database'!Q25</f>
        <v>Konrad Laimer</v>
      </c>
      <c r="Q22" s="252" t="str">
        <f>'Player Database'!R25</f>
        <v>Kingsley Coman</v>
      </c>
      <c r="R22" s="252" t="str">
        <f>'Player Database'!S25</f>
        <v>Loïs Openda</v>
      </c>
      <c r="S22" s="252" t="str">
        <f>'Player Database'!T25</f>
        <v>Dávid Ďuriš</v>
      </c>
      <c r="T22" s="252" t="str">
        <f>'Player Database'!U25</f>
        <v>Dennis Man</v>
      </c>
      <c r="U22" s="252" t="str">
        <f>'Player Database'!V25</f>
        <v>Oleksandr Zubkov</v>
      </c>
      <c r="V22" s="252" t="str">
        <f>'Player Database'!W25</f>
        <v>João Cancelo</v>
      </c>
      <c r="W22" s="252" t="str">
        <f>'Player Database'!X25</f>
        <v>Ondřej Lingr</v>
      </c>
      <c r="X22" s="252" t="str">
        <f>'Player Database'!Y25</f>
        <v>Ferdi Kadıoğlu</v>
      </c>
      <c r="Y22" s="252" t="str">
        <f>'Player Database'!Z25</f>
        <v>Anzor Mekvabishvili</v>
      </c>
      <c r="AI22" s="252" t="str">
        <f t="shared" ca="1" si="16"/>
        <v/>
      </c>
      <c r="AJ22" s="252" t="str">
        <f t="shared" ca="1" si="16"/>
        <v/>
      </c>
      <c r="AK22" s="252" t="str">
        <f t="shared" ca="1" si="16"/>
        <v/>
      </c>
      <c r="AL22" s="252" t="str">
        <f t="shared" ca="1" si="16"/>
        <v/>
      </c>
      <c r="AM22" s="252" t="str">
        <f t="shared" ca="1" si="16"/>
        <v/>
      </c>
      <c r="AN22" s="252" t="str">
        <f t="shared" ca="1" si="16"/>
        <v/>
      </c>
      <c r="AO22" s="252" t="str">
        <f t="shared" ca="1" si="16"/>
        <v/>
      </c>
      <c r="AP22" s="252" t="str">
        <f t="shared" ca="1" si="16"/>
        <v/>
      </c>
      <c r="AQ22" s="252" t="str">
        <f t="shared" ca="1" si="16"/>
        <v/>
      </c>
      <c r="AR22" s="252" t="str">
        <f t="shared" ca="1" si="16"/>
        <v/>
      </c>
      <c r="AS22" s="252" t="str">
        <f t="shared" ca="1" si="16"/>
        <v/>
      </c>
      <c r="AT22" s="252" t="str">
        <f t="shared" ca="1" si="16"/>
        <v/>
      </c>
      <c r="AU22" s="252" t="str">
        <f t="shared" ca="1" si="16"/>
        <v/>
      </c>
      <c r="AV22" s="252" t="str">
        <f t="shared" ca="1" si="16"/>
        <v/>
      </c>
      <c r="AW22" s="252" t="str">
        <f t="shared" ca="1" si="16"/>
        <v/>
      </c>
      <c r="AX22" s="252" t="str">
        <f t="shared" ca="1" si="16"/>
        <v/>
      </c>
      <c r="AZ22" s="252" t="str">
        <f t="shared" ca="1" si="17"/>
        <v/>
      </c>
      <c r="BA22" s="252" t="str">
        <f t="shared" ca="1" si="17"/>
        <v/>
      </c>
      <c r="BB22" s="252" t="str">
        <f t="shared" ca="1" si="17"/>
        <v/>
      </c>
      <c r="BC22" s="252" t="str">
        <f t="shared" ca="1" si="17"/>
        <v/>
      </c>
      <c r="BD22" s="252" t="str">
        <f t="shared" ca="1" si="17"/>
        <v/>
      </c>
      <c r="BE22" s="252" t="str">
        <f t="shared" ca="1" si="17"/>
        <v/>
      </c>
      <c r="BF22" s="252" t="str">
        <f t="shared" ca="1" si="17"/>
        <v/>
      </c>
      <c r="BG22" s="252" t="str">
        <f t="shared" ca="1" si="17"/>
        <v/>
      </c>
      <c r="BI22" s="252" t="str">
        <f t="shared" ca="1" si="4"/>
        <v/>
      </c>
      <c r="BJ22" s="252" t="str">
        <f t="shared" ca="1" si="4"/>
        <v/>
      </c>
      <c r="BK22" s="252" t="str">
        <f t="shared" ca="1" si="4"/>
        <v/>
      </c>
      <c r="BL22" s="252" t="str">
        <f t="shared" ca="1" si="4"/>
        <v/>
      </c>
      <c r="BN22" s="252" t="str">
        <f t="shared" si="5"/>
        <v/>
      </c>
      <c r="BO22" s="252" t="str">
        <f t="shared" si="5"/>
        <v/>
      </c>
      <c r="BQ22" s="252" t="str">
        <f t="shared" ca="1" si="6"/>
        <v/>
      </c>
      <c r="BR22" s="252" t="str">
        <f t="shared" ca="1" si="6"/>
        <v/>
      </c>
      <c r="BT22" s="253" t="str">
        <f t="shared" si="12"/>
        <v>Germany</v>
      </c>
      <c r="BU22" s="253">
        <f t="shared" si="13"/>
        <v>20</v>
      </c>
      <c r="BW22" s="253">
        <v>1</v>
      </c>
      <c r="BX22" s="253" t="str">
        <f t="shared" si="7"/>
        <v>Benjamin Henrichs</v>
      </c>
      <c r="BY22" s="253">
        <f>COUNTIF('Group Stages'!$J$8:$Q$80,BX22)+COUNTIF('Knock Out Stages'!$K$7:$R$45,BX22)</f>
        <v>0</v>
      </c>
      <c r="CA22" s="253" t="str">
        <f>'Player Database'!C25</f>
        <v>Benjamin Henrichs</v>
      </c>
      <c r="CB22" s="252">
        <v>19</v>
      </c>
      <c r="CC22" s="252" t="str">
        <f t="array" aca="1" ref="CC22" ca="1">IFERROR(INDEX($BX$3:$BX$810, SMALL(IF(COUNTIF(CC$3, $BY$3:$BY$810), ROW($BX$3:$BX$810)-MIN(ROW($BX$3:$BX$810))+1), $CB22), 0),"")</f>
        <v/>
      </c>
      <c r="CD22" s="252" t="str">
        <f t="array" aca="1" ref="CD22" ca="1">IFERROR(INDEX($BX$3:$BX$810, SMALL(IF(COUNTIF(CD$3, $BY$3:$BY$810), ROW($BX$3:$BX$810)-MIN(ROW($BX$3:$BX$810))+1), $CB22), 0),"")</f>
        <v/>
      </c>
      <c r="CE22" s="252" t="str">
        <f t="array" aca="1" ref="CE22" ca="1">IFERROR(INDEX($BX$3:$BX$810, SMALL(IF(COUNTIF(CE$3, $BY$3:$BY$810), ROW($BX$3:$BX$810)-MIN(ROW($BX$3:$BX$810))+1), $CB22), 0),"")</f>
        <v/>
      </c>
      <c r="CF22" s="252" t="str">
        <f t="array" aca="1" ref="CF22" ca="1">IFERROR(INDEX($BX$3:$BX$810, SMALL(IF(COUNTIF(CF$3, $BY$3:$BY$810), ROW($BX$3:$BX$810)-MIN(ROW($BX$3:$BX$810))+1), $CB22), 0),"")</f>
        <v/>
      </c>
      <c r="CG22" s="252" t="str">
        <f t="array" aca="1" ref="CG22" ca="1">IFERROR(INDEX($BX$3:$BX$810, SMALL(IF(COUNTIF(CG$3, $BY$3:$BY$810), ROW($BX$3:$BX$810)-MIN(ROW($BX$3:$BX$810))+1), $CB22), 0),"")</f>
        <v/>
      </c>
      <c r="CH22" s="252" t="str">
        <f t="array" aca="1" ref="CH22" ca="1">IFERROR(INDEX($BX$3:$BX$810, SMALL(IF(COUNTIF(CH$3, $BY$3:$BY$810), ROW($BX$3:$BX$810)-MIN(ROW($BX$3:$BX$810))+1), $CB22), 0),"")</f>
        <v/>
      </c>
      <c r="CI22" s="252" t="str">
        <f t="array" aca="1" ref="CI22" ca="1">IFERROR(INDEX($BX$3:$BX$810, SMALL(IF(COUNTIF(CI$3, $BY$3:$BY$810), ROW($BX$3:$BX$810)-MIN(ROW($BX$3:$BX$810))+1), $CB22), 0),"")</f>
        <v/>
      </c>
      <c r="CJ22" s="252" t="str">
        <f t="array" aca="1" ref="CJ22" ca="1">IFERROR(INDEX($BX$3:$BX$810, SMALL(IF(COUNTIF(CJ$3, $BY$3:$BY$810), ROW($BX$3:$BX$810)-MIN(ROW($BX$3:$BX$810))+1), $CB22), 0),"")</f>
        <v/>
      </c>
      <c r="CK22" s="252" t="str">
        <f t="array" aca="1" ref="CK22" ca="1">IFERROR(INDEX($BX$3:$BX$810, SMALL(IF(COUNTIF(CK$3, $BY$3:$BY$810), ROW($BX$3:$BX$810)-MIN(ROW($BX$3:$BX$810))+1), $CB22), 0),"")</f>
        <v/>
      </c>
      <c r="CL22" s="252" t="str">
        <f t="array" aca="1" ref="CL22" ca="1">IFERROR(INDEX($BX$3:$BX$810, SMALL(IF(COUNTIF(CL$3, $BY$3:$BY$810), ROW($BX$3:$BX$810)-MIN(ROW($BX$3:$BX$810))+1), $CB22), 0),"")</f>
        <v/>
      </c>
      <c r="CM22" s="252" t="str">
        <f t="array" aca="1" ref="CM22" ca="1">IFERROR(INDEX($BX$3:$BX$810, SMALL(IF(COUNTIF(CM$3, $BY$3:$BY$810), ROW($BX$3:$BX$810)-MIN(ROW($BX$3:$BX$810))+1), $CB22), 0),"")</f>
        <v/>
      </c>
      <c r="CN22" s="252" t="str">
        <f t="array" aca="1" ref="CN22" ca="1">IFERROR(INDEX($BX$3:$BX$810, SMALL(IF(COUNTIF(CN$3, $BY$3:$BY$810), ROW($BX$3:$BX$810)-MIN(ROW($BX$3:$BX$810))+1), $CB22), 0),"")</f>
        <v/>
      </c>
      <c r="CO22" s="252" t="str">
        <f t="array" aca="1" ref="CO22" ca="1">IFERROR(INDEX($BX$3:$BX$810, SMALL(IF(COUNTIF(CO$3, $BY$3:$BY$810), ROW($BX$3:$BX$810)-MIN(ROW($BX$3:$BX$810))+1), $CB22), 0),"")</f>
        <v/>
      </c>
      <c r="CP22" s="252" t="str">
        <f t="array" aca="1" ref="CP22" ca="1">IFERROR(INDEX($BX$3:$BX$810, SMALL(IF(COUNTIF(CP$3, $BY$3:$BY$810), ROW($BX$3:$BX$810)-MIN(ROW($BX$3:$BX$810))+1), $CB22), 0),"")</f>
        <v/>
      </c>
      <c r="CQ22" s="252" t="str">
        <f t="array" aca="1" ref="CQ22" ca="1">IFERROR(INDEX($BX$3:$BX$810, SMALL(IF(COUNTIF(CQ$3, $BY$3:$BY$810), ROW($BX$3:$BX$810)-MIN(ROW($BX$3:$BX$810))+1), $CB22), 0),"")</f>
        <v/>
      </c>
      <c r="CS22" s="252">
        <v>19</v>
      </c>
      <c r="CT22" s="252">
        <v>1</v>
      </c>
      <c r="CV22" s="252" t="str">
        <f t="shared" ca="1" si="8"/>
        <v/>
      </c>
      <c r="CW22" s="252">
        <f t="shared" ca="1" si="14"/>
        <v>0</v>
      </c>
      <c r="CZ22" s="252">
        <v>19</v>
      </c>
      <c r="DA22" s="252" t="str">
        <f t="shared" ca="1" si="15"/>
        <v/>
      </c>
      <c r="DB22" s="252" t="str">
        <f t="shared" ca="1" si="9"/>
        <v/>
      </c>
      <c r="DC22" s="252" t="str">
        <f t="shared" ca="1" si="10"/>
        <v/>
      </c>
      <c r="DD22" s="252" t="str">
        <f t="shared" ca="1" si="11"/>
        <v/>
      </c>
    </row>
    <row r="23" spans="1:108" x14ac:dyDescent="0.2">
      <c r="A23" s="252">
        <v>21</v>
      </c>
      <c r="B23" s="252" t="str">
        <f>'Player Database'!C26</f>
        <v>İlkay Gündoğan</v>
      </c>
      <c r="C23" s="252" t="str">
        <f>'Player Database'!D26</f>
        <v>Zander Clark</v>
      </c>
      <c r="D23" s="252" t="str">
        <f>'Player Database'!E26</f>
        <v>Endre Botka</v>
      </c>
      <c r="E23" s="252" t="str">
        <f>'Player Database'!F26</f>
        <v>Gregor Kobel</v>
      </c>
      <c r="F23" s="252" t="str">
        <f>'Player Database'!G26</f>
        <v>Nicolò Fagioli</v>
      </c>
      <c r="G23" s="252" t="str">
        <f>'Player Database'!H26</f>
        <v>Kristjan Asllani</v>
      </c>
      <c r="H23" s="252" t="str">
        <f>'Player Database'!I26</f>
        <v>Mikel Oyarzabal</v>
      </c>
      <c r="I23" s="252" t="str">
        <f>'Player Database'!J26</f>
        <v>Domagoj Vida</v>
      </c>
      <c r="J23" s="252" t="str">
        <f>'Player Database'!K26</f>
        <v>Mijat Gaćinović</v>
      </c>
      <c r="K23" s="252" t="str">
        <f>'Player Database'!L26</f>
        <v>Eberechi Eze</v>
      </c>
      <c r="L23" s="252" t="str">
        <f>'Player Database'!M26</f>
        <v>Vanja Drkušić</v>
      </c>
      <c r="M23" s="252" t="str">
        <f>'Player Database'!N26</f>
        <v>Morten Hjulmand</v>
      </c>
      <c r="N23" s="252" t="str">
        <f>'Player Database'!O26</f>
        <v>Nicola Zalewski</v>
      </c>
      <c r="O23" s="252" t="str">
        <f>'Player Database'!P26</f>
        <v>Joshua Zirkzee</v>
      </c>
      <c r="P23" s="252" t="str">
        <f>'Player Database'!Q26</f>
        <v>Flavius Daniliuc</v>
      </c>
      <c r="Q23" s="252" t="str">
        <f>'Player Database'!R26</f>
        <v>Jonathan Clauss</v>
      </c>
      <c r="R23" s="252" t="str">
        <f>'Player Database'!S26</f>
        <v>Timothy Castagne</v>
      </c>
      <c r="S23" s="252" t="str">
        <f>'Player Database'!T26</f>
        <v>Matúš Bero</v>
      </c>
      <c r="T23" s="252" t="str">
        <f>'Player Database'!U26</f>
        <v>Nicolae Stanciu</v>
      </c>
      <c r="U23" s="252" t="str">
        <f>'Player Database'!V26</f>
        <v>Valeriy Bondar</v>
      </c>
      <c r="V23" s="252" t="str">
        <f>'Player Database'!W26</f>
        <v>Diogo Jota</v>
      </c>
      <c r="W23" s="252" t="str">
        <f>'Player Database'!X26</f>
        <v>Lukáš Červ</v>
      </c>
      <c r="X23" s="252" t="str">
        <f>'Player Database'!Y26</f>
        <v>Barış Alper Yılmaz</v>
      </c>
      <c r="Y23" s="252" t="str">
        <f>'Player Database'!Z26</f>
        <v>Giorgi Tsitaishvili</v>
      </c>
      <c r="AI23" s="252" t="str">
        <f t="shared" ref="AI23:AX28" ca="1" si="18">IFERROR(INDEX($B$3:$AG$28,$A23,MATCH(AI$2,$B$2:$AG$2,0)),"")</f>
        <v/>
      </c>
      <c r="AJ23" s="252" t="str">
        <f t="shared" ca="1" si="18"/>
        <v/>
      </c>
      <c r="AK23" s="252" t="str">
        <f t="shared" ca="1" si="18"/>
        <v/>
      </c>
      <c r="AL23" s="252" t="str">
        <f t="shared" ca="1" si="18"/>
        <v/>
      </c>
      <c r="AM23" s="252" t="str">
        <f t="shared" ca="1" si="18"/>
        <v/>
      </c>
      <c r="AN23" s="252" t="str">
        <f t="shared" ca="1" si="18"/>
        <v/>
      </c>
      <c r="AO23" s="252" t="str">
        <f t="shared" ca="1" si="18"/>
        <v/>
      </c>
      <c r="AP23" s="252" t="str">
        <f t="shared" ca="1" si="18"/>
        <v/>
      </c>
      <c r="AQ23" s="252" t="str">
        <f t="shared" ca="1" si="18"/>
        <v/>
      </c>
      <c r="AR23" s="252" t="str">
        <f t="shared" ca="1" si="18"/>
        <v/>
      </c>
      <c r="AS23" s="252" t="str">
        <f t="shared" ca="1" si="18"/>
        <v/>
      </c>
      <c r="AT23" s="252" t="str">
        <f t="shared" ca="1" si="18"/>
        <v/>
      </c>
      <c r="AU23" s="252" t="str">
        <f t="shared" ca="1" si="18"/>
        <v/>
      </c>
      <c r="AV23" s="252" t="str">
        <f t="shared" ca="1" si="18"/>
        <v/>
      </c>
      <c r="AW23" s="252" t="str">
        <f t="shared" ca="1" si="18"/>
        <v/>
      </c>
      <c r="AX23" s="252" t="str">
        <f t="shared" ca="1" si="18"/>
        <v/>
      </c>
      <c r="AZ23" s="252" t="str">
        <f t="shared" ref="AZ23:BG28" ca="1" si="19">IFERROR(INDEX($B$3:$AG$28,$A23,MATCH(AZ$2,$B$2:$AG$2,0)),"")</f>
        <v/>
      </c>
      <c r="BA23" s="252" t="str">
        <f t="shared" ca="1" si="19"/>
        <v/>
      </c>
      <c r="BB23" s="252" t="str">
        <f t="shared" ca="1" si="19"/>
        <v/>
      </c>
      <c r="BC23" s="252" t="str">
        <f t="shared" ca="1" si="19"/>
        <v/>
      </c>
      <c r="BD23" s="252" t="str">
        <f t="shared" ca="1" si="19"/>
        <v/>
      </c>
      <c r="BE23" s="252" t="str">
        <f t="shared" ca="1" si="19"/>
        <v/>
      </c>
      <c r="BF23" s="252" t="str">
        <f t="shared" ca="1" si="19"/>
        <v/>
      </c>
      <c r="BG23" s="252" t="str">
        <f t="shared" ca="1" si="19"/>
        <v/>
      </c>
      <c r="BI23" s="252" t="str">
        <f t="shared" ca="1" si="4"/>
        <v/>
      </c>
      <c r="BJ23" s="252" t="str">
        <f t="shared" ca="1" si="4"/>
        <v/>
      </c>
      <c r="BK23" s="252" t="str">
        <f t="shared" ca="1" si="4"/>
        <v/>
      </c>
      <c r="BL23" s="252" t="str">
        <f t="shared" ca="1" si="4"/>
        <v/>
      </c>
      <c r="BN23" s="252" t="str">
        <f t="shared" si="5"/>
        <v/>
      </c>
      <c r="BO23" s="252" t="str">
        <f t="shared" si="5"/>
        <v/>
      </c>
      <c r="BQ23" s="252" t="str">
        <f t="shared" ca="1" si="6"/>
        <v/>
      </c>
      <c r="BR23" s="252" t="str">
        <f t="shared" ca="1" si="6"/>
        <v/>
      </c>
      <c r="BT23" s="253" t="str">
        <f t="shared" si="12"/>
        <v>Germany</v>
      </c>
      <c r="BU23" s="253">
        <f t="shared" si="13"/>
        <v>21</v>
      </c>
      <c r="BW23" s="253">
        <v>1</v>
      </c>
      <c r="BX23" s="253" t="str">
        <f t="shared" si="7"/>
        <v>İlkay Gündoğan</v>
      </c>
      <c r="BY23" s="253">
        <f>COUNTIF('Group Stages'!$J$8:$Q$80,BX23)+COUNTIF('Knock Out Stages'!$K$7:$R$45,BX23)</f>
        <v>0</v>
      </c>
      <c r="CA23" s="253" t="str">
        <f>'Player Database'!C26</f>
        <v>İlkay Gündoğan</v>
      </c>
      <c r="CB23" s="252">
        <v>20</v>
      </c>
      <c r="CC23" s="252" t="str">
        <f t="array" aca="1" ref="CC23" ca="1">IFERROR(INDEX($BX$3:$BX$810, SMALL(IF(COUNTIF(CC$3, $BY$3:$BY$810), ROW($BX$3:$BX$810)-MIN(ROW($BX$3:$BX$810))+1), $CB23), 0),"")</f>
        <v/>
      </c>
      <c r="CD23" s="252" t="str">
        <f t="array" aca="1" ref="CD23" ca="1">IFERROR(INDEX($BX$3:$BX$810, SMALL(IF(COUNTIF(CD$3, $BY$3:$BY$810), ROW($BX$3:$BX$810)-MIN(ROW($BX$3:$BX$810))+1), $CB23), 0),"")</f>
        <v/>
      </c>
      <c r="CE23" s="252" t="str">
        <f t="array" aca="1" ref="CE23" ca="1">IFERROR(INDEX($BX$3:$BX$810, SMALL(IF(COUNTIF(CE$3, $BY$3:$BY$810), ROW($BX$3:$BX$810)-MIN(ROW($BX$3:$BX$810))+1), $CB23), 0),"")</f>
        <v/>
      </c>
      <c r="CF23" s="252" t="str">
        <f t="array" aca="1" ref="CF23" ca="1">IFERROR(INDEX($BX$3:$BX$810, SMALL(IF(COUNTIF(CF$3, $BY$3:$BY$810), ROW($BX$3:$BX$810)-MIN(ROW($BX$3:$BX$810))+1), $CB23), 0),"")</f>
        <v/>
      </c>
      <c r="CG23" s="252" t="str">
        <f t="array" aca="1" ref="CG23" ca="1">IFERROR(INDEX($BX$3:$BX$810, SMALL(IF(COUNTIF(CG$3, $BY$3:$BY$810), ROW($BX$3:$BX$810)-MIN(ROW($BX$3:$BX$810))+1), $CB23), 0),"")</f>
        <v/>
      </c>
      <c r="CH23" s="252" t="str">
        <f t="array" aca="1" ref="CH23" ca="1">IFERROR(INDEX($BX$3:$BX$810, SMALL(IF(COUNTIF(CH$3, $BY$3:$BY$810), ROW($BX$3:$BX$810)-MIN(ROW($BX$3:$BX$810))+1), $CB23), 0),"")</f>
        <v/>
      </c>
      <c r="CI23" s="252" t="str">
        <f t="array" aca="1" ref="CI23" ca="1">IFERROR(INDEX($BX$3:$BX$810, SMALL(IF(COUNTIF(CI$3, $BY$3:$BY$810), ROW($BX$3:$BX$810)-MIN(ROW($BX$3:$BX$810))+1), $CB23), 0),"")</f>
        <v/>
      </c>
      <c r="CJ23" s="252" t="str">
        <f t="array" aca="1" ref="CJ23" ca="1">IFERROR(INDEX($BX$3:$BX$810, SMALL(IF(COUNTIF(CJ$3, $BY$3:$BY$810), ROW($BX$3:$BX$810)-MIN(ROW($BX$3:$BX$810))+1), $CB23), 0),"")</f>
        <v/>
      </c>
      <c r="CK23" s="252" t="str">
        <f t="array" aca="1" ref="CK23" ca="1">IFERROR(INDEX($BX$3:$BX$810, SMALL(IF(COUNTIF(CK$3, $BY$3:$BY$810), ROW($BX$3:$BX$810)-MIN(ROW($BX$3:$BX$810))+1), $CB23), 0),"")</f>
        <v/>
      </c>
      <c r="CL23" s="252" t="str">
        <f t="array" aca="1" ref="CL23" ca="1">IFERROR(INDEX($BX$3:$BX$810, SMALL(IF(COUNTIF(CL$3, $BY$3:$BY$810), ROW($BX$3:$BX$810)-MIN(ROW($BX$3:$BX$810))+1), $CB23), 0),"")</f>
        <v/>
      </c>
      <c r="CM23" s="252" t="str">
        <f t="array" aca="1" ref="CM23" ca="1">IFERROR(INDEX($BX$3:$BX$810, SMALL(IF(COUNTIF(CM$3, $BY$3:$BY$810), ROW($BX$3:$BX$810)-MIN(ROW($BX$3:$BX$810))+1), $CB23), 0),"")</f>
        <v/>
      </c>
      <c r="CN23" s="252" t="str">
        <f t="array" aca="1" ref="CN23" ca="1">IFERROR(INDEX($BX$3:$BX$810, SMALL(IF(COUNTIF(CN$3, $BY$3:$BY$810), ROW($BX$3:$BX$810)-MIN(ROW($BX$3:$BX$810))+1), $CB23), 0),"")</f>
        <v/>
      </c>
      <c r="CO23" s="252" t="str">
        <f t="array" aca="1" ref="CO23" ca="1">IFERROR(INDEX($BX$3:$BX$810, SMALL(IF(COUNTIF(CO$3, $BY$3:$BY$810), ROW($BX$3:$BX$810)-MIN(ROW($BX$3:$BX$810))+1), $CB23), 0),"")</f>
        <v/>
      </c>
      <c r="CP23" s="252" t="str">
        <f t="array" aca="1" ref="CP23" ca="1">IFERROR(INDEX($BX$3:$BX$810, SMALL(IF(COUNTIF(CP$3, $BY$3:$BY$810), ROW($BX$3:$BX$810)-MIN(ROW($BX$3:$BX$810))+1), $CB23), 0),"")</f>
        <v/>
      </c>
      <c r="CQ23" s="252" t="str">
        <f t="array" aca="1" ref="CQ23" ca="1">IFERROR(INDEX($BX$3:$BX$810, SMALL(IF(COUNTIF(CQ$3, $BY$3:$BY$810), ROW($BX$3:$BX$810)-MIN(ROW($BX$3:$BX$810))+1), $CB23), 0),"")</f>
        <v/>
      </c>
      <c r="CS23" s="252">
        <v>20</v>
      </c>
      <c r="CT23" s="252">
        <v>1</v>
      </c>
      <c r="CV23" s="252" t="str">
        <f t="shared" ca="1" si="8"/>
        <v/>
      </c>
      <c r="CW23" s="252">
        <f t="shared" ca="1" si="14"/>
        <v>0</v>
      </c>
      <c r="CZ23" s="252">
        <v>20</v>
      </c>
      <c r="DA23" s="252" t="str">
        <f t="shared" ca="1" si="15"/>
        <v/>
      </c>
      <c r="DB23" s="252" t="str">
        <f t="shared" ca="1" si="9"/>
        <v/>
      </c>
      <c r="DC23" s="252" t="str">
        <f t="shared" ca="1" si="10"/>
        <v/>
      </c>
      <c r="DD23" s="252" t="str">
        <f t="shared" ca="1" si="11"/>
        <v/>
      </c>
    </row>
    <row r="24" spans="1:108" x14ac:dyDescent="0.2">
      <c r="A24" s="252">
        <v>22</v>
      </c>
      <c r="B24" s="252" t="str">
        <f>'Player Database'!C27</f>
        <v>Marc-André ter Stegen</v>
      </c>
      <c r="C24" s="252" t="str">
        <f>'Player Database'!D27</f>
        <v>Ross McCrorie</v>
      </c>
      <c r="D24" s="252" t="str">
        <f>'Player Database'!E27</f>
        <v>Péter Szappanos</v>
      </c>
      <c r="E24" s="252" t="str">
        <f>'Player Database'!F27</f>
        <v>Fabian Schär</v>
      </c>
      <c r="F24" s="252" t="str">
        <f>'Player Database'!G27</f>
        <v>Stephan El Shaarawy</v>
      </c>
      <c r="G24" s="252" t="str">
        <f>'Player Database'!H27</f>
        <v>Amir Abrashi</v>
      </c>
      <c r="H24" s="252" t="str">
        <f>'Player Database'!I27</f>
        <v>Jesús Navas</v>
      </c>
      <c r="I24" s="252" t="str">
        <f>'Player Database'!J27</f>
        <v>Josip Juranović</v>
      </c>
      <c r="J24" s="252" t="str">
        <f>'Player Database'!K27</f>
        <v>Saša Lukić</v>
      </c>
      <c r="K24" s="252" t="str">
        <f>'Player Database'!L27</f>
        <v>Joe Gomez</v>
      </c>
      <c r="L24" s="252" t="str">
        <f>'Player Database'!M27</f>
        <v>Adam Gnezda Čerin</v>
      </c>
      <c r="M24" s="252" t="str">
        <f>'Player Database'!N27</f>
        <v>Frederik Rønnow</v>
      </c>
      <c r="N24" s="252" t="str">
        <f>'Player Database'!O27</f>
        <v>Marcin Bułka</v>
      </c>
      <c r="O24" s="252" t="str">
        <f>'Player Database'!P27</f>
        <v>Denzel Dumfries</v>
      </c>
      <c r="P24" s="252" t="str">
        <f>'Player Database'!Q27</f>
        <v>Matthias Seidl</v>
      </c>
      <c r="Q24" s="252" t="str">
        <f>'Player Database'!R27</f>
        <v>Théo Hernandez</v>
      </c>
      <c r="R24" s="252" t="str">
        <f>'Player Database'!S27</f>
        <v>Jérémy Doku</v>
      </c>
      <c r="S24" s="252" t="str">
        <f>'Player Database'!T27</f>
        <v>Stanislav Lobotka</v>
      </c>
      <c r="T24" s="252" t="str">
        <f>'Player Database'!U27</f>
        <v>Vasile Mogoș</v>
      </c>
      <c r="U24" s="252" t="str">
        <f>'Player Database'!V27</f>
        <v>Mykola Matviyenko</v>
      </c>
      <c r="V24" s="252" t="str">
        <f>'Player Database'!W27</f>
        <v>Diogo Costa</v>
      </c>
      <c r="W24" s="252" t="str">
        <f>'Player Database'!X27</f>
        <v>Tomáš Souček</v>
      </c>
      <c r="X24" s="252" t="str">
        <f>'Player Database'!Y27</f>
        <v>Kaan Ayhan</v>
      </c>
      <c r="Y24" s="252" t="str">
        <f>'Player Database'!Z27</f>
        <v>Georges Mikautadze</v>
      </c>
      <c r="AI24" s="252" t="str">
        <f t="shared" ca="1" si="18"/>
        <v/>
      </c>
      <c r="AJ24" s="252" t="str">
        <f t="shared" ca="1" si="18"/>
        <v/>
      </c>
      <c r="AK24" s="252" t="str">
        <f t="shared" ca="1" si="18"/>
        <v/>
      </c>
      <c r="AL24" s="252" t="str">
        <f t="shared" ca="1" si="18"/>
        <v/>
      </c>
      <c r="AM24" s="252" t="str">
        <f t="shared" ca="1" si="18"/>
        <v/>
      </c>
      <c r="AN24" s="252" t="str">
        <f t="shared" ca="1" si="18"/>
        <v/>
      </c>
      <c r="AO24" s="252" t="str">
        <f t="shared" ca="1" si="18"/>
        <v/>
      </c>
      <c r="AP24" s="252" t="str">
        <f t="shared" ca="1" si="18"/>
        <v/>
      </c>
      <c r="AQ24" s="252" t="str">
        <f t="shared" ca="1" si="18"/>
        <v/>
      </c>
      <c r="AR24" s="252" t="str">
        <f t="shared" ca="1" si="18"/>
        <v/>
      </c>
      <c r="AS24" s="252" t="str">
        <f t="shared" ca="1" si="18"/>
        <v/>
      </c>
      <c r="AT24" s="252" t="str">
        <f t="shared" ca="1" si="18"/>
        <v/>
      </c>
      <c r="AU24" s="252" t="str">
        <f t="shared" ca="1" si="18"/>
        <v/>
      </c>
      <c r="AV24" s="252" t="str">
        <f t="shared" ca="1" si="18"/>
        <v/>
      </c>
      <c r="AW24" s="252" t="str">
        <f t="shared" ca="1" si="18"/>
        <v/>
      </c>
      <c r="AX24" s="252" t="str">
        <f t="shared" ca="1" si="18"/>
        <v/>
      </c>
      <c r="AZ24" s="252" t="str">
        <f t="shared" ca="1" si="19"/>
        <v/>
      </c>
      <c r="BA24" s="252" t="str">
        <f t="shared" ca="1" si="19"/>
        <v/>
      </c>
      <c r="BB24" s="252" t="str">
        <f t="shared" ca="1" si="19"/>
        <v/>
      </c>
      <c r="BC24" s="252" t="str">
        <f t="shared" ca="1" si="19"/>
        <v/>
      </c>
      <c r="BD24" s="252" t="str">
        <f t="shared" ca="1" si="19"/>
        <v/>
      </c>
      <c r="BE24" s="252" t="str">
        <f t="shared" ca="1" si="19"/>
        <v/>
      </c>
      <c r="BF24" s="252" t="str">
        <f t="shared" ca="1" si="19"/>
        <v/>
      </c>
      <c r="BG24" s="252" t="str">
        <f t="shared" ca="1" si="19"/>
        <v/>
      </c>
      <c r="BI24" s="252" t="str">
        <f t="shared" ca="1" si="4"/>
        <v/>
      </c>
      <c r="BJ24" s="252" t="str">
        <f t="shared" ca="1" si="4"/>
        <v/>
      </c>
      <c r="BK24" s="252" t="str">
        <f t="shared" ca="1" si="4"/>
        <v/>
      </c>
      <c r="BL24" s="252" t="str">
        <f t="shared" ca="1" si="4"/>
        <v/>
      </c>
      <c r="BN24" s="252" t="str">
        <f t="shared" si="5"/>
        <v/>
      </c>
      <c r="BO24" s="252" t="str">
        <f t="shared" si="5"/>
        <v/>
      </c>
      <c r="BQ24" s="252" t="str">
        <f t="shared" ca="1" si="6"/>
        <v/>
      </c>
      <c r="BR24" s="252" t="str">
        <f t="shared" ca="1" si="6"/>
        <v/>
      </c>
      <c r="BT24" s="253" t="str">
        <f t="shared" si="12"/>
        <v>Germany</v>
      </c>
      <c r="BU24" s="253">
        <f t="shared" si="13"/>
        <v>22</v>
      </c>
      <c r="BW24" s="253">
        <v>1</v>
      </c>
      <c r="BX24" s="253" t="str">
        <f t="shared" si="7"/>
        <v>Marc-André ter Stegen</v>
      </c>
      <c r="BY24" s="253">
        <f>COUNTIF('Group Stages'!$J$8:$Q$80,BX24)+COUNTIF('Knock Out Stages'!$K$7:$R$45,BX24)</f>
        <v>0</v>
      </c>
      <c r="CA24" s="253" t="str">
        <f>'Player Database'!C27</f>
        <v>Marc-André ter Stegen</v>
      </c>
      <c r="CB24" s="252">
        <v>21</v>
      </c>
      <c r="CC24" s="252" t="str">
        <f t="array" aca="1" ref="CC24" ca="1">IFERROR(INDEX($BX$3:$BX$810, SMALL(IF(COUNTIF(CC$3, $BY$3:$BY$810), ROW($BX$3:$BX$810)-MIN(ROW($BX$3:$BX$810))+1), $CB24), 0),"")</f>
        <v/>
      </c>
      <c r="CD24" s="252" t="str">
        <f t="array" aca="1" ref="CD24" ca="1">IFERROR(INDEX($BX$3:$BX$810, SMALL(IF(COUNTIF(CD$3, $BY$3:$BY$810), ROW($BX$3:$BX$810)-MIN(ROW($BX$3:$BX$810))+1), $CB24), 0),"")</f>
        <v/>
      </c>
      <c r="CE24" s="252" t="str">
        <f t="array" aca="1" ref="CE24" ca="1">IFERROR(INDEX($BX$3:$BX$810, SMALL(IF(COUNTIF(CE$3, $BY$3:$BY$810), ROW($BX$3:$BX$810)-MIN(ROW($BX$3:$BX$810))+1), $CB24), 0),"")</f>
        <v/>
      </c>
      <c r="CF24" s="252" t="str">
        <f t="array" aca="1" ref="CF24" ca="1">IFERROR(INDEX($BX$3:$BX$810, SMALL(IF(COUNTIF(CF$3, $BY$3:$BY$810), ROW($BX$3:$BX$810)-MIN(ROW($BX$3:$BX$810))+1), $CB24), 0),"")</f>
        <v/>
      </c>
      <c r="CG24" s="252" t="str">
        <f t="array" aca="1" ref="CG24" ca="1">IFERROR(INDEX($BX$3:$BX$810, SMALL(IF(COUNTIF(CG$3, $BY$3:$BY$810), ROW($BX$3:$BX$810)-MIN(ROW($BX$3:$BX$810))+1), $CB24), 0),"")</f>
        <v/>
      </c>
      <c r="CH24" s="252" t="str">
        <f t="array" aca="1" ref="CH24" ca="1">IFERROR(INDEX($BX$3:$BX$810, SMALL(IF(COUNTIF(CH$3, $BY$3:$BY$810), ROW($BX$3:$BX$810)-MIN(ROW($BX$3:$BX$810))+1), $CB24), 0),"")</f>
        <v/>
      </c>
      <c r="CI24" s="252" t="str">
        <f t="array" aca="1" ref="CI24" ca="1">IFERROR(INDEX($BX$3:$BX$810, SMALL(IF(COUNTIF(CI$3, $BY$3:$BY$810), ROW($BX$3:$BX$810)-MIN(ROW($BX$3:$BX$810))+1), $CB24), 0),"")</f>
        <v/>
      </c>
      <c r="CJ24" s="252" t="str">
        <f t="array" aca="1" ref="CJ24" ca="1">IFERROR(INDEX($BX$3:$BX$810, SMALL(IF(COUNTIF(CJ$3, $BY$3:$BY$810), ROW($BX$3:$BX$810)-MIN(ROW($BX$3:$BX$810))+1), $CB24), 0),"")</f>
        <v/>
      </c>
      <c r="CK24" s="252" t="str">
        <f t="array" aca="1" ref="CK24" ca="1">IFERROR(INDEX($BX$3:$BX$810, SMALL(IF(COUNTIF(CK$3, $BY$3:$BY$810), ROW($BX$3:$BX$810)-MIN(ROW($BX$3:$BX$810))+1), $CB24), 0),"")</f>
        <v/>
      </c>
      <c r="CL24" s="252" t="str">
        <f t="array" aca="1" ref="CL24" ca="1">IFERROR(INDEX($BX$3:$BX$810, SMALL(IF(COUNTIF(CL$3, $BY$3:$BY$810), ROW($BX$3:$BX$810)-MIN(ROW($BX$3:$BX$810))+1), $CB24), 0),"")</f>
        <v/>
      </c>
      <c r="CM24" s="252" t="str">
        <f t="array" aca="1" ref="CM24" ca="1">IFERROR(INDEX($BX$3:$BX$810, SMALL(IF(COUNTIF(CM$3, $BY$3:$BY$810), ROW($BX$3:$BX$810)-MIN(ROW($BX$3:$BX$810))+1), $CB24), 0),"")</f>
        <v/>
      </c>
      <c r="CN24" s="252" t="str">
        <f t="array" aca="1" ref="CN24" ca="1">IFERROR(INDEX($BX$3:$BX$810, SMALL(IF(COUNTIF(CN$3, $BY$3:$BY$810), ROW($BX$3:$BX$810)-MIN(ROW($BX$3:$BX$810))+1), $CB24), 0),"")</f>
        <v/>
      </c>
      <c r="CO24" s="252" t="str">
        <f t="array" aca="1" ref="CO24" ca="1">IFERROR(INDEX($BX$3:$BX$810, SMALL(IF(COUNTIF(CO$3, $BY$3:$BY$810), ROW($BX$3:$BX$810)-MIN(ROW($BX$3:$BX$810))+1), $CB24), 0),"")</f>
        <v/>
      </c>
      <c r="CP24" s="252" t="str">
        <f t="array" aca="1" ref="CP24" ca="1">IFERROR(INDEX($BX$3:$BX$810, SMALL(IF(COUNTIF(CP$3, $BY$3:$BY$810), ROW($BX$3:$BX$810)-MIN(ROW($BX$3:$BX$810))+1), $CB24), 0),"")</f>
        <v/>
      </c>
      <c r="CQ24" s="252" t="str">
        <f t="array" aca="1" ref="CQ24" ca="1">IFERROR(INDEX($BX$3:$BX$810, SMALL(IF(COUNTIF(CQ$3, $BY$3:$BY$810), ROW($BX$3:$BX$810)-MIN(ROW($BX$3:$BX$810))+1), $CB24), 0),"")</f>
        <v/>
      </c>
      <c r="CS24" s="252">
        <v>21</v>
      </c>
      <c r="CT24" s="252">
        <v>1</v>
      </c>
      <c r="CV24" s="252" t="str">
        <f t="shared" ca="1" si="8"/>
        <v/>
      </c>
      <c r="CW24" s="252">
        <f t="shared" ca="1" si="14"/>
        <v>0</v>
      </c>
      <c r="CZ24" s="252">
        <v>21</v>
      </c>
      <c r="DA24" s="252" t="str">
        <f t="shared" ca="1" si="15"/>
        <v/>
      </c>
      <c r="DB24" s="252" t="str">
        <f t="shared" ca="1" si="9"/>
        <v/>
      </c>
      <c r="DC24" s="252" t="str">
        <f t="shared" ca="1" si="10"/>
        <v/>
      </c>
      <c r="DD24" s="252" t="str">
        <f t="shared" ca="1" si="11"/>
        <v/>
      </c>
    </row>
    <row r="25" spans="1:108" x14ac:dyDescent="0.2">
      <c r="A25" s="252">
        <v>23</v>
      </c>
      <c r="B25" s="252" t="str">
        <f>'Player Database'!C28</f>
        <v>Robert Andrich</v>
      </c>
      <c r="C25" s="252" t="str">
        <f>'Player Database'!D28</f>
        <v>Kenny McLean</v>
      </c>
      <c r="D25" s="252" t="str">
        <f>'Player Database'!E28</f>
        <v>Kevin Csoboth</v>
      </c>
      <c r="E25" s="252" t="str">
        <f>'Player Database'!F28</f>
        <v>Xherdan Shaqiri</v>
      </c>
      <c r="F25" s="252" t="str">
        <f>'Player Database'!G28</f>
        <v>Alessandro Bastoni</v>
      </c>
      <c r="G25" s="252" t="str">
        <f>'Player Database'!H28</f>
        <v>Thomas Strakosha</v>
      </c>
      <c r="H25" s="252" t="str">
        <f>'Player Database'!I28</f>
        <v>Unai Simón</v>
      </c>
      <c r="I25" s="252" t="str">
        <f>'Player Database'!J28</f>
        <v>Ivica Ivušić</v>
      </c>
      <c r="J25" s="252" t="str">
        <f>'Player Database'!K28</f>
        <v>Vanja Milinković-Savić</v>
      </c>
      <c r="K25" s="252" t="str">
        <f>'Player Database'!L28</f>
        <v>Dean Henderson</v>
      </c>
      <c r="L25" s="252" t="str">
        <f>'Player Database'!M28</f>
        <v>David Brekalo</v>
      </c>
      <c r="M25" s="252" t="str">
        <f>'Player Database'!N28</f>
        <v>Pierre-Emile Højbjerg</v>
      </c>
      <c r="N25" s="252" t="str">
        <f>'Player Database'!O28</f>
        <v>Krzysztof Piątek</v>
      </c>
      <c r="O25" s="252" t="str">
        <f>'Player Database'!P28</f>
        <v>Mark Flekken</v>
      </c>
      <c r="P25" s="252" t="str">
        <f>'Player Database'!Q28</f>
        <v>Patrick Wimmer</v>
      </c>
      <c r="Q25" s="252" t="str">
        <f>'Player Database'!R28</f>
        <v>Alphonse Areola</v>
      </c>
      <c r="R25" s="252" t="str">
        <f>'Player Database'!S28</f>
        <v>Arthur Vermeeren</v>
      </c>
      <c r="S25" s="252" t="str">
        <f>'Player Database'!T28</f>
        <v>Henrich Ravas</v>
      </c>
      <c r="T25" s="252" t="str">
        <f>'Player Database'!U28</f>
        <v>Deian Sorescu</v>
      </c>
      <c r="U25" s="252" t="str">
        <f>'Player Database'!V28</f>
        <v>Andriy Lunin</v>
      </c>
      <c r="V25" s="252" t="str">
        <f>'Player Database'!W28</f>
        <v>Vitinha</v>
      </c>
      <c r="W25" s="252" t="str">
        <f>'Player Database'!X28</f>
        <v>Vítězslav Jaroš</v>
      </c>
      <c r="X25" s="252" t="str">
        <f>'Player Database'!Y28</f>
        <v>Uğurcan Çakır</v>
      </c>
      <c r="Y25" s="252" t="str">
        <f>'Player Database'!Z28</f>
        <v>Saba Lobzhanidze</v>
      </c>
      <c r="AI25" s="252" t="str">
        <f t="shared" ca="1" si="18"/>
        <v/>
      </c>
      <c r="AJ25" s="252" t="str">
        <f t="shared" ca="1" si="18"/>
        <v/>
      </c>
      <c r="AK25" s="252" t="str">
        <f t="shared" ca="1" si="18"/>
        <v/>
      </c>
      <c r="AL25" s="252" t="str">
        <f t="shared" ca="1" si="18"/>
        <v/>
      </c>
      <c r="AM25" s="252" t="str">
        <f t="shared" ca="1" si="18"/>
        <v/>
      </c>
      <c r="AN25" s="252" t="str">
        <f t="shared" ca="1" si="18"/>
        <v/>
      </c>
      <c r="AO25" s="252" t="str">
        <f t="shared" ca="1" si="18"/>
        <v/>
      </c>
      <c r="AP25" s="252" t="str">
        <f t="shared" ca="1" si="18"/>
        <v/>
      </c>
      <c r="AQ25" s="252" t="str">
        <f t="shared" ca="1" si="18"/>
        <v/>
      </c>
      <c r="AR25" s="252" t="str">
        <f t="shared" ca="1" si="18"/>
        <v/>
      </c>
      <c r="AS25" s="252" t="str">
        <f t="shared" ca="1" si="18"/>
        <v/>
      </c>
      <c r="AT25" s="252" t="str">
        <f t="shared" ca="1" si="18"/>
        <v/>
      </c>
      <c r="AU25" s="252" t="str">
        <f t="shared" ca="1" si="18"/>
        <v/>
      </c>
      <c r="AV25" s="252" t="str">
        <f t="shared" ca="1" si="18"/>
        <v/>
      </c>
      <c r="AW25" s="252" t="str">
        <f t="shared" ca="1" si="18"/>
        <v/>
      </c>
      <c r="AX25" s="252" t="str">
        <f t="shared" ca="1" si="18"/>
        <v/>
      </c>
      <c r="AZ25" s="252" t="str">
        <f t="shared" ca="1" si="19"/>
        <v/>
      </c>
      <c r="BA25" s="252" t="str">
        <f t="shared" ca="1" si="19"/>
        <v/>
      </c>
      <c r="BB25" s="252" t="str">
        <f t="shared" ca="1" si="19"/>
        <v/>
      </c>
      <c r="BC25" s="252" t="str">
        <f t="shared" ca="1" si="19"/>
        <v/>
      </c>
      <c r="BD25" s="252" t="str">
        <f t="shared" ca="1" si="19"/>
        <v/>
      </c>
      <c r="BE25" s="252" t="str">
        <f t="shared" ca="1" si="19"/>
        <v/>
      </c>
      <c r="BF25" s="252" t="str">
        <f t="shared" ca="1" si="19"/>
        <v/>
      </c>
      <c r="BG25" s="252" t="str">
        <f t="shared" ca="1" si="19"/>
        <v/>
      </c>
      <c r="BI25" s="252" t="str">
        <f t="shared" ca="1" si="4"/>
        <v/>
      </c>
      <c r="BJ25" s="252" t="str">
        <f t="shared" ca="1" si="4"/>
        <v/>
      </c>
      <c r="BK25" s="252" t="str">
        <f t="shared" ca="1" si="4"/>
        <v/>
      </c>
      <c r="BL25" s="252" t="str">
        <f t="shared" ca="1" si="4"/>
        <v/>
      </c>
      <c r="BN25" s="252" t="str">
        <f t="shared" si="5"/>
        <v/>
      </c>
      <c r="BO25" s="252" t="str">
        <f t="shared" si="5"/>
        <v/>
      </c>
      <c r="BQ25" s="252" t="str">
        <f t="shared" ca="1" si="6"/>
        <v/>
      </c>
      <c r="BR25" s="252" t="str">
        <f t="shared" ca="1" si="6"/>
        <v/>
      </c>
      <c r="BT25" s="253" t="str">
        <f t="shared" si="12"/>
        <v>Germany</v>
      </c>
      <c r="BU25" s="253">
        <f t="shared" si="13"/>
        <v>23</v>
      </c>
      <c r="BW25" s="253">
        <v>1</v>
      </c>
      <c r="BX25" s="253" t="str">
        <f t="shared" si="7"/>
        <v>Robert Andrich</v>
      </c>
      <c r="BY25" s="253">
        <f>COUNTIF('Group Stages'!$J$8:$Q$80,BX25)+COUNTIF('Knock Out Stages'!$K$7:$R$45,BX25)</f>
        <v>0</v>
      </c>
      <c r="CA25" s="253" t="str">
        <f>'Player Database'!C28</f>
        <v>Robert Andrich</v>
      </c>
      <c r="CB25" s="252">
        <v>22</v>
      </c>
      <c r="CC25" s="252" t="str">
        <f t="array" aca="1" ref="CC25" ca="1">IFERROR(INDEX($BX$3:$BX$810, SMALL(IF(COUNTIF(CC$3, $BY$3:$BY$810), ROW($BX$3:$BX$810)-MIN(ROW($BX$3:$BX$810))+1), $CB25), 0),"")</f>
        <v/>
      </c>
      <c r="CD25" s="252" t="str">
        <f t="array" aca="1" ref="CD25" ca="1">IFERROR(INDEX($BX$3:$BX$810, SMALL(IF(COUNTIF(CD$3, $BY$3:$BY$810), ROW($BX$3:$BX$810)-MIN(ROW($BX$3:$BX$810))+1), $CB25), 0),"")</f>
        <v/>
      </c>
      <c r="CE25" s="252" t="str">
        <f t="array" aca="1" ref="CE25" ca="1">IFERROR(INDEX($BX$3:$BX$810, SMALL(IF(COUNTIF(CE$3, $BY$3:$BY$810), ROW($BX$3:$BX$810)-MIN(ROW($BX$3:$BX$810))+1), $CB25), 0),"")</f>
        <v/>
      </c>
      <c r="CF25" s="252" t="str">
        <f t="array" aca="1" ref="CF25" ca="1">IFERROR(INDEX($BX$3:$BX$810, SMALL(IF(COUNTIF(CF$3, $BY$3:$BY$810), ROW($BX$3:$BX$810)-MIN(ROW($BX$3:$BX$810))+1), $CB25), 0),"")</f>
        <v/>
      </c>
      <c r="CG25" s="252" t="str">
        <f t="array" aca="1" ref="CG25" ca="1">IFERROR(INDEX($BX$3:$BX$810, SMALL(IF(COUNTIF(CG$3, $BY$3:$BY$810), ROW($BX$3:$BX$810)-MIN(ROW($BX$3:$BX$810))+1), $CB25), 0),"")</f>
        <v/>
      </c>
      <c r="CH25" s="252" t="str">
        <f t="array" aca="1" ref="CH25" ca="1">IFERROR(INDEX($BX$3:$BX$810, SMALL(IF(COUNTIF(CH$3, $BY$3:$BY$810), ROW($BX$3:$BX$810)-MIN(ROW($BX$3:$BX$810))+1), $CB25), 0),"")</f>
        <v/>
      </c>
      <c r="CI25" s="252" t="str">
        <f t="array" aca="1" ref="CI25" ca="1">IFERROR(INDEX($BX$3:$BX$810, SMALL(IF(COUNTIF(CI$3, $BY$3:$BY$810), ROW($BX$3:$BX$810)-MIN(ROW($BX$3:$BX$810))+1), $CB25), 0),"")</f>
        <v/>
      </c>
      <c r="CJ25" s="252" t="str">
        <f t="array" aca="1" ref="CJ25" ca="1">IFERROR(INDEX($BX$3:$BX$810, SMALL(IF(COUNTIF(CJ$3, $BY$3:$BY$810), ROW($BX$3:$BX$810)-MIN(ROW($BX$3:$BX$810))+1), $CB25), 0),"")</f>
        <v/>
      </c>
      <c r="CK25" s="252" t="str">
        <f t="array" aca="1" ref="CK25" ca="1">IFERROR(INDEX($BX$3:$BX$810, SMALL(IF(COUNTIF(CK$3, $BY$3:$BY$810), ROW($BX$3:$BX$810)-MIN(ROW($BX$3:$BX$810))+1), $CB25), 0),"")</f>
        <v/>
      </c>
      <c r="CL25" s="252" t="str">
        <f t="array" aca="1" ref="CL25" ca="1">IFERROR(INDEX($BX$3:$BX$810, SMALL(IF(COUNTIF(CL$3, $BY$3:$BY$810), ROW($BX$3:$BX$810)-MIN(ROW($BX$3:$BX$810))+1), $CB25), 0),"")</f>
        <v/>
      </c>
      <c r="CM25" s="252" t="str">
        <f t="array" aca="1" ref="CM25" ca="1">IFERROR(INDEX($BX$3:$BX$810, SMALL(IF(COUNTIF(CM$3, $BY$3:$BY$810), ROW($BX$3:$BX$810)-MIN(ROW($BX$3:$BX$810))+1), $CB25), 0),"")</f>
        <v/>
      </c>
      <c r="CN25" s="252" t="str">
        <f t="array" aca="1" ref="CN25" ca="1">IFERROR(INDEX($BX$3:$BX$810, SMALL(IF(COUNTIF(CN$3, $BY$3:$BY$810), ROW($BX$3:$BX$810)-MIN(ROW($BX$3:$BX$810))+1), $CB25), 0),"")</f>
        <v/>
      </c>
      <c r="CO25" s="252" t="str">
        <f t="array" aca="1" ref="CO25" ca="1">IFERROR(INDEX($BX$3:$BX$810, SMALL(IF(COUNTIF(CO$3, $BY$3:$BY$810), ROW($BX$3:$BX$810)-MIN(ROW($BX$3:$BX$810))+1), $CB25), 0),"")</f>
        <v/>
      </c>
      <c r="CP25" s="252" t="str">
        <f t="array" aca="1" ref="CP25" ca="1">IFERROR(INDEX($BX$3:$BX$810, SMALL(IF(COUNTIF(CP$3, $BY$3:$BY$810), ROW($BX$3:$BX$810)-MIN(ROW($BX$3:$BX$810))+1), $CB25), 0),"")</f>
        <v/>
      </c>
      <c r="CQ25" s="252" t="str">
        <f t="array" aca="1" ref="CQ25" ca="1">IFERROR(INDEX($BX$3:$BX$810, SMALL(IF(COUNTIF(CQ$3, $BY$3:$BY$810), ROW($BX$3:$BX$810)-MIN(ROW($BX$3:$BX$810))+1), $CB25), 0),"")</f>
        <v/>
      </c>
      <c r="CS25" s="252">
        <v>22</v>
      </c>
      <c r="CT25" s="252">
        <v>1</v>
      </c>
      <c r="CV25" s="252" t="str">
        <f t="shared" ca="1" si="8"/>
        <v/>
      </c>
      <c r="CW25" s="252">
        <f t="shared" ca="1" si="14"/>
        <v>0</v>
      </c>
      <c r="CZ25" s="252">
        <v>22</v>
      </c>
      <c r="DA25" s="252" t="str">
        <f t="shared" ca="1" si="15"/>
        <v/>
      </c>
      <c r="DB25" s="252" t="str">
        <f t="shared" ca="1" si="9"/>
        <v/>
      </c>
      <c r="DC25" s="252" t="str">
        <f t="shared" ca="1" si="10"/>
        <v/>
      </c>
      <c r="DD25" s="252" t="str">
        <f t="shared" ca="1" si="11"/>
        <v/>
      </c>
    </row>
    <row r="26" spans="1:108" x14ac:dyDescent="0.2">
      <c r="A26" s="252">
        <v>24</v>
      </c>
      <c r="B26" s="252" t="str">
        <f>'Player Database'!C29</f>
        <v>Robin Koch</v>
      </c>
      <c r="C26" s="252" t="str">
        <f>'Player Database'!D29</f>
        <v>Greg Taylor</v>
      </c>
      <c r="D26" s="252" t="str">
        <f>'Player Database'!E29</f>
        <v>Márton Dárdai</v>
      </c>
      <c r="E26" s="252" t="str">
        <f>'Player Database'!F29</f>
        <v>Ardon Jashari</v>
      </c>
      <c r="F26" s="252" t="str">
        <f>'Player Database'!G29</f>
        <v>Andrea Cambiaso</v>
      </c>
      <c r="G26" s="252" t="str">
        <f>'Player Database'!H29</f>
        <v>Marash Kumbulla</v>
      </c>
      <c r="H26" s="252" t="str">
        <f>'Player Database'!I29</f>
        <v>Marc Cucurella</v>
      </c>
      <c r="I26" s="252" t="str">
        <f>'Player Database'!J29</f>
        <v>Marco Pašalić</v>
      </c>
      <c r="J26" s="252" t="str">
        <f>'Player Database'!K29</f>
        <v>Uroš Spajić</v>
      </c>
      <c r="K26" s="252" t="str">
        <f>'Player Database'!L29</f>
        <v>Cole Palmer</v>
      </c>
      <c r="L26" s="252" t="str">
        <f>'Player Database'!M29</f>
        <v>Nino Žugelj</v>
      </c>
      <c r="M26" s="252" t="str">
        <f>'Player Database'!N29</f>
        <v>Anders Dreyer</v>
      </c>
      <c r="N26" s="252" t="str">
        <f>'Player Database'!O29</f>
        <v>Bartosz Slisz</v>
      </c>
      <c r="O26" s="252" t="str">
        <f>'Player Database'!P29</f>
        <v>Jerdy Schouten</v>
      </c>
      <c r="P26" s="252" t="str">
        <f>'Player Database'!Q29</f>
        <v>Andreas Weimann</v>
      </c>
      <c r="Q26" s="252" t="str">
        <f>'Player Database'!R29</f>
        <v>Ibrahima Konaté</v>
      </c>
      <c r="R26" s="252" t="str">
        <f>'Player Database'!S29</f>
        <v>Amadou Onana</v>
      </c>
      <c r="S26" s="252" t="str">
        <f>'Player Database'!T29</f>
        <v>Leo Sauer</v>
      </c>
      <c r="T26" s="252" t="str">
        <f>'Player Database'!U29</f>
        <v>Bogdan Racovițan</v>
      </c>
      <c r="U26" s="252" t="str">
        <f>'Player Database'!V29</f>
        <v>Oleksandr Tymchyk</v>
      </c>
      <c r="V26" s="252" t="str">
        <f>'Player Database'!W29</f>
        <v>António Silva</v>
      </c>
      <c r="W26" s="252" t="str">
        <f>'Player Database'!X29</f>
        <v>Tomáš Vlček</v>
      </c>
      <c r="X26" s="252" t="str">
        <f>'Player Database'!Y29</f>
        <v>Semih Kılıçsoy</v>
      </c>
      <c r="Y26" s="252" t="str">
        <f>'Player Database'!Z29</f>
        <v>Jemal Tabidze</v>
      </c>
      <c r="AI26" s="252" t="str">
        <f t="shared" ca="1" si="18"/>
        <v/>
      </c>
      <c r="AJ26" s="252" t="str">
        <f t="shared" ca="1" si="18"/>
        <v/>
      </c>
      <c r="AK26" s="252" t="str">
        <f t="shared" ca="1" si="18"/>
        <v/>
      </c>
      <c r="AL26" s="252" t="str">
        <f t="shared" ca="1" si="18"/>
        <v/>
      </c>
      <c r="AM26" s="252" t="str">
        <f t="shared" ca="1" si="18"/>
        <v/>
      </c>
      <c r="AN26" s="252" t="str">
        <f t="shared" ca="1" si="18"/>
        <v/>
      </c>
      <c r="AO26" s="252" t="str">
        <f t="shared" ca="1" si="18"/>
        <v/>
      </c>
      <c r="AP26" s="252" t="str">
        <f t="shared" ca="1" si="18"/>
        <v/>
      </c>
      <c r="AQ26" s="252" t="str">
        <f t="shared" ca="1" si="18"/>
        <v/>
      </c>
      <c r="AR26" s="252" t="str">
        <f t="shared" ca="1" si="18"/>
        <v/>
      </c>
      <c r="AS26" s="252" t="str">
        <f t="shared" ca="1" si="18"/>
        <v/>
      </c>
      <c r="AT26" s="252" t="str">
        <f t="shared" ca="1" si="18"/>
        <v/>
      </c>
      <c r="AU26" s="252" t="str">
        <f t="shared" ca="1" si="18"/>
        <v/>
      </c>
      <c r="AV26" s="252" t="str">
        <f t="shared" ca="1" si="18"/>
        <v/>
      </c>
      <c r="AW26" s="252" t="str">
        <f t="shared" ca="1" si="18"/>
        <v/>
      </c>
      <c r="AX26" s="252" t="str">
        <f t="shared" ca="1" si="18"/>
        <v/>
      </c>
      <c r="AZ26" s="252" t="str">
        <f t="shared" ca="1" si="19"/>
        <v/>
      </c>
      <c r="BA26" s="252" t="str">
        <f t="shared" ca="1" si="19"/>
        <v/>
      </c>
      <c r="BB26" s="252" t="str">
        <f t="shared" ca="1" si="19"/>
        <v/>
      </c>
      <c r="BC26" s="252" t="str">
        <f t="shared" ca="1" si="19"/>
        <v/>
      </c>
      <c r="BD26" s="252" t="str">
        <f t="shared" ca="1" si="19"/>
        <v/>
      </c>
      <c r="BE26" s="252" t="str">
        <f t="shared" ca="1" si="19"/>
        <v/>
      </c>
      <c r="BF26" s="252" t="str">
        <f t="shared" ca="1" si="19"/>
        <v/>
      </c>
      <c r="BG26" s="252" t="str">
        <f t="shared" ca="1" si="19"/>
        <v/>
      </c>
      <c r="BI26" s="252" t="str">
        <f t="shared" ca="1" si="4"/>
        <v/>
      </c>
      <c r="BJ26" s="252" t="str">
        <f t="shared" ca="1" si="4"/>
        <v/>
      </c>
      <c r="BK26" s="252" t="str">
        <f t="shared" ca="1" si="4"/>
        <v/>
      </c>
      <c r="BL26" s="252" t="str">
        <f t="shared" ca="1" si="4"/>
        <v/>
      </c>
      <c r="BN26" s="252" t="str">
        <f t="shared" si="5"/>
        <v/>
      </c>
      <c r="BO26" s="252" t="str">
        <f t="shared" si="5"/>
        <v/>
      </c>
      <c r="BQ26" s="252" t="str">
        <f t="shared" ca="1" si="6"/>
        <v/>
      </c>
      <c r="BR26" s="252" t="str">
        <f t="shared" ca="1" si="6"/>
        <v/>
      </c>
      <c r="BT26" s="253" t="str">
        <f t="shared" si="12"/>
        <v>Germany</v>
      </c>
      <c r="BU26" s="253">
        <f t="shared" si="13"/>
        <v>24</v>
      </c>
      <c r="BW26" s="253">
        <v>1</v>
      </c>
      <c r="BX26" s="253" t="str">
        <f t="shared" ref="BX26:BX28" si="20">B26</f>
        <v>Robin Koch</v>
      </c>
      <c r="BY26" s="253">
        <f>COUNTIF('Group Stages'!$J$8:$Q$80,BX26)+COUNTIF('Knock Out Stages'!$K$7:$R$45,BX26)</f>
        <v>0</v>
      </c>
      <c r="CA26" s="253" t="str">
        <f>'Player Database'!C29</f>
        <v>Robin Koch</v>
      </c>
      <c r="CB26" s="252">
        <v>23</v>
      </c>
      <c r="CC26" s="252" t="str">
        <f t="array" aca="1" ref="CC26" ca="1">IFERROR(INDEX($BX$3:$BX$810, SMALL(IF(COUNTIF(CC$3, $BY$3:$BY$810), ROW($BX$3:$BX$810)-MIN(ROW($BX$3:$BX$810))+1), $CB26), 0),"")</f>
        <v/>
      </c>
      <c r="CD26" s="252" t="str">
        <f t="array" aca="1" ref="CD26" ca="1">IFERROR(INDEX($BX$3:$BX$810, SMALL(IF(COUNTIF(CD$3, $BY$3:$BY$810), ROW($BX$3:$BX$810)-MIN(ROW($BX$3:$BX$810))+1), $CB26), 0),"")</f>
        <v/>
      </c>
      <c r="CE26" s="252" t="str">
        <f t="array" aca="1" ref="CE26" ca="1">IFERROR(INDEX($BX$3:$BX$810, SMALL(IF(COUNTIF(CE$3, $BY$3:$BY$810), ROW($BX$3:$BX$810)-MIN(ROW($BX$3:$BX$810))+1), $CB26), 0),"")</f>
        <v/>
      </c>
      <c r="CF26" s="252" t="str">
        <f t="array" aca="1" ref="CF26" ca="1">IFERROR(INDEX($BX$3:$BX$810, SMALL(IF(COUNTIF(CF$3, $BY$3:$BY$810), ROW($BX$3:$BX$810)-MIN(ROW($BX$3:$BX$810))+1), $CB26), 0),"")</f>
        <v/>
      </c>
      <c r="CG26" s="252" t="str">
        <f t="array" aca="1" ref="CG26" ca="1">IFERROR(INDEX($BX$3:$BX$810, SMALL(IF(COUNTIF(CG$3, $BY$3:$BY$810), ROW($BX$3:$BX$810)-MIN(ROW($BX$3:$BX$810))+1), $CB26), 0),"")</f>
        <v/>
      </c>
      <c r="CH26" s="252" t="str">
        <f t="array" aca="1" ref="CH26" ca="1">IFERROR(INDEX($BX$3:$BX$810, SMALL(IF(COUNTIF(CH$3, $BY$3:$BY$810), ROW($BX$3:$BX$810)-MIN(ROW($BX$3:$BX$810))+1), $CB26), 0),"")</f>
        <v/>
      </c>
      <c r="CI26" s="252" t="str">
        <f t="array" aca="1" ref="CI26" ca="1">IFERROR(INDEX($BX$3:$BX$810, SMALL(IF(COUNTIF(CI$3, $BY$3:$BY$810), ROW($BX$3:$BX$810)-MIN(ROW($BX$3:$BX$810))+1), $CB26), 0),"")</f>
        <v/>
      </c>
      <c r="CJ26" s="252" t="str">
        <f t="array" aca="1" ref="CJ26" ca="1">IFERROR(INDEX($BX$3:$BX$810, SMALL(IF(COUNTIF(CJ$3, $BY$3:$BY$810), ROW($BX$3:$BX$810)-MIN(ROW($BX$3:$BX$810))+1), $CB26), 0),"")</f>
        <v/>
      </c>
      <c r="CK26" s="252" t="str">
        <f t="array" aca="1" ref="CK26" ca="1">IFERROR(INDEX($BX$3:$BX$810, SMALL(IF(COUNTIF(CK$3, $BY$3:$BY$810), ROW($BX$3:$BX$810)-MIN(ROW($BX$3:$BX$810))+1), $CB26), 0),"")</f>
        <v/>
      </c>
      <c r="CL26" s="252" t="str">
        <f t="array" aca="1" ref="CL26" ca="1">IFERROR(INDEX($BX$3:$BX$810, SMALL(IF(COUNTIF(CL$3, $BY$3:$BY$810), ROW($BX$3:$BX$810)-MIN(ROW($BX$3:$BX$810))+1), $CB26), 0),"")</f>
        <v/>
      </c>
      <c r="CM26" s="252" t="str">
        <f t="array" aca="1" ref="CM26" ca="1">IFERROR(INDEX($BX$3:$BX$810, SMALL(IF(COUNTIF(CM$3, $BY$3:$BY$810), ROW($BX$3:$BX$810)-MIN(ROW($BX$3:$BX$810))+1), $CB26), 0),"")</f>
        <v/>
      </c>
      <c r="CN26" s="252" t="str">
        <f t="array" aca="1" ref="CN26" ca="1">IFERROR(INDEX($BX$3:$BX$810, SMALL(IF(COUNTIF(CN$3, $BY$3:$BY$810), ROW($BX$3:$BX$810)-MIN(ROW($BX$3:$BX$810))+1), $CB26), 0),"")</f>
        <v/>
      </c>
      <c r="CO26" s="252" t="str">
        <f t="array" aca="1" ref="CO26" ca="1">IFERROR(INDEX($BX$3:$BX$810, SMALL(IF(COUNTIF(CO$3, $BY$3:$BY$810), ROW($BX$3:$BX$810)-MIN(ROW($BX$3:$BX$810))+1), $CB26), 0),"")</f>
        <v/>
      </c>
      <c r="CP26" s="252" t="str">
        <f t="array" aca="1" ref="CP26" ca="1">IFERROR(INDEX($BX$3:$BX$810, SMALL(IF(COUNTIF(CP$3, $BY$3:$BY$810), ROW($BX$3:$BX$810)-MIN(ROW($BX$3:$BX$810))+1), $CB26), 0),"")</f>
        <v/>
      </c>
      <c r="CQ26" s="252" t="str">
        <f t="array" aca="1" ref="CQ26" ca="1">IFERROR(INDEX($BX$3:$BX$810, SMALL(IF(COUNTIF(CQ$3, $BY$3:$BY$810), ROW($BX$3:$BX$810)-MIN(ROW($BX$3:$BX$810))+1), $CB26), 0),"")</f>
        <v/>
      </c>
      <c r="CS26" s="252">
        <v>23</v>
      </c>
      <c r="CT26" s="252">
        <v>1</v>
      </c>
      <c r="CV26" s="252" t="str">
        <f t="shared" ca="1" si="8"/>
        <v/>
      </c>
      <c r="CW26" s="252">
        <f t="shared" ca="1" si="14"/>
        <v>0</v>
      </c>
      <c r="CZ26" s="252">
        <v>23</v>
      </c>
      <c r="DA26" s="252" t="str">
        <f t="shared" ca="1" si="15"/>
        <v/>
      </c>
      <c r="DB26" s="252" t="str">
        <f t="shared" ca="1" si="9"/>
        <v/>
      </c>
      <c r="DC26" s="252" t="str">
        <f t="shared" ca="1" si="10"/>
        <v/>
      </c>
      <c r="DD26" s="252" t="str">
        <f t="shared" ca="1" si="11"/>
        <v/>
      </c>
    </row>
    <row r="27" spans="1:108" x14ac:dyDescent="0.2">
      <c r="A27" s="252">
        <v>25</v>
      </c>
      <c r="B27" s="252" t="str">
        <f>'Player Database'!C30</f>
        <v>Emre Can</v>
      </c>
      <c r="C27" s="252" t="str">
        <f>'Player Database'!D30</f>
        <v>James Forrest</v>
      </c>
      <c r="D27" s="252" t="str">
        <f>'Player Database'!E30</f>
        <v>Krisztofer Horváth</v>
      </c>
      <c r="E27" s="252" t="str">
        <f>'Player Database'!F30</f>
        <v>Zeki Amdouni</v>
      </c>
      <c r="F27" s="252" t="str">
        <f>'Player Database'!G30</f>
        <v>Michael Folorunsho</v>
      </c>
      <c r="G27" s="252" t="str">
        <f>'Player Database'!H30</f>
        <v>Naser Aliji</v>
      </c>
      <c r="H27" s="252" t="str">
        <f>'Player Database'!I30</f>
        <v>Fermín López</v>
      </c>
      <c r="I27" s="252" t="str">
        <f>'Player Database'!J30</f>
        <v>Luka Sučić</v>
      </c>
      <c r="J27" s="252" t="str">
        <f>'Player Database'!K30</f>
        <v>Filip Mladenović</v>
      </c>
      <c r="K27" s="252" t="str">
        <f>'Player Database'!L30</f>
        <v>Adam Wharton</v>
      </c>
      <c r="L27" s="252" t="str">
        <f>'Player Database'!M30</f>
        <v>Adrian Zeljković</v>
      </c>
      <c r="M27" s="252" t="str">
        <f>'Player Database'!N30</f>
        <v>Rasmus Kristensen</v>
      </c>
      <c r="N27" s="252" t="str">
        <f>'Player Database'!O30</f>
        <v>Michał Skóraś</v>
      </c>
      <c r="O27" s="252" t="str">
        <f>'Player Database'!P30</f>
        <v>Steven Bergwijn</v>
      </c>
      <c r="P27" s="252" t="str">
        <f>'Player Database'!Q30</f>
        <v>Maximilian Entrup</v>
      </c>
      <c r="Q27" s="252" t="str">
        <f>'Player Database'!R30</f>
        <v>Bradley Barcola</v>
      </c>
      <c r="R27" s="252" t="str">
        <f>'Player Database'!S30</f>
        <v>Maxim De Cuyper</v>
      </c>
      <c r="S27" s="252" t="str">
        <f>'Player Database'!T30</f>
        <v>Sebastian Kóša</v>
      </c>
      <c r="T27" s="252" t="str">
        <f>'Player Database'!U30</f>
        <v>Daniel Bîrligea</v>
      </c>
      <c r="U27" s="252" t="str">
        <f>'Player Database'!V30</f>
        <v>Vladyslav Vanat</v>
      </c>
      <c r="V27" s="252" t="str">
        <f>'Player Database'!W30</f>
        <v>Pedro Neto</v>
      </c>
      <c r="W27" s="252" t="str">
        <f>'Player Database'!X30</f>
        <v>Pavel Šulc</v>
      </c>
      <c r="X27" s="252" t="str">
        <f>'Player Database'!Y30</f>
        <v>Yunus Akgün</v>
      </c>
      <c r="Y27" s="252" t="str">
        <f>'Player Database'!Z30</f>
        <v>Giorgi Mamardashvili</v>
      </c>
      <c r="AI27" s="252" t="str">
        <f t="shared" ca="1" si="18"/>
        <v/>
      </c>
      <c r="AJ27" s="252" t="str">
        <f t="shared" ca="1" si="18"/>
        <v/>
      </c>
      <c r="AK27" s="252" t="str">
        <f t="shared" ca="1" si="18"/>
        <v/>
      </c>
      <c r="AL27" s="252" t="str">
        <f t="shared" ca="1" si="18"/>
        <v/>
      </c>
      <c r="AM27" s="252" t="str">
        <f t="shared" ca="1" si="18"/>
        <v/>
      </c>
      <c r="AN27" s="252" t="str">
        <f t="shared" ca="1" si="18"/>
        <v/>
      </c>
      <c r="AO27" s="252" t="str">
        <f t="shared" ca="1" si="18"/>
        <v/>
      </c>
      <c r="AP27" s="252" t="str">
        <f t="shared" ca="1" si="18"/>
        <v/>
      </c>
      <c r="AQ27" s="252" t="str">
        <f t="shared" ca="1" si="18"/>
        <v/>
      </c>
      <c r="AR27" s="252" t="str">
        <f t="shared" ca="1" si="18"/>
        <v/>
      </c>
      <c r="AS27" s="252" t="str">
        <f t="shared" ca="1" si="18"/>
        <v/>
      </c>
      <c r="AT27" s="252" t="str">
        <f t="shared" ca="1" si="18"/>
        <v/>
      </c>
      <c r="AU27" s="252" t="str">
        <f t="shared" ca="1" si="18"/>
        <v/>
      </c>
      <c r="AV27" s="252" t="str">
        <f t="shared" ca="1" si="18"/>
        <v/>
      </c>
      <c r="AW27" s="252" t="str">
        <f t="shared" ca="1" si="18"/>
        <v/>
      </c>
      <c r="AX27" s="252" t="str">
        <f t="shared" ca="1" si="18"/>
        <v/>
      </c>
      <c r="AZ27" s="252" t="str">
        <f t="shared" ca="1" si="19"/>
        <v/>
      </c>
      <c r="BA27" s="252" t="str">
        <f t="shared" ca="1" si="19"/>
        <v/>
      </c>
      <c r="BB27" s="252" t="str">
        <f t="shared" ca="1" si="19"/>
        <v/>
      </c>
      <c r="BC27" s="252" t="str">
        <f t="shared" ca="1" si="19"/>
        <v/>
      </c>
      <c r="BD27" s="252" t="str">
        <f t="shared" ca="1" si="19"/>
        <v/>
      </c>
      <c r="BE27" s="252" t="str">
        <f t="shared" ca="1" si="19"/>
        <v/>
      </c>
      <c r="BF27" s="252" t="str">
        <f t="shared" ca="1" si="19"/>
        <v/>
      </c>
      <c r="BG27" s="252" t="str">
        <f t="shared" ca="1" si="19"/>
        <v/>
      </c>
      <c r="BI27" s="252" t="str">
        <f t="shared" ca="1" si="4"/>
        <v/>
      </c>
      <c r="BJ27" s="252" t="str">
        <f t="shared" ca="1" si="4"/>
        <v/>
      </c>
      <c r="BK27" s="252" t="str">
        <f t="shared" ca="1" si="4"/>
        <v/>
      </c>
      <c r="BL27" s="252" t="str">
        <f t="shared" ca="1" si="4"/>
        <v/>
      </c>
      <c r="BN27" s="252" t="str">
        <f t="shared" si="5"/>
        <v/>
      </c>
      <c r="BO27" s="252" t="str">
        <f t="shared" si="5"/>
        <v/>
      </c>
      <c r="BQ27" s="252" t="str">
        <f t="shared" ca="1" si="6"/>
        <v/>
      </c>
      <c r="BR27" s="252" t="str">
        <f t="shared" ca="1" si="6"/>
        <v/>
      </c>
      <c r="BT27" s="253" t="str">
        <f t="shared" si="12"/>
        <v>Germany</v>
      </c>
      <c r="BU27" s="253">
        <f t="shared" si="13"/>
        <v>25</v>
      </c>
      <c r="BW27" s="253">
        <v>1</v>
      </c>
      <c r="BX27" s="253" t="str">
        <f t="shared" si="20"/>
        <v>Emre Can</v>
      </c>
      <c r="BY27" s="253">
        <f>COUNTIF('Group Stages'!$J$8:$Q$80,BX27)+COUNTIF('Knock Out Stages'!$K$7:$R$45,BX27)</f>
        <v>1</v>
      </c>
      <c r="CA27" s="253" t="str">
        <f>'Player Database'!C30</f>
        <v>Emre Can</v>
      </c>
      <c r="CB27" s="252">
        <v>24</v>
      </c>
      <c r="CC27" s="252" t="str">
        <f t="array" aca="1" ref="CC27" ca="1">IFERROR(INDEX($BX$3:$BX$810, SMALL(IF(COUNTIF(CC$3, $BY$3:$BY$810), ROW($BX$3:$BX$810)-MIN(ROW($BX$3:$BX$810))+1), $CB27), 0),"")</f>
        <v/>
      </c>
      <c r="CD27" s="252" t="str">
        <f t="array" aca="1" ref="CD27" ca="1">IFERROR(INDEX($BX$3:$BX$810, SMALL(IF(COUNTIF(CD$3, $BY$3:$BY$810), ROW($BX$3:$BX$810)-MIN(ROW($BX$3:$BX$810))+1), $CB27), 0),"")</f>
        <v/>
      </c>
      <c r="CE27" s="252" t="str">
        <f t="array" aca="1" ref="CE27" ca="1">IFERROR(INDEX($BX$3:$BX$810, SMALL(IF(COUNTIF(CE$3, $BY$3:$BY$810), ROW($BX$3:$BX$810)-MIN(ROW($BX$3:$BX$810))+1), $CB27), 0),"")</f>
        <v/>
      </c>
      <c r="CF27" s="252" t="str">
        <f t="array" aca="1" ref="CF27" ca="1">IFERROR(INDEX($BX$3:$BX$810, SMALL(IF(COUNTIF(CF$3, $BY$3:$BY$810), ROW($BX$3:$BX$810)-MIN(ROW($BX$3:$BX$810))+1), $CB27), 0),"")</f>
        <v/>
      </c>
      <c r="CG27" s="252" t="str">
        <f t="array" aca="1" ref="CG27" ca="1">IFERROR(INDEX($BX$3:$BX$810, SMALL(IF(COUNTIF(CG$3, $BY$3:$BY$810), ROW($BX$3:$BX$810)-MIN(ROW($BX$3:$BX$810))+1), $CB27), 0),"")</f>
        <v/>
      </c>
      <c r="CH27" s="252" t="str">
        <f t="array" aca="1" ref="CH27" ca="1">IFERROR(INDEX($BX$3:$BX$810, SMALL(IF(COUNTIF(CH$3, $BY$3:$BY$810), ROW($BX$3:$BX$810)-MIN(ROW($BX$3:$BX$810))+1), $CB27), 0),"")</f>
        <v/>
      </c>
      <c r="CI27" s="252" t="str">
        <f t="array" aca="1" ref="CI27" ca="1">IFERROR(INDEX($BX$3:$BX$810, SMALL(IF(COUNTIF(CI$3, $BY$3:$BY$810), ROW($BX$3:$BX$810)-MIN(ROW($BX$3:$BX$810))+1), $CB27), 0),"")</f>
        <v/>
      </c>
      <c r="CJ27" s="252" t="str">
        <f t="array" aca="1" ref="CJ27" ca="1">IFERROR(INDEX($BX$3:$BX$810, SMALL(IF(COUNTIF(CJ$3, $BY$3:$BY$810), ROW($BX$3:$BX$810)-MIN(ROW($BX$3:$BX$810))+1), $CB27), 0),"")</f>
        <v/>
      </c>
      <c r="CK27" s="252" t="str">
        <f t="array" aca="1" ref="CK27" ca="1">IFERROR(INDEX($BX$3:$BX$810, SMALL(IF(COUNTIF(CK$3, $BY$3:$BY$810), ROW($BX$3:$BX$810)-MIN(ROW($BX$3:$BX$810))+1), $CB27), 0),"")</f>
        <v/>
      </c>
      <c r="CL27" s="252" t="str">
        <f t="array" aca="1" ref="CL27" ca="1">IFERROR(INDEX($BX$3:$BX$810, SMALL(IF(COUNTIF(CL$3, $BY$3:$BY$810), ROW($BX$3:$BX$810)-MIN(ROW($BX$3:$BX$810))+1), $CB27), 0),"")</f>
        <v/>
      </c>
      <c r="CM27" s="252" t="str">
        <f t="array" aca="1" ref="CM27" ca="1">IFERROR(INDEX($BX$3:$BX$810, SMALL(IF(COUNTIF(CM$3, $BY$3:$BY$810), ROW($BX$3:$BX$810)-MIN(ROW($BX$3:$BX$810))+1), $CB27), 0),"")</f>
        <v/>
      </c>
      <c r="CN27" s="252" t="str">
        <f t="array" aca="1" ref="CN27" ca="1">IFERROR(INDEX($BX$3:$BX$810, SMALL(IF(COUNTIF(CN$3, $BY$3:$BY$810), ROW($BX$3:$BX$810)-MIN(ROW($BX$3:$BX$810))+1), $CB27), 0),"")</f>
        <v/>
      </c>
      <c r="CO27" s="252" t="str">
        <f t="array" aca="1" ref="CO27" ca="1">IFERROR(INDEX($BX$3:$BX$810, SMALL(IF(COUNTIF(CO$3, $BY$3:$BY$810), ROW($BX$3:$BX$810)-MIN(ROW($BX$3:$BX$810))+1), $CB27), 0),"")</f>
        <v/>
      </c>
      <c r="CP27" s="252" t="str">
        <f t="array" aca="1" ref="CP27" ca="1">IFERROR(INDEX($BX$3:$BX$810, SMALL(IF(COUNTIF(CP$3, $BY$3:$BY$810), ROW($BX$3:$BX$810)-MIN(ROW($BX$3:$BX$810))+1), $CB27), 0),"")</f>
        <v/>
      </c>
      <c r="CQ27" s="252" t="str">
        <f t="array" aca="1" ref="CQ27" ca="1">IFERROR(INDEX($BX$3:$BX$810, SMALL(IF(COUNTIF(CQ$3, $BY$3:$BY$810), ROW($BX$3:$BX$810)-MIN(ROW($BX$3:$BX$810))+1), $CB27), 0),"")</f>
        <v/>
      </c>
      <c r="CS27" s="252">
        <v>24</v>
      </c>
      <c r="CT27" s="252">
        <v>1</v>
      </c>
      <c r="CV27" s="252" t="str">
        <f t="shared" ca="1" si="8"/>
        <v/>
      </c>
      <c r="CW27" s="252">
        <f t="shared" ca="1" si="14"/>
        <v>0</v>
      </c>
      <c r="CZ27" s="252">
        <v>24</v>
      </c>
      <c r="DA27" s="252" t="str">
        <f t="shared" ca="1" si="15"/>
        <v/>
      </c>
      <c r="DB27" s="252" t="str">
        <f t="shared" ca="1" si="9"/>
        <v/>
      </c>
      <c r="DC27" s="252" t="str">
        <f t="shared" ca="1" si="10"/>
        <v/>
      </c>
      <c r="DD27" s="252" t="str">
        <f t="shared" ca="1" si="11"/>
        <v/>
      </c>
    </row>
    <row r="28" spans="1:108" x14ac:dyDescent="0.2">
      <c r="A28" s="252">
        <v>26</v>
      </c>
      <c r="B28" s="252" t="str">
        <f>'Player Database'!C31</f>
        <v>Deniz Undav</v>
      </c>
      <c r="C28" s="252" t="str">
        <f>'Player Database'!D31</f>
        <v>Scott McKenna</v>
      </c>
      <c r="D28" s="252" t="str">
        <f>'Player Database'!E31</f>
        <v>Mihály Kata</v>
      </c>
      <c r="E28" s="252" t="str">
        <f>'Player Database'!F31</f>
        <v>Fabian Rieder</v>
      </c>
      <c r="F28" s="252" t="str">
        <f>'Player Database'!G31</f>
        <v>Alex Meret</v>
      </c>
      <c r="G28" s="252" t="str">
        <f>'Player Database'!H31</f>
        <v>Arbër Hoxha</v>
      </c>
      <c r="H28" s="252" t="str">
        <f>'Player Database'!I31</f>
        <v>Ayoze Pérez</v>
      </c>
      <c r="I28" s="252" t="str">
        <f>'Player Database'!J31</f>
        <v>Martin Baturina</v>
      </c>
      <c r="J28" s="252" t="str">
        <f>'Player Database'!K31</f>
        <v>Veljko Birmančević</v>
      </c>
      <c r="K28" s="252" t="str">
        <f>'Player Database'!L31</f>
        <v>Kobbie Mainoo</v>
      </c>
      <c r="L28" s="252" t="str">
        <f>'Player Database'!M31</f>
        <v>Josip Iličić</v>
      </c>
      <c r="M28" s="252" t="str">
        <f>'Player Database'!N31</f>
        <v>Jacob Bruun Larsen</v>
      </c>
      <c r="N28" s="252" t="str">
        <f>'Player Database'!O31</f>
        <v>Kacper Urbański</v>
      </c>
      <c r="O28" s="252" t="str">
        <f>'Player Database'!P31</f>
        <v>Ryan Gravenberch</v>
      </c>
      <c r="P28" s="252" t="str">
        <f>'Player Database'!Q31</f>
        <v>Marco Grüll</v>
      </c>
      <c r="Q28" s="252">
        <f>'Player Database'!R31</f>
        <v>0</v>
      </c>
      <c r="R28" s="252">
        <f>'Player Database'!S31</f>
        <v>0</v>
      </c>
      <c r="S28" s="252" t="str">
        <f>'Player Database'!T31</f>
        <v>Ivan Schranz</v>
      </c>
      <c r="T28" s="252" t="str">
        <f>'Player Database'!U31</f>
        <v>Adrian Șut</v>
      </c>
      <c r="U28" s="252" t="str">
        <f>'Player Database'!V31</f>
        <v>Bohdan Mykhaylichenko</v>
      </c>
      <c r="V28" s="252" t="str">
        <f>'Player Database'!W31</f>
        <v>Francisco Conceição</v>
      </c>
      <c r="W28" s="252" t="str">
        <f>'Player Database'!X31</f>
        <v>Matěj Jurásek</v>
      </c>
      <c r="X28" s="252" t="str">
        <f>'Player Database'!Y31</f>
        <v>Bertuğ Yıldırım</v>
      </c>
      <c r="Y28" s="252" t="str">
        <f>'Player Database'!Z31</f>
        <v>Gabriel Sigua</v>
      </c>
      <c r="AI28" s="252" t="str">
        <f t="shared" ca="1" si="18"/>
        <v/>
      </c>
      <c r="AJ28" s="252" t="str">
        <f t="shared" ca="1" si="18"/>
        <v/>
      </c>
      <c r="AK28" s="252" t="str">
        <f t="shared" ca="1" si="18"/>
        <v/>
      </c>
      <c r="AL28" s="252" t="str">
        <f t="shared" ca="1" si="18"/>
        <v/>
      </c>
      <c r="AM28" s="252" t="str">
        <f t="shared" ca="1" si="18"/>
        <v/>
      </c>
      <c r="AN28" s="252" t="str">
        <f t="shared" ca="1" si="18"/>
        <v/>
      </c>
      <c r="AO28" s="252" t="str">
        <f t="shared" ca="1" si="18"/>
        <v/>
      </c>
      <c r="AP28" s="252" t="str">
        <f t="shared" ca="1" si="18"/>
        <v/>
      </c>
      <c r="AQ28" s="252" t="str">
        <f t="shared" ca="1" si="18"/>
        <v/>
      </c>
      <c r="AR28" s="252" t="str">
        <f t="shared" ca="1" si="18"/>
        <v/>
      </c>
      <c r="AS28" s="252" t="str">
        <f t="shared" ca="1" si="18"/>
        <v/>
      </c>
      <c r="AT28" s="252" t="str">
        <f t="shared" ca="1" si="18"/>
        <v/>
      </c>
      <c r="AU28" s="252" t="str">
        <f t="shared" ca="1" si="18"/>
        <v/>
      </c>
      <c r="AV28" s="252" t="str">
        <f t="shared" ca="1" si="18"/>
        <v/>
      </c>
      <c r="AW28" s="252" t="str">
        <f t="shared" ca="1" si="18"/>
        <v/>
      </c>
      <c r="AX28" s="252" t="str">
        <f t="shared" ca="1" si="18"/>
        <v/>
      </c>
      <c r="AZ28" s="252" t="str">
        <f t="shared" ca="1" si="19"/>
        <v/>
      </c>
      <c r="BA28" s="252" t="str">
        <f t="shared" ca="1" si="19"/>
        <v/>
      </c>
      <c r="BB28" s="252" t="str">
        <f t="shared" ca="1" si="19"/>
        <v/>
      </c>
      <c r="BC28" s="252" t="str">
        <f t="shared" ca="1" si="19"/>
        <v/>
      </c>
      <c r="BD28" s="252" t="str">
        <f t="shared" ca="1" si="19"/>
        <v/>
      </c>
      <c r="BE28" s="252" t="str">
        <f t="shared" ca="1" si="19"/>
        <v/>
      </c>
      <c r="BF28" s="252" t="str">
        <f t="shared" ca="1" si="19"/>
        <v/>
      </c>
      <c r="BG28" s="252" t="str">
        <f t="shared" ca="1" si="19"/>
        <v/>
      </c>
      <c r="BI28" s="252" t="str">
        <f t="shared" ca="1" si="4"/>
        <v/>
      </c>
      <c r="BJ28" s="252" t="str">
        <f t="shared" ca="1" si="4"/>
        <v/>
      </c>
      <c r="BK28" s="252" t="str">
        <f t="shared" ca="1" si="4"/>
        <v/>
      </c>
      <c r="BL28" s="252" t="str">
        <f t="shared" ca="1" si="4"/>
        <v/>
      </c>
      <c r="BN28" s="252" t="str">
        <f t="shared" si="5"/>
        <v/>
      </c>
      <c r="BO28" s="252" t="str">
        <f t="shared" si="5"/>
        <v/>
      </c>
      <c r="BQ28" s="252" t="str">
        <f t="shared" ca="1" si="6"/>
        <v/>
      </c>
      <c r="BR28" s="252" t="str">
        <f t="shared" ca="1" si="6"/>
        <v/>
      </c>
      <c r="BT28" s="253" t="str">
        <f t="shared" si="12"/>
        <v>Germany</v>
      </c>
      <c r="BU28" s="253">
        <f t="shared" si="13"/>
        <v>26</v>
      </c>
      <c r="BW28" s="253">
        <v>1</v>
      </c>
      <c r="BX28" s="253" t="str">
        <f t="shared" si="20"/>
        <v>Deniz Undav</v>
      </c>
      <c r="BY28" s="253">
        <f>COUNTIF('Group Stages'!$J$8:$Q$80,BX28)+COUNTIF('Knock Out Stages'!$K$7:$R$45,BX28)</f>
        <v>0</v>
      </c>
      <c r="CA28" s="253" t="str">
        <f>'Player Database'!C31</f>
        <v>Deniz Undav</v>
      </c>
      <c r="CB28" s="252">
        <v>25</v>
      </c>
      <c r="CC28" s="252" t="str">
        <f t="array" aca="1" ref="CC28" ca="1">IFERROR(INDEX($BX$3:$BX$810, SMALL(IF(COUNTIF(CC$3, $BY$3:$BY$810), ROW($BX$3:$BX$810)-MIN(ROW($BX$3:$BX$810))+1), $CB28), 0),"")</f>
        <v/>
      </c>
      <c r="CD28" s="252" t="str">
        <f t="array" aca="1" ref="CD28" ca="1">IFERROR(INDEX($BX$3:$BX$810, SMALL(IF(COUNTIF(CD$3, $BY$3:$BY$810), ROW($BX$3:$BX$810)-MIN(ROW($BX$3:$BX$810))+1), $CB28), 0),"")</f>
        <v/>
      </c>
      <c r="CE28" s="252" t="str">
        <f t="array" aca="1" ref="CE28" ca="1">IFERROR(INDEX($BX$3:$BX$810, SMALL(IF(COUNTIF(CE$3, $BY$3:$BY$810), ROW($BX$3:$BX$810)-MIN(ROW($BX$3:$BX$810))+1), $CB28), 0),"")</f>
        <v/>
      </c>
      <c r="CF28" s="252" t="str">
        <f t="array" aca="1" ref="CF28" ca="1">IFERROR(INDEX($BX$3:$BX$810, SMALL(IF(COUNTIF(CF$3, $BY$3:$BY$810), ROW($BX$3:$BX$810)-MIN(ROW($BX$3:$BX$810))+1), $CB28), 0),"")</f>
        <v/>
      </c>
      <c r="CG28" s="252" t="str">
        <f t="array" aca="1" ref="CG28" ca="1">IFERROR(INDEX($BX$3:$BX$810, SMALL(IF(COUNTIF(CG$3, $BY$3:$BY$810), ROW($BX$3:$BX$810)-MIN(ROW($BX$3:$BX$810))+1), $CB28), 0),"")</f>
        <v/>
      </c>
      <c r="CH28" s="252" t="str">
        <f t="array" aca="1" ref="CH28" ca="1">IFERROR(INDEX($BX$3:$BX$810, SMALL(IF(COUNTIF(CH$3, $BY$3:$BY$810), ROW($BX$3:$BX$810)-MIN(ROW($BX$3:$BX$810))+1), $CB28), 0),"")</f>
        <v/>
      </c>
      <c r="CI28" s="252" t="str">
        <f t="array" aca="1" ref="CI28" ca="1">IFERROR(INDEX($BX$3:$BX$810, SMALL(IF(COUNTIF(CI$3, $BY$3:$BY$810), ROW($BX$3:$BX$810)-MIN(ROW($BX$3:$BX$810))+1), $CB28), 0),"")</f>
        <v/>
      </c>
      <c r="CJ28" s="252" t="str">
        <f t="array" aca="1" ref="CJ28" ca="1">IFERROR(INDEX($BX$3:$BX$810, SMALL(IF(COUNTIF(CJ$3, $BY$3:$BY$810), ROW($BX$3:$BX$810)-MIN(ROW($BX$3:$BX$810))+1), $CB28), 0),"")</f>
        <v/>
      </c>
      <c r="CK28" s="252" t="str">
        <f t="array" aca="1" ref="CK28" ca="1">IFERROR(INDEX($BX$3:$BX$810, SMALL(IF(COUNTIF(CK$3, $BY$3:$BY$810), ROW($BX$3:$BX$810)-MIN(ROW($BX$3:$BX$810))+1), $CB28), 0),"")</f>
        <v/>
      </c>
      <c r="CL28" s="252" t="str">
        <f t="array" aca="1" ref="CL28" ca="1">IFERROR(INDEX($BX$3:$BX$810, SMALL(IF(COUNTIF(CL$3, $BY$3:$BY$810), ROW($BX$3:$BX$810)-MIN(ROW($BX$3:$BX$810))+1), $CB28), 0),"")</f>
        <v/>
      </c>
      <c r="CM28" s="252" t="str">
        <f t="array" aca="1" ref="CM28" ca="1">IFERROR(INDEX($BX$3:$BX$810, SMALL(IF(COUNTIF(CM$3, $BY$3:$BY$810), ROW($BX$3:$BX$810)-MIN(ROW($BX$3:$BX$810))+1), $CB28), 0),"")</f>
        <v/>
      </c>
      <c r="CN28" s="252" t="str">
        <f t="array" aca="1" ref="CN28" ca="1">IFERROR(INDEX($BX$3:$BX$810, SMALL(IF(COUNTIF(CN$3, $BY$3:$BY$810), ROW($BX$3:$BX$810)-MIN(ROW($BX$3:$BX$810))+1), $CB28), 0),"")</f>
        <v/>
      </c>
      <c r="CO28" s="252" t="str">
        <f t="array" aca="1" ref="CO28" ca="1">IFERROR(INDEX($BX$3:$BX$810, SMALL(IF(COUNTIF(CO$3, $BY$3:$BY$810), ROW($BX$3:$BX$810)-MIN(ROW($BX$3:$BX$810))+1), $CB28), 0),"")</f>
        <v/>
      </c>
      <c r="CP28" s="252" t="str">
        <f t="array" aca="1" ref="CP28" ca="1">IFERROR(INDEX($BX$3:$BX$810, SMALL(IF(COUNTIF(CP$3, $BY$3:$BY$810), ROW($BX$3:$BX$810)-MIN(ROW($BX$3:$BX$810))+1), $CB28), 0),"")</f>
        <v/>
      </c>
      <c r="CQ28" s="252" t="str">
        <f t="array" aca="1" ref="CQ28" ca="1">IFERROR(INDEX($BX$3:$BX$810, SMALL(IF(COUNTIF(CQ$3, $BY$3:$BY$810), ROW($BX$3:$BX$810)-MIN(ROW($BX$3:$BX$810))+1), $CB28), 0),"")</f>
        <v/>
      </c>
      <c r="CS28" s="252">
        <v>25</v>
      </c>
      <c r="CT28" s="252">
        <v>1</v>
      </c>
      <c r="CV28" s="252" t="str">
        <f t="shared" ca="1" si="8"/>
        <v/>
      </c>
      <c r="CW28" s="252">
        <f t="shared" ca="1" si="14"/>
        <v>0</v>
      </c>
      <c r="CZ28" s="252">
        <v>25</v>
      </c>
      <c r="DA28" s="252" t="str">
        <f t="shared" ca="1" si="15"/>
        <v/>
      </c>
      <c r="DB28" s="252" t="str">
        <f t="shared" ca="1" si="9"/>
        <v/>
      </c>
      <c r="DC28" s="252" t="str">
        <f t="shared" ca="1" si="10"/>
        <v/>
      </c>
      <c r="DD28" s="252" t="str">
        <f t="shared" ca="1" si="11"/>
        <v/>
      </c>
    </row>
    <row r="29" spans="1:108" x14ac:dyDescent="0.2">
      <c r="A29" s="252">
        <f t="shared" ref="A29:A48" si="21">A3</f>
        <v>1</v>
      </c>
      <c r="B29" s="252" t="str">
        <f t="shared" ref="B29:B48" si="22">C3&amp;" (og)"</f>
        <v>Angus Gunn (og)</v>
      </c>
      <c r="C29" s="252" t="str">
        <f t="shared" ref="C29:C48" si="23">B3&amp;" (og)"</f>
        <v>Manuel Neuer (og)</v>
      </c>
      <c r="D29" s="252" t="str">
        <f t="shared" ref="D29:D48" si="24">B3&amp;" (og)"</f>
        <v>Manuel Neuer (og)</v>
      </c>
      <c r="E29" s="252" t="str">
        <f t="shared" ref="E29:E48" si="25">B3&amp;" (og)"</f>
        <v>Manuel Neuer (og)</v>
      </c>
      <c r="F29" s="252" t="str">
        <f t="shared" ref="F29:F48" si="26">G3&amp;" (og)"</f>
        <v>Etrit Berisha (og)</v>
      </c>
      <c r="G29" s="252" t="str">
        <f t="shared" ref="G29:G48" si="27">F3&amp;" (og)"</f>
        <v>Gianluigi Donnarumma (og)</v>
      </c>
      <c r="H29" s="252" t="str">
        <f t="shared" ref="H29:H48" si="28">F3&amp;" (og)"</f>
        <v>Gianluigi Donnarumma (og)</v>
      </c>
      <c r="I29" s="252" t="str">
        <f t="shared" ref="I29:I48" si="29">F3&amp;" (og)"</f>
        <v>Gianluigi Donnarumma (og)</v>
      </c>
      <c r="J29" s="252" t="str">
        <f t="shared" ref="J29:J48" si="30">K3&amp;" (og)"</f>
        <v>Jordan Pickford (og)</v>
      </c>
      <c r="K29" s="252" t="str">
        <f t="shared" ref="K29:K48" si="31">J3&amp;" (og)"</f>
        <v>Predrag Rajković (og)</v>
      </c>
      <c r="L29" s="252" t="str">
        <f t="shared" ref="L29:L48" si="32">J3&amp;" (og)"</f>
        <v>Predrag Rajković (og)</v>
      </c>
      <c r="M29" s="252" t="str">
        <f t="shared" ref="M29:M48" si="33">J3&amp;" (og)"</f>
        <v>Predrag Rajković (og)</v>
      </c>
      <c r="N29" s="252" t="str">
        <f t="shared" ref="N29:N48" si="34">O3&amp;" (og)"</f>
        <v>Bart Verbruggen (og)</v>
      </c>
      <c r="O29" s="252" t="str">
        <f t="shared" ref="O29:O48" si="35">N3&amp;" (og)"</f>
        <v>Wojciech Szczęsny (og)</v>
      </c>
      <c r="P29" s="252" t="str">
        <f t="shared" ref="P29:P48" si="36">N3&amp;" (og)"</f>
        <v>Wojciech Szczęsny (og)</v>
      </c>
      <c r="Q29" s="252" t="str">
        <f t="shared" ref="Q29:Q48" si="37">N3&amp;" (og)"</f>
        <v>Wojciech Szczęsny (og)</v>
      </c>
      <c r="R29" s="252" t="str">
        <f t="shared" ref="R29:R48" si="38">S3&amp;" (og)"</f>
        <v>Martin Dúbravka (og)</v>
      </c>
      <c r="S29" s="252" t="str">
        <f t="shared" ref="S29:S48" si="39">R3&amp;" (og)"</f>
        <v>Koen Casteels (og)</v>
      </c>
      <c r="T29" s="252" t="str">
        <f t="shared" ref="T29:T48" si="40">R3&amp;" (og)"</f>
        <v>Koen Casteels (og)</v>
      </c>
      <c r="U29" s="252" t="str">
        <f t="shared" ref="U29:U48" si="41">R3&amp;" (og)"</f>
        <v>Koen Casteels (og)</v>
      </c>
      <c r="V29" s="252" t="str">
        <f t="shared" ref="V29:V48" si="42">W3&amp;" (og)"</f>
        <v>Jindřich Staněk (og)</v>
      </c>
      <c r="W29" s="252" t="str">
        <f t="shared" ref="W29:W48" si="43">V3&amp;" (og)"</f>
        <v>Rui Patrício (og)</v>
      </c>
      <c r="X29" s="252" t="str">
        <f t="shared" ref="X29:X48" si="44">V3&amp;" (og)"</f>
        <v>Rui Patrício (og)</v>
      </c>
      <c r="Y29" s="252" t="str">
        <f t="shared" ref="Y29:Y48" si="45">V3&amp;" (og)"</f>
        <v>Rui Patrício (og)</v>
      </c>
      <c r="AI29" s="252" t="str">
        <f t="shared" ref="AI29:AI51" ca="1" si="46">AJ3&amp;" (og)"</f>
        <v xml:space="preserve"> (og)</v>
      </c>
      <c r="AJ29" s="252" t="str">
        <f t="shared" ref="AJ29:AJ51" ca="1" si="47">AI3&amp;" (og)"</f>
        <v xml:space="preserve"> (og)</v>
      </c>
      <c r="AK29" s="252" t="str">
        <f t="shared" ref="AK29:AK51" ca="1" si="48">AL3&amp;" (og)"</f>
        <v xml:space="preserve"> (og)</v>
      </c>
      <c r="AL29" s="252" t="str">
        <f t="shared" ref="AL29:AL51" ca="1" si="49">AK3&amp;" (og)"</f>
        <v xml:space="preserve"> (og)</v>
      </c>
      <c r="AM29" s="252" t="str">
        <f t="shared" ref="AM29:AM51" ca="1" si="50">AN3&amp;" (og)"</f>
        <v xml:space="preserve"> (og)</v>
      </c>
      <c r="AN29" s="252" t="str">
        <f t="shared" ref="AN29:AN51" ca="1" si="51">AM3&amp;" (og)"</f>
        <v xml:space="preserve"> (og)</v>
      </c>
      <c r="AO29" s="252" t="str">
        <f t="shared" ref="AO29:AO51" ca="1" si="52">AP3&amp;" (og)"</f>
        <v xml:space="preserve"> (og)</v>
      </c>
      <c r="AP29" s="252" t="str">
        <f t="shared" ref="AP29:AP51" ca="1" si="53">AO3&amp;" (og)"</f>
        <v xml:space="preserve"> (og)</v>
      </c>
      <c r="AQ29" s="252" t="str">
        <f t="shared" ref="AQ29:AQ51" ca="1" si="54">AR3&amp;" (og)"</f>
        <v xml:space="preserve"> (og)</v>
      </c>
      <c r="AR29" s="252" t="str">
        <f t="shared" ref="AR29:AR51" ca="1" si="55">AQ3&amp;" (og)"</f>
        <v xml:space="preserve"> (og)</v>
      </c>
      <c r="AS29" s="252" t="str">
        <f t="shared" ref="AS29:AS51" ca="1" si="56">AT3&amp;" (og)"</f>
        <v xml:space="preserve"> (og)</v>
      </c>
      <c r="AT29" s="252" t="str">
        <f t="shared" ref="AT29:AT51" ca="1" si="57">AS3&amp;" (og)"</f>
        <v xml:space="preserve"> (og)</v>
      </c>
      <c r="AU29" s="252" t="str">
        <f t="shared" ref="AU29:AU51" ca="1" si="58">AV3&amp;" (og)"</f>
        <v xml:space="preserve"> (og)</v>
      </c>
      <c r="AV29" s="252" t="str">
        <f t="shared" ref="AV29:AV51" ca="1" si="59">AU3&amp;" (og)"</f>
        <v xml:space="preserve"> (og)</v>
      </c>
      <c r="AW29" s="252" t="str">
        <f t="shared" ref="AW29:AW51" ca="1" si="60">AX3&amp;" (og)"</f>
        <v xml:space="preserve"> (og)</v>
      </c>
      <c r="AX29" s="252" t="str">
        <f t="shared" ref="AX29:AX51" ca="1" si="61">AW3&amp;" (og)"</f>
        <v xml:space="preserve"> (og)</v>
      </c>
      <c r="AZ29" s="252" t="str">
        <f t="shared" ref="AZ29:AZ51" ca="1" si="62">BA3&amp;" (og)"</f>
        <v xml:space="preserve"> (og)</v>
      </c>
      <c r="BA29" s="252" t="str">
        <f t="shared" ref="BA29:BA51" ca="1" si="63">AZ3&amp;" (og)"</f>
        <v xml:space="preserve"> (og)</v>
      </c>
      <c r="BB29" s="252" t="str">
        <f t="shared" ref="BB29:BB51" ca="1" si="64">BC3&amp;" (og)"</f>
        <v xml:space="preserve"> (og)</v>
      </c>
      <c r="BC29" s="252" t="str">
        <f t="shared" ref="BC29:BC51" ca="1" si="65">BB3&amp;" (og)"</f>
        <v xml:space="preserve"> (og)</v>
      </c>
      <c r="BD29" s="252" t="str">
        <f t="shared" ref="BD29:BD51" ca="1" si="66">BE3&amp;" (og)"</f>
        <v xml:space="preserve"> (og)</v>
      </c>
      <c r="BE29" s="252" t="str">
        <f t="shared" ref="BE29:BE51" ca="1" si="67">BD3&amp;" (og)"</f>
        <v xml:space="preserve"> (og)</v>
      </c>
      <c r="BF29" s="252" t="str">
        <f t="shared" ref="BF29:BF51" ca="1" si="68">BG3&amp;" (og)"</f>
        <v xml:space="preserve"> (og)</v>
      </c>
      <c r="BG29" s="252" t="str">
        <f t="shared" ref="BG29:BG51" ca="1" si="69">BF3&amp;" (og)"</f>
        <v xml:space="preserve"> (og)</v>
      </c>
      <c r="BI29" s="252" t="str">
        <f t="shared" ref="BI29:BI51" ca="1" si="70">BJ3&amp;" (og)"</f>
        <v xml:space="preserve"> (og)</v>
      </c>
      <c r="BJ29" s="252" t="str">
        <f t="shared" ref="BJ29:BJ51" ca="1" si="71">BI3&amp;" (og)"</f>
        <v xml:space="preserve"> (og)</v>
      </c>
      <c r="BK29" s="252" t="str">
        <f t="shared" ref="BK29:BK51" ca="1" si="72">BL3&amp;" (og)"</f>
        <v xml:space="preserve"> (og)</v>
      </c>
      <c r="BL29" s="252" t="str">
        <f t="shared" ref="BL29:BL51" ca="1" si="73">BK3&amp;" (og)"</f>
        <v xml:space="preserve"> (og)</v>
      </c>
      <c r="BN29" s="252" t="str">
        <f t="shared" ref="BN29:BN51" si="74">BO3&amp;" (og)"</f>
        <v xml:space="preserve"> (og)</v>
      </c>
      <c r="BO29" s="252" t="str">
        <f t="shared" ref="BO29:BO51" si="75">BN3&amp;" (og)"</f>
        <v xml:space="preserve"> (og)</v>
      </c>
      <c r="BQ29" s="252" t="str">
        <f t="shared" ref="BQ29:BQ51" ca="1" si="76">BR3&amp;" (og)"</f>
        <v xml:space="preserve"> (og)</v>
      </c>
      <c r="BR29" s="252" t="str">
        <f t="shared" ref="BR29:BR51" ca="1" si="77">BQ3&amp;" (og)"</f>
        <v xml:space="preserve"> (og)</v>
      </c>
      <c r="BT29" s="253" t="str">
        <f ca="1">OFFSET($A$2,0,BW29)</f>
        <v>Scotland</v>
      </c>
      <c r="BU29" s="253">
        <f t="shared" si="13"/>
        <v>27</v>
      </c>
      <c r="BV29" s="253" t="s">
        <v>986</v>
      </c>
      <c r="BW29" s="253">
        <f>BW3+1</f>
        <v>2</v>
      </c>
      <c r="BX29" s="253" t="str">
        <f ca="1">OFFSET(INDIRECT(BV29),0,BW29)</f>
        <v>Angus Gunn</v>
      </c>
      <c r="BY29" s="253">
        <f ca="1">COUNTIF('Group Stages'!$J$8:$Q$80,BX29)+COUNTIF('Knock Out Stages'!$K$7:$R$45,BX29)</f>
        <v>0</v>
      </c>
      <c r="BZ29" s="255" t="s">
        <v>1012</v>
      </c>
      <c r="CA29" s="253" t="str">
        <f ca="1">OFFSET(INDIRECT(BZ29),0,BW29)</f>
        <v>Angus Gunn</v>
      </c>
      <c r="CB29" s="252">
        <v>26</v>
      </c>
      <c r="CC29" s="252" t="str">
        <f t="array" aca="1" ref="CC29" ca="1">IFERROR(INDEX($BX$3:$BX$810, SMALL(IF(COUNTIF(CC$3, $BY$3:$BY$810), ROW($BX$3:$BX$810)-MIN(ROW($BX$3:$BX$810))+1), $CB29), 0),"")</f>
        <v/>
      </c>
      <c r="CD29" s="252" t="str">
        <f t="array" aca="1" ref="CD29" ca="1">IFERROR(INDEX($BX$3:$BX$810, SMALL(IF(COUNTIF(CD$3, $BY$3:$BY$810), ROW($BX$3:$BX$810)-MIN(ROW($BX$3:$BX$810))+1), $CB29), 0),"")</f>
        <v/>
      </c>
      <c r="CE29" s="252" t="str">
        <f t="array" aca="1" ref="CE29" ca="1">IFERROR(INDEX($BX$3:$BX$810, SMALL(IF(COUNTIF(CE$3, $BY$3:$BY$810), ROW($BX$3:$BX$810)-MIN(ROW($BX$3:$BX$810))+1), $CB29), 0),"")</f>
        <v/>
      </c>
      <c r="CF29" s="252" t="str">
        <f t="array" aca="1" ref="CF29" ca="1">IFERROR(INDEX($BX$3:$BX$810, SMALL(IF(COUNTIF(CF$3, $BY$3:$BY$810), ROW($BX$3:$BX$810)-MIN(ROW($BX$3:$BX$810))+1), $CB29), 0),"")</f>
        <v/>
      </c>
      <c r="CG29" s="252" t="str">
        <f t="array" aca="1" ref="CG29" ca="1">IFERROR(INDEX($BX$3:$BX$810, SMALL(IF(COUNTIF(CG$3, $BY$3:$BY$810), ROW($BX$3:$BX$810)-MIN(ROW($BX$3:$BX$810))+1), $CB29), 0),"")</f>
        <v/>
      </c>
      <c r="CH29" s="252" t="str">
        <f t="array" aca="1" ref="CH29" ca="1">IFERROR(INDEX($BX$3:$BX$810, SMALL(IF(COUNTIF(CH$3, $BY$3:$BY$810), ROW($BX$3:$BX$810)-MIN(ROW($BX$3:$BX$810))+1), $CB29), 0),"")</f>
        <v/>
      </c>
      <c r="CI29" s="252" t="str">
        <f t="array" aca="1" ref="CI29" ca="1">IFERROR(INDEX($BX$3:$BX$810, SMALL(IF(COUNTIF(CI$3, $BY$3:$BY$810), ROW($BX$3:$BX$810)-MIN(ROW($BX$3:$BX$810))+1), $CB29), 0),"")</f>
        <v/>
      </c>
      <c r="CJ29" s="252" t="str">
        <f t="array" aca="1" ref="CJ29" ca="1">IFERROR(INDEX($BX$3:$BX$810, SMALL(IF(COUNTIF(CJ$3, $BY$3:$BY$810), ROW($BX$3:$BX$810)-MIN(ROW($BX$3:$BX$810))+1), $CB29), 0),"")</f>
        <v/>
      </c>
      <c r="CK29" s="252" t="str">
        <f t="array" aca="1" ref="CK29" ca="1">IFERROR(INDEX($BX$3:$BX$810, SMALL(IF(COUNTIF(CK$3, $BY$3:$BY$810), ROW($BX$3:$BX$810)-MIN(ROW($BX$3:$BX$810))+1), $CB29), 0),"")</f>
        <v/>
      </c>
      <c r="CL29" s="252" t="str">
        <f t="array" aca="1" ref="CL29" ca="1">IFERROR(INDEX($BX$3:$BX$810, SMALL(IF(COUNTIF(CL$3, $BY$3:$BY$810), ROW($BX$3:$BX$810)-MIN(ROW($BX$3:$BX$810))+1), $CB29), 0),"")</f>
        <v/>
      </c>
      <c r="CM29" s="252" t="str">
        <f t="array" aca="1" ref="CM29" ca="1">IFERROR(INDEX($BX$3:$BX$810, SMALL(IF(COUNTIF(CM$3, $BY$3:$BY$810), ROW($BX$3:$BX$810)-MIN(ROW($BX$3:$BX$810))+1), $CB29), 0),"")</f>
        <v/>
      </c>
      <c r="CN29" s="252" t="str">
        <f t="array" aca="1" ref="CN29" ca="1">IFERROR(INDEX($BX$3:$BX$810, SMALL(IF(COUNTIF(CN$3, $BY$3:$BY$810), ROW($BX$3:$BX$810)-MIN(ROW($BX$3:$BX$810))+1), $CB29), 0),"")</f>
        <v/>
      </c>
      <c r="CO29" s="252" t="str">
        <f t="array" aca="1" ref="CO29" ca="1">IFERROR(INDEX($BX$3:$BX$810, SMALL(IF(COUNTIF(CO$3, $BY$3:$BY$810), ROW($BX$3:$BX$810)-MIN(ROW($BX$3:$BX$810))+1), $CB29), 0),"")</f>
        <v/>
      </c>
      <c r="CP29" s="252" t="str">
        <f t="array" aca="1" ref="CP29" ca="1">IFERROR(INDEX($BX$3:$BX$810, SMALL(IF(COUNTIF(CP$3, $BY$3:$BY$810), ROW($BX$3:$BX$810)-MIN(ROW($BX$3:$BX$810))+1), $CB29), 0),"")</f>
        <v/>
      </c>
      <c r="CQ29" s="252" t="str">
        <f t="array" aca="1" ref="CQ29" ca="1">IFERROR(INDEX($BX$3:$BX$810, SMALL(IF(COUNTIF(CQ$3, $BY$3:$BY$810), ROW($BX$3:$BX$810)-MIN(ROW($BX$3:$BX$810))+1), $CB29), 0),"")</f>
        <v/>
      </c>
      <c r="CS29" s="252">
        <v>26</v>
      </c>
      <c r="CT29" s="252">
        <v>1</v>
      </c>
      <c r="CV29" s="252" t="str">
        <f t="shared" ca="1" si="8"/>
        <v/>
      </c>
      <c r="CW29" s="252">
        <f t="shared" ca="1" si="14"/>
        <v>0</v>
      </c>
      <c r="CZ29" s="252">
        <v>26</v>
      </c>
      <c r="DA29" s="252" t="str">
        <f t="shared" ca="1" si="15"/>
        <v/>
      </c>
      <c r="DB29" s="252" t="str">
        <f t="shared" ca="1" si="9"/>
        <v/>
      </c>
      <c r="DC29" s="252" t="str">
        <f t="shared" ca="1" si="10"/>
        <v/>
      </c>
      <c r="DD29" s="252" t="str">
        <f t="shared" ca="1" si="11"/>
        <v/>
      </c>
    </row>
    <row r="30" spans="1:108" x14ac:dyDescent="0.2">
      <c r="A30" s="252">
        <f t="shared" si="21"/>
        <v>2</v>
      </c>
      <c r="B30" s="252" t="str">
        <f t="shared" si="22"/>
        <v>Anthony Ralston (og)</v>
      </c>
      <c r="C30" s="252" t="str">
        <f t="shared" si="23"/>
        <v>Antonio Rüdiger (og)</v>
      </c>
      <c r="D30" s="252" t="str">
        <f t="shared" si="24"/>
        <v>Antonio Rüdiger (og)</v>
      </c>
      <c r="E30" s="252" t="str">
        <f t="shared" si="25"/>
        <v>Antonio Rüdiger (og)</v>
      </c>
      <c r="F30" s="252" t="str">
        <f t="shared" si="26"/>
        <v>Iván Balliu (og)</v>
      </c>
      <c r="G30" s="252" t="str">
        <f t="shared" si="27"/>
        <v>Giovanni Di Lorenzo (og)</v>
      </c>
      <c r="H30" s="252" t="str">
        <f t="shared" si="28"/>
        <v>Giovanni Di Lorenzo (og)</v>
      </c>
      <c r="I30" s="252" t="str">
        <f t="shared" si="29"/>
        <v>Giovanni Di Lorenzo (og)</v>
      </c>
      <c r="J30" s="252" t="str">
        <f t="shared" si="30"/>
        <v>Kyle Walker (og)</v>
      </c>
      <c r="K30" s="252" t="str">
        <f t="shared" si="31"/>
        <v>Strahinja Pavlović (og)</v>
      </c>
      <c r="L30" s="252" t="str">
        <f t="shared" si="32"/>
        <v>Strahinja Pavlović (og)</v>
      </c>
      <c r="M30" s="252" t="str">
        <f t="shared" si="33"/>
        <v>Strahinja Pavlović (og)</v>
      </c>
      <c r="N30" s="252" t="str">
        <f t="shared" si="34"/>
        <v>Lutsharel Geertruida (og)</v>
      </c>
      <c r="O30" s="252" t="str">
        <f t="shared" si="35"/>
        <v>Bartosz Salamon (og)</v>
      </c>
      <c r="P30" s="252" t="str">
        <f t="shared" si="36"/>
        <v>Bartosz Salamon (og)</v>
      </c>
      <c r="Q30" s="252" t="str">
        <f t="shared" si="37"/>
        <v>Bartosz Salamon (og)</v>
      </c>
      <c r="R30" s="252" t="str">
        <f t="shared" si="38"/>
        <v>Peter Pekarík (og)</v>
      </c>
      <c r="S30" s="252" t="str">
        <f t="shared" si="39"/>
        <v>Zeno Debast (og)</v>
      </c>
      <c r="T30" s="252" t="str">
        <f t="shared" si="40"/>
        <v>Zeno Debast (og)</v>
      </c>
      <c r="U30" s="252" t="str">
        <f t="shared" si="41"/>
        <v>Zeno Debast (og)</v>
      </c>
      <c r="V30" s="252" t="str">
        <f t="shared" si="42"/>
        <v>David Zima (og)</v>
      </c>
      <c r="W30" s="252" t="str">
        <f t="shared" si="43"/>
        <v>Nélson Semedo (og)</v>
      </c>
      <c r="X30" s="252" t="str">
        <f t="shared" si="44"/>
        <v>Nélson Semedo (og)</v>
      </c>
      <c r="Y30" s="252" t="str">
        <f t="shared" si="45"/>
        <v>Nélson Semedo (og)</v>
      </c>
      <c r="AI30" s="252" t="str">
        <f t="shared" ca="1" si="46"/>
        <v xml:space="preserve"> (og)</v>
      </c>
      <c r="AJ30" s="252" t="str">
        <f t="shared" ca="1" si="47"/>
        <v xml:space="preserve"> (og)</v>
      </c>
      <c r="AK30" s="252" t="str">
        <f t="shared" ca="1" si="48"/>
        <v xml:space="preserve"> (og)</v>
      </c>
      <c r="AL30" s="252" t="str">
        <f t="shared" ca="1" si="49"/>
        <v xml:space="preserve"> (og)</v>
      </c>
      <c r="AM30" s="252" t="str">
        <f t="shared" ca="1" si="50"/>
        <v xml:space="preserve"> (og)</v>
      </c>
      <c r="AN30" s="252" t="str">
        <f t="shared" ca="1" si="51"/>
        <v xml:space="preserve"> (og)</v>
      </c>
      <c r="AO30" s="252" t="str">
        <f t="shared" ca="1" si="52"/>
        <v xml:space="preserve"> (og)</v>
      </c>
      <c r="AP30" s="252" t="str">
        <f t="shared" ca="1" si="53"/>
        <v xml:space="preserve"> (og)</v>
      </c>
      <c r="AQ30" s="252" t="str">
        <f t="shared" ca="1" si="54"/>
        <v xml:space="preserve"> (og)</v>
      </c>
      <c r="AR30" s="252" t="str">
        <f t="shared" ca="1" si="55"/>
        <v xml:space="preserve"> (og)</v>
      </c>
      <c r="AS30" s="252" t="str">
        <f t="shared" ca="1" si="56"/>
        <v xml:space="preserve"> (og)</v>
      </c>
      <c r="AT30" s="252" t="str">
        <f t="shared" ca="1" si="57"/>
        <v xml:space="preserve"> (og)</v>
      </c>
      <c r="AU30" s="252" t="str">
        <f t="shared" ca="1" si="58"/>
        <v xml:space="preserve"> (og)</v>
      </c>
      <c r="AV30" s="252" t="str">
        <f t="shared" ca="1" si="59"/>
        <v xml:space="preserve"> (og)</v>
      </c>
      <c r="AW30" s="252" t="str">
        <f t="shared" ca="1" si="60"/>
        <v xml:space="preserve"> (og)</v>
      </c>
      <c r="AX30" s="252" t="str">
        <f t="shared" ca="1" si="61"/>
        <v xml:space="preserve"> (og)</v>
      </c>
      <c r="AZ30" s="252" t="str">
        <f t="shared" ca="1" si="62"/>
        <v xml:space="preserve"> (og)</v>
      </c>
      <c r="BA30" s="252" t="str">
        <f t="shared" ca="1" si="63"/>
        <v xml:space="preserve"> (og)</v>
      </c>
      <c r="BB30" s="252" t="str">
        <f t="shared" ca="1" si="64"/>
        <v xml:space="preserve"> (og)</v>
      </c>
      <c r="BC30" s="252" t="str">
        <f t="shared" ca="1" si="65"/>
        <v xml:space="preserve"> (og)</v>
      </c>
      <c r="BD30" s="252" t="str">
        <f t="shared" ca="1" si="66"/>
        <v xml:space="preserve"> (og)</v>
      </c>
      <c r="BE30" s="252" t="str">
        <f t="shared" ca="1" si="67"/>
        <v xml:space="preserve"> (og)</v>
      </c>
      <c r="BF30" s="252" t="str">
        <f t="shared" ca="1" si="68"/>
        <v xml:space="preserve"> (og)</v>
      </c>
      <c r="BG30" s="252" t="str">
        <f t="shared" ca="1" si="69"/>
        <v xml:space="preserve"> (og)</v>
      </c>
      <c r="BI30" s="252" t="str">
        <f t="shared" ca="1" si="70"/>
        <v xml:space="preserve"> (og)</v>
      </c>
      <c r="BJ30" s="252" t="str">
        <f t="shared" ca="1" si="71"/>
        <v xml:space="preserve"> (og)</v>
      </c>
      <c r="BK30" s="252" t="str">
        <f t="shared" ca="1" si="72"/>
        <v xml:space="preserve"> (og)</v>
      </c>
      <c r="BL30" s="252" t="str">
        <f t="shared" ca="1" si="73"/>
        <v xml:space="preserve"> (og)</v>
      </c>
      <c r="BN30" s="252" t="str">
        <f t="shared" si="74"/>
        <v xml:space="preserve"> (og)</v>
      </c>
      <c r="BO30" s="252" t="str">
        <f t="shared" si="75"/>
        <v xml:space="preserve"> (og)</v>
      </c>
      <c r="BQ30" s="252" t="str">
        <f t="shared" ca="1" si="76"/>
        <v xml:space="preserve"> (og)</v>
      </c>
      <c r="BR30" s="252" t="str">
        <f t="shared" ca="1" si="77"/>
        <v xml:space="preserve"> (og)</v>
      </c>
      <c r="BT30" s="253" t="str">
        <f t="shared" ref="BT30:BT99" ca="1" si="78">OFFSET($A$2,0,BW30)</f>
        <v>Scotland</v>
      </c>
      <c r="BU30" s="253">
        <f t="shared" si="13"/>
        <v>28</v>
      </c>
      <c r="BV30" s="253" t="s">
        <v>987</v>
      </c>
      <c r="BW30" s="253">
        <f t="shared" ref="BW30:BW54" si="79">BW4+1</f>
        <v>2</v>
      </c>
      <c r="BX30" s="253" t="str">
        <f t="shared" ref="BX30:BX55" ca="1" si="80">OFFSET(INDIRECT(BV30),0,BW30)</f>
        <v>Anthony Ralston</v>
      </c>
      <c r="BY30" s="253">
        <f ca="1">COUNTIF('Group Stages'!$J$8:$Q$80,BX30)+COUNTIF('Knock Out Stages'!$K$7:$R$45,BX30)</f>
        <v>0</v>
      </c>
      <c r="BZ30" s="255" t="s">
        <v>1013</v>
      </c>
      <c r="CA30" s="253" t="str">
        <f t="shared" ref="CA30:CA55" ca="1" si="81">OFFSET(INDIRECT(BZ30),0,BW30)</f>
        <v>Anthony Ralston</v>
      </c>
      <c r="CB30" s="252">
        <v>27</v>
      </c>
      <c r="CC30" s="252" t="str">
        <f t="array" aca="1" ref="CC30" ca="1">IFERROR(INDEX($BX$3:$BX$810, SMALL(IF(COUNTIF(CC$3, $BY$3:$BY$810), ROW($BX$3:$BX$810)-MIN(ROW($BX$3:$BX$810))+1), $CB30), 0),"")</f>
        <v/>
      </c>
      <c r="CD30" s="252" t="str">
        <f t="array" aca="1" ref="CD30" ca="1">IFERROR(INDEX($BX$3:$BX$810, SMALL(IF(COUNTIF(CD$3, $BY$3:$BY$810), ROW($BX$3:$BX$810)-MIN(ROW($BX$3:$BX$810))+1), $CB30), 0),"")</f>
        <v/>
      </c>
      <c r="CE30" s="252" t="str">
        <f t="array" aca="1" ref="CE30" ca="1">IFERROR(INDEX($BX$3:$BX$810, SMALL(IF(COUNTIF(CE$3, $BY$3:$BY$810), ROW($BX$3:$BX$810)-MIN(ROW($BX$3:$BX$810))+1), $CB30), 0),"")</f>
        <v/>
      </c>
      <c r="CF30" s="252" t="str">
        <f t="array" aca="1" ref="CF30" ca="1">IFERROR(INDEX($BX$3:$BX$810, SMALL(IF(COUNTIF(CF$3, $BY$3:$BY$810), ROW($BX$3:$BX$810)-MIN(ROW($BX$3:$BX$810))+1), $CB30), 0),"")</f>
        <v/>
      </c>
      <c r="CG30" s="252" t="str">
        <f t="array" aca="1" ref="CG30" ca="1">IFERROR(INDEX($BX$3:$BX$810, SMALL(IF(COUNTIF(CG$3, $BY$3:$BY$810), ROW($BX$3:$BX$810)-MIN(ROW($BX$3:$BX$810))+1), $CB30), 0),"")</f>
        <v/>
      </c>
      <c r="CH30" s="252" t="str">
        <f t="array" aca="1" ref="CH30" ca="1">IFERROR(INDEX($BX$3:$BX$810, SMALL(IF(COUNTIF(CH$3, $BY$3:$BY$810), ROW($BX$3:$BX$810)-MIN(ROW($BX$3:$BX$810))+1), $CB30), 0),"")</f>
        <v/>
      </c>
      <c r="CI30" s="252" t="str">
        <f t="array" aca="1" ref="CI30" ca="1">IFERROR(INDEX($BX$3:$BX$810, SMALL(IF(COUNTIF(CI$3, $BY$3:$BY$810), ROW($BX$3:$BX$810)-MIN(ROW($BX$3:$BX$810))+1), $CB30), 0),"")</f>
        <v/>
      </c>
      <c r="CJ30" s="252" t="str">
        <f t="array" aca="1" ref="CJ30" ca="1">IFERROR(INDEX($BX$3:$BX$810, SMALL(IF(COUNTIF(CJ$3, $BY$3:$BY$810), ROW($BX$3:$BX$810)-MIN(ROW($BX$3:$BX$810))+1), $CB30), 0),"")</f>
        <v/>
      </c>
      <c r="CK30" s="252" t="str">
        <f t="array" aca="1" ref="CK30" ca="1">IFERROR(INDEX($BX$3:$BX$810, SMALL(IF(COUNTIF(CK$3, $BY$3:$BY$810), ROW($BX$3:$BX$810)-MIN(ROW($BX$3:$BX$810))+1), $CB30), 0),"")</f>
        <v/>
      </c>
      <c r="CL30" s="252" t="str">
        <f t="array" aca="1" ref="CL30" ca="1">IFERROR(INDEX($BX$3:$BX$810, SMALL(IF(COUNTIF(CL$3, $BY$3:$BY$810), ROW($BX$3:$BX$810)-MIN(ROW($BX$3:$BX$810))+1), $CB30), 0),"")</f>
        <v/>
      </c>
      <c r="CM30" s="252" t="str">
        <f t="array" aca="1" ref="CM30" ca="1">IFERROR(INDEX($BX$3:$BX$810, SMALL(IF(COUNTIF(CM$3, $BY$3:$BY$810), ROW($BX$3:$BX$810)-MIN(ROW($BX$3:$BX$810))+1), $CB30), 0),"")</f>
        <v/>
      </c>
      <c r="CN30" s="252" t="str">
        <f t="array" aca="1" ref="CN30" ca="1">IFERROR(INDEX($BX$3:$BX$810, SMALL(IF(COUNTIF(CN$3, $BY$3:$BY$810), ROW($BX$3:$BX$810)-MIN(ROW($BX$3:$BX$810))+1), $CB30), 0),"")</f>
        <v/>
      </c>
      <c r="CO30" s="252" t="str">
        <f t="array" aca="1" ref="CO30" ca="1">IFERROR(INDEX($BX$3:$BX$810, SMALL(IF(COUNTIF(CO$3, $BY$3:$BY$810), ROW($BX$3:$BX$810)-MIN(ROW($BX$3:$BX$810))+1), $CB30), 0),"")</f>
        <v/>
      </c>
      <c r="CP30" s="252" t="str">
        <f t="array" aca="1" ref="CP30" ca="1">IFERROR(INDEX($BX$3:$BX$810, SMALL(IF(COUNTIF(CP$3, $BY$3:$BY$810), ROW($BX$3:$BX$810)-MIN(ROW($BX$3:$BX$810))+1), $CB30), 0),"")</f>
        <v/>
      </c>
      <c r="CQ30" s="252" t="str">
        <f t="array" aca="1" ref="CQ30" ca="1">IFERROR(INDEX($BX$3:$BX$810, SMALL(IF(COUNTIF(CQ$3, $BY$3:$BY$810), ROW($BX$3:$BX$810)-MIN(ROW($BX$3:$BX$810))+1), $CB30), 0),"")</f>
        <v/>
      </c>
      <c r="CS30" s="252">
        <v>27</v>
      </c>
      <c r="CT30" s="252">
        <v>1</v>
      </c>
      <c r="CV30" s="252" t="str">
        <f t="shared" ca="1" si="8"/>
        <v/>
      </c>
      <c r="CW30" s="252">
        <f t="shared" ca="1" si="14"/>
        <v>0</v>
      </c>
      <c r="CZ30" s="252">
        <v>27</v>
      </c>
      <c r="DA30" s="252" t="str">
        <f t="shared" ca="1" si="15"/>
        <v/>
      </c>
      <c r="DB30" s="252" t="str">
        <f t="shared" ca="1" si="9"/>
        <v/>
      </c>
      <c r="DC30" s="252" t="str">
        <f t="shared" ca="1" si="10"/>
        <v/>
      </c>
      <c r="DD30" s="252" t="str">
        <f t="shared" ca="1" si="11"/>
        <v/>
      </c>
    </row>
    <row r="31" spans="1:108" x14ac:dyDescent="0.2">
      <c r="A31" s="252">
        <f t="shared" si="21"/>
        <v>3</v>
      </c>
      <c r="B31" s="252" t="str">
        <f t="shared" si="22"/>
        <v>Andrew Robertson (og)</v>
      </c>
      <c r="C31" s="252" t="str">
        <f t="shared" si="23"/>
        <v>David Raum (og)</v>
      </c>
      <c r="D31" s="252" t="str">
        <f t="shared" si="24"/>
        <v>David Raum (og)</v>
      </c>
      <c r="E31" s="252" t="str">
        <f t="shared" si="25"/>
        <v>David Raum (og)</v>
      </c>
      <c r="F31" s="252" t="str">
        <f t="shared" si="26"/>
        <v>Mario Mitaj (og)</v>
      </c>
      <c r="G31" s="252" t="str">
        <f t="shared" si="27"/>
        <v>Federico Dimarco (og)</v>
      </c>
      <c r="H31" s="252" t="str">
        <f t="shared" si="28"/>
        <v>Federico Dimarco (og)</v>
      </c>
      <c r="I31" s="252" t="str">
        <f t="shared" si="29"/>
        <v>Federico Dimarco (og)</v>
      </c>
      <c r="J31" s="252" t="str">
        <f t="shared" si="30"/>
        <v>Luke Shaw (og)</v>
      </c>
      <c r="K31" s="252" t="str">
        <f t="shared" si="31"/>
        <v>Nemanja Stojić (og)</v>
      </c>
      <c r="L31" s="252" t="str">
        <f t="shared" si="32"/>
        <v>Nemanja Stojić (og)</v>
      </c>
      <c r="M31" s="252" t="str">
        <f t="shared" si="33"/>
        <v>Nemanja Stojić (og)</v>
      </c>
      <c r="N31" s="252" t="str">
        <f t="shared" si="34"/>
        <v>Matthijs de Ligt (og)</v>
      </c>
      <c r="O31" s="252" t="str">
        <f t="shared" si="35"/>
        <v>Paweł Dawidowicz (og)</v>
      </c>
      <c r="P31" s="252" t="str">
        <f t="shared" si="36"/>
        <v>Paweł Dawidowicz (og)</v>
      </c>
      <c r="Q31" s="252" t="str">
        <f t="shared" si="37"/>
        <v>Paweł Dawidowicz (og)</v>
      </c>
      <c r="R31" s="252" t="str">
        <f t="shared" si="38"/>
        <v>Denis Vavro (og)</v>
      </c>
      <c r="S31" s="252" t="str">
        <f t="shared" si="39"/>
        <v>Arthur Theate (og)</v>
      </c>
      <c r="T31" s="252" t="str">
        <f t="shared" si="40"/>
        <v>Arthur Theate (og)</v>
      </c>
      <c r="U31" s="252" t="str">
        <f t="shared" si="41"/>
        <v>Arthur Theate (og)</v>
      </c>
      <c r="V31" s="252" t="str">
        <f t="shared" si="42"/>
        <v>Tomáš Holeš (og)</v>
      </c>
      <c r="W31" s="252" t="str">
        <f t="shared" si="43"/>
        <v>Pepe (og)</v>
      </c>
      <c r="X31" s="252" t="str">
        <f t="shared" si="44"/>
        <v>Pepe (og)</v>
      </c>
      <c r="Y31" s="252" t="str">
        <f t="shared" si="45"/>
        <v>Pepe (og)</v>
      </c>
      <c r="AI31" s="252" t="str">
        <f t="shared" ca="1" si="46"/>
        <v xml:space="preserve"> (og)</v>
      </c>
      <c r="AJ31" s="252" t="str">
        <f t="shared" ca="1" si="47"/>
        <v xml:space="preserve"> (og)</v>
      </c>
      <c r="AK31" s="252" t="str">
        <f t="shared" ca="1" si="48"/>
        <v xml:space="preserve"> (og)</v>
      </c>
      <c r="AL31" s="252" t="str">
        <f t="shared" ca="1" si="49"/>
        <v xml:space="preserve"> (og)</v>
      </c>
      <c r="AM31" s="252" t="str">
        <f t="shared" ca="1" si="50"/>
        <v xml:space="preserve"> (og)</v>
      </c>
      <c r="AN31" s="252" t="str">
        <f t="shared" ca="1" si="51"/>
        <v xml:space="preserve"> (og)</v>
      </c>
      <c r="AO31" s="252" t="str">
        <f t="shared" ca="1" si="52"/>
        <v xml:space="preserve"> (og)</v>
      </c>
      <c r="AP31" s="252" t="str">
        <f t="shared" ca="1" si="53"/>
        <v xml:space="preserve"> (og)</v>
      </c>
      <c r="AQ31" s="252" t="str">
        <f t="shared" ca="1" si="54"/>
        <v xml:space="preserve"> (og)</v>
      </c>
      <c r="AR31" s="252" t="str">
        <f t="shared" ca="1" si="55"/>
        <v xml:space="preserve"> (og)</v>
      </c>
      <c r="AS31" s="252" t="str">
        <f t="shared" ca="1" si="56"/>
        <v xml:space="preserve"> (og)</v>
      </c>
      <c r="AT31" s="252" t="str">
        <f t="shared" ca="1" si="57"/>
        <v xml:space="preserve"> (og)</v>
      </c>
      <c r="AU31" s="252" t="str">
        <f t="shared" ca="1" si="58"/>
        <v xml:space="preserve"> (og)</v>
      </c>
      <c r="AV31" s="252" t="str">
        <f t="shared" ca="1" si="59"/>
        <v xml:space="preserve"> (og)</v>
      </c>
      <c r="AW31" s="252" t="str">
        <f t="shared" ca="1" si="60"/>
        <v xml:space="preserve"> (og)</v>
      </c>
      <c r="AX31" s="252" t="str">
        <f t="shared" ca="1" si="61"/>
        <v xml:space="preserve"> (og)</v>
      </c>
      <c r="AZ31" s="252" t="str">
        <f t="shared" ca="1" si="62"/>
        <v xml:space="preserve"> (og)</v>
      </c>
      <c r="BA31" s="252" t="str">
        <f t="shared" ca="1" si="63"/>
        <v xml:space="preserve"> (og)</v>
      </c>
      <c r="BB31" s="252" t="str">
        <f t="shared" ca="1" si="64"/>
        <v xml:space="preserve"> (og)</v>
      </c>
      <c r="BC31" s="252" t="str">
        <f t="shared" ca="1" si="65"/>
        <v xml:space="preserve"> (og)</v>
      </c>
      <c r="BD31" s="252" t="str">
        <f t="shared" ca="1" si="66"/>
        <v xml:space="preserve"> (og)</v>
      </c>
      <c r="BE31" s="252" t="str">
        <f t="shared" ca="1" si="67"/>
        <v xml:space="preserve"> (og)</v>
      </c>
      <c r="BF31" s="252" t="str">
        <f t="shared" ca="1" si="68"/>
        <v xml:space="preserve"> (og)</v>
      </c>
      <c r="BG31" s="252" t="str">
        <f t="shared" ca="1" si="69"/>
        <v xml:space="preserve"> (og)</v>
      </c>
      <c r="BI31" s="252" t="str">
        <f t="shared" ca="1" si="70"/>
        <v xml:space="preserve"> (og)</v>
      </c>
      <c r="BJ31" s="252" t="str">
        <f t="shared" ca="1" si="71"/>
        <v xml:space="preserve"> (og)</v>
      </c>
      <c r="BK31" s="252" t="str">
        <f t="shared" ca="1" si="72"/>
        <v xml:space="preserve"> (og)</v>
      </c>
      <c r="BL31" s="252" t="str">
        <f t="shared" ca="1" si="73"/>
        <v xml:space="preserve"> (og)</v>
      </c>
      <c r="BN31" s="252" t="str">
        <f t="shared" si="74"/>
        <v xml:space="preserve"> (og)</v>
      </c>
      <c r="BO31" s="252" t="str">
        <f t="shared" si="75"/>
        <v xml:space="preserve"> (og)</v>
      </c>
      <c r="BQ31" s="252" t="str">
        <f t="shared" ca="1" si="76"/>
        <v xml:space="preserve"> (og)</v>
      </c>
      <c r="BR31" s="252" t="str">
        <f t="shared" ca="1" si="77"/>
        <v xml:space="preserve"> (og)</v>
      </c>
      <c r="BT31" s="253" t="str">
        <f t="shared" ca="1" si="78"/>
        <v>Scotland</v>
      </c>
      <c r="BU31" s="253">
        <f t="shared" si="13"/>
        <v>29</v>
      </c>
      <c r="BV31" s="253" t="s">
        <v>988</v>
      </c>
      <c r="BW31" s="253">
        <f t="shared" si="79"/>
        <v>2</v>
      </c>
      <c r="BX31" s="253" t="str">
        <f t="shared" ca="1" si="80"/>
        <v>Andrew Robertson</v>
      </c>
      <c r="BY31" s="253">
        <f ca="1">COUNTIF('Group Stages'!$J$8:$Q$80,BX31)+COUNTIF('Knock Out Stages'!$K$7:$R$45,BX31)</f>
        <v>0</v>
      </c>
      <c r="BZ31" s="255" t="s">
        <v>1014</v>
      </c>
      <c r="CA31" s="253" t="str">
        <f t="shared" ca="1" si="81"/>
        <v>Andrew Robertson</v>
      </c>
      <c r="CB31" s="252">
        <v>28</v>
      </c>
      <c r="CC31" s="252" t="str">
        <f t="array" aca="1" ref="CC31" ca="1">IFERROR(INDEX($BX$3:$BX$810, SMALL(IF(COUNTIF(CC$3, $BY$3:$BY$810), ROW($BX$3:$BX$810)-MIN(ROW($BX$3:$BX$810))+1), $CB31), 0),"")</f>
        <v/>
      </c>
      <c r="CD31" s="252" t="str">
        <f t="array" aca="1" ref="CD31" ca="1">IFERROR(INDEX($BX$3:$BX$810, SMALL(IF(COUNTIF(CD$3, $BY$3:$BY$810), ROW($BX$3:$BX$810)-MIN(ROW($BX$3:$BX$810))+1), $CB31), 0),"")</f>
        <v/>
      </c>
      <c r="CE31" s="252" t="str">
        <f t="array" aca="1" ref="CE31" ca="1">IFERROR(INDEX($BX$3:$BX$810, SMALL(IF(COUNTIF(CE$3, $BY$3:$BY$810), ROW($BX$3:$BX$810)-MIN(ROW($BX$3:$BX$810))+1), $CB31), 0),"")</f>
        <v/>
      </c>
      <c r="CF31" s="252" t="str">
        <f t="array" aca="1" ref="CF31" ca="1">IFERROR(INDEX($BX$3:$BX$810, SMALL(IF(COUNTIF(CF$3, $BY$3:$BY$810), ROW($BX$3:$BX$810)-MIN(ROW($BX$3:$BX$810))+1), $CB31), 0),"")</f>
        <v/>
      </c>
      <c r="CG31" s="252" t="str">
        <f t="array" aca="1" ref="CG31" ca="1">IFERROR(INDEX($BX$3:$BX$810, SMALL(IF(COUNTIF(CG$3, $BY$3:$BY$810), ROW($BX$3:$BX$810)-MIN(ROW($BX$3:$BX$810))+1), $CB31), 0),"")</f>
        <v/>
      </c>
      <c r="CH31" s="252" t="str">
        <f t="array" aca="1" ref="CH31" ca="1">IFERROR(INDEX($BX$3:$BX$810, SMALL(IF(COUNTIF(CH$3, $BY$3:$BY$810), ROW($BX$3:$BX$810)-MIN(ROW($BX$3:$BX$810))+1), $CB31), 0),"")</f>
        <v/>
      </c>
      <c r="CI31" s="252" t="str">
        <f t="array" aca="1" ref="CI31" ca="1">IFERROR(INDEX($BX$3:$BX$810, SMALL(IF(COUNTIF(CI$3, $BY$3:$BY$810), ROW($BX$3:$BX$810)-MIN(ROW($BX$3:$BX$810))+1), $CB31), 0),"")</f>
        <v/>
      </c>
      <c r="CJ31" s="252" t="str">
        <f t="array" aca="1" ref="CJ31" ca="1">IFERROR(INDEX($BX$3:$BX$810, SMALL(IF(COUNTIF(CJ$3, $BY$3:$BY$810), ROW($BX$3:$BX$810)-MIN(ROW($BX$3:$BX$810))+1), $CB31), 0),"")</f>
        <v/>
      </c>
      <c r="CK31" s="252" t="str">
        <f t="array" aca="1" ref="CK31" ca="1">IFERROR(INDEX($BX$3:$BX$810, SMALL(IF(COUNTIF(CK$3, $BY$3:$BY$810), ROW($BX$3:$BX$810)-MIN(ROW($BX$3:$BX$810))+1), $CB31), 0),"")</f>
        <v/>
      </c>
      <c r="CL31" s="252" t="str">
        <f t="array" aca="1" ref="CL31" ca="1">IFERROR(INDEX($BX$3:$BX$810, SMALL(IF(COUNTIF(CL$3, $BY$3:$BY$810), ROW($BX$3:$BX$810)-MIN(ROW($BX$3:$BX$810))+1), $CB31), 0),"")</f>
        <v/>
      </c>
      <c r="CM31" s="252" t="str">
        <f t="array" aca="1" ref="CM31" ca="1">IFERROR(INDEX($BX$3:$BX$810, SMALL(IF(COUNTIF(CM$3, $BY$3:$BY$810), ROW($BX$3:$BX$810)-MIN(ROW($BX$3:$BX$810))+1), $CB31), 0),"")</f>
        <v/>
      </c>
      <c r="CN31" s="252" t="str">
        <f t="array" aca="1" ref="CN31" ca="1">IFERROR(INDEX($BX$3:$BX$810, SMALL(IF(COUNTIF(CN$3, $BY$3:$BY$810), ROW($BX$3:$BX$810)-MIN(ROW($BX$3:$BX$810))+1), $CB31), 0),"")</f>
        <v/>
      </c>
      <c r="CO31" s="252" t="str">
        <f t="array" aca="1" ref="CO31" ca="1">IFERROR(INDEX($BX$3:$BX$810, SMALL(IF(COUNTIF(CO$3, $BY$3:$BY$810), ROW($BX$3:$BX$810)-MIN(ROW($BX$3:$BX$810))+1), $CB31), 0),"")</f>
        <v/>
      </c>
      <c r="CP31" s="252" t="str">
        <f t="array" aca="1" ref="CP31" ca="1">IFERROR(INDEX($BX$3:$BX$810, SMALL(IF(COUNTIF(CP$3, $BY$3:$BY$810), ROW($BX$3:$BX$810)-MIN(ROW($BX$3:$BX$810))+1), $CB31), 0),"")</f>
        <v/>
      </c>
      <c r="CQ31" s="252" t="str">
        <f t="array" aca="1" ref="CQ31" ca="1">IFERROR(INDEX($BX$3:$BX$810, SMALL(IF(COUNTIF(CQ$3, $BY$3:$BY$810), ROW($BX$3:$BX$810)-MIN(ROW($BX$3:$BX$810))+1), $CB31), 0),"")</f>
        <v/>
      </c>
      <c r="CS31" s="252">
        <v>28</v>
      </c>
      <c r="CT31" s="252">
        <v>1</v>
      </c>
      <c r="CV31" s="252" t="str">
        <f t="shared" ca="1" si="8"/>
        <v/>
      </c>
      <c r="CW31" s="252">
        <f t="shared" ca="1" si="14"/>
        <v>0</v>
      </c>
      <c r="CZ31" s="252">
        <v>28</v>
      </c>
      <c r="DA31" s="252" t="str">
        <f t="shared" ca="1" si="15"/>
        <v/>
      </c>
      <c r="DB31" s="252" t="str">
        <f t="shared" ca="1" si="9"/>
        <v/>
      </c>
      <c r="DC31" s="252" t="str">
        <f t="shared" ca="1" si="10"/>
        <v/>
      </c>
      <c r="DD31" s="252" t="str">
        <f t="shared" ca="1" si="11"/>
        <v/>
      </c>
    </row>
    <row r="32" spans="1:108" x14ac:dyDescent="0.2">
      <c r="A32" s="252">
        <f t="shared" si="21"/>
        <v>4</v>
      </c>
      <c r="B32" s="252" t="str">
        <f t="shared" si="22"/>
        <v>Scott McTominay (og)</v>
      </c>
      <c r="C32" s="252" t="str">
        <f t="shared" si="23"/>
        <v>Jonathan Tah (og)</v>
      </c>
      <c r="D32" s="252" t="str">
        <f t="shared" si="24"/>
        <v>Jonathan Tah (og)</v>
      </c>
      <c r="E32" s="252" t="str">
        <f t="shared" si="25"/>
        <v>Jonathan Tah (og)</v>
      </c>
      <c r="F32" s="252" t="str">
        <f t="shared" si="26"/>
        <v>Elseid Hysaj (og)</v>
      </c>
      <c r="G32" s="252" t="str">
        <f t="shared" si="27"/>
        <v>Alessandro Buongiorno (og)</v>
      </c>
      <c r="H32" s="252" t="str">
        <f t="shared" si="28"/>
        <v>Alessandro Buongiorno (og)</v>
      </c>
      <c r="I32" s="252" t="str">
        <f t="shared" si="29"/>
        <v>Alessandro Buongiorno (og)</v>
      </c>
      <c r="J32" s="252" t="str">
        <f t="shared" si="30"/>
        <v>Declan Rice (og)</v>
      </c>
      <c r="K32" s="252" t="str">
        <f t="shared" si="31"/>
        <v>Nikola Milenković (og)</v>
      </c>
      <c r="L32" s="252" t="str">
        <f t="shared" si="32"/>
        <v>Nikola Milenković (og)</v>
      </c>
      <c r="M32" s="252" t="str">
        <f t="shared" si="33"/>
        <v>Nikola Milenković (og)</v>
      </c>
      <c r="N32" s="252" t="str">
        <f t="shared" si="34"/>
        <v>Virgil van Dijk (og)</v>
      </c>
      <c r="O32" s="252" t="str">
        <f t="shared" si="35"/>
        <v>Sebastian Walukiewicz (og)</v>
      </c>
      <c r="P32" s="252" t="str">
        <f t="shared" si="36"/>
        <v>Sebastian Walukiewicz (og)</v>
      </c>
      <c r="Q32" s="252" t="str">
        <f t="shared" si="37"/>
        <v>Sebastian Walukiewicz (og)</v>
      </c>
      <c r="R32" s="252" t="str">
        <f t="shared" si="38"/>
        <v>Adam Obert (og)</v>
      </c>
      <c r="S32" s="252" t="str">
        <f t="shared" si="39"/>
        <v>Wout Faes (og)</v>
      </c>
      <c r="T32" s="252" t="str">
        <f t="shared" si="40"/>
        <v>Wout Faes (og)</v>
      </c>
      <c r="U32" s="252" t="str">
        <f t="shared" si="41"/>
        <v>Wout Faes (og)</v>
      </c>
      <c r="V32" s="252" t="str">
        <f t="shared" si="42"/>
        <v>Robin Hranáč (og)</v>
      </c>
      <c r="W32" s="252" t="str">
        <f t="shared" si="43"/>
        <v>Rúben Dias (og)</v>
      </c>
      <c r="X32" s="252" t="str">
        <f t="shared" si="44"/>
        <v>Rúben Dias (og)</v>
      </c>
      <c r="Y32" s="252" t="str">
        <f t="shared" si="45"/>
        <v>Rúben Dias (og)</v>
      </c>
      <c r="AI32" s="252" t="str">
        <f t="shared" ca="1" si="46"/>
        <v xml:space="preserve"> (og)</v>
      </c>
      <c r="AJ32" s="252" t="str">
        <f t="shared" ca="1" si="47"/>
        <v xml:space="preserve"> (og)</v>
      </c>
      <c r="AK32" s="252" t="str">
        <f t="shared" ca="1" si="48"/>
        <v xml:space="preserve"> (og)</v>
      </c>
      <c r="AL32" s="252" t="str">
        <f t="shared" ca="1" si="49"/>
        <v xml:space="preserve"> (og)</v>
      </c>
      <c r="AM32" s="252" t="str">
        <f t="shared" ca="1" si="50"/>
        <v xml:space="preserve"> (og)</v>
      </c>
      <c r="AN32" s="252" t="str">
        <f t="shared" ca="1" si="51"/>
        <v xml:space="preserve"> (og)</v>
      </c>
      <c r="AO32" s="252" t="str">
        <f t="shared" ca="1" si="52"/>
        <v xml:space="preserve"> (og)</v>
      </c>
      <c r="AP32" s="252" t="str">
        <f t="shared" ca="1" si="53"/>
        <v xml:space="preserve"> (og)</v>
      </c>
      <c r="AQ32" s="252" t="str">
        <f t="shared" ca="1" si="54"/>
        <v xml:space="preserve"> (og)</v>
      </c>
      <c r="AR32" s="252" t="str">
        <f t="shared" ca="1" si="55"/>
        <v xml:space="preserve"> (og)</v>
      </c>
      <c r="AS32" s="252" t="str">
        <f t="shared" ca="1" si="56"/>
        <v xml:space="preserve"> (og)</v>
      </c>
      <c r="AT32" s="252" t="str">
        <f t="shared" ca="1" si="57"/>
        <v xml:space="preserve"> (og)</v>
      </c>
      <c r="AU32" s="252" t="str">
        <f t="shared" ca="1" si="58"/>
        <v xml:space="preserve"> (og)</v>
      </c>
      <c r="AV32" s="252" t="str">
        <f t="shared" ca="1" si="59"/>
        <v xml:space="preserve"> (og)</v>
      </c>
      <c r="AW32" s="252" t="str">
        <f t="shared" ca="1" si="60"/>
        <v xml:space="preserve"> (og)</v>
      </c>
      <c r="AX32" s="252" t="str">
        <f t="shared" ca="1" si="61"/>
        <v xml:space="preserve"> (og)</v>
      </c>
      <c r="AZ32" s="252" t="str">
        <f t="shared" ca="1" si="62"/>
        <v xml:space="preserve"> (og)</v>
      </c>
      <c r="BA32" s="252" t="str">
        <f t="shared" ca="1" si="63"/>
        <v xml:space="preserve"> (og)</v>
      </c>
      <c r="BB32" s="252" t="str">
        <f t="shared" ca="1" si="64"/>
        <v xml:space="preserve"> (og)</v>
      </c>
      <c r="BC32" s="252" t="str">
        <f t="shared" ca="1" si="65"/>
        <v xml:space="preserve"> (og)</v>
      </c>
      <c r="BD32" s="252" t="str">
        <f t="shared" ca="1" si="66"/>
        <v xml:space="preserve"> (og)</v>
      </c>
      <c r="BE32" s="252" t="str">
        <f t="shared" ca="1" si="67"/>
        <v xml:space="preserve"> (og)</v>
      </c>
      <c r="BF32" s="252" t="str">
        <f t="shared" ca="1" si="68"/>
        <v xml:space="preserve"> (og)</v>
      </c>
      <c r="BG32" s="252" t="str">
        <f t="shared" ca="1" si="69"/>
        <v xml:space="preserve"> (og)</v>
      </c>
      <c r="BI32" s="252" t="str">
        <f t="shared" ca="1" si="70"/>
        <v xml:space="preserve"> (og)</v>
      </c>
      <c r="BJ32" s="252" t="str">
        <f t="shared" ca="1" si="71"/>
        <v xml:space="preserve"> (og)</v>
      </c>
      <c r="BK32" s="252" t="str">
        <f t="shared" ca="1" si="72"/>
        <v xml:space="preserve"> (og)</v>
      </c>
      <c r="BL32" s="252" t="str">
        <f t="shared" ca="1" si="73"/>
        <v xml:space="preserve"> (og)</v>
      </c>
      <c r="BN32" s="252" t="str">
        <f t="shared" si="74"/>
        <v xml:space="preserve"> (og)</v>
      </c>
      <c r="BO32" s="252" t="str">
        <f t="shared" si="75"/>
        <v xml:space="preserve"> (og)</v>
      </c>
      <c r="BQ32" s="252" t="str">
        <f t="shared" ca="1" si="76"/>
        <v xml:space="preserve"> (og)</v>
      </c>
      <c r="BR32" s="252" t="str">
        <f t="shared" ca="1" si="77"/>
        <v xml:space="preserve"> (og)</v>
      </c>
      <c r="BT32" s="253" t="str">
        <f t="shared" ca="1" si="78"/>
        <v>Scotland</v>
      </c>
      <c r="BU32" s="253">
        <f t="shared" si="13"/>
        <v>30</v>
      </c>
      <c r="BV32" s="253" t="s">
        <v>989</v>
      </c>
      <c r="BW32" s="253">
        <f t="shared" si="79"/>
        <v>2</v>
      </c>
      <c r="BX32" s="253" t="str">
        <f t="shared" ca="1" si="80"/>
        <v>Scott McTominay</v>
      </c>
      <c r="BY32" s="253">
        <f ca="1">COUNTIF('Group Stages'!$J$8:$Q$80,BX32)+COUNTIF('Knock Out Stages'!$K$7:$R$45,BX32)</f>
        <v>0</v>
      </c>
      <c r="BZ32" s="255" t="s">
        <v>1015</v>
      </c>
      <c r="CA32" s="253" t="str">
        <f t="shared" ca="1" si="81"/>
        <v>Scott McTominay</v>
      </c>
      <c r="CB32" s="252">
        <v>29</v>
      </c>
      <c r="CC32" s="252" t="str">
        <f t="array" aca="1" ref="CC32" ca="1">IFERROR(INDEX($BX$3:$BX$810, SMALL(IF(COUNTIF(CC$3, $BY$3:$BY$810), ROW($BX$3:$BX$810)-MIN(ROW($BX$3:$BX$810))+1), $CB32), 0),"")</f>
        <v/>
      </c>
      <c r="CD32" s="252" t="str">
        <f t="array" aca="1" ref="CD32" ca="1">IFERROR(INDEX($BX$3:$BX$810, SMALL(IF(COUNTIF(CD$3, $BY$3:$BY$810), ROW($BX$3:$BX$810)-MIN(ROW($BX$3:$BX$810))+1), $CB32), 0),"")</f>
        <v/>
      </c>
      <c r="CE32" s="252" t="str">
        <f t="array" aca="1" ref="CE32" ca="1">IFERROR(INDEX($BX$3:$BX$810, SMALL(IF(COUNTIF(CE$3, $BY$3:$BY$810), ROW($BX$3:$BX$810)-MIN(ROW($BX$3:$BX$810))+1), $CB32), 0),"")</f>
        <v/>
      </c>
      <c r="CF32" s="252" t="str">
        <f t="array" aca="1" ref="CF32" ca="1">IFERROR(INDEX($BX$3:$BX$810, SMALL(IF(COUNTIF(CF$3, $BY$3:$BY$810), ROW($BX$3:$BX$810)-MIN(ROW($BX$3:$BX$810))+1), $CB32), 0),"")</f>
        <v/>
      </c>
      <c r="CG32" s="252" t="str">
        <f t="array" aca="1" ref="CG32" ca="1">IFERROR(INDEX($BX$3:$BX$810, SMALL(IF(COUNTIF(CG$3, $BY$3:$BY$810), ROW($BX$3:$BX$810)-MIN(ROW($BX$3:$BX$810))+1), $CB32), 0),"")</f>
        <v/>
      </c>
      <c r="CH32" s="252" t="str">
        <f t="array" aca="1" ref="CH32" ca="1">IFERROR(INDEX($BX$3:$BX$810, SMALL(IF(COUNTIF(CH$3, $BY$3:$BY$810), ROW($BX$3:$BX$810)-MIN(ROW($BX$3:$BX$810))+1), $CB32), 0),"")</f>
        <v/>
      </c>
      <c r="CI32" s="252" t="str">
        <f t="array" aca="1" ref="CI32" ca="1">IFERROR(INDEX($BX$3:$BX$810, SMALL(IF(COUNTIF(CI$3, $BY$3:$BY$810), ROW($BX$3:$BX$810)-MIN(ROW($BX$3:$BX$810))+1), $CB32), 0),"")</f>
        <v/>
      </c>
      <c r="CJ32" s="252" t="str">
        <f t="array" aca="1" ref="CJ32" ca="1">IFERROR(INDEX($BX$3:$BX$810, SMALL(IF(COUNTIF(CJ$3, $BY$3:$BY$810), ROW($BX$3:$BX$810)-MIN(ROW($BX$3:$BX$810))+1), $CB32), 0),"")</f>
        <v/>
      </c>
      <c r="CK32" s="252" t="str">
        <f t="array" aca="1" ref="CK32" ca="1">IFERROR(INDEX($BX$3:$BX$810, SMALL(IF(COUNTIF(CK$3, $BY$3:$BY$810), ROW($BX$3:$BX$810)-MIN(ROW($BX$3:$BX$810))+1), $CB32), 0),"")</f>
        <v/>
      </c>
      <c r="CL32" s="252" t="str">
        <f t="array" aca="1" ref="CL32" ca="1">IFERROR(INDEX($BX$3:$BX$810, SMALL(IF(COUNTIF(CL$3, $BY$3:$BY$810), ROW($BX$3:$BX$810)-MIN(ROW($BX$3:$BX$810))+1), $CB32), 0),"")</f>
        <v/>
      </c>
      <c r="CM32" s="252" t="str">
        <f t="array" aca="1" ref="CM32" ca="1">IFERROR(INDEX($BX$3:$BX$810, SMALL(IF(COUNTIF(CM$3, $BY$3:$BY$810), ROW($BX$3:$BX$810)-MIN(ROW($BX$3:$BX$810))+1), $CB32), 0),"")</f>
        <v/>
      </c>
      <c r="CN32" s="252" t="str">
        <f t="array" aca="1" ref="CN32" ca="1">IFERROR(INDEX($BX$3:$BX$810, SMALL(IF(COUNTIF(CN$3, $BY$3:$BY$810), ROW($BX$3:$BX$810)-MIN(ROW($BX$3:$BX$810))+1), $CB32), 0),"")</f>
        <v/>
      </c>
      <c r="CO32" s="252" t="str">
        <f t="array" aca="1" ref="CO32" ca="1">IFERROR(INDEX($BX$3:$BX$810, SMALL(IF(COUNTIF(CO$3, $BY$3:$BY$810), ROW($BX$3:$BX$810)-MIN(ROW($BX$3:$BX$810))+1), $CB32), 0),"")</f>
        <v/>
      </c>
      <c r="CP32" s="252" t="str">
        <f t="array" aca="1" ref="CP32" ca="1">IFERROR(INDEX($BX$3:$BX$810, SMALL(IF(COUNTIF(CP$3, $BY$3:$BY$810), ROW($BX$3:$BX$810)-MIN(ROW($BX$3:$BX$810))+1), $CB32), 0),"")</f>
        <v/>
      </c>
      <c r="CQ32" s="252" t="str">
        <f t="array" aca="1" ref="CQ32" ca="1">IFERROR(INDEX($BX$3:$BX$810, SMALL(IF(COUNTIF(CQ$3, $BY$3:$BY$810), ROW($BX$3:$BX$810)-MIN(ROW($BX$3:$BX$810))+1), $CB32), 0),"")</f>
        <v/>
      </c>
      <c r="CS32" s="252">
        <v>29</v>
      </c>
      <c r="CT32" s="252">
        <v>1</v>
      </c>
      <c r="CV32" s="252" t="str">
        <f t="shared" ca="1" si="8"/>
        <v/>
      </c>
      <c r="CW32" s="252">
        <f t="shared" ca="1" si="14"/>
        <v>0</v>
      </c>
      <c r="CZ32" s="252">
        <v>29</v>
      </c>
      <c r="DA32" s="252" t="str">
        <f t="shared" ca="1" si="15"/>
        <v/>
      </c>
      <c r="DB32" s="252" t="str">
        <f t="shared" ca="1" si="9"/>
        <v/>
      </c>
      <c r="DC32" s="252" t="str">
        <f t="shared" ca="1" si="10"/>
        <v/>
      </c>
      <c r="DD32" s="252" t="str">
        <f t="shared" ca="1" si="11"/>
        <v/>
      </c>
    </row>
    <row r="33" spans="1:108" x14ac:dyDescent="0.2">
      <c r="A33" s="252">
        <f t="shared" si="21"/>
        <v>5</v>
      </c>
      <c r="B33" s="252" t="str">
        <f t="shared" si="22"/>
        <v>Grant Hanley (og)</v>
      </c>
      <c r="C33" s="252" t="str">
        <f t="shared" si="23"/>
        <v>Pascal Groß (og)</v>
      </c>
      <c r="D33" s="252" t="str">
        <f t="shared" si="24"/>
        <v>Pascal Groß (og)</v>
      </c>
      <c r="E33" s="252" t="str">
        <f t="shared" si="25"/>
        <v>Pascal Groß (og)</v>
      </c>
      <c r="F33" s="252" t="str">
        <f t="shared" si="26"/>
        <v>Arlind Ajeti (og)</v>
      </c>
      <c r="G33" s="252" t="str">
        <f t="shared" si="27"/>
        <v>Riccardo Calafiori (og)</v>
      </c>
      <c r="H33" s="252" t="str">
        <f t="shared" si="28"/>
        <v>Riccardo Calafiori (og)</v>
      </c>
      <c r="I33" s="252" t="str">
        <f t="shared" si="29"/>
        <v>Riccardo Calafiori (og)</v>
      </c>
      <c r="J33" s="252" t="str">
        <f t="shared" si="30"/>
        <v>John Stones (og)</v>
      </c>
      <c r="K33" s="252" t="str">
        <f t="shared" si="31"/>
        <v>Nemanja Maksimović (og)</v>
      </c>
      <c r="L33" s="252" t="str">
        <f t="shared" si="32"/>
        <v>Nemanja Maksimović (og)</v>
      </c>
      <c r="M33" s="252" t="str">
        <f t="shared" si="33"/>
        <v>Nemanja Maksimović (og)</v>
      </c>
      <c r="N33" s="252" t="str">
        <f t="shared" si="34"/>
        <v>Nathan Aké (og)</v>
      </c>
      <c r="O33" s="252" t="str">
        <f t="shared" si="35"/>
        <v>Jan Bednarek (og)</v>
      </c>
      <c r="P33" s="252" t="str">
        <f t="shared" si="36"/>
        <v>Jan Bednarek (og)</v>
      </c>
      <c r="Q33" s="252" t="str">
        <f t="shared" si="37"/>
        <v>Jan Bednarek (og)</v>
      </c>
      <c r="R33" s="252" t="str">
        <f t="shared" si="38"/>
        <v>Tomáš Rigo (og)</v>
      </c>
      <c r="S33" s="252" t="str">
        <f t="shared" si="39"/>
        <v>Jan Vertonghen (og)</v>
      </c>
      <c r="T33" s="252" t="str">
        <f t="shared" si="40"/>
        <v>Jan Vertonghen (og)</v>
      </c>
      <c r="U33" s="252" t="str">
        <f t="shared" si="41"/>
        <v>Jan Vertonghen (og)</v>
      </c>
      <c r="V33" s="252" t="str">
        <f t="shared" si="42"/>
        <v>Vladimír Coufal (og)</v>
      </c>
      <c r="W33" s="252" t="str">
        <f t="shared" si="43"/>
        <v>Diogo Dalot (og)</v>
      </c>
      <c r="X33" s="252" t="str">
        <f t="shared" si="44"/>
        <v>Diogo Dalot (og)</v>
      </c>
      <c r="Y33" s="252" t="str">
        <f t="shared" si="45"/>
        <v>Diogo Dalot (og)</v>
      </c>
      <c r="AI33" s="252" t="str">
        <f t="shared" ca="1" si="46"/>
        <v xml:space="preserve"> (og)</v>
      </c>
      <c r="AJ33" s="252" t="str">
        <f t="shared" ca="1" si="47"/>
        <v xml:space="preserve"> (og)</v>
      </c>
      <c r="AK33" s="252" t="str">
        <f t="shared" ca="1" si="48"/>
        <v xml:space="preserve"> (og)</v>
      </c>
      <c r="AL33" s="252" t="str">
        <f t="shared" ca="1" si="49"/>
        <v xml:space="preserve"> (og)</v>
      </c>
      <c r="AM33" s="252" t="str">
        <f t="shared" ca="1" si="50"/>
        <v xml:space="preserve"> (og)</v>
      </c>
      <c r="AN33" s="252" t="str">
        <f t="shared" ca="1" si="51"/>
        <v xml:space="preserve"> (og)</v>
      </c>
      <c r="AO33" s="252" t="str">
        <f t="shared" ca="1" si="52"/>
        <v xml:space="preserve"> (og)</v>
      </c>
      <c r="AP33" s="252" t="str">
        <f t="shared" ca="1" si="53"/>
        <v xml:space="preserve"> (og)</v>
      </c>
      <c r="AQ33" s="252" t="str">
        <f t="shared" ca="1" si="54"/>
        <v xml:space="preserve"> (og)</v>
      </c>
      <c r="AR33" s="252" t="str">
        <f t="shared" ca="1" si="55"/>
        <v xml:space="preserve"> (og)</v>
      </c>
      <c r="AS33" s="252" t="str">
        <f t="shared" ca="1" si="56"/>
        <v xml:space="preserve"> (og)</v>
      </c>
      <c r="AT33" s="252" t="str">
        <f t="shared" ca="1" si="57"/>
        <v xml:space="preserve"> (og)</v>
      </c>
      <c r="AU33" s="252" t="str">
        <f t="shared" ca="1" si="58"/>
        <v xml:space="preserve"> (og)</v>
      </c>
      <c r="AV33" s="252" t="str">
        <f t="shared" ca="1" si="59"/>
        <v xml:space="preserve"> (og)</v>
      </c>
      <c r="AW33" s="252" t="str">
        <f t="shared" ca="1" si="60"/>
        <v xml:space="preserve"> (og)</v>
      </c>
      <c r="AX33" s="252" t="str">
        <f t="shared" ca="1" si="61"/>
        <v xml:space="preserve"> (og)</v>
      </c>
      <c r="AZ33" s="252" t="str">
        <f t="shared" ca="1" si="62"/>
        <v xml:space="preserve"> (og)</v>
      </c>
      <c r="BA33" s="252" t="str">
        <f t="shared" ca="1" si="63"/>
        <v xml:space="preserve"> (og)</v>
      </c>
      <c r="BB33" s="252" t="str">
        <f t="shared" ca="1" si="64"/>
        <v xml:space="preserve"> (og)</v>
      </c>
      <c r="BC33" s="252" t="str">
        <f t="shared" ca="1" si="65"/>
        <v xml:space="preserve"> (og)</v>
      </c>
      <c r="BD33" s="252" t="str">
        <f t="shared" ca="1" si="66"/>
        <v xml:space="preserve"> (og)</v>
      </c>
      <c r="BE33" s="252" t="str">
        <f t="shared" ca="1" si="67"/>
        <v xml:space="preserve"> (og)</v>
      </c>
      <c r="BF33" s="252" t="str">
        <f t="shared" ca="1" si="68"/>
        <v xml:space="preserve"> (og)</v>
      </c>
      <c r="BG33" s="252" t="str">
        <f t="shared" ca="1" si="69"/>
        <v xml:space="preserve"> (og)</v>
      </c>
      <c r="BI33" s="252" t="str">
        <f t="shared" ca="1" si="70"/>
        <v xml:space="preserve"> (og)</v>
      </c>
      <c r="BJ33" s="252" t="str">
        <f t="shared" ca="1" si="71"/>
        <v xml:space="preserve"> (og)</v>
      </c>
      <c r="BK33" s="252" t="str">
        <f t="shared" ca="1" si="72"/>
        <v xml:space="preserve"> (og)</v>
      </c>
      <c r="BL33" s="252" t="str">
        <f t="shared" ca="1" si="73"/>
        <v xml:space="preserve"> (og)</v>
      </c>
      <c r="BN33" s="252" t="str">
        <f t="shared" si="74"/>
        <v xml:space="preserve"> (og)</v>
      </c>
      <c r="BO33" s="252" t="str">
        <f t="shared" si="75"/>
        <v xml:space="preserve"> (og)</v>
      </c>
      <c r="BQ33" s="252" t="str">
        <f t="shared" ca="1" si="76"/>
        <v xml:space="preserve"> (og)</v>
      </c>
      <c r="BR33" s="252" t="str">
        <f t="shared" ca="1" si="77"/>
        <v xml:space="preserve"> (og)</v>
      </c>
      <c r="BT33" s="253" t="str">
        <f t="shared" ca="1" si="78"/>
        <v>Scotland</v>
      </c>
      <c r="BU33" s="253">
        <f t="shared" si="13"/>
        <v>31</v>
      </c>
      <c r="BV33" s="253" t="s">
        <v>990</v>
      </c>
      <c r="BW33" s="253">
        <f t="shared" si="79"/>
        <v>2</v>
      </c>
      <c r="BX33" s="253" t="str">
        <f t="shared" ca="1" si="80"/>
        <v>Grant Hanley</v>
      </c>
      <c r="BY33" s="253">
        <f ca="1">COUNTIF('Group Stages'!$J$8:$Q$80,BX33)+COUNTIF('Knock Out Stages'!$K$7:$R$45,BX33)</f>
        <v>0</v>
      </c>
      <c r="BZ33" s="255" t="s">
        <v>1016</v>
      </c>
      <c r="CA33" s="253" t="str">
        <f t="shared" ca="1" si="81"/>
        <v>Grant Hanley</v>
      </c>
      <c r="CB33" s="252">
        <v>30</v>
      </c>
      <c r="CC33" s="252" t="str">
        <f t="array" aca="1" ref="CC33" ca="1">IFERROR(INDEX($BX$3:$BX$810, SMALL(IF(COUNTIF(CC$3, $BY$3:$BY$810), ROW($BX$3:$BX$810)-MIN(ROW($BX$3:$BX$810))+1), $CB33), 0),"")</f>
        <v/>
      </c>
      <c r="CD33" s="252" t="str">
        <f t="array" aca="1" ref="CD33" ca="1">IFERROR(INDEX($BX$3:$BX$810, SMALL(IF(COUNTIF(CD$3, $BY$3:$BY$810), ROW($BX$3:$BX$810)-MIN(ROW($BX$3:$BX$810))+1), $CB33), 0),"")</f>
        <v/>
      </c>
      <c r="CE33" s="252" t="str">
        <f t="array" aca="1" ref="CE33" ca="1">IFERROR(INDEX($BX$3:$BX$810, SMALL(IF(COUNTIF(CE$3, $BY$3:$BY$810), ROW($BX$3:$BX$810)-MIN(ROW($BX$3:$BX$810))+1), $CB33), 0),"")</f>
        <v/>
      </c>
      <c r="CF33" s="252" t="str">
        <f t="array" aca="1" ref="CF33" ca="1">IFERROR(INDEX($BX$3:$BX$810, SMALL(IF(COUNTIF(CF$3, $BY$3:$BY$810), ROW($BX$3:$BX$810)-MIN(ROW($BX$3:$BX$810))+1), $CB33), 0),"")</f>
        <v/>
      </c>
      <c r="CG33" s="252" t="str">
        <f t="array" aca="1" ref="CG33" ca="1">IFERROR(INDEX($BX$3:$BX$810, SMALL(IF(COUNTIF(CG$3, $BY$3:$BY$810), ROW($BX$3:$BX$810)-MIN(ROW($BX$3:$BX$810))+1), $CB33), 0),"")</f>
        <v/>
      </c>
      <c r="CH33" s="252" t="str">
        <f t="array" aca="1" ref="CH33" ca="1">IFERROR(INDEX($BX$3:$BX$810, SMALL(IF(COUNTIF(CH$3, $BY$3:$BY$810), ROW($BX$3:$BX$810)-MIN(ROW($BX$3:$BX$810))+1), $CB33), 0),"")</f>
        <v/>
      </c>
      <c r="CI33" s="252" t="str">
        <f t="array" aca="1" ref="CI33" ca="1">IFERROR(INDEX($BX$3:$BX$810, SMALL(IF(COUNTIF(CI$3, $BY$3:$BY$810), ROW($BX$3:$BX$810)-MIN(ROW($BX$3:$BX$810))+1), $CB33), 0),"")</f>
        <v/>
      </c>
      <c r="CJ33" s="252" t="str">
        <f t="array" aca="1" ref="CJ33" ca="1">IFERROR(INDEX($BX$3:$BX$810, SMALL(IF(COUNTIF(CJ$3, $BY$3:$BY$810), ROW($BX$3:$BX$810)-MIN(ROW($BX$3:$BX$810))+1), $CB33), 0),"")</f>
        <v/>
      </c>
      <c r="CK33" s="252" t="str">
        <f t="array" aca="1" ref="CK33" ca="1">IFERROR(INDEX($BX$3:$BX$810, SMALL(IF(COUNTIF(CK$3, $BY$3:$BY$810), ROW($BX$3:$BX$810)-MIN(ROW($BX$3:$BX$810))+1), $CB33), 0),"")</f>
        <v/>
      </c>
      <c r="CL33" s="252" t="str">
        <f t="array" aca="1" ref="CL33" ca="1">IFERROR(INDEX($BX$3:$BX$810, SMALL(IF(COUNTIF(CL$3, $BY$3:$BY$810), ROW($BX$3:$BX$810)-MIN(ROW($BX$3:$BX$810))+1), $CB33), 0),"")</f>
        <v/>
      </c>
      <c r="CM33" s="252" t="str">
        <f t="array" aca="1" ref="CM33" ca="1">IFERROR(INDEX($BX$3:$BX$810, SMALL(IF(COUNTIF(CM$3, $BY$3:$BY$810), ROW($BX$3:$BX$810)-MIN(ROW($BX$3:$BX$810))+1), $CB33), 0),"")</f>
        <v/>
      </c>
      <c r="CN33" s="252" t="str">
        <f t="array" aca="1" ref="CN33" ca="1">IFERROR(INDEX($BX$3:$BX$810, SMALL(IF(COUNTIF(CN$3, $BY$3:$BY$810), ROW($BX$3:$BX$810)-MIN(ROW($BX$3:$BX$810))+1), $CB33), 0),"")</f>
        <v/>
      </c>
      <c r="CO33" s="252" t="str">
        <f t="array" aca="1" ref="CO33" ca="1">IFERROR(INDEX($BX$3:$BX$810, SMALL(IF(COUNTIF(CO$3, $BY$3:$BY$810), ROW($BX$3:$BX$810)-MIN(ROW($BX$3:$BX$810))+1), $CB33), 0),"")</f>
        <v/>
      </c>
      <c r="CP33" s="252" t="str">
        <f t="array" aca="1" ref="CP33" ca="1">IFERROR(INDEX($BX$3:$BX$810, SMALL(IF(COUNTIF(CP$3, $BY$3:$BY$810), ROW($BX$3:$BX$810)-MIN(ROW($BX$3:$BX$810))+1), $CB33), 0),"")</f>
        <v/>
      </c>
      <c r="CQ33" s="252" t="str">
        <f t="array" aca="1" ref="CQ33" ca="1">IFERROR(INDEX($BX$3:$BX$810, SMALL(IF(COUNTIF(CQ$3, $BY$3:$BY$810), ROW($BX$3:$BX$810)-MIN(ROW($BX$3:$BX$810))+1), $CB33), 0),"")</f>
        <v/>
      </c>
      <c r="CS33" s="252">
        <v>30</v>
      </c>
      <c r="CT33" s="252">
        <v>1</v>
      </c>
      <c r="CV33" s="252" t="str">
        <f t="shared" ca="1" si="8"/>
        <v/>
      </c>
      <c r="CW33" s="252">
        <f t="shared" ca="1" si="14"/>
        <v>0</v>
      </c>
      <c r="CZ33" s="252">
        <v>30</v>
      </c>
      <c r="DA33" s="252" t="str">
        <f t="shared" ca="1" si="15"/>
        <v/>
      </c>
      <c r="DB33" s="252" t="str">
        <f t="shared" ca="1" si="9"/>
        <v/>
      </c>
      <c r="DC33" s="252" t="str">
        <f t="shared" ca="1" si="10"/>
        <v/>
      </c>
      <c r="DD33" s="252" t="str">
        <f t="shared" ca="1" si="11"/>
        <v/>
      </c>
    </row>
    <row r="34" spans="1:108" x14ac:dyDescent="0.2">
      <c r="A34" s="252">
        <f t="shared" si="21"/>
        <v>6</v>
      </c>
      <c r="B34" s="252" t="str">
        <f t="shared" si="22"/>
        <v>Kieran Tierney (og)</v>
      </c>
      <c r="C34" s="252" t="str">
        <f t="shared" si="23"/>
        <v>Joshua Kimmich (og)</v>
      </c>
      <c r="D34" s="252" t="str">
        <f t="shared" si="24"/>
        <v>Joshua Kimmich (og)</v>
      </c>
      <c r="E34" s="252" t="str">
        <f t="shared" si="25"/>
        <v>Joshua Kimmich (og)</v>
      </c>
      <c r="F34" s="252" t="str">
        <f t="shared" si="26"/>
        <v>Berat Djimsiti (og)</v>
      </c>
      <c r="G34" s="252" t="str">
        <f t="shared" si="27"/>
        <v>Federico Gatti (og)</v>
      </c>
      <c r="H34" s="252" t="str">
        <f t="shared" si="28"/>
        <v>Federico Gatti (og)</v>
      </c>
      <c r="I34" s="252" t="str">
        <f t="shared" si="29"/>
        <v>Federico Gatti (og)</v>
      </c>
      <c r="J34" s="252" t="str">
        <f t="shared" si="30"/>
        <v>Marc Guéhi (og)</v>
      </c>
      <c r="K34" s="252" t="str">
        <f t="shared" si="31"/>
        <v>Nemanja Gudelj (og)</v>
      </c>
      <c r="L34" s="252" t="str">
        <f t="shared" si="32"/>
        <v>Nemanja Gudelj (og)</v>
      </c>
      <c r="M34" s="252" t="str">
        <f t="shared" si="33"/>
        <v>Nemanja Gudelj (og)</v>
      </c>
      <c r="N34" s="252" t="str">
        <f t="shared" si="34"/>
        <v>Stefan de Vrij (og)</v>
      </c>
      <c r="O34" s="252" t="str">
        <f t="shared" si="35"/>
        <v>Jakub Piotrowski (og)</v>
      </c>
      <c r="P34" s="252" t="str">
        <f t="shared" si="36"/>
        <v>Jakub Piotrowski (og)</v>
      </c>
      <c r="Q34" s="252" t="str">
        <f t="shared" si="37"/>
        <v>Jakub Piotrowski (og)</v>
      </c>
      <c r="R34" s="252" t="str">
        <f t="shared" si="38"/>
        <v>Norbert Gyömbér (og)</v>
      </c>
      <c r="S34" s="252" t="str">
        <f t="shared" si="39"/>
        <v>Axel Witsel (og)</v>
      </c>
      <c r="T34" s="252" t="str">
        <f t="shared" si="40"/>
        <v>Axel Witsel (og)</v>
      </c>
      <c r="U34" s="252" t="str">
        <f t="shared" si="41"/>
        <v>Axel Witsel (og)</v>
      </c>
      <c r="V34" s="252" t="str">
        <f t="shared" si="42"/>
        <v>Martin Vitík (og)</v>
      </c>
      <c r="W34" s="252" t="str">
        <f t="shared" si="43"/>
        <v>João Palhinha (og)</v>
      </c>
      <c r="X34" s="252" t="str">
        <f t="shared" si="44"/>
        <v>João Palhinha (og)</v>
      </c>
      <c r="Y34" s="252" t="str">
        <f t="shared" si="45"/>
        <v>João Palhinha (og)</v>
      </c>
      <c r="AI34" s="252" t="str">
        <f t="shared" ca="1" si="46"/>
        <v xml:space="preserve"> (og)</v>
      </c>
      <c r="AJ34" s="252" t="str">
        <f t="shared" ca="1" si="47"/>
        <v xml:space="preserve"> (og)</v>
      </c>
      <c r="AK34" s="252" t="str">
        <f t="shared" ca="1" si="48"/>
        <v xml:space="preserve"> (og)</v>
      </c>
      <c r="AL34" s="252" t="str">
        <f t="shared" ca="1" si="49"/>
        <v xml:space="preserve"> (og)</v>
      </c>
      <c r="AM34" s="252" t="str">
        <f t="shared" ca="1" si="50"/>
        <v xml:space="preserve"> (og)</v>
      </c>
      <c r="AN34" s="252" t="str">
        <f t="shared" ca="1" si="51"/>
        <v xml:space="preserve"> (og)</v>
      </c>
      <c r="AO34" s="252" t="str">
        <f t="shared" ca="1" si="52"/>
        <v xml:space="preserve"> (og)</v>
      </c>
      <c r="AP34" s="252" t="str">
        <f t="shared" ca="1" si="53"/>
        <v xml:space="preserve"> (og)</v>
      </c>
      <c r="AQ34" s="252" t="str">
        <f t="shared" ca="1" si="54"/>
        <v xml:space="preserve"> (og)</v>
      </c>
      <c r="AR34" s="252" t="str">
        <f t="shared" ca="1" si="55"/>
        <v xml:space="preserve"> (og)</v>
      </c>
      <c r="AS34" s="252" t="str">
        <f t="shared" ca="1" si="56"/>
        <v xml:space="preserve"> (og)</v>
      </c>
      <c r="AT34" s="252" t="str">
        <f t="shared" ca="1" si="57"/>
        <v xml:space="preserve"> (og)</v>
      </c>
      <c r="AU34" s="252" t="str">
        <f t="shared" ca="1" si="58"/>
        <v xml:space="preserve"> (og)</v>
      </c>
      <c r="AV34" s="252" t="str">
        <f t="shared" ca="1" si="59"/>
        <v xml:space="preserve"> (og)</v>
      </c>
      <c r="AW34" s="252" t="str">
        <f t="shared" ca="1" si="60"/>
        <v xml:space="preserve"> (og)</v>
      </c>
      <c r="AX34" s="252" t="str">
        <f t="shared" ca="1" si="61"/>
        <v xml:space="preserve"> (og)</v>
      </c>
      <c r="AZ34" s="252" t="str">
        <f t="shared" ca="1" si="62"/>
        <v xml:space="preserve"> (og)</v>
      </c>
      <c r="BA34" s="252" t="str">
        <f t="shared" ca="1" si="63"/>
        <v xml:space="preserve"> (og)</v>
      </c>
      <c r="BB34" s="252" t="str">
        <f t="shared" ca="1" si="64"/>
        <v xml:space="preserve"> (og)</v>
      </c>
      <c r="BC34" s="252" t="str">
        <f t="shared" ca="1" si="65"/>
        <v xml:space="preserve"> (og)</v>
      </c>
      <c r="BD34" s="252" t="str">
        <f t="shared" ca="1" si="66"/>
        <v xml:space="preserve"> (og)</v>
      </c>
      <c r="BE34" s="252" t="str">
        <f t="shared" ca="1" si="67"/>
        <v xml:space="preserve"> (og)</v>
      </c>
      <c r="BF34" s="252" t="str">
        <f t="shared" ca="1" si="68"/>
        <v xml:space="preserve"> (og)</v>
      </c>
      <c r="BG34" s="252" t="str">
        <f t="shared" ca="1" si="69"/>
        <v xml:space="preserve"> (og)</v>
      </c>
      <c r="BI34" s="252" t="str">
        <f t="shared" ca="1" si="70"/>
        <v xml:space="preserve"> (og)</v>
      </c>
      <c r="BJ34" s="252" t="str">
        <f t="shared" ca="1" si="71"/>
        <v xml:space="preserve"> (og)</v>
      </c>
      <c r="BK34" s="252" t="str">
        <f t="shared" ca="1" si="72"/>
        <v xml:space="preserve"> (og)</v>
      </c>
      <c r="BL34" s="252" t="str">
        <f t="shared" ca="1" si="73"/>
        <v xml:space="preserve"> (og)</v>
      </c>
      <c r="BN34" s="252" t="str">
        <f t="shared" si="74"/>
        <v xml:space="preserve"> (og)</v>
      </c>
      <c r="BO34" s="252" t="str">
        <f t="shared" si="75"/>
        <v xml:space="preserve"> (og)</v>
      </c>
      <c r="BQ34" s="252" t="str">
        <f t="shared" ca="1" si="76"/>
        <v xml:space="preserve"> (og)</v>
      </c>
      <c r="BR34" s="252" t="str">
        <f t="shared" ca="1" si="77"/>
        <v xml:space="preserve"> (og)</v>
      </c>
      <c r="BT34" s="253" t="str">
        <f t="shared" ca="1" si="78"/>
        <v>Scotland</v>
      </c>
      <c r="BU34" s="253">
        <f t="shared" si="13"/>
        <v>32</v>
      </c>
      <c r="BV34" s="253" t="s">
        <v>991</v>
      </c>
      <c r="BW34" s="253">
        <f t="shared" si="79"/>
        <v>2</v>
      </c>
      <c r="BX34" s="253" t="str">
        <f t="shared" ca="1" si="80"/>
        <v>Kieran Tierney</v>
      </c>
      <c r="BY34" s="253">
        <f ca="1">COUNTIF('Group Stages'!$J$8:$Q$80,BX34)+COUNTIF('Knock Out Stages'!$K$7:$R$45,BX34)</f>
        <v>0</v>
      </c>
      <c r="BZ34" s="255" t="s">
        <v>1017</v>
      </c>
      <c r="CA34" s="253" t="str">
        <f t="shared" ca="1" si="81"/>
        <v>Kieran Tierney</v>
      </c>
      <c r="CB34" s="252">
        <v>31</v>
      </c>
      <c r="CC34" s="252" t="str">
        <f t="array" aca="1" ref="CC34" ca="1">IFERROR(INDEX($BX$3:$BX$810, SMALL(IF(COUNTIF(CC$3, $BY$3:$BY$810), ROW($BX$3:$BX$810)-MIN(ROW($BX$3:$BX$810))+1), $CB34), 0),"")</f>
        <v/>
      </c>
      <c r="CD34" s="252" t="str">
        <f t="array" aca="1" ref="CD34" ca="1">IFERROR(INDEX($BX$3:$BX$810, SMALL(IF(COUNTIF(CD$3, $BY$3:$BY$810), ROW($BX$3:$BX$810)-MIN(ROW($BX$3:$BX$810))+1), $CB34), 0),"")</f>
        <v/>
      </c>
      <c r="CE34" s="252" t="str">
        <f t="array" aca="1" ref="CE34" ca="1">IFERROR(INDEX($BX$3:$BX$810, SMALL(IF(COUNTIF(CE$3, $BY$3:$BY$810), ROW($BX$3:$BX$810)-MIN(ROW($BX$3:$BX$810))+1), $CB34), 0),"")</f>
        <v/>
      </c>
      <c r="CF34" s="252" t="str">
        <f t="array" aca="1" ref="CF34" ca="1">IFERROR(INDEX($BX$3:$BX$810, SMALL(IF(COUNTIF(CF$3, $BY$3:$BY$810), ROW($BX$3:$BX$810)-MIN(ROW($BX$3:$BX$810))+1), $CB34), 0),"")</f>
        <v/>
      </c>
      <c r="CG34" s="252" t="str">
        <f t="array" aca="1" ref="CG34" ca="1">IFERROR(INDEX($BX$3:$BX$810, SMALL(IF(COUNTIF(CG$3, $BY$3:$BY$810), ROW($BX$3:$BX$810)-MIN(ROW($BX$3:$BX$810))+1), $CB34), 0),"")</f>
        <v/>
      </c>
      <c r="CH34" s="252" t="str">
        <f t="array" aca="1" ref="CH34" ca="1">IFERROR(INDEX($BX$3:$BX$810, SMALL(IF(COUNTIF(CH$3, $BY$3:$BY$810), ROW($BX$3:$BX$810)-MIN(ROW($BX$3:$BX$810))+1), $CB34), 0),"")</f>
        <v/>
      </c>
      <c r="CI34" s="252" t="str">
        <f t="array" aca="1" ref="CI34" ca="1">IFERROR(INDEX($BX$3:$BX$810, SMALL(IF(COUNTIF(CI$3, $BY$3:$BY$810), ROW($BX$3:$BX$810)-MIN(ROW($BX$3:$BX$810))+1), $CB34), 0),"")</f>
        <v/>
      </c>
      <c r="CJ34" s="252" t="str">
        <f t="array" aca="1" ref="CJ34" ca="1">IFERROR(INDEX($BX$3:$BX$810, SMALL(IF(COUNTIF(CJ$3, $BY$3:$BY$810), ROW($BX$3:$BX$810)-MIN(ROW($BX$3:$BX$810))+1), $CB34), 0),"")</f>
        <v/>
      </c>
      <c r="CK34" s="252" t="str">
        <f t="array" aca="1" ref="CK34" ca="1">IFERROR(INDEX($BX$3:$BX$810, SMALL(IF(COUNTIF(CK$3, $BY$3:$BY$810), ROW($BX$3:$BX$810)-MIN(ROW($BX$3:$BX$810))+1), $CB34), 0),"")</f>
        <v/>
      </c>
      <c r="CL34" s="252" t="str">
        <f t="array" aca="1" ref="CL34" ca="1">IFERROR(INDEX($BX$3:$BX$810, SMALL(IF(COUNTIF(CL$3, $BY$3:$BY$810), ROW($BX$3:$BX$810)-MIN(ROW($BX$3:$BX$810))+1), $CB34), 0),"")</f>
        <v/>
      </c>
      <c r="CM34" s="252" t="str">
        <f t="array" aca="1" ref="CM34" ca="1">IFERROR(INDEX($BX$3:$BX$810, SMALL(IF(COUNTIF(CM$3, $BY$3:$BY$810), ROW($BX$3:$BX$810)-MIN(ROW($BX$3:$BX$810))+1), $CB34), 0),"")</f>
        <v/>
      </c>
      <c r="CN34" s="252" t="str">
        <f t="array" aca="1" ref="CN34" ca="1">IFERROR(INDEX($BX$3:$BX$810, SMALL(IF(COUNTIF(CN$3, $BY$3:$BY$810), ROW($BX$3:$BX$810)-MIN(ROW($BX$3:$BX$810))+1), $CB34), 0),"")</f>
        <v/>
      </c>
      <c r="CO34" s="252" t="str">
        <f t="array" aca="1" ref="CO34" ca="1">IFERROR(INDEX($BX$3:$BX$810, SMALL(IF(COUNTIF(CO$3, $BY$3:$BY$810), ROW($BX$3:$BX$810)-MIN(ROW($BX$3:$BX$810))+1), $CB34), 0),"")</f>
        <v/>
      </c>
      <c r="CP34" s="252" t="str">
        <f t="array" aca="1" ref="CP34" ca="1">IFERROR(INDEX($BX$3:$BX$810, SMALL(IF(COUNTIF(CP$3, $BY$3:$BY$810), ROW($BX$3:$BX$810)-MIN(ROW($BX$3:$BX$810))+1), $CB34), 0),"")</f>
        <v/>
      </c>
      <c r="CQ34" s="252" t="str">
        <f t="array" aca="1" ref="CQ34" ca="1">IFERROR(INDEX($BX$3:$BX$810, SMALL(IF(COUNTIF(CQ$3, $BY$3:$BY$810), ROW($BX$3:$BX$810)-MIN(ROW($BX$3:$BX$810))+1), $CB34), 0),"")</f>
        <v/>
      </c>
      <c r="CS34" s="252">
        <v>31</v>
      </c>
      <c r="CT34" s="252">
        <v>1</v>
      </c>
      <c r="CV34" s="252" t="str">
        <f t="shared" ca="1" si="8"/>
        <v/>
      </c>
      <c r="CW34" s="252">
        <f t="shared" ca="1" si="14"/>
        <v>0</v>
      </c>
      <c r="CZ34" s="252">
        <v>31</v>
      </c>
      <c r="DA34" s="252" t="str">
        <f t="shared" ca="1" si="15"/>
        <v/>
      </c>
      <c r="DB34" s="252" t="str">
        <f t="shared" ca="1" si="9"/>
        <v/>
      </c>
      <c r="DC34" s="252" t="str">
        <f t="shared" ca="1" si="10"/>
        <v/>
      </c>
      <c r="DD34" s="252" t="str">
        <f t="shared" ca="1" si="11"/>
        <v/>
      </c>
    </row>
    <row r="35" spans="1:108" x14ac:dyDescent="0.2">
      <c r="A35" s="252">
        <f t="shared" si="21"/>
        <v>7</v>
      </c>
      <c r="B35" s="252" t="str">
        <f t="shared" si="22"/>
        <v>John McGinn (og)</v>
      </c>
      <c r="C35" s="252" t="str">
        <f t="shared" si="23"/>
        <v>Kai Havertz (og)</v>
      </c>
      <c r="D35" s="252" t="str">
        <f t="shared" si="24"/>
        <v>Kai Havertz (og)</v>
      </c>
      <c r="E35" s="252" t="str">
        <f t="shared" si="25"/>
        <v>Kai Havertz (og)</v>
      </c>
      <c r="F35" s="252" t="str">
        <f t="shared" si="26"/>
        <v>Rey Manaj (og)</v>
      </c>
      <c r="G35" s="252" t="str">
        <f t="shared" si="27"/>
        <v>Davide Frattesi (og)</v>
      </c>
      <c r="H35" s="252" t="str">
        <f t="shared" si="28"/>
        <v>Davide Frattesi (og)</v>
      </c>
      <c r="I35" s="252" t="str">
        <f t="shared" si="29"/>
        <v>Davide Frattesi (og)</v>
      </c>
      <c r="J35" s="252" t="str">
        <f t="shared" si="30"/>
        <v>Bukayo Saka (og)</v>
      </c>
      <c r="K35" s="252" t="str">
        <f t="shared" si="31"/>
        <v>Dušan Vlahović (og)</v>
      </c>
      <c r="L35" s="252" t="str">
        <f t="shared" si="32"/>
        <v>Dušan Vlahović (og)</v>
      </c>
      <c r="M35" s="252" t="str">
        <f t="shared" si="33"/>
        <v>Dušan Vlahović (og)</v>
      </c>
      <c r="N35" s="252" t="str">
        <f t="shared" si="34"/>
        <v>Xavi Simons (og)</v>
      </c>
      <c r="O35" s="252" t="str">
        <f t="shared" si="35"/>
        <v>Karol Świderski (og)</v>
      </c>
      <c r="P35" s="252" t="str">
        <f t="shared" si="36"/>
        <v>Karol Świderski (og)</v>
      </c>
      <c r="Q35" s="252" t="str">
        <f t="shared" si="37"/>
        <v>Karol Świderski (og)</v>
      </c>
      <c r="R35" s="252" t="str">
        <f t="shared" si="38"/>
        <v>Tomáš Suslov (og)</v>
      </c>
      <c r="S35" s="252" t="str">
        <f t="shared" si="39"/>
        <v>Kevin De Bruyne (og)</v>
      </c>
      <c r="T35" s="252" t="str">
        <f t="shared" si="40"/>
        <v>Kevin De Bruyne (og)</v>
      </c>
      <c r="U35" s="252" t="str">
        <f t="shared" si="41"/>
        <v>Kevin De Bruyne (og)</v>
      </c>
      <c r="V35" s="252" t="str">
        <f t="shared" si="42"/>
        <v>Antonín Barák (og)</v>
      </c>
      <c r="W35" s="252" t="str">
        <f t="shared" si="43"/>
        <v>Cristiano Ronaldo (og)</v>
      </c>
      <c r="X35" s="252" t="str">
        <f t="shared" si="44"/>
        <v>Cristiano Ronaldo (og)</v>
      </c>
      <c r="Y35" s="252" t="str">
        <f t="shared" si="45"/>
        <v>Cristiano Ronaldo (og)</v>
      </c>
      <c r="AI35" s="252" t="str">
        <f t="shared" ca="1" si="46"/>
        <v xml:space="preserve"> (og)</v>
      </c>
      <c r="AJ35" s="252" t="str">
        <f t="shared" ca="1" si="47"/>
        <v xml:space="preserve"> (og)</v>
      </c>
      <c r="AK35" s="252" t="str">
        <f t="shared" ca="1" si="48"/>
        <v xml:space="preserve"> (og)</v>
      </c>
      <c r="AL35" s="252" t="str">
        <f t="shared" ca="1" si="49"/>
        <v xml:space="preserve"> (og)</v>
      </c>
      <c r="AM35" s="252" t="str">
        <f t="shared" ca="1" si="50"/>
        <v xml:space="preserve"> (og)</v>
      </c>
      <c r="AN35" s="252" t="str">
        <f t="shared" ca="1" si="51"/>
        <v xml:space="preserve"> (og)</v>
      </c>
      <c r="AO35" s="252" t="str">
        <f t="shared" ca="1" si="52"/>
        <v xml:space="preserve"> (og)</v>
      </c>
      <c r="AP35" s="252" t="str">
        <f t="shared" ca="1" si="53"/>
        <v xml:space="preserve"> (og)</v>
      </c>
      <c r="AQ35" s="252" t="str">
        <f t="shared" ca="1" si="54"/>
        <v xml:space="preserve"> (og)</v>
      </c>
      <c r="AR35" s="252" t="str">
        <f t="shared" ca="1" si="55"/>
        <v xml:space="preserve"> (og)</v>
      </c>
      <c r="AS35" s="252" t="str">
        <f t="shared" ca="1" si="56"/>
        <v xml:space="preserve"> (og)</v>
      </c>
      <c r="AT35" s="252" t="str">
        <f t="shared" ca="1" si="57"/>
        <v xml:space="preserve"> (og)</v>
      </c>
      <c r="AU35" s="252" t="str">
        <f t="shared" ca="1" si="58"/>
        <v xml:space="preserve"> (og)</v>
      </c>
      <c r="AV35" s="252" t="str">
        <f t="shared" ca="1" si="59"/>
        <v xml:space="preserve"> (og)</v>
      </c>
      <c r="AW35" s="252" t="str">
        <f t="shared" ca="1" si="60"/>
        <v xml:space="preserve"> (og)</v>
      </c>
      <c r="AX35" s="252" t="str">
        <f t="shared" ca="1" si="61"/>
        <v xml:space="preserve"> (og)</v>
      </c>
      <c r="AZ35" s="252" t="str">
        <f t="shared" ca="1" si="62"/>
        <v xml:space="preserve"> (og)</v>
      </c>
      <c r="BA35" s="252" t="str">
        <f t="shared" ca="1" si="63"/>
        <v xml:space="preserve"> (og)</v>
      </c>
      <c r="BB35" s="252" t="str">
        <f t="shared" ca="1" si="64"/>
        <v xml:space="preserve"> (og)</v>
      </c>
      <c r="BC35" s="252" t="str">
        <f t="shared" ca="1" si="65"/>
        <v xml:space="preserve"> (og)</v>
      </c>
      <c r="BD35" s="252" t="str">
        <f t="shared" ca="1" si="66"/>
        <v xml:space="preserve"> (og)</v>
      </c>
      <c r="BE35" s="252" t="str">
        <f t="shared" ca="1" si="67"/>
        <v xml:space="preserve"> (og)</v>
      </c>
      <c r="BF35" s="252" t="str">
        <f t="shared" ca="1" si="68"/>
        <v xml:space="preserve"> (og)</v>
      </c>
      <c r="BG35" s="252" t="str">
        <f t="shared" ca="1" si="69"/>
        <v xml:space="preserve"> (og)</v>
      </c>
      <c r="BI35" s="252" t="str">
        <f t="shared" ca="1" si="70"/>
        <v xml:space="preserve"> (og)</v>
      </c>
      <c r="BJ35" s="252" t="str">
        <f t="shared" ca="1" si="71"/>
        <v xml:space="preserve"> (og)</v>
      </c>
      <c r="BK35" s="252" t="str">
        <f t="shared" ca="1" si="72"/>
        <v xml:space="preserve"> (og)</v>
      </c>
      <c r="BL35" s="252" t="str">
        <f t="shared" ca="1" si="73"/>
        <v xml:space="preserve"> (og)</v>
      </c>
      <c r="BN35" s="252" t="str">
        <f t="shared" si="74"/>
        <v xml:space="preserve"> (og)</v>
      </c>
      <c r="BO35" s="252" t="str">
        <f t="shared" si="75"/>
        <v xml:space="preserve"> (og)</v>
      </c>
      <c r="BQ35" s="252" t="str">
        <f t="shared" ca="1" si="76"/>
        <v xml:space="preserve"> (og)</v>
      </c>
      <c r="BR35" s="252" t="str">
        <f t="shared" ca="1" si="77"/>
        <v xml:space="preserve"> (og)</v>
      </c>
      <c r="BT35" s="253" t="str">
        <f t="shared" ca="1" si="78"/>
        <v>Scotland</v>
      </c>
      <c r="BU35" s="253">
        <f t="shared" si="13"/>
        <v>33</v>
      </c>
      <c r="BV35" s="253" t="s">
        <v>992</v>
      </c>
      <c r="BW35" s="253">
        <f t="shared" si="79"/>
        <v>2</v>
      </c>
      <c r="BX35" s="253" t="str">
        <f t="shared" ca="1" si="80"/>
        <v>John McGinn</v>
      </c>
      <c r="BY35" s="253">
        <f ca="1">COUNTIF('Group Stages'!$J$8:$Q$80,BX35)+COUNTIF('Knock Out Stages'!$K$7:$R$45,BX35)</f>
        <v>0</v>
      </c>
      <c r="BZ35" s="255" t="s">
        <v>1018</v>
      </c>
      <c r="CA35" s="253" t="str">
        <f t="shared" ca="1" si="81"/>
        <v>John McGinn</v>
      </c>
      <c r="CB35" s="252">
        <v>32</v>
      </c>
      <c r="CC35" s="252" t="str">
        <f t="array" aca="1" ref="CC35" ca="1">IFERROR(INDEX($BX$3:$BX$810, SMALL(IF(COUNTIF(CC$3, $BY$3:$BY$810), ROW($BX$3:$BX$810)-MIN(ROW($BX$3:$BX$810))+1), $CB35), 0),"")</f>
        <v/>
      </c>
      <c r="CD35" s="252" t="str">
        <f t="array" aca="1" ref="CD35" ca="1">IFERROR(INDEX($BX$3:$BX$810, SMALL(IF(COUNTIF(CD$3, $BY$3:$BY$810), ROW($BX$3:$BX$810)-MIN(ROW($BX$3:$BX$810))+1), $CB35), 0),"")</f>
        <v/>
      </c>
      <c r="CE35" s="252" t="str">
        <f t="array" aca="1" ref="CE35" ca="1">IFERROR(INDEX($BX$3:$BX$810, SMALL(IF(COUNTIF(CE$3, $BY$3:$BY$810), ROW($BX$3:$BX$810)-MIN(ROW($BX$3:$BX$810))+1), $CB35), 0),"")</f>
        <v/>
      </c>
      <c r="CF35" s="252" t="str">
        <f t="array" aca="1" ref="CF35" ca="1">IFERROR(INDEX($BX$3:$BX$810, SMALL(IF(COUNTIF(CF$3, $BY$3:$BY$810), ROW($BX$3:$BX$810)-MIN(ROW($BX$3:$BX$810))+1), $CB35), 0),"")</f>
        <v/>
      </c>
      <c r="CG35" s="252" t="str">
        <f t="array" aca="1" ref="CG35" ca="1">IFERROR(INDEX($BX$3:$BX$810, SMALL(IF(COUNTIF(CG$3, $BY$3:$BY$810), ROW($BX$3:$BX$810)-MIN(ROW($BX$3:$BX$810))+1), $CB35), 0),"")</f>
        <v/>
      </c>
      <c r="CH35" s="252" t="str">
        <f t="array" aca="1" ref="CH35" ca="1">IFERROR(INDEX($BX$3:$BX$810, SMALL(IF(COUNTIF(CH$3, $BY$3:$BY$810), ROW($BX$3:$BX$810)-MIN(ROW($BX$3:$BX$810))+1), $CB35), 0),"")</f>
        <v/>
      </c>
      <c r="CI35" s="252" t="str">
        <f t="array" aca="1" ref="CI35" ca="1">IFERROR(INDEX($BX$3:$BX$810, SMALL(IF(COUNTIF(CI$3, $BY$3:$BY$810), ROW($BX$3:$BX$810)-MIN(ROW($BX$3:$BX$810))+1), $CB35), 0),"")</f>
        <v/>
      </c>
      <c r="CJ35" s="252" t="str">
        <f t="array" aca="1" ref="CJ35" ca="1">IFERROR(INDEX($BX$3:$BX$810, SMALL(IF(COUNTIF(CJ$3, $BY$3:$BY$810), ROW($BX$3:$BX$810)-MIN(ROW($BX$3:$BX$810))+1), $CB35), 0),"")</f>
        <v/>
      </c>
      <c r="CK35" s="252" t="str">
        <f t="array" aca="1" ref="CK35" ca="1">IFERROR(INDEX($BX$3:$BX$810, SMALL(IF(COUNTIF(CK$3, $BY$3:$BY$810), ROW($BX$3:$BX$810)-MIN(ROW($BX$3:$BX$810))+1), $CB35), 0),"")</f>
        <v/>
      </c>
      <c r="CL35" s="252" t="str">
        <f t="array" aca="1" ref="CL35" ca="1">IFERROR(INDEX($BX$3:$BX$810, SMALL(IF(COUNTIF(CL$3, $BY$3:$BY$810), ROW($BX$3:$BX$810)-MIN(ROW($BX$3:$BX$810))+1), $CB35), 0),"")</f>
        <v/>
      </c>
      <c r="CM35" s="252" t="str">
        <f t="array" aca="1" ref="CM35" ca="1">IFERROR(INDEX($BX$3:$BX$810, SMALL(IF(COUNTIF(CM$3, $BY$3:$BY$810), ROW($BX$3:$BX$810)-MIN(ROW($BX$3:$BX$810))+1), $CB35), 0),"")</f>
        <v/>
      </c>
      <c r="CN35" s="252" t="str">
        <f t="array" aca="1" ref="CN35" ca="1">IFERROR(INDEX($BX$3:$BX$810, SMALL(IF(COUNTIF(CN$3, $BY$3:$BY$810), ROW($BX$3:$BX$810)-MIN(ROW($BX$3:$BX$810))+1), $CB35), 0),"")</f>
        <v/>
      </c>
      <c r="CO35" s="252" t="str">
        <f t="array" aca="1" ref="CO35" ca="1">IFERROR(INDEX($BX$3:$BX$810, SMALL(IF(COUNTIF(CO$3, $BY$3:$BY$810), ROW($BX$3:$BX$810)-MIN(ROW($BX$3:$BX$810))+1), $CB35), 0),"")</f>
        <v/>
      </c>
      <c r="CP35" s="252" t="str">
        <f t="array" aca="1" ref="CP35" ca="1">IFERROR(INDEX($BX$3:$BX$810, SMALL(IF(COUNTIF(CP$3, $BY$3:$BY$810), ROW($BX$3:$BX$810)-MIN(ROW($BX$3:$BX$810))+1), $CB35), 0),"")</f>
        <v/>
      </c>
      <c r="CQ35" s="252" t="str">
        <f t="array" aca="1" ref="CQ35" ca="1">IFERROR(INDEX($BX$3:$BX$810, SMALL(IF(COUNTIF(CQ$3, $BY$3:$BY$810), ROW($BX$3:$BX$810)-MIN(ROW($BX$3:$BX$810))+1), $CB35), 0),"")</f>
        <v/>
      </c>
      <c r="CS35" s="252">
        <v>32</v>
      </c>
      <c r="CT35" s="252">
        <v>1</v>
      </c>
      <c r="CV35" s="252" t="str">
        <f t="shared" ca="1" si="8"/>
        <v/>
      </c>
      <c r="CW35" s="252">
        <f t="shared" ca="1" si="14"/>
        <v>0</v>
      </c>
      <c r="CZ35" s="252">
        <v>32</v>
      </c>
      <c r="DA35" s="252" t="str">
        <f t="shared" ca="1" si="15"/>
        <v/>
      </c>
      <c r="DB35" s="252" t="str">
        <f t="shared" ca="1" si="9"/>
        <v/>
      </c>
      <c r="DC35" s="252" t="str">
        <f t="shared" ca="1" si="10"/>
        <v/>
      </c>
      <c r="DD35" s="252" t="str">
        <f t="shared" ca="1" si="11"/>
        <v/>
      </c>
    </row>
    <row r="36" spans="1:108" x14ac:dyDescent="0.2">
      <c r="A36" s="252">
        <f t="shared" si="21"/>
        <v>8</v>
      </c>
      <c r="B36" s="252" t="str">
        <f t="shared" si="22"/>
        <v>Callum McGregor (og)</v>
      </c>
      <c r="C36" s="252" t="str">
        <f t="shared" si="23"/>
        <v>Toni Kroos (og)</v>
      </c>
      <c r="D36" s="252" t="str">
        <f t="shared" si="24"/>
        <v>Toni Kroos (og)</v>
      </c>
      <c r="E36" s="252" t="str">
        <f t="shared" si="25"/>
        <v>Toni Kroos (og)</v>
      </c>
      <c r="F36" s="252" t="str">
        <f t="shared" si="26"/>
        <v>Klaus Gjasula (og)</v>
      </c>
      <c r="G36" s="252" t="str">
        <f t="shared" si="27"/>
        <v>Jorginho (og)</v>
      </c>
      <c r="H36" s="252" t="str">
        <f t="shared" si="28"/>
        <v>Jorginho (og)</v>
      </c>
      <c r="I36" s="252" t="str">
        <f t="shared" si="29"/>
        <v>Jorginho (og)</v>
      </c>
      <c r="J36" s="252" t="str">
        <f t="shared" si="30"/>
        <v>Trent Alexander-Arnold (og)</v>
      </c>
      <c r="K36" s="252" t="str">
        <f t="shared" si="31"/>
        <v>Luka Jović (og)</v>
      </c>
      <c r="L36" s="252" t="str">
        <f t="shared" si="32"/>
        <v>Luka Jović (og)</v>
      </c>
      <c r="M36" s="252" t="str">
        <f t="shared" si="33"/>
        <v>Luka Jović (og)</v>
      </c>
      <c r="N36" s="252" t="str">
        <f t="shared" si="34"/>
        <v>Georginio Wijnaldum (og)</v>
      </c>
      <c r="O36" s="252" t="str">
        <f t="shared" si="35"/>
        <v>Jakub Moder (og)</v>
      </c>
      <c r="P36" s="252" t="str">
        <f t="shared" si="36"/>
        <v>Jakub Moder (og)</v>
      </c>
      <c r="Q36" s="252" t="str">
        <f t="shared" si="37"/>
        <v>Jakub Moder (og)</v>
      </c>
      <c r="R36" s="252" t="str">
        <f t="shared" si="38"/>
        <v>Ondrej Duda (og)</v>
      </c>
      <c r="S36" s="252" t="str">
        <f t="shared" si="39"/>
        <v>Youri Tielemans (og)</v>
      </c>
      <c r="T36" s="252" t="str">
        <f t="shared" si="40"/>
        <v>Youri Tielemans (og)</v>
      </c>
      <c r="U36" s="252" t="str">
        <f t="shared" si="41"/>
        <v>Youri Tielemans (og)</v>
      </c>
      <c r="V36" s="252" t="str">
        <f t="shared" si="42"/>
        <v>Petr Ševčík (og)</v>
      </c>
      <c r="W36" s="252" t="str">
        <f t="shared" si="43"/>
        <v>Bruno Fernandes (og)</v>
      </c>
      <c r="X36" s="252" t="str">
        <f t="shared" si="44"/>
        <v>Bruno Fernandes (og)</v>
      </c>
      <c r="Y36" s="252" t="str">
        <f t="shared" si="45"/>
        <v>Bruno Fernandes (og)</v>
      </c>
      <c r="AI36" s="252" t="str">
        <f t="shared" ca="1" si="46"/>
        <v xml:space="preserve"> (og)</v>
      </c>
      <c r="AJ36" s="252" t="str">
        <f t="shared" ca="1" si="47"/>
        <v xml:space="preserve"> (og)</v>
      </c>
      <c r="AK36" s="252" t="str">
        <f t="shared" ca="1" si="48"/>
        <v xml:space="preserve"> (og)</v>
      </c>
      <c r="AL36" s="252" t="str">
        <f t="shared" ca="1" si="49"/>
        <v xml:space="preserve"> (og)</v>
      </c>
      <c r="AM36" s="252" t="str">
        <f t="shared" ca="1" si="50"/>
        <v xml:space="preserve"> (og)</v>
      </c>
      <c r="AN36" s="252" t="str">
        <f t="shared" ca="1" si="51"/>
        <v xml:space="preserve"> (og)</v>
      </c>
      <c r="AO36" s="252" t="str">
        <f t="shared" ca="1" si="52"/>
        <v xml:space="preserve"> (og)</v>
      </c>
      <c r="AP36" s="252" t="str">
        <f t="shared" ca="1" si="53"/>
        <v xml:space="preserve"> (og)</v>
      </c>
      <c r="AQ36" s="252" t="str">
        <f t="shared" ca="1" si="54"/>
        <v xml:space="preserve"> (og)</v>
      </c>
      <c r="AR36" s="252" t="str">
        <f t="shared" ca="1" si="55"/>
        <v xml:space="preserve"> (og)</v>
      </c>
      <c r="AS36" s="252" t="str">
        <f t="shared" ca="1" si="56"/>
        <v xml:space="preserve"> (og)</v>
      </c>
      <c r="AT36" s="252" t="str">
        <f t="shared" ca="1" si="57"/>
        <v xml:space="preserve"> (og)</v>
      </c>
      <c r="AU36" s="252" t="str">
        <f t="shared" ca="1" si="58"/>
        <v xml:space="preserve"> (og)</v>
      </c>
      <c r="AV36" s="252" t="str">
        <f t="shared" ca="1" si="59"/>
        <v xml:space="preserve"> (og)</v>
      </c>
      <c r="AW36" s="252" t="str">
        <f t="shared" ca="1" si="60"/>
        <v xml:space="preserve"> (og)</v>
      </c>
      <c r="AX36" s="252" t="str">
        <f t="shared" ca="1" si="61"/>
        <v xml:space="preserve"> (og)</v>
      </c>
      <c r="AZ36" s="252" t="str">
        <f t="shared" ca="1" si="62"/>
        <v xml:space="preserve"> (og)</v>
      </c>
      <c r="BA36" s="252" t="str">
        <f t="shared" ca="1" si="63"/>
        <v xml:space="preserve"> (og)</v>
      </c>
      <c r="BB36" s="252" t="str">
        <f t="shared" ca="1" si="64"/>
        <v xml:space="preserve"> (og)</v>
      </c>
      <c r="BC36" s="252" t="str">
        <f t="shared" ca="1" si="65"/>
        <v xml:space="preserve"> (og)</v>
      </c>
      <c r="BD36" s="252" t="str">
        <f t="shared" ca="1" si="66"/>
        <v xml:space="preserve"> (og)</v>
      </c>
      <c r="BE36" s="252" t="str">
        <f t="shared" ca="1" si="67"/>
        <v xml:space="preserve"> (og)</v>
      </c>
      <c r="BF36" s="252" t="str">
        <f t="shared" ca="1" si="68"/>
        <v xml:space="preserve"> (og)</v>
      </c>
      <c r="BG36" s="252" t="str">
        <f t="shared" ca="1" si="69"/>
        <v xml:space="preserve"> (og)</v>
      </c>
      <c r="BI36" s="252" t="str">
        <f t="shared" ca="1" si="70"/>
        <v xml:space="preserve"> (og)</v>
      </c>
      <c r="BJ36" s="252" t="str">
        <f t="shared" ca="1" si="71"/>
        <v xml:space="preserve"> (og)</v>
      </c>
      <c r="BK36" s="252" t="str">
        <f t="shared" ca="1" si="72"/>
        <v xml:space="preserve"> (og)</v>
      </c>
      <c r="BL36" s="252" t="str">
        <f t="shared" ca="1" si="73"/>
        <v xml:space="preserve"> (og)</v>
      </c>
      <c r="BN36" s="252" t="str">
        <f t="shared" si="74"/>
        <v xml:space="preserve"> (og)</v>
      </c>
      <c r="BO36" s="252" t="str">
        <f t="shared" si="75"/>
        <v xml:space="preserve"> (og)</v>
      </c>
      <c r="BQ36" s="252" t="str">
        <f t="shared" ca="1" si="76"/>
        <v xml:space="preserve"> (og)</v>
      </c>
      <c r="BR36" s="252" t="str">
        <f t="shared" ca="1" si="77"/>
        <v xml:space="preserve"> (og)</v>
      </c>
      <c r="BT36" s="253" t="str">
        <f t="shared" ca="1" si="78"/>
        <v>Scotland</v>
      </c>
      <c r="BU36" s="253">
        <f t="shared" si="13"/>
        <v>34</v>
      </c>
      <c r="BV36" s="253" t="s">
        <v>993</v>
      </c>
      <c r="BW36" s="253">
        <f t="shared" si="79"/>
        <v>2</v>
      </c>
      <c r="BX36" s="253" t="str">
        <f t="shared" ca="1" si="80"/>
        <v>Callum McGregor</v>
      </c>
      <c r="BY36" s="253">
        <f ca="1">COUNTIF('Group Stages'!$J$8:$Q$80,BX36)+COUNTIF('Knock Out Stages'!$K$7:$R$45,BX36)</f>
        <v>0</v>
      </c>
      <c r="BZ36" s="255" t="s">
        <v>1019</v>
      </c>
      <c r="CA36" s="253" t="str">
        <f t="shared" ca="1" si="81"/>
        <v>Callum McGregor</v>
      </c>
      <c r="CB36" s="252">
        <v>33</v>
      </c>
      <c r="CC36" s="252" t="str">
        <f t="array" aca="1" ref="CC36" ca="1">IFERROR(INDEX($BX$3:$BX$810, SMALL(IF(COUNTIF(CC$3, $BY$3:$BY$810), ROW($BX$3:$BX$810)-MIN(ROW($BX$3:$BX$810))+1), $CB36), 0),"")</f>
        <v/>
      </c>
      <c r="CD36" s="252" t="str">
        <f t="array" aca="1" ref="CD36" ca="1">IFERROR(INDEX($BX$3:$BX$810, SMALL(IF(COUNTIF(CD$3, $BY$3:$BY$810), ROW($BX$3:$BX$810)-MIN(ROW($BX$3:$BX$810))+1), $CB36), 0),"")</f>
        <v/>
      </c>
      <c r="CE36" s="252" t="str">
        <f t="array" aca="1" ref="CE36" ca="1">IFERROR(INDEX($BX$3:$BX$810, SMALL(IF(COUNTIF(CE$3, $BY$3:$BY$810), ROW($BX$3:$BX$810)-MIN(ROW($BX$3:$BX$810))+1), $CB36), 0),"")</f>
        <v/>
      </c>
      <c r="CF36" s="252" t="str">
        <f t="array" aca="1" ref="CF36" ca="1">IFERROR(INDEX($BX$3:$BX$810, SMALL(IF(COUNTIF(CF$3, $BY$3:$BY$810), ROW($BX$3:$BX$810)-MIN(ROW($BX$3:$BX$810))+1), $CB36), 0),"")</f>
        <v/>
      </c>
      <c r="CG36" s="252" t="str">
        <f t="array" aca="1" ref="CG36" ca="1">IFERROR(INDEX($BX$3:$BX$810, SMALL(IF(COUNTIF(CG$3, $BY$3:$BY$810), ROW($BX$3:$BX$810)-MIN(ROW($BX$3:$BX$810))+1), $CB36), 0),"")</f>
        <v/>
      </c>
      <c r="CH36" s="252" t="str">
        <f t="array" aca="1" ref="CH36" ca="1">IFERROR(INDEX($BX$3:$BX$810, SMALL(IF(COUNTIF(CH$3, $BY$3:$BY$810), ROW($BX$3:$BX$810)-MIN(ROW($BX$3:$BX$810))+1), $CB36), 0),"")</f>
        <v/>
      </c>
      <c r="CI36" s="252" t="str">
        <f t="array" aca="1" ref="CI36" ca="1">IFERROR(INDEX($BX$3:$BX$810, SMALL(IF(COUNTIF(CI$3, $BY$3:$BY$810), ROW($BX$3:$BX$810)-MIN(ROW($BX$3:$BX$810))+1), $CB36), 0),"")</f>
        <v/>
      </c>
      <c r="CJ36" s="252" t="str">
        <f t="array" aca="1" ref="CJ36" ca="1">IFERROR(INDEX($BX$3:$BX$810, SMALL(IF(COUNTIF(CJ$3, $BY$3:$BY$810), ROW($BX$3:$BX$810)-MIN(ROW($BX$3:$BX$810))+1), $CB36), 0),"")</f>
        <v/>
      </c>
      <c r="CK36" s="252" t="str">
        <f t="array" aca="1" ref="CK36" ca="1">IFERROR(INDEX($BX$3:$BX$810, SMALL(IF(COUNTIF(CK$3, $BY$3:$BY$810), ROW($BX$3:$BX$810)-MIN(ROW($BX$3:$BX$810))+1), $CB36), 0),"")</f>
        <v/>
      </c>
      <c r="CL36" s="252" t="str">
        <f t="array" aca="1" ref="CL36" ca="1">IFERROR(INDEX($BX$3:$BX$810, SMALL(IF(COUNTIF(CL$3, $BY$3:$BY$810), ROW($BX$3:$BX$810)-MIN(ROW($BX$3:$BX$810))+1), $CB36), 0),"")</f>
        <v/>
      </c>
      <c r="CM36" s="252" t="str">
        <f t="array" aca="1" ref="CM36" ca="1">IFERROR(INDEX($BX$3:$BX$810, SMALL(IF(COUNTIF(CM$3, $BY$3:$BY$810), ROW($BX$3:$BX$810)-MIN(ROW($BX$3:$BX$810))+1), $CB36), 0),"")</f>
        <v/>
      </c>
      <c r="CN36" s="252" t="str">
        <f t="array" aca="1" ref="CN36" ca="1">IFERROR(INDEX($BX$3:$BX$810, SMALL(IF(COUNTIF(CN$3, $BY$3:$BY$810), ROW($BX$3:$BX$810)-MIN(ROW($BX$3:$BX$810))+1), $CB36), 0),"")</f>
        <v/>
      </c>
      <c r="CO36" s="252" t="str">
        <f t="array" aca="1" ref="CO36" ca="1">IFERROR(INDEX($BX$3:$BX$810, SMALL(IF(COUNTIF(CO$3, $BY$3:$BY$810), ROW($BX$3:$BX$810)-MIN(ROW($BX$3:$BX$810))+1), $CB36), 0),"")</f>
        <v/>
      </c>
      <c r="CP36" s="252" t="str">
        <f t="array" aca="1" ref="CP36" ca="1">IFERROR(INDEX($BX$3:$BX$810, SMALL(IF(COUNTIF(CP$3, $BY$3:$BY$810), ROW($BX$3:$BX$810)-MIN(ROW($BX$3:$BX$810))+1), $CB36), 0),"")</f>
        <v/>
      </c>
      <c r="CQ36" s="252" t="str">
        <f t="array" aca="1" ref="CQ36" ca="1">IFERROR(INDEX($BX$3:$BX$810, SMALL(IF(COUNTIF(CQ$3, $BY$3:$BY$810), ROW($BX$3:$BX$810)-MIN(ROW($BX$3:$BX$810))+1), $CB36), 0),"")</f>
        <v/>
      </c>
      <c r="CS36" s="252">
        <v>33</v>
      </c>
      <c r="CT36" s="252">
        <v>1</v>
      </c>
      <c r="CV36" s="252" t="str">
        <f t="shared" ca="1" si="8"/>
        <v/>
      </c>
      <c r="CW36" s="252">
        <f t="shared" ca="1" si="14"/>
        <v>0</v>
      </c>
      <c r="CZ36" s="252">
        <v>33</v>
      </c>
      <c r="DA36" s="252" t="str">
        <f t="shared" ca="1" si="15"/>
        <v/>
      </c>
      <c r="DB36" s="252" t="str">
        <f t="shared" ref="DB36:DB67" ca="1" si="82">IFERROR(VLOOKUP(DA36,$BX$3:$BY$810,2,FALSE),"")</f>
        <v/>
      </c>
      <c r="DC36" s="252" t="str">
        <f t="shared" ref="DC36:DC67" ca="1" si="83">IFERROR(VLOOKUP(DA36,$BX$3:$CA$810,4,FALSE),"")</f>
        <v/>
      </c>
      <c r="DD36" s="252" t="str">
        <f t="shared" ref="DD36:DD67" ca="1" si="84">IFERROR(INDEX($BT$3:$BT$810,MATCH(DA36,$BX$3:$BX$810,0),0),"")</f>
        <v/>
      </c>
    </row>
    <row r="37" spans="1:108" x14ac:dyDescent="0.2">
      <c r="A37" s="252">
        <f t="shared" si="21"/>
        <v>9</v>
      </c>
      <c r="B37" s="252" t="str">
        <f t="shared" si="22"/>
        <v>Lawrence Shankland (og)</v>
      </c>
      <c r="C37" s="252" t="str">
        <f t="shared" si="23"/>
        <v>Niclas Füllkrug (og)</v>
      </c>
      <c r="D37" s="252" t="str">
        <f t="shared" si="24"/>
        <v>Niclas Füllkrug (og)</v>
      </c>
      <c r="E37" s="252" t="str">
        <f t="shared" si="25"/>
        <v>Niclas Füllkrug (og)</v>
      </c>
      <c r="F37" s="252" t="str">
        <f t="shared" si="26"/>
        <v>Jasir Asani (og)</v>
      </c>
      <c r="G37" s="252" t="str">
        <f t="shared" si="27"/>
        <v>Gianluca Scamacca (og)</v>
      </c>
      <c r="H37" s="252" t="str">
        <f t="shared" si="28"/>
        <v>Gianluca Scamacca (og)</v>
      </c>
      <c r="I37" s="252" t="str">
        <f t="shared" si="29"/>
        <v>Gianluca Scamacca (og)</v>
      </c>
      <c r="J37" s="252" t="str">
        <f t="shared" si="30"/>
        <v>Harry Kane (og)</v>
      </c>
      <c r="K37" s="252" t="str">
        <f t="shared" si="31"/>
        <v>Aleksandar Mitrović (og)</v>
      </c>
      <c r="L37" s="252" t="str">
        <f t="shared" si="32"/>
        <v>Aleksandar Mitrović (og)</v>
      </c>
      <c r="M37" s="252" t="str">
        <f t="shared" si="33"/>
        <v>Aleksandar Mitrović (og)</v>
      </c>
      <c r="N37" s="252" t="str">
        <f t="shared" si="34"/>
        <v>Wout Weghorst (og)</v>
      </c>
      <c r="O37" s="252" t="str">
        <f t="shared" si="35"/>
        <v>Robert Lewandowski (og)</v>
      </c>
      <c r="P37" s="252" t="str">
        <f t="shared" si="36"/>
        <v>Robert Lewandowski (og)</v>
      </c>
      <c r="Q37" s="252" t="str">
        <f t="shared" si="37"/>
        <v>Robert Lewandowski (og)</v>
      </c>
      <c r="R37" s="252" t="str">
        <f t="shared" si="38"/>
        <v>Róbert Boženík (og)</v>
      </c>
      <c r="S37" s="252" t="str">
        <f t="shared" si="39"/>
        <v>Leandro Trossard (og)</v>
      </c>
      <c r="T37" s="252" t="str">
        <f t="shared" si="40"/>
        <v>Leandro Trossard (og)</v>
      </c>
      <c r="U37" s="252" t="str">
        <f t="shared" si="41"/>
        <v>Leandro Trossard (og)</v>
      </c>
      <c r="V37" s="252" t="str">
        <f t="shared" si="42"/>
        <v>Adam Hložek (og)</v>
      </c>
      <c r="W37" s="252" t="str">
        <f t="shared" si="43"/>
        <v>Gonçalo Ramos (og)</v>
      </c>
      <c r="X37" s="252" t="str">
        <f t="shared" si="44"/>
        <v>Gonçalo Ramos (og)</v>
      </c>
      <c r="Y37" s="252" t="str">
        <f t="shared" si="45"/>
        <v>Gonçalo Ramos (og)</v>
      </c>
      <c r="AI37" s="252" t="str">
        <f t="shared" ca="1" si="46"/>
        <v xml:space="preserve"> (og)</v>
      </c>
      <c r="AJ37" s="252" t="str">
        <f t="shared" ca="1" si="47"/>
        <v xml:space="preserve"> (og)</v>
      </c>
      <c r="AK37" s="252" t="str">
        <f t="shared" ca="1" si="48"/>
        <v xml:space="preserve"> (og)</v>
      </c>
      <c r="AL37" s="252" t="str">
        <f t="shared" ca="1" si="49"/>
        <v xml:space="preserve"> (og)</v>
      </c>
      <c r="AM37" s="252" t="str">
        <f t="shared" ca="1" si="50"/>
        <v xml:space="preserve"> (og)</v>
      </c>
      <c r="AN37" s="252" t="str">
        <f t="shared" ca="1" si="51"/>
        <v xml:space="preserve"> (og)</v>
      </c>
      <c r="AO37" s="252" t="str">
        <f t="shared" ca="1" si="52"/>
        <v xml:space="preserve"> (og)</v>
      </c>
      <c r="AP37" s="252" t="str">
        <f t="shared" ca="1" si="53"/>
        <v xml:space="preserve"> (og)</v>
      </c>
      <c r="AQ37" s="252" t="str">
        <f t="shared" ca="1" si="54"/>
        <v xml:space="preserve"> (og)</v>
      </c>
      <c r="AR37" s="252" t="str">
        <f t="shared" ca="1" si="55"/>
        <v xml:space="preserve"> (og)</v>
      </c>
      <c r="AS37" s="252" t="str">
        <f t="shared" ca="1" si="56"/>
        <v xml:space="preserve"> (og)</v>
      </c>
      <c r="AT37" s="252" t="str">
        <f t="shared" ca="1" si="57"/>
        <v xml:space="preserve"> (og)</v>
      </c>
      <c r="AU37" s="252" t="str">
        <f t="shared" ca="1" si="58"/>
        <v xml:space="preserve"> (og)</v>
      </c>
      <c r="AV37" s="252" t="str">
        <f t="shared" ca="1" si="59"/>
        <v xml:space="preserve"> (og)</v>
      </c>
      <c r="AW37" s="252" t="str">
        <f t="shared" ca="1" si="60"/>
        <v xml:space="preserve"> (og)</v>
      </c>
      <c r="AX37" s="252" t="str">
        <f t="shared" ca="1" si="61"/>
        <v xml:space="preserve"> (og)</v>
      </c>
      <c r="AZ37" s="252" t="str">
        <f t="shared" ca="1" si="62"/>
        <v xml:space="preserve"> (og)</v>
      </c>
      <c r="BA37" s="252" t="str">
        <f t="shared" ca="1" si="63"/>
        <v xml:space="preserve"> (og)</v>
      </c>
      <c r="BB37" s="252" t="str">
        <f t="shared" ca="1" si="64"/>
        <v xml:space="preserve"> (og)</v>
      </c>
      <c r="BC37" s="252" t="str">
        <f t="shared" ca="1" si="65"/>
        <v xml:space="preserve"> (og)</v>
      </c>
      <c r="BD37" s="252" t="str">
        <f t="shared" ca="1" si="66"/>
        <v xml:space="preserve"> (og)</v>
      </c>
      <c r="BE37" s="252" t="str">
        <f t="shared" ca="1" si="67"/>
        <v xml:space="preserve"> (og)</v>
      </c>
      <c r="BF37" s="252" t="str">
        <f t="shared" ca="1" si="68"/>
        <v xml:space="preserve"> (og)</v>
      </c>
      <c r="BG37" s="252" t="str">
        <f t="shared" ca="1" si="69"/>
        <v xml:space="preserve"> (og)</v>
      </c>
      <c r="BI37" s="252" t="str">
        <f t="shared" ca="1" si="70"/>
        <v xml:space="preserve"> (og)</v>
      </c>
      <c r="BJ37" s="252" t="str">
        <f t="shared" ca="1" si="71"/>
        <v xml:space="preserve"> (og)</v>
      </c>
      <c r="BK37" s="252" t="str">
        <f t="shared" ca="1" si="72"/>
        <v xml:space="preserve"> (og)</v>
      </c>
      <c r="BL37" s="252" t="str">
        <f t="shared" ca="1" si="73"/>
        <v xml:space="preserve"> (og)</v>
      </c>
      <c r="BN37" s="252" t="str">
        <f t="shared" si="74"/>
        <v xml:space="preserve"> (og)</v>
      </c>
      <c r="BO37" s="252" t="str">
        <f t="shared" si="75"/>
        <v xml:space="preserve"> (og)</v>
      </c>
      <c r="BQ37" s="252" t="str">
        <f t="shared" ca="1" si="76"/>
        <v xml:space="preserve"> (og)</v>
      </c>
      <c r="BR37" s="252" t="str">
        <f t="shared" ca="1" si="77"/>
        <v xml:space="preserve"> (og)</v>
      </c>
      <c r="BT37" s="253" t="str">
        <f t="shared" ca="1" si="78"/>
        <v>Scotland</v>
      </c>
      <c r="BU37" s="253">
        <f t="shared" si="13"/>
        <v>35</v>
      </c>
      <c r="BV37" s="253" t="s">
        <v>994</v>
      </c>
      <c r="BW37" s="253">
        <f t="shared" si="79"/>
        <v>2</v>
      </c>
      <c r="BX37" s="253" t="str">
        <f t="shared" ca="1" si="80"/>
        <v>Lawrence Shankland</v>
      </c>
      <c r="BY37" s="253">
        <f ca="1">COUNTIF('Group Stages'!$J$8:$Q$80,BX37)+COUNTIF('Knock Out Stages'!$K$7:$R$45,BX37)</f>
        <v>0</v>
      </c>
      <c r="BZ37" s="255" t="s">
        <v>1020</v>
      </c>
      <c r="CA37" s="253" t="str">
        <f t="shared" ca="1" si="81"/>
        <v>Lawrence Shankland</v>
      </c>
      <c r="CB37" s="252">
        <v>34</v>
      </c>
      <c r="CC37" s="252" t="str">
        <f t="array" aca="1" ref="CC37" ca="1">IFERROR(INDEX($BX$3:$BX$810, SMALL(IF(COUNTIF(CC$3, $BY$3:$BY$810), ROW($BX$3:$BX$810)-MIN(ROW($BX$3:$BX$810))+1), $CB37), 0),"")</f>
        <v/>
      </c>
      <c r="CD37" s="252" t="str">
        <f t="array" aca="1" ref="CD37" ca="1">IFERROR(INDEX($BX$3:$BX$810, SMALL(IF(COUNTIF(CD$3, $BY$3:$BY$810), ROW($BX$3:$BX$810)-MIN(ROW($BX$3:$BX$810))+1), $CB37), 0),"")</f>
        <v/>
      </c>
      <c r="CE37" s="252" t="str">
        <f t="array" aca="1" ref="CE37" ca="1">IFERROR(INDEX($BX$3:$BX$810, SMALL(IF(COUNTIF(CE$3, $BY$3:$BY$810), ROW($BX$3:$BX$810)-MIN(ROW($BX$3:$BX$810))+1), $CB37), 0),"")</f>
        <v/>
      </c>
      <c r="CF37" s="252" t="str">
        <f t="array" aca="1" ref="CF37" ca="1">IFERROR(INDEX($BX$3:$BX$810, SMALL(IF(COUNTIF(CF$3, $BY$3:$BY$810), ROW($BX$3:$BX$810)-MIN(ROW($BX$3:$BX$810))+1), $CB37), 0),"")</f>
        <v/>
      </c>
      <c r="CG37" s="252" t="str">
        <f t="array" aca="1" ref="CG37" ca="1">IFERROR(INDEX($BX$3:$BX$810, SMALL(IF(COUNTIF(CG$3, $BY$3:$BY$810), ROW($BX$3:$BX$810)-MIN(ROW($BX$3:$BX$810))+1), $CB37), 0),"")</f>
        <v/>
      </c>
      <c r="CH37" s="252" t="str">
        <f t="array" aca="1" ref="CH37" ca="1">IFERROR(INDEX($BX$3:$BX$810, SMALL(IF(COUNTIF(CH$3, $BY$3:$BY$810), ROW($BX$3:$BX$810)-MIN(ROW($BX$3:$BX$810))+1), $CB37), 0),"")</f>
        <v/>
      </c>
      <c r="CI37" s="252" t="str">
        <f t="array" aca="1" ref="CI37" ca="1">IFERROR(INDEX($BX$3:$BX$810, SMALL(IF(COUNTIF(CI$3, $BY$3:$BY$810), ROW($BX$3:$BX$810)-MIN(ROW($BX$3:$BX$810))+1), $CB37), 0),"")</f>
        <v/>
      </c>
      <c r="CJ37" s="252" t="str">
        <f t="array" aca="1" ref="CJ37" ca="1">IFERROR(INDEX($BX$3:$BX$810, SMALL(IF(COUNTIF(CJ$3, $BY$3:$BY$810), ROW($BX$3:$BX$810)-MIN(ROW($BX$3:$BX$810))+1), $CB37), 0),"")</f>
        <v/>
      </c>
      <c r="CK37" s="252" t="str">
        <f t="array" aca="1" ref="CK37" ca="1">IFERROR(INDEX($BX$3:$BX$810, SMALL(IF(COUNTIF(CK$3, $BY$3:$BY$810), ROW($BX$3:$BX$810)-MIN(ROW($BX$3:$BX$810))+1), $CB37), 0),"")</f>
        <v/>
      </c>
      <c r="CL37" s="252" t="str">
        <f t="array" aca="1" ref="CL37" ca="1">IFERROR(INDEX($BX$3:$BX$810, SMALL(IF(COUNTIF(CL$3, $BY$3:$BY$810), ROW($BX$3:$BX$810)-MIN(ROW($BX$3:$BX$810))+1), $CB37), 0),"")</f>
        <v/>
      </c>
      <c r="CM37" s="252" t="str">
        <f t="array" aca="1" ref="CM37" ca="1">IFERROR(INDEX($BX$3:$BX$810, SMALL(IF(COUNTIF(CM$3, $BY$3:$BY$810), ROW($BX$3:$BX$810)-MIN(ROW($BX$3:$BX$810))+1), $CB37), 0),"")</f>
        <v/>
      </c>
      <c r="CN37" s="252" t="str">
        <f t="array" aca="1" ref="CN37" ca="1">IFERROR(INDEX($BX$3:$BX$810, SMALL(IF(COUNTIF(CN$3, $BY$3:$BY$810), ROW($BX$3:$BX$810)-MIN(ROW($BX$3:$BX$810))+1), $CB37), 0),"")</f>
        <v/>
      </c>
      <c r="CO37" s="252" t="str">
        <f t="array" aca="1" ref="CO37" ca="1">IFERROR(INDEX($BX$3:$BX$810, SMALL(IF(COUNTIF(CO$3, $BY$3:$BY$810), ROW($BX$3:$BX$810)-MIN(ROW($BX$3:$BX$810))+1), $CB37), 0),"")</f>
        <v/>
      </c>
      <c r="CP37" s="252" t="str">
        <f t="array" aca="1" ref="CP37" ca="1">IFERROR(INDEX($BX$3:$BX$810, SMALL(IF(COUNTIF(CP$3, $BY$3:$BY$810), ROW($BX$3:$BX$810)-MIN(ROW($BX$3:$BX$810))+1), $CB37), 0),"")</f>
        <v/>
      </c>
      <c r="CQ37" s="252" t="str">
        <f t="array" aca="1" ref="CQ37" ca="1">IFERROR(INDEX($BX$3:$BX$810, SMALL(IF(COUNTIF(CQ$3, $BY$3:$BY$810), ROW($BX$3:$BX$810)-MIN(ROW($BX$3:$BX$810))+1), $CB37), 0),"")</f>
        <v/>
      </c>
      <c r="CS37" s="252">
        <v>34</v>
      </c>
      <c r="CT37" s="252">
        <v>1</v>
      </c>
      <c r="CV37" s="252" t="str">
        <f t="shared" ca="1" si="8"/>
        <v/>
      </c>
      <c r="CW37" s="252">
        <f t="shared" ca="1" si="14"/>
        <v>0</v>
      </c>
      <c r="CZ37" s="252">
        <v>34</v>
      </c>
      <c r="DA37" s="252" t="str">
        <f t="shared" ca="1" si="15"/>
        <v/>
      </c>
      <c r="DB37" s="252" t="str">
        <f t="shared" ca="1" si="82"/>
        <v/>
      </c>
      <c r="DC37" s="252" t="str">
        <f t="shared" ca="1" si="83"/>
        <v/>
      </c>
      <c r="DD37" s="252" t="str">
        <f t="shared" ca="1" si="84"/>
        <v/>
      </c>
    </row>
    <row r="38" spans="1:108" x14ac:dyDescent="0.2">
      <c r="A38" s="252">
        <f t="shared" si="21"/>
        <v>10</v>
      </c>
      <c r="B38" s="252" t="str">
        <f t="shared" si="22"/>
        <v>Ché Adams (og)</v>
      </c>
      <c r="C38" s="252" t="str">
        <f t="shared" si="23"/>
        <v>Jamal Musiala (og)</v>
      </c>
      <c r="D38" s="252" t="str">
        <f t="shared" si="24"/>
        <v>Jamal Musiala (og)</v>
      </c>
      <c r="E38" s="252" t="str">
        <f t="shared" si="25"/>
        <v>Jamal Musiala (og)</v>
      </c>
      <c r="F38" s="252" t="str">
        <f t="shared" si="26"/>
        <v>Nedim Bajrami (og)</v>
      </c>
      <c r="G38" s="252" t="str">
        <f t="shared" si="27"/>
        <v>Lorenzo Pellegrini (og)</v>
      </c>
      <c r="H38" s="252" t="str">
        <f t="shared" si="28"/>
        <v>Lorenzo Pellegrini (og)</v>
      </c>
      <c r="I38" s="252" t="str">
        <f t="shared" si="29"/>
        <v>Lorenzo Pellegrini (og)</v>
      </c>
      <c r="J38" s="252" t="str">
        <f t="shared" si="30"/>
        <v>Jude Bellingham (og)</v>
      </c>
      <c r="K38" s="252" t="str">
        <f t="shared" si="31"/>
        <v>Dušan Tadić (og)</v>
      </c>
      <c r="L38" s="252" t="str">
        <f t="shared" si="32"/>
        <v>Dušan Tadić (og)</v>
      </c>
      <c r="M38" s="252" t="str">
        <f t="shared" si="33"/>
        <v>Dušan Tadić (og)</v>
      </c>
      <c r="N38" s="252" t="str">
        <f t="shared" si="34"/>
        <v>Memphis Depay (og)</v>
      </c>
      <c r="O38" s="252" t="str">
        <f t="shared" si="35"/>
        <v>Piotr Zieliński (og)</v>
      </c>
      <c r="P38" s="252" t="str">
        <f t="shared" si="36"/>
        <v>Piotr Zieliński (og)</v>
      </c>
      <c r="Q38" s="252" t="str">
        <f t="shared" si="37"/>
        <v>Piotr Zieliński (og)</v>
      </c>
      <c r="R38" s="252" t="str">
        <f t="shared" si="38"/>
        <v>Ľubomír Tupta (og)</v>
      </c>
      <c r="S38" s="252" t="str">
        <f t="shared" si="39"/>
        <v>Romelu Lukaku (og)</v>
      </c>
      <c r="T38" s="252" t="str">
        <f t="shared" si="40"/>
        <v>Romelu Lukaku (og)</v>
      </c>
      <c r="U38" s="252" t="str">
        <f t="shared" si="41"/>
        <v>Romelu Lukaku (og)</v>
      </c>
      <c r="V38" s="252" t="str">
        <f t="shared" si="42"/>
        <v>Patrik Schick (og)</v>
      </c>
      <c r="W38" s="252" t="str">
        <f t="shared" si="43"/>
        <v>Bernardo Silva (og)</v>
      </c>
      <c r="X38" s="252" t="str">
        <f t="shared" si="44"/>
        <v>Bernardo Silva (og)</v>
      </c>
      <c r="Y38" s="252" t="str">
        <f t="shared" si="45"/>
        <v>Bernardo Silva (og)</v>
      </c>
      <c r="AI38" s="252" t="str">
        <f t="shared" ca="1" si="46"/>
        <v xml:space="preserve"> (og)</v>
      </c>
      <c r="AJ38" s="252" t="str">
        <f t="shared" ca="1" si="47"/>
        <v xml:space="preserve"> (og)</v>
      </c>
      <c r="AK38" s="252" t="str">
        <f t="shared" ca="1" si="48"/>
        <v xml:space="preserve"> (og)</v>
      </c>
      <c r="AL38" s="252" t="str">
        <f t="shared" ca="1" si="49"/>
        <v xml:space="preserve"> (og)</v>
      </c>
      <c r="AM38" s="252" t="str">
        <f t="shared" ca="1" si="50"/>
        <v xml:space="preserve"> (og)</v>
      </c>
      <c r="AN38" s="252" t="str">
        <f t="shared" ca="1" si="51"/>
        <v xml:space="preserve"> (og)</v>
      </c>
      <c r="AO38" s="252" t="str">
        <f t="shared" ca="1" si="52"/>
        <v xml:space="preserve"> (og)</v>
      </c>
      <c r="AP38" s="252" t="str">
        <f t="shared" ca="1" si="53"/>
        <v xml:space="preserve"> (og)</v>
      </c>
      <c r="AQ38" s="252" t="str">
        <f t="shared" ca="1" si="54"/>
        <v xml:space="preserve"> (og)</v>
      </c>
      <c r="AR38" s="252" t="str">
        <f t="shared" ca="1" si="55"/>
        <v xml:space="preserve"> (og)</v>
      </c>
      <c r="AS38" s="252" t="str">
        <f t="shared" ca="1" si="56"/>
        <v xml:space="preserve"> (og)</v>
      </c>
      <c r="AT38" s="252" t="str">
        <f t="shared" ca="1" si="57"/>
        <v xml:space="preserve"> (og)</v>
      </c>
      <c r="AU38" s="252" t="str">
        <f t="shared" ca="1" si="58"/>
        <v xml:space="preserve"> (og)</v>
      </c>
      <c r="AV38" s="252" t="str">
        <f t="shared" ca="1" si="59"/>
        <v xml:space="preserve"> (og)</v>
      </c>
      <c r="AW38" s="252" t="str">
        <f t="shared" ca="1" si="60"/>
        <v xml:space="preserve"> (og)</v>
      </c>
      <c r="AX38" s="252" t="str">
        <f t="shared" ca="1" si="61"/>
        <v xml:space="preserve"> (og)</v>
      </c>
      <c r="AZ38" s="252" t="str">
        <f t="shared" ca="1" si="62"/>
        <v xml:space="preserve"> (og)</v>
      </c>
      <c r="BA38" s="252" t="str">
        <f t="shared" ca="1" si="63"/>
        <v xml:space="preserve"> (og)</v>
      </c>
      <c r="BB38" s="252" t="str">
        <f t="shared" ca="1" si="64"/>
        <v xml:space="preserve"> (og)</v>
      </c>
      <c r="BC38" s="252" t="str">
        <f t="shared" ca="1" si="65"/>
        <v xml:space="preserve"> (og)</v>
      </c>
      <c r="BD38" s="252" t="str">
        <f t="shared" ca="1" si="66"/>
        <v xml:space="preserve"> (og)</v>
      </c>
      <c r="BE38" s="252" t="str">
        <f t="shared" ca="1" si="67"/>
        <v xml:space="preserve"> (og)</v>
      </c>
      <c r="BF38" s="252" t="str">
        <f t="shared" ca="1" si="68"/>
        <v xml:space="preserve"> (og)</v>
      </c>
      <c r="BG38" s="252" t="str">
        <f t="shared" ca="1" si="69"/>
        <v xml:space="preserve"> (og)</v>
      </c>
      <c r="BI38" s="252" t="str">
        <f t="shared" ca="1" si="70"/>
        <v xml:space="preserve"> (og)</v>
      </c>
      <c r="BJ38" s="252" t="str">
        <f t="shared" ca="1" si="71"/>
        <v xml:space="preserve"> (og)</v>
      </c>
      <c r="BK38" s="252" t="str">
        <f t="shared" ca="1" si="72"/>
        <v xml:space="preserve"> (og)</v>
      </c>
      <c r="BL38" s="252" t="str">
        <f t="shared" ca="1" si="73"/>
        <v xml:space="preserve"> (og)</v>
      </c>
      <c r="BN38" s="252" t="str">
        <f t="shared" si="74"/>
        <v xml:space="preserve"> (og)</v>
      </c>
      <c r="BO38" s="252" t="str">
        <f t="shared" si="75"/>
        <v xml:space="preserve"> (og)</v>
      </c>
      <c r="BQ38" s="252" t="str">
        <f t="shared" ca="1" si="76"/>
        <v xml:space="preserve"> (og)</v>
      </c>
      <c r="BR38" s="252" t="str">
        <f t="shared" ca="1" si="77"/>
        <v xml:space="preserve"> (og)</v>
      </c>
      <c r="BT38" s="253" t="str">
        <f t="shared" ca="1" si="78"/>
        <v>Scotland</v>
      </c>
      <c r="BU38" s="253">
        <f t="shared" si="13"/>
        <v>36</v>
      </c>
      <c r="BV38" s="253" t="s">
        <v>995</v>
      </c>
      <c r="BW38" s="253">
        <f t="shared" si="79"/>
        <v>2</v>
      </c>
      <c r="BX38" s="253" t="str">
        <f t="shared" ca="1" si="80"/>
        <v>Ché Adams</v>
      </c>
      <c r="BY38" s="253">
        <f ca="1">COUNTIF('Group Stages'!$J$8:$Q$80,BX38)+COUNTIF('Knock Out Stages'!$K$7:$R$45,BX38)</f>
        <v>0</v>
      </c>
      <c r="BZ38" s="255" t="s">
        <v>1021</v>
      </c>
      <c r="CA38" s="253" t="str">
        <f t="shared" ca="1" si="81"/>
        <v>Ché Adams</v>
      </c>
      <c r="CB38" s="252">
        <v>35</v>
      </c>
      <c r="CC38" s="252" t="str">
        <f t="array" aca="1" ref="CC38" ca="1">IFERROR(INDEX($BX$3:$BX$810, SMALL(IF(COUNTIF(CC$3, $BY$3:$BY$810), ROW($BX$3:$BX$810)-MIN(ROW($BX$3:$BX$810))+1), $CB38), 0),"")</f>
        <v/>
      </c>
      <c r="CD38" s="252" t="str">
        <f t="array" aca="1" ref="CD38" ca="1">IFERROR(INDEX($BX$3:$BX$810, SMALL(IF(COUNTIF(CD$3, $BY$3:$BY$810), ROW($BX$3:$BX$810)-MIN(ROW($BX$3:$BX$810))+1), $CB38), 0),"")</f>
        <v/>
      </c>
      <c r="CE38" s="252" t="str">
        <f t="array" aca="1" ref="CE38" ca="1">IFERROR(INDEX($BX$3:$BX$810, SMALL(IF(COUNTIF(CE$3, $BY$3:$BY$810), ROW($BX$3:$BX$810)-MIN(ROW($BX$3:$BX$810))+1), $CB38), 0),"")</f>
        <v/>
      </c>
      <c r="CF38" s="252" t="str">
        <f t="array" aca="1" ref="CF38" ca="1">IFERROR(INDEX($BX$3:$BX$810, SMALL(IF(COUNTIF(CF$3, $BY$3:$BY$810), ROW($BX$3:$BX$810)-MIN(ROW($BX$3:$BX$810))+1), $CB38), 0),"")</f>
        <v/>
      </c>
      <c r="CG38" s="252" t="str">
        <f t="array" aca="1" ref="CG38" ca="1">IFERROR(INDEX($BX$3:$BX$810, SMALL(IF(COUNTIF(CG$3, $BY$3:$BY$810), ROW($BX$3:$BX$810)-MIN(ROW($BX$3:$BX$810))+1), $CB38), 0),"")</f>
        <v/>
      </c>
      <c r="CH38" s="252" t="str">
        <f t="array" aca="1" ref="CH38" ca="1">IFERROR(INDEX($BX$3:$BX$810, SMALL(IF(COUNTIF(CH$3, $BY$3:$BY$810), ROW($BX$3:$BX$810)-MIN(ROW($BX$3:$BX$810))+1), $CB38), 0),"")</f>
        <v/>
      </c>
      <c r="CI38" s="252" t="str">
        <f t="array" aca="1" ref="CI38" ca="1">IFERROR(INDEX($BX$3:$BX$810, SMALL(IF(COUNTIF(CI$3, $BY$3:$BY$810), ROW($BX$3:$BX$810)-MIN(ROW($BX$3:$BX$810))+1), $CB38), 0),"")</f>
        <v/>
      </c>
      <c r="CJ38" s="252" t="str">
        <f t="array" aca="1" ref="CJ38" ca="1">IFERROR(INDEX($BX$3:$BX$810, SMALL(IF(COUNTIF(CJ$3, $BY$3:$BY$810), ROW($BX$3:$BX$810)-MIN(ROW($BX$3:$BX$810))+1), $CB38), 0),"")</f>
        <v/>
      </c>
      <c r="CK38" s="252" t="str">
        <f t="array" aca="1" ref="CK38" ca="1">IFERROR(INDEX($BX$3:$BX$810, SMALL(IF(COUNTIF(CK$3, $BY$3:$BY$810), ROW($BX$3:$BX$810)-MIN(ROW($BX$3:$BX$810))+1), $CB38), 0),"")</f>
        <v/>
      </c>
      <c r="CL38" s="252" t="str">
        <f t="array" aca="1" ref="CL38" ca="1">IFERROR(INDEX($BX$3:$BX$810, SMALL(IF(COUNTIF(CL$3, $BY$3:$BY$810), ROW($BX$3:$BX$810)-MIN(ROW($BX$3:$BX$810))+1), $CB38), 0),"")</f>
        <v/>
      </c>
      <c r="CM38" s="252" t="str">
        <f t="array" aca="1" ref="CM38" ca="1">IFERROR(INDEX($BX$3:$BX$810, SMALL(IF(COUNTIF(CM$3, $BY$3:$BY$810), ROW($BX$3:$BX$810)-MIN(ROW($BX$3:$BX$810))+1), $CB38), 0),"")</f>
        <v/>
      </c>
      <c r="CN38" s="252" t="str">
        <f t="array" aca="1" ref="CN38" ca="1">IFERROR(INDEX($BX$3:$BX$810, SMALL(IF(COUNTIF(CN$3, $BY$3:$BY$810), ROW($BX$3:$BX$810)-MIN(ROW($BX$3:$BX$810))+1), $CB38), 0),"")</f>
        <v/>
      </c>
      <c r="CO38" s="252" t="str">
        <f t="array" aca="1" ref="CO38" ca="1">IFERROR(INDEX($BX$3:$BX$810, SMALL(IF(COUNTIF(CO$3, $BY$3:$BY$810), ROW($BX$3:$BX$810)-MIN(ROW($BX$3:$BX$810))+1), $CB38), 0),"")</f>
        <v/>
      </c>
      <c r="CP38" s="252" t="str">
        <f t="array" aca="1" ref="CP38" ca="1">IFERROR(INDEX($BX$3:$BX$810, SMALL(IF(COUNTIF(CP$3, $BY$3:$BY$810), ROW($BX$3:$BX$810)-MIN(ROW($BX$3:$BX$810))+1), $CB38), 0),"")</f>
        <v/>
      </c>
      <c r="CQ38" s="252" t="str">
        <f t="array" aca="1" ref="CQ38" ca="1">IFERROR(INDEX($BX$3:$BX$810, SMALL(IF(COUNTIF(CQ$3, $BY$3:$BY$810), ROW($BX$3:$BX$810)-MIN(ROW($BX$3:$BX$810))+1), $CB38), 0),"")</f>
        <v/>
      </c>
      <c r="CS38" s="252">
        <v>35</v>
      </c>
      <c r="CT38" s="252">
        <v>1</v>
      </c>
      <c r="CV38" s="252" t="str">
        <f t="shared" ca="1" si="8"/>
        <v/>
      </c>
      <c r="CW38" s="252">
        <f t="shared" ca="1" si="14"/>
        <v>0</v>
      </c>
      <c r="CZ38" s="252">
        <v>35</v>
      </c>
      <c r="DA38" s="252" t="str">
        <f t="shared" ca="1" si="15"/>
        <v/>
      </c>
      <c r="DB38" s="252" t="str">
        <f t="shared" ca="1" si="82"/>
        <v/>
      </c>
      <c r="DC38" s="252" t="str">
        <f t="shared" ca="1" si="83"/>
        <v/>
      </c>
      <c r="DD38" s="252" t="str">
        <f t="shared" ca="1" si="84"/>
        <v/>
      </c>
    </row>
    <row r="39" spans="1:108" x14ac:dyDescent="0.2">
      <c r="A39" s="252">
        <f t="shared" si="21"/>
        <v>11</v>
      </c>
      <c r="B39" s="252" t="str">
        <f t="shared" si="22"/>
        <v>Ryan Christie (og)</v>
      </c>
      <c r="C39" s="252" t="str">
        <f t="shared" si="23"/>
        <v>Chris Führich (og)</v>
      </c>
      <c r="D39" s="252" t="str">
        <f t="shared" si="24"/>
        <v>Chris Führich (og)</v>
      </c>
      <c r="E39" s="252" t="str">
        <f t="shared" si="25"/>
        <v>Chris Führich (og)</v>
      </c>
      <c r="F39" s="252" t="str">
        <f t="shared" si="26"/>
        <v>Armando Broja (og)</v>
      </c>
      <c r="G39" s="252" t="str">
        <f t="shared" si="27"/>
        <v>Giacomo Raspadori (og)</v>
      </c>
      <c r="H39" s="252" t="str">
        <f t="shared" si="28"/>
        <v>Giacomo Raspadori (og)</v>
      </c>
      <c r="I39" s="252" t="str">
        <f t="shared" si="29"/>
        <v>Giacomo Raspadori (og)</v>
      </c>
      <c r="J39" s="252" t="str">
        <f t="shared" si="30"/>
        <v>Phil Foden (og)</v>
      </c>
      <c r="K39" s="252" t="str">
        <f t="shared" si="31"/>
        <v>Filip Kostić (og)</v>
      </c>
      <c r="L39" s="252" t="str">
        <f t="shared" si="32"/>
        <v>Filip Kostić (og)</v>
      </c>
      <c r="M39" s="252" t="str">
        <f t="shared" si="33"/>
        <v>Filip Kostić (og)</v>
      </c>
      <c r="N39" s="252" t="str">
        <f t="shared" si="34"/>
        <v>Cody Gakpo (og)</v>
      </c>
      <c r="O39" s="252" t="str">
        <f t="shared" si="35"/>
        <v>Kamil Grosicki (og)</v>
      </c>
      <c r="P39" s="252" t="str">
        <f t="shared" si="36"/>
        <v>Kamil Grosicki (og)</v>
      </c>
      <c r="Q39" s="252" t="str">
        <f t="shared" si="37"/>
        <v>Kamil Grosicki (og)</v>
      </c>
      <c r="R39" s="252" t="str">
        <f t="shared" si="38"/>
        <v>László Bénes (og)</v>
      </c>
      <c r="S39" s="252" t="str">
        <f t="shared" si="39"/>
        <v>Yannick Carrasco (og)</v>
      </c>
      <c r="T39" s="252" t="str">
        <f t="shared" si="40"/>
        <v>Yannick Carrasco (og)</v>
      </c>
      <c r="U39" s="252" t="str">
        <f t="shared" si="41"/>
        <v>Yannick Carrasco (og)</v>
      </c>
      <c r="V39" s="252" t="str">
        <f t="shared" si="42"/>
        <v>Jan Kuchta (og)</v>
      </c>
      <c r="W39" s="252" t="str">
        <f t="shared" si="43"/>
        <v>João Félix (og)</v>
      </c>
      <c r="X39" s="252" t="str">
        <f t="shared" si="44"/>
        <v>João Félix (og)</v>
      </c>
      <c r="Y39" s="252" t="str">
        <f t="shared" si="45"/>
        <v>João Félix (og)</v>
      </c>
      <c r="AI39" s="252" t="str">
        <f t="shared" ca="1" si="46"/>
        <v xml:space="preserve"> (og)</v>
      </c>
      <c r="AJ39" s="252" t="str">
        <f t="shared" ca="1" si="47"/>
        <v xml:space="preserve"> (og)</v>
      </c>
      <c r="AK39" s="252" t="str">
        <f t="shared" ca="1" si="48"/>
        <v xml:space="preserve"> (og)</v>
      </c>
      <c r="AL39" s="252" t="str">
        <f t="shared" ca="1" si="49"/>
        <v xml:space="preserve"> (og)</v>
      </c>
      <c r="AM39" s="252" t="str">
        <f t="shared" ca="1" si="50"/>
        <v xml:space="preserve"> (og)</v>
      </c>
      <c r="AN39" s="252" t="str">
        <f t="shared" ca="1" si="51"/>
        <v xml:space="preserve"> (og)</v>
      </c>
      <c r="AO39" s="252" t="str">
        <f t="shared" ca="1" si="52"/>
        <v xml:space="preserve"> (og)</v>
      </c>
      <c r="AP39" s="252" t="str">
        <f t="shared" ca="1" si="53"/>
        <v xml:space="preserve"> (og)</v>
      </c>
      <c r="AQ39" s="252" t="str">
        <f t="shared" ca="1" si="54"/>
        <v xml:space="preserve"> (og)</v>
      </c>
      <c r="AR39" s="252" t="str">
        <f t="shared" ca="1" si="55"/>
        <v xml:space="preserve"> (og)</v>
      </c>
      <c r="AS39" s="252" t="str">
        <f t="shared" ca="1" si="56"/>
        <v xml:space="preserve"> (og)</v>
      </c>
      <c r="AT39" s="252" t="str">
        <f t="shared" ca="1" si="57"/>
        <v xml:space="preserve"> (og)</v>
      </c>
      <c r="AU39" s="252" t="str">
        <f t="shared" ca="1" si="58"/>
        <v xml:space="preserve"> (og)</v>
      </c>
      <c r="AV39" s="252" t="str">
        <f t="shared" ca="1" si="59"/>
        <v xml:space="preserve"> (og)</v>
      </c>
      <c r="AW39" s="252" t="str">
        <f t="shared" ca="1" si="60"/>
        <v xml:space="preserve"> (og)</v>
      </c>
      <c r="AX39" s="252" t="str">
        <f t="shared" ca="1" si="61"/>
        <v xml:space="preserve"> (og)</v>
      </c>
      <c r="AZ39" s="252" t="str">
        <f t="shared" ca="1" si="62"/>
        <v xml:space="preserve"> (og)</v>
      </c>
      <c r="BA39" s="252" t="str">
        <f t="shared" ca="1" si="63"/>
        <v xml:space="preserve"> (og)</v>
      </c>
      <c r="BB39" s="252" t="str">
        <f t="shared" ca="1" si="64"/>
        <v xml:space="preserve"> (og)</v>
      </c>
      <c r="BC39" s="252" t="str">
        <f t="shared" ca="1" si="65"/>
        <v xml:space="preserve"> (og)</v>
      </c>
      <c r="BD39" s="252" t="str">
        <f t="shared" ca="1" si="66"/>
        <v xml:space="preserve"> (og)</v>
      </c>
      <c r="BE39" s="252" t="str">
        <f t="shared" ca="1" si="67"/>
        <v xml:space="preserve"> (og)</v>
      </c>
      <c r="BF39" s="252" t="str">
        <f t="shared" ca="1" si="68"/>
        <v xml:space="preserve"> (og)</v>
      </c>
      <c r="BG39" s="252" t="str">
        <f t="shared" ca="1" si="69"/>
        <v xml:space="preserve"> (og)</v>
      </c>
      <c r="BI39" s="252" t="str">
        <f t="shared" ca="1" si="70"/>
        <v xml:space="preserve"> (og)</v>
      </c>
      <c r="BJ39" s="252" t="str">
        <f t="shared" ca="1" si="71"/>
        <v xml:space="preserve"> (og)</v>
      </c>
      <c r="BK39" s="252" t="str">
        <f t="shared" ca="1" si="72"/>
        <v xml:space="preserve"> (og)</v>
      </c>
      <c r="BL39" s="252" t="str">
        <f t="shared" ca="1" si="73"/>
        <v xml:space="preserve"> (og)</v>
      </c>
      <c r="BN39" s="252" t="str">
        <f t="shared" si="74"/>
        <v xml:space="preserve"> (og)</v>
      </c>
      <c r="BO39" s="252" t="str">
        <f t="shared" si="75"/>
        <v xml:space="preserve"> (og)</v>
      </c>
      <c r="BQ39" s="252" t="str">
        <f t="shared" ca="1" si="76"/>
        <v xml:space="preserve"> (og)</v>
      </c>
      <c r="BR39" s="252" t="str">
        <f t="shared" ca="1" si="77"/>
        <v xml:space="preserve"> (og)</v>
      </c>
      <c r="BT39" s="253" t="str">
        <f t="shared" ca="1" si="78"/>
        <v>Scotland</v>
      </c>
      <c r="BU39" s="253">
        <f t="shared" si="13"/>
        <v>37</v>
      </c>
      <c r="BV39" s="253" t="s">
        <v>996</v>
      </c>
      <c r="BW39" s="253">
        <f t="shared" si="79"/>
        <v>2</v>
      </c>
      <c r="BX39" s="253" t="str">
        <f t="shared" ca="1" si="80"/>
        <v>Ryan Christie</v>
      </c>
      <c r="BY39" s="253">
        <f ca="1">COUNTIF('Group Stages'!$J$8:$Q$80,BX39)+COUNTIF('Knock Out Stages'!$K$7:$R$45,BX39)</f>
        <v>0</v>
      </c>
      <c r="BZ39" s="255" t="s">
        <v>1022</v>
      </c>
      <c r="CA39" s="253" t="str">
        <f t="shared" ca="1" si="81"/>
        <v>Ryan Christie</v>
      </c>
      <c r="CB39" s="252">
        <v>36</v>
      </c>
      <c r="CC39" s="252" t="str">
        <f t="array" aca="1" ref="CC39" ca="1">IFERROR(INDEX($BX$3:$BX$810, SMALL(IF(COUNTIF(CC$3, $BY$3:$BY$810), ROW($BX$3:$BX$810)-MIN(ROW($BX$3:$BX$810))+1), $CB39), 0),"")</f>
        <v/>
      </c>
      <c r="CD39" s="252" t="str">
        <f t="array" aca="1" ref="CD39" ca="1">IFERROR(INDEX($BX$3:$BX$810, SMALL(IF(COUNTIF(CD$3, $BY$3:$BY$810), ROW($BX$3:$BX$810)-MIN(ROW($BX$3:$BX$810))+1), $CB39), 0),"")</f>
        <v/>
      </c>
      <c r="CE39" s="252" t="str">
        <f t="array" aca="1" ref="CE39" ca="1">IFERROR(INDEX($BX$3:$BX$810, SMALL(IF(COUNTIF(CE$3, $BY$3:$BY$810), ROW($BX$3:$BX$810)-MIN(ROW($BX$3:$BX$810))+1), $CB39), 0),"")</f>
        <v/>
      </c>
      <c r="CF39" s="252" t="str">
        <f t="array" aca="1" ref="CF39" ca="1">IFERROR(INDEX($BX$3:$BX$810, SMALL(IF(COUNTIF(CF$3, $BY$3:$BY$810), ROW($BX$3:$BX$810)-MIN(ROW($BX$3:$BX$810))+1), $CB39), 0),"")</f>
        <v/>
      </c>
      <c r="CG39" s="252" t="str">
        <f t="array" aca="1" ref="CG39" ca="1">IFERROR(INDEX($BX$3:$BX$810, SMALL(IF(COUNTIF(CG$3, $BY$3:$BY$810), ROW($BX$3:$BX$810)-MIN(ROW($BX$3:$BX$810))+1), $CB39), 0),"")</f>
        <v/>
      </c>
      <c r="CH39" s="252" t="str">
        <f t="array" aca="1" ref="CH39" ca="1">IFERROR(INDEX($BX$3:$BX$810, SMALL(IF(COUNTIF(CH$3, $BY$3:$BY$810), ROW($BX$3:$BX$810)-MIN(ROW($BX$3:$BX$810))+1), $CB39), 0),"")</f>
        <v/>
      </c>
      <c r="CI39" s="252" t="str">
        <f t="array" aca="1" ref="CI39" ca="1">IFERROR(INDEX($BX$3:$BX$810, SMALL(IF(COUNTIF(CI$3, $BY$3:$BY$810), ROW($BX$3:$BX$810)-MIN(ROW($BX$3:$BX$810))+1), $CB39), 0),"")</f>
        <v/>
      </c>
      <c r="CJ39" s="252" t="str">
        <f t="array" aca="1" ref="CJ39" ca="1">IFERROR(INDEX($BX$3:$BX$810, SMALL(IF(COUNTIF(CJ$3, $BY$3:$BY$810), ROW($BX$3:$BX$810)-MIN(ROW($BX$3:$BX$810))+1), $CB39), 0),"")</f>
        <v/>
      </c>
      <c r="CK39" s="252" t="str">
        <f t="array" aca="1" ref="CK39" ca="1">IFERROR(INDEX($BX$3:$BX$810, SMALL(IF(COUNTIF(CK$3, $BY$3:$BY$810), ROW($BX$3:$BX$810)-MIN(ROW($BX$3:$BX$810))+1), $CB39), 0),"")</f>
        <v/>
      </c>
      <c r="CL39" s="252" t="str">
        <f t="array" aca="1" ref="CL39" ca="1">IFERROR(INDEX($BX$3:$BX$810, SMALL(IF(COUNTIF(CL$3, $BY$3:$BY$810), ROW($BX$3:$BX$810)-MIN(ROW($BX$3:$BX$810))+1), $CB39), 0),"")</f>
        <v/>
      </c>
      <c r="CM39" s="252" t="str">
        <f t="array" aca="1" ref="CM39" ca="1">IFERROR(INDEX($BX$3:$BX$810, SMALL(IF(COUNTIF(CM$3, $BY$3:$BY$810), ROW($BX$3:$BX$810)-MIN(ROW($BX$3:$BX$810))+1), $CB39), 0),"")</f>
        <v/>
      </c>
      <c r="CN39" s="252" t="str">
        <f t="array" aca="1" ref="CN39" ca="1">IFERROR(INDEX($BX$3:$BX$810, SMALL(IF(COUNTIF(CN$3, $BY$3:$BY$810), ROW($BX$3:$BX$810)-MIN(ROW($BX$3:$BX$810))+1), $CB39), 0),"")</f>
        <v/>
      </c>
      <c r="CO39" s="252" t="str">
        <f t="array" aca="1" ref="CO39" ca="1">IFERROR(INDEX($BX$3:$BX$810, SMALL(IF(COUNTIF(CO$3, $BY$3:$BY$810), ROW($BX$3:$BX$810)-MIN(ROW($BX$3:$BX$810))+1), $CB39), 0),"")</f>
        <v/>
      </c>
      <c r="CP39" s="252" t="str">
        <f t="array" aca="1" ref="CP39" ca="1">IFERROR(INDEX($BX$3:$BX$810, SMALL(IF(COUNTIF(CP$3, $BY$3:$BY$810), ROW($BX$3:$BX$810)-MIN(ROW($BX$3:$BX$810))+1), $CB39), 0),"")</f>
        <v/>
      </c>
      <c r="CQ39" s="252" t="str">
        <f t="array" aca="1" ref="CQ39" ca="1">IFERROR(INDEX($BX$3:$BX$810, SMALL(IF(COUNTIF(CQ$3, $BY$3:$BY$810), ROW($BX$3:$BX$810)-MIN(ROW($BX$3:$BX$810))+1), $CB39), 0),"")</f>
        <v/>
      </c>
      <c r="CS39" s="252">
        <v>36</v>
      </c>
      <c r="CT39" s="252">
        <v>1</v>
      </c>
      <c r="CV39" s="252" t="str">
        <f t="shared" ca="1" si="8"/>
        <v/>
      </c>
      <c r="CW39" s="252">
        <f t="shared" ca="1" si="14"/>
        <v>0</v>
      </c>
      <c r="CZ39" s="252">
        <v>36</v>
      </c>
      <c r="DA39" s="252" t="str">
        <f t="shared" ca="1" si="15"/>
        <v/>
      </c>
      <c r="DB39" s="252" t="str">
        <f t="shared" ca="1" si="82"/>
        <v/>
      </c>
      <c r="DC39" s="252" t="str">
        <f t="shared" ca="1" si="83"/>
        <v/>
      </c>
      <c r="DD39" s="252" t="str">
        <f t="shared" ca="1" si="84"/>
        <v/>
      </c>
    </row>
    <row r="40" spans="1:108" x14ac:dyDescent="0.2">
      <c r="A40" s="252">
        <f t="shared" si="21"/>
        <v>12</v>
      </c>
      <c r="B40" s="252" t="str">
        <f t="shared" si="22"/>
        <v>Liam Kelly (og)</v>
      </c>
      <c r="C40" s="252" t="str">
        <f t="shared" si="23"/>
        <v>Oliver Baumann (og)</v>
      </c>
      <c r="D40" s="252" t="str">
        <f t="shared" si="24"/>
        <v>Oliver Baumann (og)</v>
      </c>
      <c r="E40" s="252" t="str">
        <f t="shared" si="25"/>
        <v>Oliver Baumann (og)</v>
      </c>
      <c r="F40" s="252" t="str">
        <f t="shared" si="26"/>
        <v>Elhan Kastrati (og)</v>
      </c>
      <c r="G40" s="252" t="str">
        <f t="shared" si="27"/>
        <v>Guglielmo Vicario (og)</v>
      </c>
      <c r="H40" s="252" t="str">
        <f t="shared" si="28"/>
        <v>Guglielmo Vicario (og)</v>
      </c>
      <c r="I40" s="252" t="str">
        <f t="shared" si="29"/>
        <v>Guglielmo Vicario (og)</v>
      </c>
      <c r="J40" s="252" t="str">
        <f t="shared" si="30"/>
        <v>Kieran Trippier (og)</v>
      </c>
      <c r="K40" s="252" t="str">
        <f t="shared" si="31"/>
        <v>Đorđe Petrović (og)</v>
      </c>
      <c r="L40" s="252" t="str">
        <f t="shared" si="32"/>
        <v>Đorđe Petrović (og)</v>
      </c>
      <c r="M40" s="252" t="str">
        <f t="shared" si="33"/>
        <v>Đorđe Petrović (og)</v>
      </c>
      <c r="N40" s="252" t="str">
        <f t="shared" si="34"/>
        <v>Jeremie Frimpong (og)</v>
      </c>
      <c r="O40" s="252" t="str">
        <f t="shared" si="35"/>
        <v>Łukasz Skorupski (og)</v>
      </c>
      <c r="P40" s="252" t="str">
        <f t="shared" si="36"/>
        <v>Łukasz Skorupski (og)</v>
      </c>
      <c r="Q40" s="252" t="str">
        <f t="shared" si="37"/>
        <v>Łukasz Skorupski (og)</v>
      </c>
      <c r="R40" s="252" t="str">
        <f t="shared" si="38"/>
        <v>Marek Rodák (og)</v>
      </c>
      <c r="S40" s="252" t="str">
        <f t="shared" si="39"/>
        <v>Thomas Kaminski (og)</v>
      </c>
      <c r="T40" s="252" t="str">
        <f t="shared" si="40"/>
        <v>Thomas Kaminski (og)</v>
      </c>
      <c r="U40" s="252" t="str">
        <f t="shared" si="41"/>
        <v>Thomas Kaminski (og)</v>
      </c>
      <c r="V40" s="252" t="str">
        <f t="shared" si="42"/>
        <v>David Douděra (og)</v>
      </c>
      <c r="W40" s="252" t="str">
        <f t="shared" si="43"/>
        <v>José Sá (og)</v>
      </c>
      <c r="X40" s="252" t="str">
        <f t="shared" si="44"/>
        <v>José Sá (og)</v>
      </c>
      <c r="Y40" s="252" t="str">
        <f t="shared" si="45"/>
        <v>José Sá (og)</v>
      </c>
      <c r="AI40" s="252" t="str">
        <f t="shared" ca="1" si="46"/>
        <v xml:space="preserve"> (og)</v>
      </c>
      <c r="AJ40" s="252" t="str">
        <f t="shared" ca="1" si="47"/>
        <v xml:space="preserve"> (og)</v>
      </c>
      <c r="AK40" s="252" t="str">
        <f t="shared" ca="1" si="48"/>
        <v xml:space="preserve"> (og)</v>
      </c>
      <c r="AL40" s="252" t="str">
        <f t="shared" ca="1" si="49"/>
        <v xml:space="preserve"> (og)</v>
      </c>
      <c r="AM40" s="252" t="str">
        <f t="shared" ca="1" si="50"/>
        <v xml:space="preserve"> (og)</v>
      </c>
      <c r="AN40" s="252" t="str">
        <f t="shared" ca="1" si="51"/>
        <v xml:space="preserve"> (og)</v>
      </c>
      <c r="AO40" s="252" t="str">
        <f t="shared" ca="1" si="52"/>
        <v xml:space="preserve"> (og)</v>
      </c>
      <c r="AP40" s="252" t="str">
        <f t="shared" ca="1" si="53"/>
        <v xml:space="preserve"> (og)</v>
      </c>
      <c r="AQ40" s="252" t="str">
        <f t="shared" ca="1" si="54"/>
        <v xml:space="preserve"> (og)</v>
      </c>
      <c r="AR40" s="252" t="str">
        <f t="shared" ca="1" si="55"/>
        <v xml:space="preserve"> (og)</v>
      </c>
      <c r="AS40" s="252" t="str">
        <f t="shared" ca="1" si="56"/>
        <v xml:space="preserve"> (og)</v>
      </c>
      <c r="AT40" s="252" t="str">
        <f t="shared" ca="1" si="57"/>
        <v xml:space="preserve"> (og)</v>
      </c>
      <c r="AU40" s="252" t="str">
        <f t="shared" ca="1" si="58"/>
        <v xml:space="preserve"> (og)</v>
      </c>
      <c r="AV40" s="252" t="str">
        <f t="shared" ca="1" si="59"/>
        <v xml:space="preserve"> (og)</v>
      </c>
      <c r="AW40" s="252" t="str">
        <f t="shared" ca="1" si="60"/>
        <v xml:space="preserve"> (og)</v>
      </c>
      <c r="AX40" s="252" t="str">
        <f t="shared" ca="1" si="61"/>
        <v xml:space="preserve"> (og)</v>
      </c>
      <c r="AZ40" s="252" t="str">
        <f t="shared" ca="1" si="62"/>
        <v xml:space="preserve"> (og)</v>
      </c>
      <c r="BA40" s="252" t="str">
        <f t="shared" ca="1" si="63"/>
        <v xml:space="preserve"> (og)</v>
      </c>
      <c r="BB40" s="252" t="str">
        <f t="shared" ca="1" si="64"/>
        <v xml:space="preserve"> (og)</v>
      </c>
      <c r="BC40" s="252" t="str">
        <f t="shared" ca="1" si="65"/>
        <v xml:space="preserve"> (og)</v>
      </c>
      <c r="BD40" s="252" t="str">
        <f t="shared" ca="1" si="66"/>
        <v xml:space="preserve"> (og)</v>
      </c>
      <c r="BE40" s="252" t="str">
        <f t="shared" ca="1" si="67"/>
        <v xml:space="preserve"> (og)</v>
      </c>
      <c r="BF40" s="252" t="str">
        <f t="shared" ca="1" si="68"/>
        <v xml:space="preserve"> (og)</v>
      </c>
      <c r="BG40" s="252" t="str">
        <f t="shared" ca="1" si="69"/>
        <v xml:space="preserve"> (og)</v>
      </c>
      <c r="BI40" s="252" t="str">
        <f t="shared" ca="1" si="70"/>
        <v xml:space="preserve"> (og)</v>
      </c>
      <c r="BJ40" s="252" t="str">
        <f t="shared" ca="1" si="71"/>
        <v xml:space="preserve"> (og)</v>
      </c>
      <c r="BK40" s="252" t="str">
        <f t="shared" ca="1" si="72"/>
        <v xml:space="preserve"> (og)</v>
      </c>
      <c r="BL40" s="252" t="str">
        <f t="shared" ca="1" si="73"/>
        <v xml:space="preserve"> (og)</v>
      </c>
      <c r="BN40" s="252" t="str">
        <f t="shared" si="74"/>
        <v xml:space="preserve"> (og)</v>
      </c>
      <c r="BO40" s="252" t="str">
        <f t="shared" si="75"/>
        <v xml:space="preserve"> (og)</v>
      </c>
      <c r="BQ40" s="252" t="str">
        <f t="shared" ca="1" si="76"/>
        <v xml:space="preserve"> (og)</v>
      </c>
      <c r="BR40" s="252" t="str">
        <f t="shared" ca="1" si="77"/>
        <v xml:space="preserve"> (og)</v>
      </c>
      <c r="BT40" s="253" t="str">
        <f t="shared" ca="1" si="78"/>
        <v>Scotland</v>
      </c>
      <c r="BU40" s="253">
        <f t="shared" si="13"/>
        <v>38</v>
      </c>
      <c r="BV40" s="253" t="s">
        <v>997</v>
      </c>
      <c r="BW40" s="253">
        <f t="shared" si="79"/>
        <v>2</v>
      </c>
      <c r="BX40" s="253" t="str">
        <f t="shared" ca="1" si="80"/>
        <v>Liam Kelly</v>
      </c>
      <c r="BY40" s="253">
        <f ca="1">COUNTIF('Group Stages'!$J$8:$Q$80,BX40)+COUNTIF('Knock Out Stages'!$K$7:$R$45,BX40)</f>
        <v>0</v>
      </c>
      <c r="BZ40" s="255" t="s">
        <v>1023</v>
      </c>
      <c r="CA40" s="253" t="str">
        <f t="shared" ca="1" si="81"/>
        <v>Liam Kelly</v>
      </c>
      <c r="CB40" s="252">
        <v>37</v>
      </c>
      <c r="CC40" s="252" t="str">
        <f t="array" aca="1" ref="CC40" ca="1">IFERROR(INDEX($BX$3:$BX$810, SMALL(IF(COUNTIF(CC$3, $BY$3:$BY$810), ROW($BX$3:$BX$810)-MIN(ROW($BX$3:$BX$810))+1), $CB40), 0),"")</f>
        <v/>
      </c>
      <c r="CD40" s="252" t="str">
        <f t="array" aca="1" ref="CD40" ca="1">IFERROR(INDEX($BX$3:$BX$810, SMALL(IF(COUNTIF(CD$3, $BY$3:$BY$810), ROW($BX$3:$BX$810)-MIN(ROW($BX$3:$BX$810))+1), $CB40), 0),"")</f>
        <v/>
      </c>
      <c r="CE40" s="252" t="str">
        <f t="array" aca="1" ref="CE40" ca="1">IFERROR(INDEX($BX$3:$BX$810, SMALL(IF(COUNTIF(CE$3, $BY$3:$BY$810), ROW($BX$3:$BX$810)-MIN(ROW($BX$3:$BX$810))+1), $CB40), 0),"")</f>
        <v/>
      </c>
      <c r="CF40" s="252" t="str">
        <f t="array" aca="1" ref="CF40" ca="1">IFERROR(INDEX($BX$3:$BX$810, SMALL(IF(COUNTIF(CF$3, $BY$3:$BY$810), ROW($BX$3:$BX$810)-MIN(ROW($BX$3:$BX$810))+1), $CB40), 0),"")</f>
        <v/>
      </c>
      <c r="CG40" s="252" t="str">
        <f t="array" aca="1" ref="CG40" ca="1">IFERROR(INDEX($BX$3:$BX$810, SMALL(IF(COUNTIF(CG$3, $BY$3:$BY$810), ROW($BX$3:$BX$810)-MIN(ROW($BX$3:$BX$810))+1), $CB40), 0),"")</f>
        <v/>
      </c>
      <c r="CH40" s="252" t="str">
        <f t="array" aca="1" ref="CH40" ca="1">IFERROR(INDEX($BX$3:$BX$810, SMALL(IF(COUNTIF(CH$3, $BY$3:$BY$810), ROW($BX$3:$BX$810)-MIN(ROW($BX$3:$BX$810))+1), $CB40), 0),"")</f>
        <v/>
      </c>
      <c r="CI40" s="252" t="str">
        <f t="array" aca="1" ref="CI40" ca="1">IFERROR(INDEX($BX$3:$BX$810, SMALL(IF(COUNTIF(CI$3, $BY$3:$BY$810), ROW($BX$3:$BX$810)-MIN(ROW($BX$3:$BX$810))+1), $CB40), 0),"")</f>
        <v/>
      </c>
      <c r="CJ40" s="252" t="str">
        <f t="array" aca="1" ref="CJ40" ca="1">IFERROR(INDEX($BX$3:$BX$810, SMALL(IF(COUNTIF(CJ$3, $BY$3:$BY$810), ROW($BX$3:$BX$810)-MIN(ROW($BX$3:$BX$810))+1), $CB40), 0),"")</f>
        <v/>
      </c>
      <c r="CK40" s="252" t="str">
        <f t="array" aca="1" ref="CK40" ca="1">IFERROR(INDEX($BX$3:$BX$810, SMALL(IF(COUNTIF(CK$3, $BY$3:$BY$810), ROW($BX$3:$BX$810)-MIN(ROW($BX$3:$BX$810))+1), $CB40), 0),"")</f>
        <v/>
      </c>
      <c r="CL40" s="252" t="str">
        <f t="array" aca="1" ref="CL40" ca="1">IFERROR(INDEX($BX$3:$BX$810, SMALL(IF(COUNTIF(CL$3, $BY$3:$BY$810), ROW($BX$3:$BX$810)-MIN(ROW($BX$3:$BX$810))+1), $CB40), 0),"")</f>
        <v/>
      </c>
      <c r="CM40" s="252" t="str">
        <f t="array" aca="1" ref="CM40" ca="1">IFERROR(INDEX($BX$3:$BX$810, SMALL(IF(COUNTIF(CM$3, $BY$3:$BY$810), ROW($BX$3:$BX$810)-MIN(ROW($BX$3:$BX$810))+1), $CB40), 0),"")</f>
        <v/>
      </c>
      <c r="CN40" s="252" t="str">
        <f t="array" aca="1" ref="CN40" ca="1">IFERROR(INDEX($BX$3:$BX$810, SMALL(IF(COUNTIF(CN$3, $BY$3:$BY$810), ROW($BX$3:$BX$810)-MIN(ROW($BX$3:$BX$810))+1), $CB40), 0),"")</f>
        <v/>
      </c>
      <c r="CO40" s="252" t="str">
        <f t="array" aca="1" ref="CO40" ca="1">IFERROR(INDEX($BX$3:$BX$810, SMALL(IF(COUNTIF(CO$3, $BY$3:$BY$810), ROW($BX$3:$BX$810)-MIN(ROW($BX$3:$BX$810))+1), $CB40), 0),"")</f>
        <v/>
      </c>
      <c r="CP40" s="252" t="str">
        <f t="array" aca="1" ref="CP40" ca="1">IFERROR(INDEX($BX$3:$BX$810, SMALL(IF(COUNTIF(CP$3, $BY$3:$BY$810), ROW($BX$3:$BX$810)-MIN(ROW($BX$3:$BX$810))+1), $CB40), 0),"")</f>
        <v/>
      </c>
      <c r="CQ40" s="252" t="str">
        <f t="array" aca="1" ref="CQ40" ca="1">IFERROR(INDEX($BX$3:$BX$810, SMALL(IF(COUNTIF(CQ$3, $BY$3:$BY$810), ROW($BX$3:$BX$810)-MIN(ROW($BX$3:$BX$810))+1), $CB40), 0),"")</f>
        <v/>
      </c>
      <c r="CS40" s="252">
        <v>37</v>
      </c>
      <c r="CT40" s="252">
        <v>1</v>
      </c>
      <c r="CV40" s="252" t="str">
        <f t="shared" ca="1" si="8"/>
        <v/>
      </c>
      <c r="CW40" s="252">
        <f t="shared" ca="1" si="14"/>
        <v>0</v>
      </c>
      <c r="CZ40" s="252">
        <v>37</v>
      </c>
      <c r="DA40" s="252" t="str">
        <f t="shared" ca="1" si="15"/>
        <v/>
      </c>
      <c r="DB40" s="252" t="str">
        <f t="shared" ca="1" si="82"/>
        <v/>
      </c>
      <c r="DC40" s="252" t="str">
        <f t="shared" ca="1" si="83"/>
        <v/>
      </c>
      <c r="DD40" s="252" t="str">
        <f t="shared" ca="1" si="84"/>
        <v/>
      </c>
    </row>
    <row r="41" spans="1:108" x14ac:dyDescent="0.2">
      <c r="A41" s="252">
        <f t="shared" si="21"/>
        <v>13</v>
      </c>
      <c r="B41" s="252" t="str">
        <f t="shared" si="22"/>
        <v>Jack Hendry (og)</v>
      </c>
      <c r="C41" s="252" t="str">
        <f t="shared" si="23"/>
        <v>Thomas Müller (og)</v>
      </c>
      <c r="D41" s="252" t="str">
        <f t="shared" si="24"/>
        <v>Thomas Müller (og)</v>
      </c>
      <c r="E41" s="252" t="str">
        <f t="shared" si="25"/>
        <v>Thomas Müller (og)</v>
      </c>
      <c r="F41" s="252" t="str">
        <f t="shared" si="26"/>
        <v>Enea Mihaj (og)</v>
      </c>
      <c r="G41" s="252" t="str">
        <f t="shared" si="27"/>
        <v>Matteo Darmian (og)</v>
      </c>
      <c r="H41" s="252" t="str">
        <f t="shared" si="28"/>
        <v>Matteo Darmian (og)</v>
      </c>
      <c r="I41" s="252" t="str">
        <f t="shared" si="29"/>
        <v>Matteo Darmian (og)</v>
      </c>
      <c r="J41" s="252" t="str">
        <f t="shared" si="30"/>
        <v>Aaron Ramsdale (og)</v>
      </c>
      <c r="K41" s="252" t="str">
        <f t="shared" si="31"/>
        <v>Miloš Veljković (og)</v>
      </c>
      <c r="L41" s="252" t="str">
        <f t="shared" si="32"/>
        <v>Miloš Veljković (og)</v>
      </c>
      <c r="M41" s="252" t="str">
        <f t="shared" si="33"/>
        <v>Miloš Veljković (og)</v>
      </c>
      <c r="N41" s="252" t="str">
        <f t="shared" si="34"/>
        <v>Justin Bijlow (og)</v>
      </c>
      <c r="O41" s="252" t="str">
        <f t="shared" si="35"/>
        <v>Taras Romanczuk (og)</v>
      </c>
      <c r="P41" s="252" t="str">
        <f t="shared" si="36"/>
        <v>Taras Romanczuk (og)</v>
      </c>
      <c r="Q41" s="252" t="str">
        <f t="shared" si="37"/>
        <v>Taras Romanczuk (og)</v>
      </c>
      <c r="R41" s="252" t="str">
        <f t="shared" si="38"/>
        <v>Patrik Hrošovský (og)</v>
      </c>
      <c r="S41" s="252" t="str">
        <f t="shared" si="39"/>
        <v>Matz Sels (og)</v>
      </c>
      <c r="T41" s="252" t="str">
        <f t="shared" si="40"/>
        <v>Matz Sels (og)</v>
      </c>
      <c r="U41" s="252" t="str">
        <f t="shared" si="41"/>
        <v>Matz Sels (og)</v>
      </c>
      <c r="V41" s="252" t="str">
        <f t="shared" si="42"/>
        <v>Mojmír Chytil (og)</v>
      </c>
      <c r="W41" s="252" t="str">
        <f t="shared" si="43"/>
        <v>Danilo Pereira (og)</v>
      </c>
      <c r="X41" s="252" t="str">
        <f t="shared" si="44"/>
        <v>Danilo Pereira (og)</v>
      </c>
      <c r="Y41" s="252" t="str">
        <f t="shared" si="45"/>
        <v>Danilo Pereira (og)</v>
      </c>
      <c r="AI41" s="252" t="str">
        <f t="shared" ca="1" si="46"/>
        <v xml:space="preserve"> (og)</v>
      </c>
      <c r="AJ41" s="252" t="str">
        <f t="shared" ca="1" si="47"/>
        <v xml:space="preserve"> (og)</v>
      </c>
      <c r="AK41" s="252" t="str">
        <f t="shared" ca="1" si="48"/>
        <v xml:space="preserve"> (og)</v>
      </c>
      <c r="AL41" s="252" t="str">
        <f t="shared" ca="1" si="49"/>
        <v xml:space="preserve"> (og)</v>
      </c>
      <c r="AM41" s="252" t="str">
        <f t="shared" ca="1" si="50"/>
        <v xml:space="preserve"> (og)</v>
      </c>
      <c r="AN41" s="252" t="str">
        <f t="shared" ca="1" si="51"/>
        <v xml:space="preserve"> (og)</v>
      </c>
      <c r="AO41" s="252" t="str">
        <f t="shared" ca="1" si="52"/>
        <v xml:space="preserve"> (og)</v>
      </c>
      <c r="AP41" s="252" t="str">
        <f t="shared" ca="1" si="53"/>
        <v xml:space="preserve"> (og)</v>
      </c>
      <c r="AQ41" s="252" t="str">
        <f t="shared" ca="1" si="54"/>
        <v xml:space="preserve"> (og)</v>
      </c>
      <c r="AR41" s="252" t="str">
        <f t="shared" ca="1" si="55"/>
        <v xml:space="preserve"> (og)</v>
      </c>
      <c r="AS41" s="252" t="str">
        <f t="shared" ca="1" si="56"/>
        <v xml:space="preserve"> (og)</v>
      </c>
      <c r="AT41" s="252" t="str">
        <f t="shared" ca="1" si="57"/>
        <v xml:space="preserve"> (og)</v>
      </c>
      <c r="AU41" s="252" t="str">
        <f t="shared" ca="1" si="58"/>
        <v xml:space="preserve"> (og)</v>
      </c>
      <c r="AV41" s="252" t="str">
        <f t="shared" ca="1" si="59"/>
        <v xml:space="preserve"> (og)</v>
      </c>
      <c r="AW41" s="252" t="str">
        <f t="shared" ca="1" si="60"/>
        <v xml:space="preserve"> (og)</v>
      </c>
      <c r="AX41" s="252" t="str">
        <f t="shared" ca="1" si="61"/>
        <v xml:space="preserve"> (og)</v>
      </c>
      <c r="AZ41" s="252" t="str">
        <f t="shared" ca="1" si="62"/>
        <v xml:space="preserve"> (og)</v>
      </c>
      <c r="BA41" s="252" t="str">
        <f t="shared" ca="1" si="63"/>
        <v xml:space="preserve"> (og)</v>
      </c>
      <c r="BB41" s="252" t="str">
        <f t="shared" ca="1" si="64"/>
        <v xml:space="preserve"> (og)</v>
      </c>
      <c r="BC41" s="252" t="str">
        <f t="shared" ca="1" si="65"/>
        <v xml:space="preserve"> (og)</v>
      </c>
      <c r="BD41" s="252" t="str">
        <f t="shared" ca="1" si="66"/>
        <v xml:space="preserve"> (og)</v>
      </c>
      <c r="BE41" s="252" t="str">
        <f t="shared" ca="1" si="67"/>
        <v xml:space="preserve"> (og)</v>
      </c>
      <c r="BF41" s="252" t="str">
        <f t="shared" ca="1" si="68"/>
        <v xml:space="preserve"> (og)</v>
      </c>
      <c r="BG41" s="252" t="str">
        <f t="shared" ca="1" si="69"/>
        <v xml:space="preserve"> (og)</v>
      </c>
      <c r="BI41" s="252" t="str">
        <f t="shared" ca="1" si="70"/>
        <v xml:space="preserve"> (og)</v>
      </c>
      <c r="BJ41" s="252" t="str">
        <f t="shared" ca="1" si="71"/>
        <v xml:space="preserve"> (og)</v>
      </c>
      <c r="BK41" s="252" t="str">
        <f t="shared" ca="1" si="72"/>
        <v xml:space="preserve"> (og)</v>
      </c>
      <c r="BL41" s="252" t="str">
        <f t="shared" ca="1" si="73"/>
        <v xml:space="preserve"> (og)</v>
      </c>
      <c r="BN41" s="252" t="str">
        <f t="shared" si="74"/>
        <v xml:space="preserve"> (og)</v>
      </c>
      <c r="BO41" s="252" t="str">
        <f t="shared" si="75"/>
        <v xml:space="preserve"> (og)</v>
      </c>
      <c r="BQ41" s="252" t="str">
        <f t="shared" ca="1" si="76"/>
        <v xml:space="preserve"> (og)</v>
      </c>
      <c r="BR41" s="252" t="str">
        <f t="shared" ca="1" si="77"/>
        <v xml:space="preserve"> (og)</v>
      </c>
      <c r="BT41" s="253" t="str">
        <f t="shared" ca="1" si="78"/>
        <v>Scotland</v>
      </c>
      <c r="BU41" s="253">
        <f t="shared" si="13"/>
        <v>39</v>
      </c>
      <c r="BV41" s="253" t="s">
        <v>998</v>
      </c>
      <c r="BW41" s="253">
        <f t="shared" si="79"/>
        <v>2</v>
      </c>
      <c r="BX41" s="253" t="str">
        <f t="shared" ca="1" si="80"/>
        <v>Jack Hendry</v>
      </c>
      <c r="BY41" s="253">
        <f ca="1">COUNTIF('Group Stages'!$J$8:$Q$80,BX41)+COUNTIF('Knock Out Stages'!$K$7:$R$45,BX41)</f>
        <v>0</v>
      </c>
      <c r="BZ41" s="255" t="s">
        <v>1024</v>
      </c>
      <c r="CA41" s="253" t="str">
        <f t="shared" ca="1" si="81"/>
        <v>Jack Hendry</v>
      </c>
      <c r="CB41" s="252">
        <v>38</v>
      </c>
      <c r="CC41" s="252" t="str">
        <f t="array" aca="1" ref="CC41" ca="1">IFERROR(INDEX($BX$3:$BX$810, SMALL(IF(COUNTIF(CC$3, $BY$3:$BY$810), ROW($BX$3:$BX$810)-MIN(ROW($BX$3:$BX$810))+1), $CB41), 0),"")</f>
        <v/>
      </c>
      <c r="CD41" s="252" t="str">
        <f t="array" aca="1" ref="CD41" ca="1">IFERROR(INDEX($BX$3:$BX$810, SMALL(IF(COUNTIF(CD$3, $BY$3:$BY$810), ROW($BX$3:$BX$810)-MIN(ROW($BX$3:$BX$810))+1), $CB41), 0),"")</f>
        <v/>
      </c>
      <c r="CE41" s="252" t="str">
        <f t="array" aca="1" ref="CE41" ca="1">IFERROR(INDEX($BX$3:$BX$810, SMALL(IF(COUNTIF(CE$3, $BY$3:$BY$810), ROW($BX$3:$BX$810)-MIN(ROW($BX$3:$BX$810))+1), $CB41), 0),"")</f>
        <v/>
      </c>
      <c r="CF41" s="252" t="str">
        <f t="array" aca="1" ref="CF41" ca="1">IFERROR(INDEX($BX$3:$BX$810, SMALL(IF(COUNTIF(CF$3, $BY$3:$BY$810), ROW($BX$3:$BX$810)-MIN(ROW($BX$3:$BX$810))+1), $CB41), 0),"")</f>
        <v/>
      </c>
      <c r="CG41" s="252" t="str">
        <f t="array" aca="1" ref="CG41" ca="1">IFERROR(INDEX($BX$3:$BX$810, SMALL(IF(COUNTIF(CG$3, $BY$3:$BY$810), ROW($BX$3:$BX$810)-MIN(ROW($BX$3:$BX$810))+1), $CB41), 0),"")</f>
        <v/>
      </c>
      <c r="CH41" s="252" t="str">
        <f t="array" aca="1" ref="CH41" ca="1">IFERROR(INDEX($BX$3:$BX$810, SMALL(IF(COUNTIF(CH$3, $BY$3:$BY$810), ROW($BX$3:$BX$810)-MIN(ROW($BX$3:$BX$810))+1), $CB41), 0),"")</f>
        <v/>
      </c>
      <c r="CI41" s="252" t="str">
        <f t="array" aca="1" ref="CI41" ca="1">IFERROR(INDEX($BX$3:$BX$810, SMALL(IF(COUNTIF(CI$3, $BY$3:$BY$810), ROW($BX$3:$BX$810)-MIN(ROW($BX$3:$BX$810))+1), $CB41), 0),"")</f>
        <v/>
      </c>
      <c r="CJ41" s="252" t="str">
        <f t="array" aca="1" ref="CJ41" ca="1">IFERROR(INDEX($BX$3:$BX$810, SMALL(IF(COUNTIF(CJ$3, $BY$3:$BY$810), ROW($BX$3:$BX$810)-MIN(ROW($BX$3:$BX$810))+1), $CB41), 0),"")</f>
        <v/>
      </c>
      <c r="CK41" s="252" t="str">
        <f t="array" aca="1" ref="CK41" ca="1">IFERROR(INDEX($BX$3:$BX$810, SMALL(IF(COUNTIF(CK$3, $BY$3:$BY$810), ROW($BX$3:$BX$810)-MIN(ROW($BX$3:$BX$810))+1), $CB41), 0),"")</f>
        <v/>
      </c>
      <c r="CL41" s="252" t="str">
        <f t="array" aca="1" ref="CL41" ca="1">IFERROR(INDEX($BX$3:$BX$810, SMALL(IF(COUNTIF(CL$3, $BY$3:$BY$810), ROW($BX$3:$BX$810)-MIN(ROW($BX$3:$BX$810))+1), $CB41), 0),"")</f>
        <v/>
      </c>
      <c r="CM41" s="252" t="str">
        <f t="array" aca="1" ref="CM41" ca="1">IFERROR(INDEX($BX$3:$BX$810, SMALL(IF(COUNTIF(CM$3, $BY$3:$BY$810), ROW($BX$3:$BX$810)-MIN(ROW($BX$3:$BX$810))+1), $CB41), 0),"")</f>
        <v/>
      </c>
      <c r="CN41" s="252" t="str">
        <f t="array" aca="1" ref="CN41" ca="1">IFERROR(INDEX($BX$3:$BX$810, SMALL(IF(COUNTIF(CN$3, $BY$3:$BY$810), ROW($BX$3:$BX$810)-MIN(ROW($BX$3:$BX$810))+1), $CB41), 0),"")</f>
        <v/>
      </c>
      <c r="CO41" s="252" t="str">
        <f t="array" aca="1" ref="CO41" ca="1">IFERROR(INDEX($BX$3:$BX$810, SMALL(IF(COUNTIF(CO$3, $BY$3:$BY$810), ROW($BX$3:$BX$810)-MIN(ROW($BX$3:$BX$810))+1), $CB41), 0),"")</f>
        <v/>
      </c>
      <c r="CP41" s="252" t="str">
        <f t="array" aca="1" ref="CP41" ca="1">IFERROR(INDEX($BX$3:$BX$810, SMALL(IF(COUNTIF(CP$3, $BY$3:$BY$810), ROW($BX$3:$BX$810)-MIN(ROW($BX$3:$BX$810))+1), $CB41), 0),"")</f>
        <v/>
      </c>
      <c r="CQ41" s="252" t="str">
        <f t="array" aca="1" ref="CQ41" ca="1">IFERROR(INDEX($BX$3:$BX$810, SMALL(IF(COUNTIF(CQ$3, $BY$3:$BY$810), ROW($BX$3:$BX$810)-MIN(ROW($BX$3:$BX$810))+1), $CB41), 0),"")</f>
        <v/>
      </c>
      <c r="CS41" s="252">
        <v>38</v>
      </c>
      <c r="CT41" s="252">
        <v>1</v>
      </c>
      <c r="CV41" s="252" t="str">
        <f t="shared" ca="1" si="8"/>
        <v/>
      </c>
      <c r="CW41" s="252">
        <f t="shared" ca="1" si="14"/>
        <v>0</v>
      </c>
      <c r="CZ41" s="252">
        <v>38</v>
      </c>
      <c r="DA41" s="252" t="str">
        <f t="shared" ca="1" si="15"/>
        <v/>
      </c>
      <c r="DB41" s="252" t="str">
        <f t="shared" ca="1" si="82"/>
        <v/>
      </c>
      <c r="DC41" s="252" t="str">
        <f t="shared" ca="1" si="83"/>
        <v/>
      </c>
      <c r="DD41" s="252" t="str">
        <f t="shared" ca="1" si="84"/>
        <v/>
      </c>
    </row>
    <row r="42" spans="1:108" x14ac:dyDescent="0.2">
      <c r="A42" s="252">
        <f t="shared" si="21"/>
        <v>14</v>
      </c>
      <c r="B42" s="252" t="str">
        <f t="shared" si="22"/>
        <v>Billy Gilmour (og)</v>
      </c>
      <c r="C42" s="252" t="str">
        <f t="shared" si="23"/>
        <v>Maximilian Beier (og)</v>
      </c>
      <c r="D42" s="252" t="str">
        <f t="shared" si="24"/>
        <v>Maximilian Beier (og)</v>
      </c>
      <c r="E42" s="252" t="str">
        <f t="shared" si="25"/>
        <v>Maximilian Beier (og)</v>
      </c>
      <c r="F42" s="252" t="str">
        <f t="shared" si="26"/>
        <v>Qazim Laçi (og)</v>
      </c>
      <c r="G42" s="252" t="str">
        <f t="shared" si="27"/>
        <v>Federico Chiesa (og)</v>
      </c>
      <c r="H42" s="252" t="str">
        <f t="shared" si="28"/>
        <v>Federico Chiesa (og)</v>
      </c>
      <c r="I42" s="252" t="str">
        <f t="shared" si="29"/>
        <v>Federico Chiesa (og)</v>
      </c>
      <c r="J42" s="252" t="str">
        <f t="shared" si="30"/>
        <v>Ezri Konsa (og)</v>
      </c>
      <c r="K42" s="252" t="str">
        <f t="shared" si="31"/>
        <v>Andrija Živković (og)</v>
      </c>
      <c r="L42" s="252" t="str">
        <f t="shared" si="32"/>
        <v>Andrija Živković (og)</v>
      </c>
      <c r="M42" s="252" t="str">
        <f t="shared" si="33"/>
        <v>Andrija Živković (og)</v>
      </c>
      <c r="N42" s="252" t="str">
        <f t="shared" si="34"/>
        <v>Tijjani Reijnders (og)</v>
      </c>
      <c r="O42" s="252" t="str">
        <f t="shared" si="35"/>
        <v>Jakub Kiwior (og)</v>
      </c>
      <c r="P42" s="252" t="str">
        <f t="shared" si="36"/>
        <v>Jakub Kiwior (og)</v>
      </c>
      <c r="Q42" s="252" t="str">
        <f t="shared" si="37"/>
        <v>Jakub Kiwior (og)</v>
      </c>
      <c r="R42" s="252" t="str">
        <f t="shared" si="38"/>
        <v>Milan Škriniar (og)</v>
      </c>
      <c r="S42" s="252" t="str">
        <f t="shared" si="39"/>
        <v>Dodi Lukebakio (og)</v>
      </c>
      <c r="T42" s="252" t="str">
        <f t="shared" si="40"/>
        <v>Dodi Lukebakio (og)</v>
      </c>
      <c r="U42" s="252" t="str">
        <f t="shared" si="41"/>
        <v>Dodi Lukebakio (og)</v>
      </c>
      <c r="V42" s="252" t="str">
        <f t="shared" si="42"/>
        <v>Lukáš Provod (og)</v>
      </c>
      <c r="W42" s="252" t="str">
        <f t="shared" si="43"/>
        <v>Gonçalo Inácio (og)</v>
      </c>
      <c r="X42" s="252" t="str">
        <f t="shared" si="44"/>
        <v>Gonçalo Inácio (og)</v>
      </c>
      <c r="Y42" s="252" t="str">
        <f t="shared" si="45"/>
        <v>Gonçalo Inácio (og)</v>
      </c>
      <c r="AI42" s="252" t="str">
        <f t="shared" ca="1" si="46"/>
        <v xml:space="preserve"> (og)</v>
      </c>
      <c r="AJ42" s="252" t="str">
        <f t="shared" ca="1" si="47"/>
        <v xml:space="preserve"> (og)</v>
      </c>
      <c r="AK42" s="252" t="str">
        <f t="shared" ca="1" si="48"/>
        <v xml:space="preserve"> (og)</v>
      </c>
      <c r="AL42" s="252" t="str">
        <f t="shared" ca="1" si="49"/>
        <v xml:space="preserve"> (og)</v>
      </c>
      <c r="AM42" s="252" t="str">
        <f t="shared" ca="1" si="50"/>
        <v xml:space="preserve"> (og)</v>
      </c>
      <c r="AN42" s="252" t="str">
        <f t="shared" ca="1" si="51"/>
        <v xml:space="preserve"> (og)</v>
      </c>
      <c r="AO42" s="252" t="str">
        <f t="shared" ca="1" si="52"/>
        <v xml:space="preserve"> (og)</v>
      </c>
      <c r="AP42" s="252" t="str">
        <f t="shared" ca="1" si="53"/>
        <v xml:space="preserve"> (og)</v>
      </c>
      <c r="AQ42" s="252" t="str">
        <f t="shared" ca="1" si="54"/>
        <v xml:space="preserve"> (og)</v>
      </c>
      <c r="AR42" s="252" t="str">
        <f t="shared" ca="1" si="55"/>
        <v xml:space="preserve"> (og)</v>
      </c>
      <c r="AS42" s="252" t="str">
        <f t="shared" ca="1" si="56"/>
        <v xml:space="preserve"> (og)</v>
      </c>
      <c r="AT42" s="252" t="str">
        <f t="shared" ca="1" si="57"/>
        <v xml:space="preserve"> (og)</v>
      </c>
      <c r="AU42" s="252" t="str">
        <f t="shared" ca="1" si="58"/>
        <v xml:space="preserve"> (og)</v>
      </c>
      <c r="AV42" s="252" t="str">
        <f t="shared" ca="1" si="59"/>
        <v xml:space="preserve"> (og)</v>
      </c>
      <c r="AW42" s="252" t="str">
        <f t="shared" ca="1" si="60"/>
        <v xml:space="preserve"> (og)</v>
      </c>
      <c r="AX42" s="252" t="str">
        <f t="shared" ca="1" si="61"/>
        <v xml:space="preserve"> (og)</v>
      </c>
      <c r="AZ42" s="252" t="str">
        <f t="shared" ca="1" si="62"/>
        <v xml:space="preserve"> (og)</v>
      </c>
      <c r="BA42" s="252" t="str">
        <f t="shared" ca="1" si="63"/>
        <v xml:space="preserve"> (og)</v>
      </c>
      <c r="BB42" s="252" t="str">
        <f t="shared" ca="1" si="64"/>
        <v xml:space="preserve"> (og)</v>
      </c>
      <c r="BC42" s="252" t="str">
        <f t="shared" ca="1" si="65"/>
        <v xml:space="preserve"> (og)</v>
      </c>
      <c r="BD42" s="252" t="str">
        <f t="shared" ca="1" si="66"/>
        <v xml:space="preserve"> (og)</v>
      </c>
      <c r="BE42" s="252" t="str">
        <f t="shared" ca="1" si="67"/>
        <v xml:space="preserve"> (og)</v>
      </c>
      <c r="BF42" s="252" t="str">
        <f t="shared" ca="1" si="68"/>
        <v xml:space="preserve"> (og)</v>
      </c>
      <c r="BG42" s="252" t="str">
        <f t="shared" ca="1" si="69"/>
        <v xml:space="preserve"> (og)</v>
      </c>
      <c r="BI42" s="252" t="str">
        <f t="shared" ca="1" si="70"/>
        <v xml:space="preserve"> (og)</v>
      </c>
      <c r="BJ42" s="252" t="str">
        <f t="shared" ca="1" si="71"/>
        <v xml:space="preserve"> (og)</v>
      </c>
      <c r="BK42" s="252" t="str">
        <f t="shared" ca="1" si="72"/>
        <v xml:space="preserve"> (og)</v>
      </c>
      <c r="BL42" s="252" t="str">
        <f t="shared" ca="1" si="73"/>
        <v xml:space="preserve"> (og)</v>
      </c>
      <c r="BN42" s="252" t="str">
        <f t="shared" si="74"/>
        <v xml:space="preserve"> (og)</v>
      </c>
      <c r="BO42" s="252" t="str">
        <f t="shared" si="75"/>
        <v xml:space="preserve"> (og)</v>
      </c>
      <c r="BQ42" s="252" t="str">
        <f t="shared" ca="1" si="76"/>
        <v xml:space="preserve"> (og)</v>
      </c>
      <c r="BR42" s="252" t="str">
        <f t="shared" ca="1" si="77"/>
        <v xml:space="preserve"> (og)</v>
      </c>
      <c r="BT42" s="253" t="str">
        <f t="shared" ca="1" si="78"/>
        <v>Scotland</v>
      </c>
      <c r="BU42" s="253">
        <f t="shared" si="13"/>
        <v>40</v>
      </c>
      <c r="BV42" s="253" t="s">
        <v>999</v>
      </c>
      <c r="BW42" s="253">
        <f t="shared" si="79"/>
        <v>2</v>
      </c>
      <c r="BX42" s="253" t="str">
        <f t="shared" ca="1" si="80"/>
        <v>Billy Gilmour</v>
      </c>
      <c r="BY42" s="253">
        <f ca="1">COUNTIF('Group Stages'!$J$8:$Q$80,BX42)+COUNTIF('Knock Out Stages'!$K$7:$R$45,BX42)</f>
        <v>0</v>
      </c>
      <c r="BZ42" s="255" t="s">
        <v>1025</v>
      </c>
      <c r="CA42" s="253" t="str">
        <f t="shared" ca="1" si="81"/>
        <v>Billy Gilmour</v>
      </c>
      <c r="CB42" s="252">
        <v>39</v>
      </c>
      <c r="CC42" s="252" t="str">
        <f t="array" aca="1" ref="CC42" ca="1">IFERROR(INDEX($BX$3:$BX$810, SMALL(IF(COUNTIF(CC$3, $BY$3:$BY$810), ROW($BX$3:$BX$810)-MIN(ROW($BX$3:$BX$810))+1), $CB42), 0),"")</f>
        <v/>
      </c>
      <c r="CD42" s="252" t="str">
        <f t="array" aca="1" ref="CD42" ca="1">IFERROR(INDEX($BX$3:$BX$810, SMALL(IF(COUNTIF(CD$3, $BY$3:$BY$810), ROW($BX$3:$BX$810)-MIN(ROW($BX$3:$BX$810))+1), $CB42), 0),"")</f>
        <v/>
      </c>
      <c r="CE42" s="252" t="str">
        <f t="array" aca="1" ref="CE42" ca="1">IFERROR(INDEX($BX$3:$BX$810, SMALL(IF(COUNTIF(CE$3, $BY$3:$BY$810), ROW($BX$3:$BX$810)-MIN(ROW($BX$3:$BX$810))+1), $CB42), 0),"")</f>
        <v/>
      </c>
      <c r="CF42" s="252" t="str">
        <f t="array" aca="1" ref="CF42" ca="1">IFERROR(INDEX($BX$3:$BX$810, SMALL(IF(COUNTIF(CF$3, $BY$3:$BY$810), ROW($BX$3:$BX$810)-MIN(ROW($BX$3:$BX$810))+1), $CB42), 0),"")</f>
        <v/>
      </c>
      <c r="CG42" s="252" t="str">
        <f t="array" aca="1" ref="CG42" ca="1">IFERROR(INDEX($BX$3:$BX$810, SMALL(IF(COUNTIF(CG$3, $BY$3:$BY$810), ROW($BX$3:$BX$810)-MIN(ROW($BX$3:$BX$810))+1), $CB42), 0),"")</f>
        <v/>
      </c>
      <c r="CH42" s="252" t="str">
        <f t="array" aca="1" ref="CH42" ca="1">IFERROR(INDEX($BX$3:$BX$810, SMALL(IF(COUNTIF(CH$3, $BY$3:$BY$810), ROW($BX$3:$BX$810)-MIN(ROW($BX$3:$BX$810))+1), $CB42), 0),"")</f>
        <v/>
      </c>
      <c r="CI42" s="252" t="str">
        <f t="array" aca="1" ref="CI42" ca="1">IFERROR(INDEX($BX$3:$BX$810, SMALL(IF(COUNTIF(CI$3, $BY$3:$BY$810), ROW($BX$3:$BX$810)-MIN(ROW($BX$3:$BX$810))+1), $CB42), 0),"")</f>
        <v/>
      </c>
      <c r="CJ42" s="252" t="str">
        <f t="array" aca="1" ref="CJ42" ca="1">IFERROR(INDEX($BX$3:$BX$810, SMALL(IF(COUNTIF(CJ$3, $BY$3:$BY$810), ROW($BX$3:$BX$810)-MIN(ROW($BX$3:$BX$810))+1), $CB42), 0),"")</f>
        <v/>
      </c>
      <c r="CK42" s="252" t="str">
        <f t="array" aca="1" ref="CK42" ca="1">IFERROR(INDEX($BX$3:$BX$810, SMALL(IF(COUNTIF(CK$3, $BY$3:$BY$810), ROW($BX$3:$BX$810)-MIN(ROW($BX$3:$BX$810))+1), $CB42), 0),"")</f>
        <v/>
      </c>
      <c r="CL42" s="252" t="str">
        <f t="array" aca="1" ref="CL42" ca="1">IFERROR(INDEX($BX$3:$BX$810, SMALL(IF(COUNTIF(CL$3, $BY$3:$BY$810), ROW($BX$3:$BX$810)-MIN(ROW($BX$3:$BX$810))+1), $CB42), 0),"")</f>
        <v/>
      </c>
      <c r="CM42" s="252" t="str">
        <f t="array" aca="1" ref="CM42" ca="1">IFERROR(INDEX($BX$3:$BX$810, SMALL(IF(COUNTIF(CM$3, $BY$3:$BY$810), ROW($BX$3:$BX$810)-MIN(ROW($BX$3:$BX$810))+1), $CB42), 0),"")</f>
        <v/>
      </c>
      <c r="CN42" s="252" t="str">
        <f t="array" aca="1" ref="CN42" ca="1">IFERROR(INDEX($BX$3:$BX$810, SMALL(IF(COUNTIF(CN$3, $BY$3:$BY$810), ROW($BX$3:$BX$810)-MIN(ROW($BX$3:$BX$810))+1), $CB42), 0),"")</f>
        <v/>
      </c>
      <c r="CO42" s="252" t="str">
        <f t="array" aca="1" ref="CO42" ca="1">IFERROR(INDEX($BX$3:$BX$810, SMALL(IF(COUNTIF(CO$3, $BY$3:$BY$810), ROW($BX$3:$BX$810)-MIN(ROW($BX$3:$BX$810))+1), $CB42), 0),"")</f>
        <v/>
      </c>
      <c r="CP42" s="252" t="str">
        <f t="array" aca="1" ref="CP42" ca="1">IFERROR(INDEX($BX$3:$BX$810, SMALL(IF(COUNTIF(CP$3, $BY$3:$BY$810), ROW($BX$3:$BX$810)-MIN(ROW($BX$3:$BX$810))+1), $CB42), 0),"")</f>
        <v/>
      </c>
      <c r="CQ42" s="252" t="str">
        <f t="array" aca="1" ref="CQ42" ca="1">IFERROR(INDEX($BX$3:$BX$810, SMALL(IF(COUNTIF(CQ$3, $BY$3:$BY$810), ROW($BX$3:$BX$810)-MIN(ROW($BX$3:$BX$810))+1), $CB42), 0),"")</f>
        <v/>
      </c>
      <c r="CS42" s="252">
        <v>39</v>
      </c>
      <c r="CT42" s="252">
        <v>1</v>
      </c>
      <c r="CV42" s="252" t="str">
        <f t="shared" ca="1" si="8"/>
        <v/>
      </c>
      <c r="CW42" s="252">
        <f t="shared" ca="1" si="14"/>
        <v>0</v>
      </c>
      <c r="CZ42" s="252">
        <v>39</v>
      </c>
      <c r="DA42" s="252" t="str">
        <f t="shared" ca="1" si="15"/>
        <v/>
      </c>
      <c r="DB42" s="252" t="str">
        <f t="shared" ca="1" si="82"/>
        <v/>
      </c>
      <c r="DC42" s="252" t="str">
        <f t="shared" ca="1" si="83"/>
        <v/>
      </c>
      <c r="DD42" s="252" t="str">
        <f t="shared" ca="1" si="84"/>
        <v/>
      </c>
    </row>
    <row r="43" spans="1:108" x14ac:dyDescent="0.2">
      <c r="A43" s="252">
        <f t="shared" si="21"/>
        <v>15</v>
      </c>
      <c r="B43" s="252" t="str">
        <f t="shared" si="22"/>
        <v>Ryan Porteous (og)</v>
      </c>
      <c r="C43" s="252" t="str">
        <f t="shared" si="23"/>
        <v>Nico Schlotterbeck (og)</v>
      </c>
      <c r="D43" s="252" t="str">
        <f t="shared" si="24"/>
        <v>Nico Schlotterbeck (og)</v>
      </c>
      <c r="E43" s="252" t="str">
        <f t="shared" si="25"/>
        <v>Nico Schlotterbeck (og)</v>
      </c>
      <c r="F43" s="252" t="str">
        <f t="shared" si="26"/>
        <v>Taulant Seferi (og)</v>
      </c>
      <c r="G43" s="252" t="str">
        <f t="shared" si="27"/>
        <v>Raoul Bellanova (og)</v>
      </c>
      <c r="H43" s="252" t="str">
        <f t="shared" si="28"/>
        <v>Raoul Bellanova (og)</v>
      </c>
      <c r="I43" s="252" t="str">
        <f t="shared" si="29"/>
        <v>Raoul Bellanova (og)</v>
      </c>
      <c r="J43" s="252" t="str">
        <f t="shared" si="30"/>
        <v>Lewis Dunk (og)</v>
      </c>
      <c r="K43" s="252" t="str">
        <f t="shared" si="31"/>
        <v>Srđan Babić (og)</v>
      </c>
      <c r="L43" s="252" t="str">
        <f t="shared" si="32"/>
        <v>Srđan Babić (og)</v>
      </c>
      <c r="M43" s="252" t="str">
        <f t="shared" si="33"/>
        <v>Srđan Babić (og)</v>
      </c>
      <c r="N43" s="252" t="str">
        <f t="shared" si="34"/>
        <v>Micky van de Ven (og)</v>
      </c>
      <c r="O43" s="252" t="str">
        <f t="shared" si="35"/>
        <v>Tymoteusz Puchacz (og)</v>
      </c>
      <c r="P43" s="252" t="str">
        <f t="shared" si="36"/>
        <v>Tymoteusz Puchacz (og)</v>
      </c>
      <c r="Q43" s="252" t="str">
        <f t="shared" si="37"/>
        <v>Tymoteusz Puchacz (og)</v>
      </c>
      <c r="R43" s="252" t="str">
        <f t="shared" si="38"/>
        <v>Vernon De Marco (og)</v>
      </c>
      <c r="S43" s="252" t="str">
        <f t="shared" si="39"/>
        <v>Thomas Meunier (og)</v>
      </c>
      <c r="T43" s="252" t="str">
        <f t="shared" si="40"/>
        <v>Thomas Meunier (og)</v>
      </c>
      <c r="U43" s="252" t="str">
        <f t="shared" si="41"/>
        <v>Thomas Meunier (og)</v>
      </c>
      <c r="V43" s="252" t="str">
        <f t="shared" si="42"/>
        <v>David Jurásek (og)</v>
      </c>
      <c r="W43" s="252" t="str">
        <f t="shared" si="43"/>
        <v>João Neves (og)</v>
      </c>
      <c r="X43" s="252" t="str">
        <f t="shared" si="44"/>
        <v>João Neves (og)</v>
      </c>
      <c r="Y43" s="252" t="str">
        <f t="shared" si="45"/>
        <v>João Neves (og)</v>
      </c>
      <c r="AI43" s="252" t="str">
        <f t="shared" ca="1" si="46"/>
        <v xml:space="preserve"> (og)</v>
      </c>
      <c r="AJ43" s="252" t="str">
        <f t="shared" ca="1" si="47"/>
        <v xml:space="preserve"> (og)</v>
      </c>
      <c r="AK43" s="252" t="str">
        <f t="shared" ca="1" si="48"/>
        <v xml:space="preserve"> (og)</v>
      </c>
      <c r="AL43" s="252" t="str">
        <f t="shared" ca="1" si="49"/>
        <v xml:space="preserve"> (og)</v>
      </c>
      <c r="AM43" s="252" t="str">
        <f t="shared" ca="1" si="50"/>
        <v xml:space="preserve"> (og)</v>
      </c>
      <c r="AN43" s="252" t="str">
        <f t="shared" ca="1" si="51"/>
        <v xml:space="preserve"> (og)</v>
      </c>
      <c r="AO43" s="252" t="str">
        <f t="shared" ca="1" si="52"/>
        <v xml:space="preserve"> (og)</v>
      </c>
      <c r="AP43" s="252" t="str">
        <f t="shared" ca="1" si="53"/>
        <v xml:space="preserve"> (og)</v>
      </c>
      <c r="AQ43" s="252" t="str">
        <f t="shared" ca="1" si="54"/>
        <v xml:space="preserve"> (og)</v>
      </c>
      <c r="AR43" s="252" t="str">
        <f t="shared" ca="1" si="55"/>
        <v xml:space="preserve"> (og)</v>
      </c>
      <c r="AS43" s="252" t="str">
        <f t="shared" ca="1" si="56"/>
        <v xml:space="preserve"> (og)</v>
      </c>
      <c r="AT43" s="252" t="str">
        <f t="shared" ca="1" si="57"/>
        <v xml:space="preserve"> (og)</v>
      </c>
      <c r="AU43" s="252" t="str">
        <f t="shared" ca="1" si="58"/>
        <v xml:space="preserve"> (og)</v>
      </c>
      <c r="AV43" s="252" t="str">
        <f t="shared" ca="1" si="59"/>
        <v xml:space="preserve"> (og)</v>
      </c>
      <c r="AW43" s="252" t="str">
        <f t="shared" ca="1" si="60"/>
        <v xml:space="preserve"> (og)</v>
      </c>
      <c r="AX43" s="252" t="str">
        <f t="shared" ca="1" si="61"/>
        <v xml:space="preserve"> (og)</v>
      </c>
      <c r="AZ43" s="252" t="str">
        <f t="shared" ca="1" si="62"/>
        <v xml:space="preserve"> (og)</v>
      </c>
      <c r="BA43" s="252" t="str">
        <f t="shared" ca="1" si="63"/>
        <v xml:space="preserve"> (og)</v>
      </c>
      <c r="BB43" s="252" t="str">
        <f t="shared" ca="1" si="64"/>
        <v xml:space="preserve"> (og)</v>
      </c>
      <c r="BC43" s="252" t="str">
        <f t="shared" ca="1" si="65"/>
        <v xml:space="preserve"> (og)</v>
      </c>
      <c r="BD43" s="252" t="str">
        <f t="shared" ca="1" si="66"/>
        <v xml:space="preserve"> (og)</v>
      </c>
      <c r="BE43" s="252" t="str">
        <f t="shared" ca="1" si="67"/>
        <v xml:space="preserve"> (og)</v>
      </c>
      <c r="BF43" s="252" t="str">
        <f t="shared" ca="1" si="68"/>
        <v xml:space="preserve"> (og)</v>
      </c>
      <c r="BG43" s="252" t="str">
        <f t="shared" ca="1" si="69"/>
        <v xml:space="preserve"> (og)</v>
      </c>
      <c r="BI43" s="252" t="str">
        <f t="shared" ca="1" si="70"/>
        <v xml:space="preserve"> (og)</v>
      </c>
      <c r="BJ43" s="252" t="str">
        <f t="shared" ca="1" si="71"/>
        <v xml:space="preserve"> (og)</v>
      </c>
      <c r="BK43" s="252" t="str">
        <f t="shared" ca="1" si="72"/>
        <v xml:space="preserve"> (og)</v>
      </c>
      <c r="BL43" s="252" t="str">
        <f t="shared" ca="1" si="73"/>
        <v xml:space="preserve"> (og)</v>
      </c>
      <c r="BN43" s="252" t="str">
        <f t="shared" si="74"/>
        <v xml:space="preserve"> (og)</v>
      </c>
      <c r="BO43" s="252" t="str">
        <f t="shared" si="75"/>
        <v xml:space="preserve"> (og)</v>
      </c>
      <c r="BQ43" s="252" t="str">
        <f t="shared" ca="1" si="76"/>
        <v xml:space="preserve"> (og)</v>
      </c>
      <c r="BR43" s="252" t="str">
        <f t="shared" ca="1" si="77"/>
        <v xml:space="preserve"> (og)</v>
      </c>
      <c r="BT43" s="253" t="str">
        <f t="shared" ca="1" si="78"/>
        <v>Scotland</v>
      </c>
      <c r="BU43" s="253">
        <f t="shared" si="13"/>
        <v>41</v>
      </c>
      <c r="BV43" s="253" t="s">
        <v>1000</v>
      </c>
      <c r="BW43" s="253">
        <f t="shared" si="79"/>
        <v>2</v>
      </c>
      <c r="BX43" s="253" t="str">
        <f t="shared" ca="1" si="80"/>
        <v>Ryan Porteous</v>
      </c>
      <c r="BY43" s="253">
        <f ca="1">COUNTIF('Group Stages'!$J$8:$Q$80,BX43)+COUNTIF('Knock Out Stages'!$K$7:$R$45,BX43)</f>
        <v>0</v>
      </c>
      <c r="BZ43" s="255" t="s">
        <v>1026</v>
      </c>
      <c r="CA43" s="253" t="str">
        <f t="shared" ca="1" si="81"/>
        <v>Ryan Porteous</v>
      </c>
      <c r="CB43" s="252">
        <v>40</v>
      </c>
      <c r="CC43" s="252" t="str">
        <f t="array" aca="1" ref="CC43" ca="1">IFERROR(INDEX($BX$3:$BX$810, SMALL(IF(COUNTIF(CC$3, $BY$3:$BY$810), ROW($BX$3:$BX$810)-MIN(ROW($BX$3:$BX$810))+1), $CB43), 0),"")</f>
        <v/>
      </c>
      <c r="CD43" s="252" t="str">
        <f t="array" aca="1" ref="CD43" ca="1">IFERROR(INDEX($BX$3:$BX$810, SMALL(IF(COUNTIF(CD$3, $BY$3:$BY$810), ROW($BX$3:$BX$810)-MIN(ROW($BX$3:$BX$810))+1), $CB43), 0),"")</f>
        <v/>
      </c>
      <c r="CE43" s="252" t="str">
        <f t="array" aca="1" ref="CE43" ca="1">IFERROR(INDEX($BX$3:$BX$810, SMALL(IF(COUNTIF(CE$3, $BY$3:$BY$810), ROW($BX$3:$BX$810)-MIN(ROW($BX$3:$BX$810))+1), $CB43), 0),"")</f>
        <v/>
      </c>
      <c r="CF43" s="252" t="str">
        <f t="array" aca="1" ref="CF43" ca="1">IFERROR(INDEX($BX$3:$BX$810, SMALL(IF(COUNTIF(CF$3, $BY$3:$BY$810), ROW($BX$3:$BX$810)-MIN(ROW($BX$3:$BX$810))+1), $CB43), 0),"")</f>
        <v/>
      </c>
      <c r="CG43" s="252" t="str">
        <f t="array" aca="1" ref="CG43" ca="1">IFERROR(INDEX($BX$3:$BX$810, SMALL(IF(COUNTIF(CG$3, $BY$3:$BY$810), ROW($BX$3:$BX$810)-MIN(ROW($BX$3:$BX$810))+1), $CB43), 0),"")</f>
        <v/>
      </c>
      <c r="CH43" s="252" t="str">
        <f t="array" aca="1" ref="CH43" ca="1">IFERROR(INDEX($BX$3:$BX$810, SMALL(IF(COUNTIF(CH$3, $BY$3:$BY$810), ROW($BX$3:$BX$810)-MIN(ROW($BX$3:$BX$810))+1), $CB43), 0),"")</f>
        <v/>
      </c>
      <c r="CI43" s="252" t="str">
        <f t="array" aca="1" ref="CI43" ca="1">IFERROR(INDEX($BX$3:$BX$810, SMALL(IF(COUNTIF(CI$3, $BY$3:$BY$810), ROW($BX$3:$BX$810)-MIN(ROW($BX$3:$BX$810))+1), $CB43), 0),"")</f>
        <v/>
      </c>
      <c r="CJ43" s="252" t="str">
        <f t="array" aca="1" ref="CJ43" ca="1">IFERROR(INDEX($BX$3:$BX$810, SMALL(IF(COUNTIF(CJ$3, $BY$3:$BY$810), ROW($BX$3:$BX$810)-MIN(ROW($BX$3:$BX$810))+1), $CB43), 0),"")</f>
        <v/>
      </c>
      <c r="CK43" s="252" t="str">
        <f t="array" aca="1" ref="CK43" ca="1">IFERROR(INDEX($BX$3:$BX$810, SMALL(IF(COUNTIF(CK$3, $BY$3:$BY$810), ROW($BX$3:$BX$810)-MIN(ROW($BX$3:$BX$810))+1), $CB43), 0),"")</f>
        <v/>
      </c>
      <c r="CL43" s="252" t="str">
        <f t="array" aca="1" ref="CL43" ca="1">IFERROR(INDEX($BX$3:$BX$810, SMALL(IF(COUNTIF(CL$3, $BY$3:$BY$810), ROW($BX$3:$BX$810)-MIN(ROW($BX$3:$BX$810))+1), $CB43), 0),"")</f>
        <v/>
      </c>
      <c r="CM43" s="252" t="str">
        <f t="array" aca="1" ref="CM43" ca="1">IFERROR(INDEX($BX$3:$BX$810, SMALL(IF(COUNTIF(CM$3, $BY$3:$BY$810), ROW($BX$3:$BX$810)-MIN(ROW($BX$3:$BX$810))+1), $CB43), 0),"")</f>
        <v/>
      </c>
      <c r="CN43" s="252" t="str">
        <f t="array" aca="1" ref="CN43" ca="1">IFERROR(INDEX($BX$3:$BX$810, SMALL(IF(COUNTIF(CN$3, $BY$3:$BY$810), ROW($BX$3:$BX$810)-MIN(ROW($BX$3:$BX$810))+1), $CB43), 0),"")</f>
        <v/>
      </c>
      <c r="CO43" s="252" t="str">
        <f t="array" aca="1" ref="CO43" ca="1">IFERROR(INDEX($BX$3:$BX$810, SMALL(IF(COUNTIF(CO$3, $BY$3:$BY$810), ROW($BX$3:$BX$810)-MIN(ROW($BX$3:$BX$810))+1), $CB43), 0),"")</f>
        <v/>
      </c>
      <c r="CP43" s="252" t="str">
        <f t="array" aca="1" ref="CP43" ca="1">IFERROR(INDEX($BX$3:$BX$810, SMALL(IF(COUNTIF(CP$3, $BY$3:$BY$810), ROW($BX$3:$BX$810)-MIN(ROW($BX$3:$BX$810))+1), $CB43), 0),"")</f>
        <v/>
      </c>
      <c r="CQ43" s="252" t="str">
        <f t="array" aca="1" ref="CQ43" ca="1">IFERROR(INDEX($BX$3:$BX$810, SMALL(IF(COUNTIF(CQ$3, $BY$3:$BY$810), ROW($BX$3:$BX$810)-MIN(ROW($BX$3:$BX$810))+1), $CB43), 0),"")</f>
        <v/>
      </c>
      <c r="CS43" s="252">
        <v>40</v>
      </c>
      <c r="CT43" s="252">
        <v>1</v>
      </c>
      <c r="CV43" s="252" t="str">
        <f t="shared" ca="1" si="8"/>
        <v/>
      </c>
      <c r="CW43" s="252">
        <f t="shared" ca="1" si="14"/>
        <v>0</v>
      </c>
      <c r="CZ43" s="252">
        <v>40</v>
      </c>
      <c r="DA43" s="252" t="str">
        <f t="shared" ca="1" si="15"/>
        <v/>
      </c>
      <c r="DB43" s="252" t="str">
        <f t="shared" ca="1" si="82"/>
        <v/>
      </c>
      <c r="DC43" s="252" t="str">
        <f t="shared" ca="1" si="83"/>
        <v/>
      </c>
      <c r="DD43" s="252" t="str">
        <f t="shared" ca="1" si="84"/>
        <v/>
      </c>
    </row>
    <row r="44" spans="1:108" x14ac:dyDescent="0.2">
      <c r="A44" s="252">
        <f t="shared" si="21"/>
        <v>16</v>
      </c>
      <c r="B44" s="252" t="str">
        <f t="shared" si="22"/>
        <v>Liam Cooper (og)</v>
      </c>
      <c r="C44" s="252" t="str">
        <f t="shared" si="23"/>
        <v>Waldemar Anton (og)</v>
      </c>
      <c r="D44" s="252" t="str">
        <f t="shared" si="24"/>
        <v>Waldemar Anton (og)</v>
      </c>
      <c r="E44" s="252" t="str">
        <f t="shared" si="25"/>
        <v>Waldemar Anton (og)</v>
      </c>
      <c r="F44" s="252" t="str">
        <f t="shared" si="26"/>
        <v>Medon Berisha (og)</v>
      </c>
      <c r="G44" s="252" t="str">
        <f t="shared" si="27"/>
        <v>Bryan Cristante (og)</v>
      </c>
      <c r="H44" s="252" t="str">
        <f t="shared" si="28"/>
        <v>Bryan Cristante (og)</v>
      </c>
      <c r="I44" s="252" t="str">
        <f t="shared" si="29"/>
        <v>Bryan Cristante (og)</v>
      </c>
      <c r="J44" s="252" t="str">
        <f t="shared" si="30"/>
        <v>Conor Gallagher (og)</v>
      </c>
      <c r="K44" s="252" t="str">
        <f t="shared" si="31"/>
        <v>Srđan Mijailović (og)</v>
      </c>
      <c r="L44" s="252" t="str">
        <f t="shared" si="32"/>
        <v>Srđan Mijailović (og)</v>
      </c>
      <c r="M44" s="252" t="str">
        <f t="shared" si="33"/>
        <v>Srđan Mijailović (og)</v>
      </c>
      <c r="N44" s="252" t="str">
        <f t="shared" si="34"/>
        <v>Joey Veerman (og)</v>
      </c>
      <c r="O44" s="252" t="str">
        <f t="shared" si="35"/>
        <v>Adam Buksa (og)</v>
      </c>
      <c r="P44" s="252" t="str">
        <f t="shared" si="36"/>
        <v>Adam Buksa (og)</v>
      </c>
      <c r="Q44" s="252" t="str">
        <f t="shared" si="37"/>
        <v>Adam Buksa (og)</v>
      </c>
      <c r="R44" s="252" t="str">
        <f t="shared" si="38"/>
        <v>Dávid Hancko (og)</v>
      </c>
      <c r="S44" s="252" t="str">
        <f t="shared" si="39"/>
        <v>Aster Vranckx (og)</v>
      </c>
      <c r="T44" s="252" t="str">
        <f t="shared" si="40"/>
        <v>Aster Vranckx (og)</v>
      </c>
      <c r="U44" s="252" t="str">
        <f t="shared" si="41"/>
        <v>Aster Vranckx (og)</v>
      </c>
      <c r="V44" s="252" t="str">
        <f t="shared" si="42"/>
        <v>Matěj Kovář (og)</v>
      </c>
      <c r="W44" s="252" t="str">
        <f t="shared" si="43"/>
        <v>Matheus Nunes (og)</v>
      </c>
      <c r="X44" s="252" t="str">
        <f t="shared" si="44"/>
        <v>Matheus Nunes (og)</v>
      </c>
      <c r="Y44" s="252" t="str">
        <f t="shared" si="45"/>
        <v>Matheus Nunes (og)</v>
      </c>
      <c r="AI44" s="252" t="str">
        <f t="shared" ca="1" si="46"/>
        <v xml:space="preserve"> (og)</v>
      </c>
      <c r="AJ44" s="252" t="str">
        <f t="shared" ca="1" si="47"/>
        <v xml:space="preserve"> (og)</v>
      </c>
      <c r="AK44" s="252" t="str">
        <f t="shared" ca="1" si="48"/>
        <v xml:space="preserve"> (og)</v>
      </c>
      <c r="AL44" s="252" t="str">
        <f t="shared" ca="1" si="49"/>
        <v xml:space="preserve"> (og)</v>
      </c>
      <c r="AM44" s="252" t="str">
        <f t="shared" ca="1" si="50"/>
        <v xml:space="preserve"> (og)</v>
      </c>
      <c r="AN44" s="252" t="str">
        <f t="shared" ca="1" si="51"/>
        <v xml:space="preserve"> (og)</v>
      </c>
      <c r="AO44" s="252" t="str">
        <f t="shared" ca="1" si="52"/>
        <v xml:space="preserve"> (og)</v>
      </c>
      <c r="AP44" s="252" t="str">
        <f t="shared" ca="1" si="53"/>
        <v xml:space="preserve"> (og)</v>
      </c>
      <c r="AQ44" s="252" t="str">
        <f t="shared" ca="1" si="54"/>
        <v xml:space="preserve"> (og)</v>
      </c>
      <c r="AR44" s="252" t="str">
        <f t="shared" ca="1" si="55"/>
        <v xml:space="preserve"> (og)</v>
      </c>
      <c r="AS44" s="252" t="str">
        <f t="shared" ca="1" si="56"/>
        <v xml:space="preserve"> (og)</v>
      </c>
      <c r="AT44" s="252" t="str">
        <f t="shared" ca="1" si="57"/>
        <v xml:space="preserve"> (og)</v>
      </c>
      <c r="AU44" s="252" t="str">
        <f t="shared" ca="1" si="58"/>
        <v xml:space="preserve"> (og)</v>
      </c>
      <c r="AV44" s="252" t="str">
        <f t="shared" ca="1" si="59"/>
        <v xml:space="preserve"> (og)</v>
      </c>
      <c r="AW44" s="252" t="str">
        <f t="shared" ca="1" si="60"/>
        <v xml:space="preserve"> (og)</v>
      </c>
      <c r="AX44" s="252" t="str">
        <f t="shared" ca="1" si="61"/>
        <v xml:space="preserve"> (og)</v>
      </c>
      <c r="AZ44" s="252" t="str">
        <f t="shared" ca="1" si="62"/>
        <v xml:space="preserve"> (og)</v>
      </c>
      <c r="BA44" s="252" t="str">
        <f t="shared" ca="1" si="63"/>
        <v xml:space="preserve"> (og)</v>
      </c>
      <c r="BB44" s="252" t="str">
        <f t="shared" ca="1" si="64"/>
        <v xml:space="preserve"> (og)</v>
      </c>
      <c r="BC44" s="252" t="str">
        <f t="shared" ca="1" si="65"/>
        <v xml:space="preserve"> (og)</v>
      </c>
      <c r="BD44" s="252" t="str">
        <f t="shared" ca="1" si="66"/>
        <v xml:space="preserve"> (og)</v>
      </c>
      <c r="BE44" s="252" t="str">
        <f t="shared" ca="1" si="67"/>
        <v xml:space="preserve"> (og)</v>
      </c>
      <c r="BF44" s="252" t="str">
        <f t="shared" ca="1" si="68"/>
        <v xml:space="preserve"> (og)</v>
      </c>
      <c r="BG44" s="252" t="str">
        <f t="shared" ca="1" si="69"/>
        <v xml:space="preserve"> (og)</v>
      </c>
      <c r="BI44" s="252" t="str">
        <f t="shared" ca="1" si="70"/>
        <v xml:space="preserve"> (og)</v>
      </c>
      <c r="BJ44" s="252" t="str">
        <f t="shared" ca="1" si="71"/>
        <v xml:space="preserve"> (og)</v>
      </c>
      <c r="BK44" s="252" t="str">
        <f t="shared" ca="1" si="72"/>
        <v xml:space="preserve"> (og)</v>
      </c>
      <c r="BL44" s="252" t="str">
        <f t="shared" ca="1" si="73"/>
        <v xml:space="preserve"> (og)</v>
      </c>
      <c r="BN44" s="252" t="str">
        <f t="shared" si="74"/>
        <v xml:space="preserve"> (og)</v>
      </c>
      <c r="BO44" s="252" t="str">
        <f t="shared" si="75"/>
        <v xml:space="preserve"> (og)</v>
      </c>
      <c r="BQ44" s="252" t="str">
        <f t="shared" ca="1" si="76"/>
        <v xml:space="preserve"> (og)</v>
      </c>
      <c r="BR44" s="252" t="str">
        <f t="shared" ca="1" si="77"/>
        <v xml:space="preserve"> (og)</v>
      </c>
      <c r="BT44" s="253" t="str">
        <f t="shared" ca="1" si="78"/>
        <v>Scotland</v>
      </c>
      <c r="BU44" s="253">
        <f t="shared" si="13"/>
        <v>42</v>
      </c>
      <c r="BV44" s="253" t="s">
        <v>1001</v>
      </c>
      <c r="BW44" s="253">
        <f t="shared" si="79"/>
        <v>2</v>
      </c>
      <c r="BX44" s="253" t="str">
        <f t="shared" ca="1" si="80"/>
        <v>Liam Cooper</v>
      </c>
      <c r="BY44" s="253">
        <f ca="1">COUNTIF('Group Stages'!$J$8:$Q$80,BX44)+COUNTIF('Knock Out Stages'!$K$7:$R$45,BX44)</f>
        <v>0</v>
      </c>
      <c r="BZ44" s="255" t="s">
        <v>1027</v>
      </c>
      <c r="CA44" s="253" t="str">
        <f t="shared" ca="1" si="81"/>
        <v>Liam Cooper</v>
      </c>
      <c r="CB44" s="252">
        <v>41</v>
      </c>
      <c r="CC44" s="252" t="str">
        <f t="array" aca="1" ref="CC44" ca="1">IFERROR(INDEX($BX$3:$BX$810, SMALL(IF(COUNTIF(CC$3, $BY$3:$BY$810), ROW($BX$3:$BX$810)-MIN(ROW($BX$3:$BX$810))+1), $CB44), 0),"")</f>
        <v/>
      </c>
      <c r="CD44" s="252" t="str">
        <f t="array" aca="1" ref="CD44" ca="1">IFERROR(INDEX($BX$3:$BX$810, SMALL(IF(COUNTIF(CD$3, $BY$3:$BY$810), ROW($BX$3:$BX$810)-MIN(ROW($BX$3:$BX$810))+1), $CB44), 0),"")</f>
        <v/>
      </c>
      <c r="CE44" s="252" t="str">
        <f t="array" aca="1" ref="CE44" ca="1">IFERROR(INDEX($BX$3:$BX$810, SMALL(IF(COUNTIF(CE$3, $BY$3:$BY$810), ROW($BX$3:$BX$810)-MIN(ROW($BX$3:$BX$810))+1), $CB44), 0),"")</f>
        <v/>
      </c>
      <c r="CF44" s="252" t="str">
        <f t="array" aca="1" ref="CF44" ca="1">IFERROR(INDEX($BX$3:$BX$810, SMALL(IF(COUNTIF(CF$3, $BY$3:$BY$810), ROW($BX$3:$BX$810)-MIN(ROW($BX$3:$BX$810))+1), $CB44), 0),"")</f>
        <v/>
      </c>
      <c r="CG44" s="252" t="str">
        <f t="array" aca="1" ref="CG44" ca="1">IFERROR(INDEX($BX$3:$BX$810, SMALL(IF(COUNTIF(CG$3, $BY$3:$BY$810), ROW($BX$3:$BX$810)-MIN(ROW($BX$3:$BX$810))+1), $CB44), 0),"")</f>
        <v/>
      </c>
      <c r="CH44" s="252" t="str">
        <f t="array" aca="1" ref="CH44" ca="1">IFERROR(INDEX($BX$3:$BX$810, SMALL(IF(COUNTIF(CH$3, $BY$3:$BY$810), ROW($BX$3:$BX$810)-MIN(ROW($BX$3:$BX$810))+1), $CB44), 0),"")</f>
        <v/>
      </c>
      <c r="CI44" s="252" t="str">
        <f t="array" aca="1" ref="CI44" ca="1">IFERROR(INDEX($BX$3:$BX$810, SMALL(IF(COUNTIF(CI$3, $BY$3:$BY$810), ROW($BX$3:$BX$810)-MIN(ROW($BX$3:$BX$810))+1), $CB44), 0),"")</f>
        <v/>
      </c>
      <c r="CJ44" s="252" t="str">
        <f t="array" aca="1" ref="CJ44" ca="1">IFERROR(INDEX($BX$3:$BX$810, SMALL(IF(COUNTIF(CJ$3, $BY$3:$BY$810), ROW($BX$3:$BX$810)-MIN(ROW($BX$3:$BX$810))+1), $CB44), 0),"")</f>
        <v/>
      </c>
      <c r="CK44" s="252" t="str">
        <f t="array" aca="1" ref="CK44" ca="1">IFERROR(INDEX($BX$3:$BX$810, SMALL(IF(COUNTIF(CK$3, $BY$3:$BY$810), ROW($BX$3:$BX$810)-MIN(ROW($BX$3:$BX$810))+1), $CB44), 0),"")</f>
        <v/>
      </c>
      <c r="CL44" s="252" t="str">
        <f t="array" aca="1" ref="CL44" ca="1">IFERROR(INDEX($BX$3:$BX$810, SMALL(IF(COUNTIF(CL$3, $BY$3:$BY$810), ROW($BX$3:$BX$810)-MIN(ROW($BX$3:$BX$810))+1), $CB44), 0),"")</f>
        <v/>
      </c>
      <c r="CM44" s="252" t="str">
        <f t="array" aca="1" ref="CM44" ca="1">IFERROR(INDEX($BX$3:$BX$810, SMALL(IF(COUNTIF(CM$3, $BY$3:$BY$810), ROW($BX$3:$BX$810)-MIN(ROW($BX$3:$BX$810))+1), $CB44), 0),"")</f>
        <v/>
      </c>
      <c r="CN44" s="252" t="str">
        <f t="array" aca="1" ref="CN44" ca="1">IFERROR(INDEX($BX$3:$BX$810, SMALL(IF(COUNTIF(CN$3, $BY$3:$BY$810), ROW($BX$3:$BX$810)-MIN(ROW($BX$3:$BX$810))+1), $CB44), 0),"")</f>
        <v/>
      </c>
      <c r="CO44" s="252" t="str">
        <f t="array" aca="1" ref="CO44" ca="1">IFERROR(INDEX($BX$3:$BX$810, SMALL(IF(COUNTIF(CO$3, $BY$3:$BY$810), ROW($BX$3:$BX$810)-MIN(ROW($BX$3:$BX$810))+1), $CB44), 0),"")</f>
        <v/>
      </c>
      <c r="CP44" s="252" t="str">
        <f t="array" aca="1" ref="CP44" ca="1">IFERROR(INDEX($BX$3:$BX$810, SMALL(IF(COUNTIF(CP$3, $BY$3:$BY$810), ROW($BX$3:$BX$810)-MIN(ROW($BX$3:$BX$810))+1), $CB44), 0),"")</f>
        <v/>
      </c>
      <c r="CQ44" s="252" t="str">
        <f t="array" aca="1" ref="CQ44" ca="1">IFERROR(INDEX($BX$3:$BX$810, SMALL(IF(COUNTIF(CQ$3, $BY$3:$BY$810), ROW($BX$3:$BX$810)-MIN(ROW($BX$3:$BX$810))+1), $CB44), 0),"")</f>
        <v/>
      </c>
      <c r="CS44" s="252">
        <v>41</v>
      </c>
      <c r="CT44" s="252">
        <v>1</v>
      </c>
      <c r="CV44" s="252" t="str">
        <f t="shared" ca="1" si="8"/>
        <v/>
      </c>
      <c r="CW44" s="252">
        <f t="shared" ca="1" si="14"/>
        <v>0</v>
      </c>
      <c r="CZ44" s="252">
        <v>41</v>
      </c>
      <c r="DA44" s="252" t="str">
        <f t="shared" ca="1" si="15"/>
        <v/>
      </c>
      <c r="DB44" s="252" t="str">
        <f t="shared" ca="1" si="82"/>
        <v/>
      </c>
      <c r="DC44" s="252" t="str">
        <f t="shared" ca="1" si="83"/>
        <v/>
      </c>
      <c r="DD44" s="252" t="str">
        <f t="shared" ca="1" si="84"/>
        <v/>
      </c>
    </row>
    <row r="45" spans="1:108" x14ac:dyDescent="0.2">
      <c r="A45" s="252">
        <f t="shared" si="21"/>
        <v>17</v>
      </c>
      <c r="B45" s="252" t="str">
        <f t="shared" si="22"/>
        <v>Stuart Armstrong (og)</v>
      </c>
      <c r="C45" s="252" t="str">
        <f t="shared" si="23"/>
        <v>Florian Wirtz (og)</v>
      </c>
      <c r="D45" s="252" t="str">
        <f t="shared" si="24"/>
        <v>Florian Wirtz (og)</v>
      </c>
      <c r="E45" s="252" t="str">
        <f t="shared" si="25"/>
        <v>Florian Wirtz (og)</v>
      </c>
      <c r="F45" s="252" t="str">
        <f t="shared" si="26"/>
        <v>Ernest Muçi (og)</v>
      </c>
      <c r="G45" s="252" t="str">
        <f t="shared" si="27"/>
        <v>Gianluca Mancini (og)</v>
      </c>
      <c r="H45" s="252" t="str">
        <f t="shared" si="28"/>
        <v>Gianluca Mancini (og)</v>
      </c>
      <c r="I45" s="252" t="str">
        <f t="shared" si="29"/>
        <v>Gianluca Mancini (og)</v>
      </c>
      <c r="J45" s="252" t="str">
        <f t="shared" si="30"/>
        <v>Ivan Toney (og)</v>
      </c>
      <c r="K45" s="252" t="str">
        <f t="shared" si="31"/>
        <v>Ivan Ilić (og)</v>
      </c>
      <c r="L45" s="252" t="str">
        <f t="shared" si="32"/>
        <v>Ivan Ilić (og)</v>
      </c>
      <c r="M45" s="252" t="str">
        <f t="shared" si="33"/>
        <v>Ivan Ilić (og)</v>
      </c>
      <c r="N45" s="252" t="str">
        <f t="shared" si="34"/>
        <v>Daley Blind (og)</v>
      </c>
      <c r="O45" s="252" t="str">
        <f t="shared" si="35"/>
        <v>Damian Szymański (og)</v>
      </c>
      <c r="P45" s="252" t="str">
        <f t="shared" si="36"/>
        <v>Damian Szymański (og)</v>
      </c>
      <c r="Q45" s="252" t="str">
        <f t="shared" si="37"/>
        <v>Damian Szymański (og)</v>
      </c>
      <c r="R45" s="252" t="str">
        <f t="shared" si="38"/>
        <v>Lukáš Haraslín (og)</v>
      </c>
      <c r="S45" s="252" t="str">
        <f t="shared" si="39"/>
        <v>Charles De Ketelaere (og)</v>
      </c>
      <c r="T45" s="252" t="str">
        <f t="shared" si="40"/>
        <v>Charles De Ketelaere (og)</v>
      </c>
      <c r="U45" s="252" t="str">
        <f t="shared" si="41"/>
        <v>Charles De Ketelaere (og)</v>
      </c>
      <c r="V45" s="252" t="str">
        <f t="shared" si="42"/>
        <v>Václav Černý (og)</v>
      </c>
      <c r="W45" s="252" t="str">
        <f t="shared" si="43"/>
        <v>Rafael Leão (og)</v>
      </c>
      <c r="X45" s="252" t="str">
        <f t="shared" si="44"/>
        <v>Rafael Leão (og)</v>
      </c>
      <c r="Y45" s="252" t="str">
        <f t="shared" si="45"/>
        <v>Rafael Leão (og)</v>
      </c>
      <c r="AI45" s="252" t="str">
        <f t="shared" ca="1" si="46"/>
        <v xml:space="preserve"> (og)</v>
      </c>
      <c r="AJ45" s="252" t="str">
        <f t="shared" ca="1" si="47"/>
        <v xml:space="preserve"> (og)</v>
      </c>
      <c r="AK45" s="252" t="str">
        <f t="shared" ca="1" si="48"/>
        <v xml:space="preserve"> (og)</v>
      </c>
      <c r="AL45" s="252" t="str">
        <f t="shared" ca="1" si="49"/>
        <v xml:space="preserve"> (og)</v>
      </c>
      <c r="AM45" s="252" t="str">
        <f t="shared" ca="1" si="50"/>
        <v xml:space="preserve"> (og)</v>
      </c>
      <c r="AN45" s="252" t="str">
        <f t="shared" ca="1" si="51"/>
        <v xml:space="preserve"> (og)</v>
      </c>
      <c r="AO45" s="252" t="str">
        <f t="shared" ca="1" si="52"/>
        <v xml:space="preserve"> (og)</v>
      </c>
      <c r="AP45" s="252" t="str">
        <f t="shared" ca="1" si="53"/>
        <v xml:space="preserve"> (og)</v>
      </c>
      <c r="AQ45" s="252" t="str">
        <f t="shared" ca="1" si="54"/>
        <v xml:space="preserve"> (og)</v>
      </c>
      <c r="AR45" s="252" t="str">
        <f t="shared" ca="1" si="55"/>
        <v xml:space="preserve"> (og)</v>
      </c>
      <c r="AS45" s="252" t="str">
        <f t="shared" ca="1" si="56"/>
        <v xml:space="preserve"> (og)</v>
      </c>
      <c r="AT45" s="252" t="str">
        <f t="shared" ca="1" si="57"/>
        <v xml:space="preserve"> (og)</v>
      </c>
      <c r="AU45" s="252" t="str">
        <f t="shared" ca="1" si="58"/>
        <v xml:space="preserve"> (og)</v>
      </c>
      <c r="AV45" s="252" t="str">
        <f t="shared" ca="1" si="59"/>
        <v xml:space="preserve"> (og)</v>
      </c>
      <c r="AW45" s="252" t="str">
        <f t="shared" ca="1" si="60"/>
        <v xml:space="preserve"> (og)</v>
      </c>
      <c r="AX45" s="252" t="str">
        <f t="shared" ca="1" si="61"/>
        <v xml:space="preserve"> (og)</v>
      </c>
      <c r="AZ45" s="252" t="str">
        <f t="shared" ca="1" si="62"/>
        <v xml:space="preserve"> (og)</v>
      </c>
      <c r="BA45" s="252" t="str">
        <f t="shared" ca="1" si="63"/>
        <v xml:space="preserve"> (og)</v>
      </c>
      <c r="BB45" s="252" t="str">
        <f t="shared" ca="1" si="64"/>
        <v xml:space="preserve"> (og)</v>
      </c>
      <c r="BC45" s="252" t="str">
        <f t="shared" ca="1" si="65"/>
        <v xml:space="preserve"> (og)</v>
      </c>
      <c r="BD45" s="252" t="str">
        <f t="shared" ca="1" si="66"/>
        <v xml:space="preserve"> (og)</v>
      </c>
      <c r="BE45" s="252" t="str">
        <f t="shared" ca="1" si="67"/>
        <v xml:space="preserve"> (og)</v>
      </c>
      <c r="BF45" s="252" t="str">
        <f t="shared" ca="1" si="68"/>
        <v xml:space="preserve"> (og)</v>
      </c>
      <c r="BG45" s="252" t="str">
        <f t="shared" ca="1" si="69"/>
        <v xml:space="preserve"> (og)</v>
      </c>
      <c r="BI45" s="252" t="str">
        <f t="shared" ca="1" si="70"/>
        <v xml:space="preserve"> (og)</v>
      </c>
      <c r="BJ45" s="252" t="str">
        <f t="shared" ca="1" si="71"/>
        <v xml:space="preserve"> (og)</v>
      </c>
      <c r="BK45" s="252" t="str">
        <f t="shared" ca="1" si="72"/>
        <v xml:space="preserve"> (og)</v>
      </c>
      <c r="BL45" s="252" t="str">
        <f t="shared" ca="1" si="73"/>
        <v xml:space="preserve"> (og)</v>
      </c>
      <c r="BN45" s="252" t="str">
        <f t="shared" si="74"/>
        <v xml:space="preserve"> (og)</v>
      </c>
      <c r="BO45" s="252" t="str">
        <f t="shared" si="75"/>
        <v xml:space="preserve"> (og)</v>
      </c>
      <c r="BQ45" s="252" t="str">
        <f t="shared" ca="1" si="76"/>
        <v xml:space="preserve"> (og)</v>
      </c>
      <c r="BR45" s="252" t="str">
        <f t="shared" ca="1" si="77"/>
        <v xml:space="preserve"> (og)</v>
      </c>
      <c r="BT45" s="253" t="str">
        <f t="shared" ca="1" si="78"/>
        <v>Scotland</v>
      </c>
      <c r="BU45" s="253">
        <f t="shared" si="13"/>
        <v>43</v>
      </c>
      <c r="BV45" s="253" t="s">
        <v>1002</v>
      </c>
      <c r="BW45" s="253">
        <f t="shared" si="79"/>
        <v>2</v>
      </c>
      <c r="BX45" s="253" t="str">
        <f t="shared" ca="1" si="80"/>
        <v>Stuart Armstrong</v>
      </c>
      <c r="BY45" s="253">
        <f ca="1">COUNTIF('Group Stages'!$J$8:$Q$80,BX45)+COUNTIF('Knock Out Stages'!$K$7:$R$45,BX45)</f>
        <v>0</v>
      </c>
      <c r="BZ45" s="255" t="s">
        <v>1028</v>
      </c>
      <c r="CA45" s="253" t="str">
        <f t="shared" ca="1" si="81"/>
        <v>Stuart Armstrong</v>
      </c>
      <c r="CB45" s="252">
        <v>42</v>
      </c>
      <c r="CC45" s="252" t="str">
        <f t="array" aca="1" ref="CC45" ca="1">IFERROR(INDEX($BX$3:$BX$810, SMALL(IF(COUNTIF(CC$3, $BY$3:$BY$810), ROW($BX$3:$BX$810)-MIN(ROW($BX$3:$BX$810))+1), $CB45), 0),"")</f>
        <v/>
      </c>
      <c r="CD45" s="252" t="str">
        <f t="array" aca="1" ref="CD45" ca="1">IFERROR(INDEX($BX$3:$BX$810, SMALL(IF(COUNTIF(CD$3, $BY$3:$BY$810), ROW($BX$3:$BX$810)-MIN(ROW($BX$3:$BX$810))+1), $CB45), 0),"")</f>
        <v/>
      </c>
      <c r="CE45" s="252" t="str">
        <f t="array" aca="1" ref="CE45" ca="1">IFERROR(INDEX($BX$3:$BX$810, SMALL(IF(COUNTIF(CE$3, $BY$3:$BY$810), ROW($BX$3:$BX$810)-MIN(ROW($BX$3:$BX$810))+1), $CB45), 0),"")</f>
        <v/>
      </c>
      <c r="CF45" s="252" t="str">
        <f t="array" aca="1" ref="CF45" ca="1">IFERROR(INDEX($BX$3:$BX$810, SMALL(IF(COUNTIF(CF$3, $BY$3:$BY$810), ROW($BX$3:$BX$810)-MIN(ROW($BX$3:$BX$810))+1), $CB45), 0),"")</f>
        <v/>
      </c>
      <c r="CG45" s="252" t="str">
        <f t="array" aca="1" ref="CG45" ca="1">IFERROR(INDEX($BX$3:$BX$810, SMALL(IF(COUNTIF(CG$3, $BY$3:$BY$810), ROW($BX$3:$BX$810)-MIN(ROW($BX$3:$BX$810))+1), $CB45), 0),"")</f>
        <v/>
      </c>
      <c r="CH45" s="252" t="str">
        <f t="array" aca="1" ref="CH45" ca="1">IFERROR(INDEX($BX$3:$BX$810, SMALL(IF(COUNTIF(CH$3, $BY$3:$BY$810), ROW($BX$3:$BX$810)-MIN(ROW($BX$3:$BX$810))+1), $CB45), 0),"")</f>
        <v/>
      </c>
      <c r="CI45" s="252" t="str">
        <f t="array" aca="1" ref="CI45" ca="1">IFERROR(INDEX($BX$3:$BX$810, SMALL(IF(COUNTIF(CI$3, $BY$3:$BY$810), ROW($BX$3:$BX$810)-MIN(ROW($BX$3:$BX$810))+1), $CB45), 0),"")</f>
        <v/>
      </c>
      <c r="CJ45" s="252" t="str">
        <f t="array" aca="1" ref="CJ45" ca="1">IFERROR(INDEX($BX$3:$BX$810, SMALL(IF(COUNTIF(CJ$3, $BY$3:$BY$810), ROW($BX$3:$BX$810)-MIN(ROW($BX$3:$BX$810))+1), $CB45), 0),"")</f>
        <v/>
      </c>
      <c r="CK45" s="252" t="str">
        <f t="array" aca="1" ref="CK45" ca="1">IFERROR(INDEX($BX$3:$BX$810, SMALL(IF(COUNTIF(CK$3, $BY$3:$BY$810), ROW($BX$3:$BX$810)-MIN(ROW($BX$3:$BX$810))+1), $CB45), 0),"")</f>
        <v/>
      </c>
      <c r="CL45" s="252" t="str">
        <f t="array" aca="1" ref="CL45" ca="1">IFERROR(INDEX($BX$3:$BX$810, SMALL(IF(COUNTIF(CL$3, $BY$3:$BY$810), ROW($BX$3:$BX$810)-MIN(ROW($BX$3:$BX$810))+1), $CB45), 0),"")</f>
        <v/>
      </c>
      <c r="CM45" s="252" t="str">
        <f t="array" aca="1" ref="CM45" ca="1">IFERROR(INDEX($BX$3:$BX$810, SMALL(IF(COUNTIF(CM$3, $BY$3:$BY$810), ROW($BX$3:$BX$810)-MIN(ROW($BX$3:$BX$810))+1), $CB45), 0),"")</f>
        <v/>
      </c>
      <c r="CN45" s="252" t="str">
        <f t="array" aca="1" ref="CN45" ca="1">IFERROR(INDEX($BX$3:$BX$810, SMALL(IF(COUNTIF(CN$3, $BY$3:$BY$810), ROW($BX$3:$BX$810)-MIN(ROW($BX$3:$BX$810))+1), $CB45), 0),"")</f>
        <v/>
      </c>
      <c r="CO45" s="252" t="str">
        <f t="array" aca="1" ref="CO45" ca="1">IFERROR(INDEX($BX$3:$BX$810, SMALL(IF(COUNTIF(CO$3, $BY$3:$BY$810), ROW($BX$3:$BX$810)-MIN(ROW($BX$3:$BX$810))+1), $CB45), 0),"")</f>
        <v/>
      </c>
      <c r="CP45" s="252" t="str">
        <f t="array" aca="1" ref="CP45" ca="1">IFERROR(INDEX($BX$3:$BX$810, SMALL(IF(COUNTIF(CP$3, $BY$3:$BY$810), ROW($BX$3:$BX$810)-MIN(ROW($BX$3:$BX$810))+1), $CB45), 0),"")</f>
        <v/>
      </c>
      <c r="CQ45" s="252" t="str">
        <f t="array" aca="1" ref="CQ45" ca="1">IFERROR(INDEX($BX$3:$BX$810, SMALL(IF(COUNTIF(CQ$3, $BY$3:$BY$810), ROW($BX$3:$BX$810)-MIN(ROW($BX$3:$BX$810))+1), $CB45), 0),"")</f>
        <v/>
      </c>
      <c r="CS45" s="252">
        <v>42</v>
      </c>
      <c r="CT45" s="252">
        <v>1</v>
      </c>
      <c r="CV45" s="252" t="str">
        <f t="shared" ca="1" si="8"/>
        <v/>
      </c>
      <c r="CW45" s="252">
        <f t="shared" ca="1" si="14"/>
        <v>0</v>
      </c>
      <c r="CZ45" s="252">
        <v>42</v>
      </c>
      <c r="DA45" s="252" t="str">
        <f t="shared" ca="1" si="15"/>
        <v/>
      </c>
      <c r="DB45" s="252" t="str">
        <f t="shared" ca="1" si="82"/>
        <v/>
      </c>
      <c r="DC45" s="252" t="str">
        <f t="shared" ca="1" si="83"/>
        <v/>
      </c>
      <c r="DD45" s="252" t="str">
        <f t="shared" ca="1" si="84"/>
        <v/>
      </c>
    </row>
    <row r="46" spans="1:108" x14ac:dyDescent="0.2">
      <c r="A46" s="252">
        <f t="shared" si="21"/>
        <v>18</v>
      </c>
      <c r="B46" s="252" t="str">
        <f t="shared" si="22"/>
        <v>Lewis Morgan (og)</v>
      </c>
      <c r="C46" s="252" t="str">
        <f t="shared" si="23"/>
        <v>Maximilian Mittelstädt (og)</v>
      </c>
      <c r="D46" s="252" t="str">
        <f t="shared" si="24"/>
        <v>Maximilian Mittelstädt (og)</v>
      </c>
      <c r="E46" s="252" t="str">
        <f t="shared" si="25"/>
        <v>Maximilian Mittelstädt (og)</v>
      </c>
      <c r="F46" s="252" t="str">
        <f t="shared" si="26"/>
        <v>Ardian Ismajli (og)</v>
      </c>
      <c r="G46" s="252" t="str">
        <f t="shared" si="27"/>
        <v>Nicolò Barella (og)</v>
      </c>
      <c r="H46" s="252" t="str">
        <f t="shared" si="28"/>
        <v>Nicolò Barella (og)</v>
      </c>
      <c r="I46" s="252" t="str">
        <f t="shared" si="29"/>
        <v>Nicolò Barella (og)</v>
      </c>
      <c r="J46" s="252" t="str">
        <f t="shared" si="30"/>
        <v>Anthony Gordon (og)</v>
      </c>
      <c r="K46" s="252" t="str">
        <f t="shared" si="31"/>
        <v>Petar Ratkov (og)</v>
      </c>
      <c r="L46" s="252" t="str">
        <f t="shared" si="32"/>
        <v>Petar Ratkov (og)</v>
      </c>
      <c r="M46" s="252" t="str">
        <f t="shared" si="33"/>
        <v>Petar Ratkov (og)</v>
      </c>
      <c r="N46" s="252" t="str">
        <f t="shared" si="34"/>
        <v>Donyell Malen (og)</v>
      </c>
      <c r="O46" s="252" t="str">
        <f t="shared" si="35"/>
        <v>Bartosz Bereszyński (og)</v>
      </c>
      <c r="P46" s="252" t="str">
        <f t="shared" si="36"/>
        <v>Bartosz Bereszyński (og)</v>
      </c>
      <c r="Q46" s="252" t="str">
        <f t="shared" si="37"/>
        <v>Bartosz Bereszyński (og)</v>
      </c>
      <c r="R46" s="252" t="str">
        <f t="shared" si="38"/>
        <v>David Strelec (og)</v>
      </c>
      <c r="S46" s="252" t="str">
        <f t="shared" si="39"/>
        <v>Orel Mangala (og)</v>
      </c>
      <c r="T46" s="252" t="str">
        <f t="shared" si="40"/>
        <v>Orel Mangala (og)</v>
      </c>
      <c r="U46" s="252" t="str">
        <f t="shared" si="41"/>
        <v>Orel Mangala (og)</v>
      </c>
      <c r="V46" s="252" t="str">
        <f t="shared" si="42"/>
        <v>Ladislav Krejčí (og)</v>
      </c>
      <c r="W46" s="252" t="str">
        <f t="shared" si="43"/>
        <v>Rúben Neves (og)</v>
      </c>
      <c r="X46" s="252" t="str">
        <f t="shared" si="44"/>
        <v>Rúben Neves (og)</v>
      </c>
      <c r="Y46" s="252" t="str">
        <f t="shared" si="45"/>
        <v>Rúben Neves (og)</v>
      </c>
      <c r="AI46" s="252" t="str">
        <f t="shared" ca="1" si="46"/>
        <v xml:space="preserve"> (og)</v>
      </c>
      <c r="AJ46" s="252" t="str">
        <f t="shared" ca="1" si="47"/>
        <v xml:space="preserve"> (og)</v>
      </c>
      <c r="AK46" s="252" t="str">
        <f t="shared" ca="1" si="48"/>
        <v xml:space="preserve"> (og)</v>
      </c>
      <c r="AL46" s="252" t="str">
        <f t="shared" ca="1" si="49"/>
        <v xml:space="preserve"> (og)</v>
      </c>
      <c r="AM46" s="252" t="str">
        <f t="shared" ca="1" si="50"/>
        <v xml:space="preserve"> (og)</v>
      </c>
      <c r="AN46" s="252" t="str">
        <f t="shared" ca="1" si="51"/>
        <v xml:space="preserve"> (og)</v>
      </c>
      <c r="AO46" s="252" t="str">
        <f t="shared" ca="1" si="52"/>
        <v xml:space="preserve"> (og)</v>
      </c>
      <c r="AP46" s="252" t="str">
        <f t="shared" ca="1" si="53"/>
        <v xml:space="preserve"> (og)</v>
      </c>
      <c r="AQ46" s="252" t="str">
        <f t="shared" ca="1" si="54"/>
        <v xml:space="preserve"> (og)</v>
      </c>
      <c r="AR46" s="252" t="str">
        <f t="shared" ca="1" si="55"/>
        <v xml:space="preserve"> (og)</v>
      </c>
      <c r="AS46" s="252" t="str">
        <f t="shared" ca="1" si="56"/>
        <v xml:space="preserve"> (og)</v>
      </c>
      <c r="AT46" s="252" t="str">
        <f t="shared" ca="1" si="57"/>
        <v xml:space="preserve"> (og)</v>
      </c>
      <c r="AU46" s="252" t="str">
        <f t="shared" ca="1" si="58"/>
        <v xml:space="preserve"> (og)</v>
      </c>
      <c r="AV46" s="252" t="str">
        <f t="shared" ca="1" si="59"/>
        <v xml:space="preserve"> (og)</v>
      </c>
      <c r="AW46" s="252" t="str">
        <f t="shared" ca="1" si="60"/>
        <v xml:space="preserve"> (og)</v>
      </c>
      <c r="AX46" s="252" t="str">
        <f t="shared" ca="1" si="61"/>
        <v xml:space="preserve"> (og)</v>
      </c>
      <c r="AZ46" s="252" t="str">
        <f t="shared" ca="1" si="62"/>
        <v xml:space="preserve"> (og)</v>
      </c>
      <c r="BA46" s="252" t="str">
        <f t="shared" ca="1" si="63"/>
        <v xml:space="preserve"> (og)</v>
      </c>
      <c r="BB46" s="252" t="str">
        <f t="shared" ca="1" si="64"/>
        <v xml:space="preserve"> (og)</v>
      </c>
      <c r="BC46" s="252" t="str">
        <f t="shared" ca="1" si="65"/>
        <v xml:space="preserve"> (og)</v>
      </c>
      <c r="BD46" s="252" t="str">
        <f t="shared" ca="1" si="66"/>
        <v xml:space="preserve"> (og)</v>
      </c>
      <c r="BE46" s="252" t="str">
        <f t="shared" ca="1" si="67"/>
        <v xml:space="preserve"> (og)</v>
      </c>
      <c r="BF46" s="252" t="str">
        <f t="shared" ca="1" si="68"/>
        <v xml:space="preserve"> (og)</v>
      </c>
      <c r="BG46" s="252" t="str">
        <f t="shared" ca="1" si="69"/>
        <v xml:space="preserve"> (og)</v>
      </c>
      <c r="BI46" s="252" t="str">
        <f t="shared" ca="1" si="70"/>
        <v xml:space="preserve"> (og)</v>
      </c>
      <c r="BJ46" s="252" t="str">
        <f t="shared" ca="1" si="71"/>
        <v xml:space="preserve"> (og)</v>
      </c>
      <c r="BK46" s="252" t="str">
        <f t="shared" ca="1" si="72"/>
        <v xml:space="preserve"> (og)</v>
      </c>
      <c r="BL46" s="252" t="str">
        <f t="shared" ca="1" si="73"/>
        <v xml:space="preserve"> (og)</v>
      </c>
      <c r="BN46" s="252" t="str">
        <f t="shared" si="74"/>
        <v xml:space="preserve"> (og)</v>
      </c>
      <c r="BO46" s="252" t="str">
        <f t="shared" si="75"/>
        <v xml:space="preserve"> (og)</v>
      </c>
      <c r="BQ46" s="252" t="str">
        <f t="shared" ca="1" si="76"/>
        <v xml:space="preserve"> (og)</v>
      </c>
      <c r="BR46" s="252" t="str">
        <f t="shared" ca="1" si="77"/>
        <v xml:space="preserve"> (og)</v>
      </c>
      <c r="BT46" s="253" t="str">
        <f t="shared" ca="1" si="78"/>
        <v>Scotland</v>
      </c>
      <c r="BU46" s="253">
        <f t="shared" si="13"/>
        <v>44</v>
      </c>
      <c r="BV46" s="253" t="s">
        <v>1003</v>
      </c>
      <c r="BW46" s="253">
        <f t="shared" si="79"/>
        <v>2</v>
      </c>
      <c r="BX46" s="253" t="str">
        <f t="shared" ca="1" si="80"/>
        <v>Lewis Morgan</v>
      </c>
      <c r="BY46" s="253">
        <f ca="1">COUNTIF('Group Stages'!$J$8:$Q$80,BX46)+COUNTIF('Knock Out Stages'!$K$7:$R$45,BX46)</f>
        <v>0</v>
      </c>
      <c r="BZ46" s="255" t="s">
        <v>1029</v>
      </c>
      <c r="CA46" s="253" t="str">
        <f t="shared" ca="1" si="81"/>
        <v>Lewis Morgan</v>
      </c>
      <c r="CB46" s="252">
        <v>43</v>
      </c>
      <c r="CC46" s="252" t="str">
        <f t="array" aca="1" ref="CC46" ca="1">IFERROR(INDEX($BX$3:$BX$810, SMALL(IF(COUNTIF(CC$3, $BY$3:$BY$810), ROW($BX$3:$BX$810)-MIN(ROW($BX$3:$BX$810))+1), $CB46), 0),"")</f>
        <v/>
      </c>
      <c r="CD46" s="252" t="str">
        <f t="array" aca="1" ref="CD46" ca="1">IFERROR(INDEX($BX$3:$BX$810, SMALL(IF(COUNTIF(CD$3, $BY$3:$BY$810), ROW($BX$3:$BX$810)-MIN(ROW($BX$3:$BX$810))+1), $CB46), 0),"")</f>
        <v/>
      </c>
      <c r="CE46" s="252" t="str">
        <f t="array" aca="1" ref="CE46" ca="1">IFERROR(INDEX($BX$3:$BX$810, SMALL(IF(COUNTIF(CE$3, $BY$3:$BY$810), ROW($BX$3:$BX$810)-MIN(ROW($BX$3:$BX$810))+1), $CB46), 0),"")</f>
        <v/>
      </c>
      <c r="CF46" s="252" t="str">
        <f t="array" aca="1" ref="CF46" ca="1">IFERROR(INDEX($BX$3:$BX$810, SMALL(IF(COUNTIF(CF$3, $BY$3:$BY$810), ROW($BX$3:$BX$810)-MIN(ROW($BX$3:$BX$810))+1), $CB46), 0),"")</f>
        <v/>
      </c>
      <c r="CG46" s="252" t="str">
        <f t="array" aca="1" ref="CG46" ca="1">IFERROR(INDEX($BX$3:$BX$810, SMALL(IF(COUNTIF(CG$3, $BY$3:$BY$810), ROW($BX$3:$BX$810)-MIN(ROW($BX$3:$BX$810))+1), $CB46), 0),"")</f>
        <v/>
      </c>
      <c r="CH46" s="252" t="str">
        <f t="array" aca="1" ref="CH46" ca="1">IFERROR(INDEX($BX$3:$BX$810, SMALL(IF(COUNTIF(CH$3, $BY$3:$BY$810), ROW($BX$3:$BX$810)-MIN(ROW($BX$3:$BX$810))+1), $CB46), 0),"")</f>
        <v/>
      </c>
      <c r="CI46" s="252" t="str">
        <f t="array" aca="1" ref="CI46" ca="1">IFERROR(INDEX($BX$3:$BX$810, SMALL(IF(COUNTIF(CI$3, $BY$3:$BY$810), ROW($BX$3:$BX$810)-MIN(ROW($BX$3:$BX$810))+1), $CB46), 0),"")</f>
        <v/>
      </c>
      <c r="CJ46" s="252" t="str">
        <f t="array" aca="1" ref="CJ46" ca="1">IFERROR(INDEX($BX$3:$BX$810, SMALL(IF(COUNTIF(CJ$3, $BY$3:$BY$810), ROW($BX$3:$BX$810)-MIN(ROW($BX$3:$BX$810))+1), $CB46), 0),"")</f>
        <v/>
      </c>
      <c r="CK46" s="252" t="str">
        <f t="array" aca="1" ref="CK46" ca="1">IFERROR(INDEX($BX$3:$BX$810, SMALL(IF(COUNTIF(CK$3, $BY$3:$BY$810), ROW($BX$3:$BX$810)-MIN(ROW($BX$3:$BX$810))+1), $CB46), 0),"")</f>
        <v/>
      </c>
      <c r="CL46" s="252" t="str">
        <f t="array" aca="1" ref="CL46" ca="1">IFERROR(INDEX($BX$3:$BX$810, SMALL(IF(COUNTIF(CL$3, $BY$3:$BY$810), ROW($BX$3:$BX$810)-MIN(ROW($BX$3:$BX$810))+1), $CB46), 0),"")</f>
        <v/>
      </c>
      <c r="CM46" s="252" t="str">
        <f t="array" aca="1" ref="CM46" ca="1">IFERROR(INDEX($BX$3:$BX$810, SMALL(IF(COUNTIF(CM$3, $BY$3:$BY$810), ROW($BX$3:$BX$810)-MIN(ROW($BX$3:$BX$810))+1), $CB46), 0),"")</f>
        <v/>
      </c>
      <c r="CN46" s="252" t="str">
        <f t="array" aca="1" ref="CN46" ca="1">IFERROR(INDEX($BX$3:$BX$810, SMALL(IF(COUNTIF(CN$3, $BY$3:$BY$810), ROW($BX$3:$BX$810)-MIN(ROW($BX$3:$BX$810))+1), $CB46), 0),"")</f>
        <v/>
      </c>
      <c r="CO46" s="252" t="str">
        <f t="array" aca="1" ref="CO46" ca="1">IFERROR(INDEX($BX$3:$BX$810, SMALL(IF(COUNTIF(CO$3, $BY$3:$BY$810), ROW($BX$3:$BX$810)-MIN(ROW($BX$3:$BX$810))+1), $CB46), 0),"")</f>
        <v/>
      </c>
      <c r="CP46" s="252" t="str">
        <f t="array" aca="1" ref="CP46" ca="1">IFERROR(INDEX($BX$3:$BX$810, SMALL(IF(COUNTIF(CP$3, $BY$3:$BY$810), ROW($BX$3:$BX$810)-MIN(ROW($BX$3:$BX$810))+1), $CB46), 0),"")</f>
        <v/>
      </c>
      <c r="CQ46" s="252" t="str">
        <f t="array" aca="1" ref="CQ46" ca="1">IFERROR(INDEX($BX$3:$BX$810, SMALL(IF(COUNTIF(CQ$3, $BY$3:$BY$810), ROW($BX$3:$BX$810)-MIN(ROW($BX$3:$BX$810))+1), $CB46), 0),"")</f>
        <v/>
      </c>
      <c r="CS46" s="252">
        <v>43</v>
      </c>
      <c r="CT46" s="252">
        <f>CT4+1</f>
        <v>2</v>
      </c>
      <c r="CU46" s="252" t="s">
        <v>878</v>
      </c>
      <c r="CV46" s="252" t="str">
        <f ca="1">OFFSET(INDIRECT(CU46),0,-CT46)</f>
        <v/>
      </c>
      <c r="CW46" s="252">
        <f t="shared" ca="1" si="14"/>
        <v>0</v>
      </c>
      <c r="CZ46" s="252">
        <v>43</v>
      </c>
      <c r="DA46" s="252" t="str">
        <f t="shared" ca="1" si="15"/>
        <v/>
      </c>
      <c r="DB46" s="252" t="str">
        <f t="shared" ca="1" si="82"/>
        <v/>
      </c>
      <c r="DC46" s="252" t="str">
        <f t="shared" ca="1" si="83"/>
        <v/>
      </c>
      <c r="DD46" s="252" t="str">
        <f t="shared" ca="1" si="84"/>
        <v/>
      </c>
    </row>
    <row r="47" spans="1:108" x14ac:dyDescent="0.2">
      <c r="A47" s="252">
        <f t="shared" si="21"/>
        <v>19</v>
      </c>
      <c r="B47" s="252" t="str">
        <f t="shared" si="22"/>
        <v>Tommy Conway (og)</v>
      </c>
      <c r="C47" s="252" t="str">
        <f t="shared" si="23"/>
        <v>Leroy Sané (og)</v>
      </c>
      <c r="D47" s="252" t="str">
        <f t="shared" si="24"/>
        <v>Leroy Sané (og)</v>
      </c>
      <c r="E47" s="252" t="str">
        <f t="shared" si="25"/>
        <v>Leroy Sané (og)</v>
      </c>
      <c r="F47" s="252" t="str">
        <f t="shared" si="26"/>
        <v>Mirlind Daku (og)</v>
      </c>
      <c r="G47" s="252" t="str">
        <f t="shared" si="27"/>
        <v>Mateo Retegui (og)</v>
      </c>
      <c r="H47" s="252" t="str">
        <f t="shared" si="28"/>
        <v>Mateo Retegui (og)</v>
      </c>
      <c r="I47" s="252" t="str">
        <f t="shared" si="29"/>
        <v>Mateo Retegui (og)</v>
      </c>
      <c r="J47" s="252" t="str">
        <f t="shared" si="30"/>
        <v>Ollie Watkins (og)</v>
      </c>
      <c r="K47" s="252" t="str">
        <f t="shared" si="31"/>
        <v>Lazar Samardžić (og)</v>
      </c>
      <c r="L47" s="252" t="str">
        <f t="shared" si="32"/>
        <v>Lazar Samardžić (og)</v>
      </c>
      <c r="M47" s="252" t="str">
        <f t="shared" si="33"/>
        <v>Lazar Samardžić (og)</v>
      </c>
      <c r="N47" s="252" t="str">
        <f t="shared" si="34"/>
        <v>Brian Brobbey (og)</v>
      </c>
      <c r="O47" s="252" t="str">
        <f t="shared" si="35"/>
        <v>Przemysław Frankowski (og)</v>
      </c>
      <c r="P47" s="252" t="str">
        <f t="shared" si="36"/>
        <v>Przemysław Frankowski (og)</v>
      </c>
      <c r="Q47" s="252" t="str">
        <f t="shared" si="37"/>
        <v>Przemysław Frankowski (og)</v>
      </c>
      <c r="R47" s="252" t="str">
        <f t="shared" si="38"/>
        <v>Juraj Kucka (og)</v>
      </c>
      <c r="S47" s="252" t="str">
        <f t="shared" si="39"/>
        <v>Johan Bakayoko (og)</v>
      </c>
      <c r="T47" s="252" t="str">
        <f t="shared" si="40"/>
        <v>Johan Bakayoko (og)</v>
      </c>
      <c r="U47" s="252" t="str">
        <f t="shared" si="41"/>
        <v>Johan Bakayoko (og)</v>
      </c>
      <c r="V47" s="252" t="str">
        <f t="shared" si="42"/>
        <v>Tomáš Chorý (og)</v>
      </c>
      <c r="W47" s="252" t="str">
        <f t="shared" si="43"/>
        <v>Nuno Mendes (og)</v>
      </c>
      <c r="X47" s="252" t="str">
        <f t="shared" si="44"/>
        <v>Nuno Mendes (og)</v>
      </c>
      <c r="Y47" s="252" t="str">
        <f t="shared" si="45"/>
        <v>Nuno Mendes (og)</v>
      </c>
      <c r="AI47" s="252" t="str">
        <f t="shared" ca="1" si="46"/>
        <v xml:space="preserve"> (og)</v>
      </c>
      <c r="AJ47" s="252" t="str">
        <f t="shared" ca="1" si="47"/>
        <v xml:space="preserve"> (og)</v>
      </c>
      <c r="AK47" s="252" t="str">
        <f t="shared" ca="1" si="48"/>
        <v xml:space="preserve"> (og)</v>
      </c>
      <c r="AL47" s="252" t="str">
        <f t="shared" ca="1" si="49"/>
        <v xml:space="preserve"> (og)</v>
      </c>
      <c r="AM47" s="252" t="str">
        <f t="shared" ca="1" si="50"/>
        <v xml:space="preserve"> (og)</v>
      </c>
      <c r="AN47" s="252" t="str">
        <f t="shared" ca="1" si="51"/>
        <v xml:space="preserve"> (og)</v>
      </c>
      <c r="AO47" s="252" t="str">
        <f t="shared" ca="1" si="52"/>
        <v xml:space="preserve"> (og)</v>
      </c>
      <c r="AP47" s="252" t="str">
        <f t="shared" ca="1" si="53"/>
        <v xml:space="preserve"> (og)</v>
      </c>
      <c r="AQ47" s="252" t="str">
        <f t="shared" ca="1" si="54"/>
        <v xml:space="preserve"> (og)</v>
      </c>
      <c r="AR47" s="252" t="str">
        <f t="shared" ca="1" si="55"/>
        <v xml:space="preserve"> (og)</v>
      </c>
      <c r="AS47" s="252" t="str">
        <f t="shared" ca="1" si="56"/>
        <v xml:space="preserve"> (og)</v>
      </c>
      <c r="AT47" s="252" t="str">
        <f t="shared" ca="1" si="57"/>
        <v xml:space="preserve"> (og)</v>
      </c>
      <c r="AU47" s="252" t="str">
        <f t="shared" ca="1" si="58"/>
        <v xml:space="preserve"> (og)</v>
      </c>
      <c r="AV47" s="252" t="str">
        <f t="shared" ca="1" si="59"/>
        <v xml:space="preserve"> (og)</v>
      </c>
      <c r="AW47" s="252" t="str">
        <f t="shared" ca="1" si="60"/>
        <v xml:space="preserve"> (og)</v>
      </c>
      <c r="AX47" s="252" t="str">
        <f t="shared" ca="1" si="61"/>
        <v xml:space="preserve"> (og)</v>
      </c>
      <c r="AZ47" s="252" t="str">
        <f t="shared" ca="1" si="62"/>
        <v xml:space="preserve"> (og)</v>
      </c>
      <c r="BA47" s="252" t="str">
        <f t="shared" ca="1" si="63"/>
        <v xml:space="preserve"> (og)</v>
      </c>
      <c r="BB47" s="252" t="str">
        <f t="shared" ca="1" si="64"/>
        <v xml:space="preserve"> (og)</v>
      </c>
      <c r="BC47" s="252" t="str">
        <f t="shared" ca="1" si="65"/>
        <v xml:space="preserve"> (og)</v>
      </c>
      <c r="BD47" s="252" t="str">
        <f t="shared" ca="1" si="66"/>
        <v xml:space="preserve"> (og)</v>
      </c>
      <c r="BE47" s="252" t="str">
        <f t="shared" ca="1" si="67"/>
        <v xml:space="preserve"> (og)</v>
      </c>
      <c r="BF47" s="252" t="str">
        <f t="shared" ca="1" si="68"/>
        <v xml:space="preserve"> (og)</v>
      </c>
      <c r="BG47" s="252" t="str">
        <f t="shared" ca="1" si="69"/>
        <v xml:space="preserve"> (og)</v>
      </c>
      <c r="BI47" s="252" t="str">
        <f t="shared" ca="1" si="70"/>
        <v xml:space="preserve"> (og)</v>
      </c>
      <c r="BJ47" s="252" t="str">
        <f t="shared" ca="1" si="71"/>
        <v xml:space="preserve"> (og)</v>
      </c>
      <c r="BK47" s="252" t="str">
        <f t="shared" ca="1" si="72"/>
        <v xml:space="preserve"> (og)</v>
      </c>
      <c r="BL47" s="252" t="str">
        <f t="shared" ca="1" si="73"/>
        <v xml:space="preserve"> (og)</v>
      </c>
      <c r="BN47" s="252" t="str">
        <f t="shared" si="74"/>
        <v xml:space="preserve"> (og)</v>
      </c>
      <c r="BO47" s="252" t="str">
        <f t="shared" si="75"/>
        <v xml:space="preserve"> (og)</v>
      </c>
      <c r="BQ47" s="252" t="str">
        <f t="shared" ca="1" si="76"/>
        <v xml:space="preserve"> (og)</v>
      </c>
      <c r="BR47" s="252" t="str">
        <f t="shared" ca="1" si="77"/>
        <v xml:space="preserve"> (og)</v>
      </c>
      <c r="BT47" s="253" t="str">
        <f t="shared" ca="1" si="78"/>
        <v>Scotland</v>
      </c>
      <c r="BU47" s="253">
        <f t="shared" si="13"/>
        <v>45</v>
      </c>
      <c r="BV47" s="253" t="s">
        <v>1004</v>
      </c>
      <c r="BW47" s="253">
        <f t="shared" si="79"/>
        <v>2</v>
      </c>
      <c r="BX47" s="253" t="str">
        <f t="shared" ca="1" si="80"/>
        <v>Tommy Conway</v>
      </c>
      <c r="BY47" s="253">
        <f ca="1">COUNTIF('Group Stages'!$J$8:$Q$80,BX47)+COUNTIF('Knock Out Stages'!$K$7:$R$45,BX47)</f>
        <v>0</v>
      </c>
      <c r="BZ47" s="255" t="s">
        <v>1030</v>
      </c>
      <c r="CA47" s="253" t="str">
        <f t="shared" ca="1" si="81"/>
        <v>Tommy Conway</v>
      </c>
      <c r="CB47" s="252">
        <v>44</v>
      </c>
      <c r="CC47" s="252" t="str">
        <f t="array" aca="1" ref="CC47" ca="1">IFERROR(INDEX($BX$3:$BX$810, SMALL(IF(COUNTIF(CC$3, $BY$3:$BY$810), ROW($BX$3:$BX$810)-MIN(ROW($BX$3:$BX$810))+1), $CB47), 0),"")</f>
        <v/>
      </c>
      <c r="CD47" s="252" t="str">
        <f t="array" aca="1" ref="CD47" ca="1">IFERROR(INDEX($BX$3:$BX$810, SMALL(IF(COUNTIF(CD$3, $BY$3:$BY$810), ROW($BX$3:$BX$810)-MIN(ROW($BX$3:$BX$810))+1), $CB47), 0),"")</f>
        <v/>
      </c>
      <c r="CE47" s="252" t="str">
        <f t="array" aca="1" ref="CE47" ca="1">IFERROR(INDEX($BX$3:$BX$810, SMALL(IF(COUNTIF(CE$3, $BY$3:$BY$810), ROW($BX$3:$BX$810)-MIN(ROW($BX$3:$BX$810))+1), $CB47), 0),"")</f>
        <v/>
      </c>
      <c r="CF47" s="252" t="str">
        <f t="array" aca="1" ref="CF47" ca="1">IFERROR(INDEX($BX$3:$BX$810, SMALL(IF(COUNTIF(CF$3, $BY$3:$BY$810), ROW($BX$3:$BX$810)-MIN(ROW($BX$3:$BX$810))+1), $CB47), 0),"")</f>
        <v/>
      </c>
      <c r="CG47" s="252" t="str">
        <f t="array" aca="1" ref="CG47" ca="1">IFERROR(INDEX($BX$3:$BX$810, SMALL(IF(COUNTIF(CG$3, $BY$3:$BY$810), ROW($BX$3:$BX$810)-MIN(ROW($BX$3:$BX$810))+1), $CB47), 0),"")</f>
        <v/>
      </c>
      <c r="CH47" s="252" t="str">
        <f t="array" aca="1" ref="CH47" ca="1">IFERROR(INDEX($BX$3:$BX$810, SMALL(IF(COUNTIF(CH$3, $BY$3:$BY$810), ROW($BX$3:$BX$810)-MIN(ROW($BX$3:$BX$810))+1), $CB47), 0),"")</f>
        <v/>
      </c>
      <c r="CI47" s="252" t="str">
        <f t="array" aca="1" ref="CI47" ca="1">IFERROR(INDEX($BX$3:$BX$810, SMALL(IF(COUNTIF(CI$3, $BY$3:$BY$810), ROW($BX$3:$BX$810)-MIN(ROW($BX$3:$BX$810))+1), $CB47), 0),"")</f>
        <v/>
      </c>
      <c r="CJ47" s="252" t="str">
        <f t="array" aca="1" ref="CJ47" ca="1">IFERROR(INDEX($BX$3:$BX$810, SMALL(IF(COUNTIF(CJ$3, $BY$3:$BY$810), ROW($BX$3:$BX$810)-MIN(ROW($BX$3:$BX$810))+1), $CB47), 0),"")</f>
        <v/>
      </c>
      <c r="CK47" s="252" t="str">
        <f t="array" aca="1" ref="CK47" ca="1">IFERROR(INDEX($BX$3:$BX$810, SMALL(IF(COUNTIF(CK$3, $BY$3:$BY$810), ROW($BX$3:$BX$810)-MIN(ROW($BX$3:$BX$810))+1), $CB47), 0),"")</f>
        <v/>
      </c>
      <c r="CL47" s="252" t="str">
        <f t="array" aca="1" ref="CL47" ca="1">IFERROR(INDEX($BX$3:$BX$810, SMALL(IF(COUNTIF(CL$3, $BY$3:$BY$810), ROW($BX$3:$BX$810)-MIN(ROW($BX$3:$BX$810))+1), $CB47), 0),"")</f>
        <v/>
      </c>
      <c r="CM47" s="252" t="str">
        <f t="array" aca="1" ref="CM47" ca="1">IFERROR(INDEX($BX$3:$BX$810, SMALL(IF(COUNTIF(CM$3, $BY$3:$BY$810), ROW($BX$3:$BX$810)-MIN(ROW($BX$3:$BX$810))+1), $CB47), 0),"")</f>
        <v/>
      </c>
      <c r="CN47" s="252" t="str">
        <f t="array" aca="1" ref="CN47" ca="1">IFERROR(INDEX($BX$3:$BX$810, SMALL(IF(COUNTIF(CN$3, $BY$3:$BY$810), ROW($BX$3:$BX$810)-MIN(ROW($BX$3:$BX$810))+1), $CB47), 0),"")</f>
        <v/>
      </c>
      <c r="CO47" s="252" t="str">
        <f t="array" aca="1" ref="CO47" ca="1">IFERROR(INDEX($BX$3:$BX$810, SMALL(IF(COUNTIF(CO$3, $BY$3:$BY$810), ROW($BX$3:$BX$810)-MIN(ROW($BX$3:$BX$810))+1), $CB47), 0),"")</f>
        <v/>
      </c>
      <c r="CP47" s="252" t="str">
        <f t="array" aca="1" ref="CP47" ca="1">IFERROR(INDEX($BX$3:$BX$810, SMALL(IF(COUNTIF(CP$3, $BY$3:$BY$810), ROW($BX$3:$BX$810)-MIN(ROW($BX$3:$BX$810))+1), $CB47), 0),"")</f>
        <v/>
      </c>
      <c r="CQ47" s="252" t="str">
        <f t="array" aca="1" ref="CQ47" ca="1">IFERROR(INDEX($BX$3:$BX$810, SMALL(IF(COUNTIF(CQ$3, $BY$3:$BY$810), ROW($BX$3:$BX$810)-MIN(ROW($BX$3:$BX$810))+1), $CB47), 0),"")</f>
        <v/>
      </c>
      <c r="CS47" s="252">
        <f>CS46+1</f>
        <v>44</v>
      </c>
      <c r="CT47" s="252">
        <f>CT5+1</f>
        <v>2</v>
      </c>
      <c r="CU47" s="252" t="s">
        <v>879</v>
      </c>
      <c r="CV47" s="252" t="str">
        <f ca="1">OFFSET(INDIRECT(CU47),0,-CT47)</f>
        <v/>
      </c>
      <c r="CW47" s="252">
        <f t="shared" ca="1" si="14"/>
        <v>0</v>
      </c>
      <c r="CZ47" s="252">
        <v>44</v>
      </c>
      <c r="DA47" s="252" t="str">
        <f t="shared" ca="1" si="15"/>
        <v/>
      </c>
      <c r="DB47" s="252" t="str">
        <f t="shared" ca="1" si="82"/>
        <v/>
      </c>
      <c r="DC47" s="252" t="str">
        <f t="shared" ca="1" si="83"/>
        <v/>
      </c>
      <c r="DD47" s="252" t="str">
        <f t="shared" ca="1" si="84"/>
        <v/>
      </c>
    </row>
    <row r="48" spans="1:108" x14ac:dyDescent="0.2">
      <c r="A48" s="252">
        <f t="shared" si="21"/>
        <v>20</v>
      </c>
      <c r="B48" s="252" t="str">
        <f t="shared" si="22"/>
        <v>Ryan Jack (og)</v>
      </c>
      <c r="C48" s="252" t="str">
        <f t="shared" si="23"/>
        <v>Benjamin Henrichs (og)</v>
      </c>
      <c r="D48" s="252" t="str">
        <f t="shared" si="24"/>
        <v>Benjamin Henrichs (og)</v>
      </c>
      <c r="E48" s="252" t="str">
        <f t="shared" si="25"/>
        <v>Benjamin Henrichs (og)</v>
      </c>
      <c r="F48" s="252" t="str">
        <f t="shared" si="26"/>
        <v>Ylber Ramadani (og)</v>
      </c>
      <c r="G48" s="252" t="str">
        <f t="shared" si="27"/>
        <v>Mattia Zaccagni (og)</v>
      </c>
      <c r="H48" s="252" t="str">
        <f t="shared" si="28"/>
        <v>Mattia Zaccagni (og)</v>
      </c>
      <c r="I48" s="252" t="str">
        <f t="shared" si="29"/>
        <v>Mattia Zaccagni (og)</v>
      </c>
      <c r="J48" s="252" t="str">
        <f t="shared" si="30"/>
        <v>Jarrod Bowen (og)</v>
      </c>
      <c r="K48" s="252" t="str">
        <f t="shared" si="31"/>
        <v>Sergej Milinković-Savić (og)</v>
      </c>
      <c r="L48" s="252" t="str">
        <f t="shared" si="32"/>
        <v>Sergej Milinković-Savić (og)</v>
      </c>
      <c r="M48" s="252" t="str">
        <f t="shared" si="33"/>
        <v>Sergej Milinković-Savić (og)</v>
      </c>
      <c r="N48" s="252" t="str">
        <f t="shared" si="34"/>
        <v>Ian Maatsen (og)</v>
      </c>
      <c r="O48" s="252" t="str">
        <f t="shared" si="35"/>
        <v>Sebastian Szymański (og)</v>
      </c>
      <c r="P48" s="252" t="str">
        <f t="shared" si="36"/>
        <v>Sebastian Szymański (og)</v>
      </c>
      <c r="Q48" s="252" t="str">
        <f t="shared" si="37"/>
        <v>Sebastian Szymański (og)</v>
      </c>
      <c r="R48" s="252" t="str">
        <f t="shared" si="38"/>
        <v>Dávid Ďuriš (og)</v>
      </c>
      <c r="S48" s="252" t="str">
        <f t="shared" si="39"/>
        <v>Loïs Openda (og)</v>
      </c>
      <c r="T48" s="252" t="str">
        <f t="shared" si="40"/>
        <v>Loïs Openda (og)</v>
      </c>
      <c r="U48" s="252" t="str">
        <f t="shared" si="41"/>
        <v>Loïs Openda (og)</v>
      </c>
      <c r="V48" s="252" t="str">
        <f t="shared" si="42"/>
        <v>Ondřej Lingr (og)</v>
      </c>
      <c r="W48" s="252" t="str">
        <f t="shared" si="43"/>
        <v>João Cancelo (og)</v>
      </c>
      <c r="X48" s="252" t="str">
        <f t="shared" si="44"/>
        <v>João Cancelo (og)</v>
      </c>
      <c r="Y48" s="252" t="str">
        <f t="shared" si="45"/>
        <v>João Cancelo (og)</v>
      </c>
      <c r="AI48" s="252" t="str">
        <f t="shared" ca="1" si="46"/>
        <v xml:space="preserve"> (og)</v>
      </c>
      <c r="AJ48" s="252" t="str">
        <f t="shared" ca="1" si="47"/>
        <v xml:space="preserve"> (og)</v>
      </c>
      <c r="AK48" s="252" t="str">
        <f t="shared" ca="1" si="48"/>
        <v xml:space="preserve"> (og)</v>
      </c>
      <c r="AL48" s="252" t="str">
        <f t="shared" ca="1" si="49"/>
        <v xml:space="preserve"> (og)</v>
      </c>
      <c r="AM48" s="252" t="str">
        <f t="shared" ca="1" si="50"/>
        <v xml:space="preserve"> (og)</v>
      </c>
      <c r="AN48" s="252" t="str">
        <f t="shared" ca="1" si="51"/>
        <v xml:space="preserve"> (og)</v>
      </c>
      <c r="AO48" s="252" t="str">
        <f t="shared" ca="1" si="52"/>
        <v xml:space="preserve"> (og)</v>
      </c>
      <c r="AP48" s="252" t="str">
        <f t="shared" ca="1" si="53"/>
        <v xml:space="preserve"> (og)</v>
      </c>
      <c r="AQ48" s="252" t="str">
        <f t="shared" ca="1" si="54"/>
        <v xml:space="preserve"> (og)</v>
      </c>
      <c r="AR48" s="252" t="str">
        <f t="shared" ca="1" si="55"/>
        <v xml:space="preserve"> (og)</v>
      </c>
      <c r="AS48" s="252" t="str">
        <f t="shared" ca="1" si="56"/>
        <v xml:space="preserve"> (og)</v>
      </c>
      <c r="AT48" s="252" t="str">
        <f t="shared" ca="1" si="57"/>
        <v xml:space="preserve"> (og)</v>
      </c>
      <c r="AU48" s="252" t="str">
        <f t="shared" ca="1" si="58"/>
        <v xml:space="preserve"> (og)</v>
      </c>
      <c r="AV48" s="252" t="str">
        <f t="shared" ca="1" si="59"/>
        <v xml:space="preserve"> (og)</v>
      </c>
      <c r="AW48" s="252" t="str">
        <f t="shared" ca="1" si="60"/>
        <v xml:space="preserve"> (og)</v>
      </c>
      <c r="AX48" s="252" t="str">
        <f t="shared" ca="1" si="61"/>
        <v xml:space="preserve"> (og)</v>
      </c>
      <c r="AZ48" s="252" t="str">
        <f t="shared" ca="1" si="62"/>
        <v xml:space="preserve"> (og)</v>
      </c>
      <c r="BA48" s="252" t="str">
        <f t="shared" ca="1" si="63"/>
        <v xml:space="preserve"> (og)</v>
      </c>
      <c r="BB48" s="252" t="str">
        <f t="shared" ca="1" si="64"/>
        <v xml:space="preserve"> (og)</v>
      </c>
      <c r="BC48" s="252" t="str">
        <f t="shared" ca="1" si="65"/>
        <v xml:space="preserve"> (og)</v>
      </c>
      <c r="BD48" s="252" t="str">
        <f t="shared" ca="1" si="66"/>
        <v xml:space="preserve"> (og)</v>
      </c>
      <c r="BE48" s="252" t="str">
        <f t="shared" ca="1" si="67"/>
        <v xml:space="preserve"> (og)</v>
      </c>
      <c r="BF48" s="252" t="str">
        <f t="shared" ca="1" si="68"/>
        <v xml:space="preserve"> (og)</v>
      </c>
      <c r="BG48" s="252" t="str">
        <f t="shared" ca="1" si="69"/>
        <v xml:space="preserve"> (og)</v>
      </c>
      <c r="BI48" s="252" t="str">
        <f t="shared" ca="1" si="70"/>
        <v xml:space="preserve"> (og)</v>
      </c>
      <c r="BJ48" s="252" t="str">
        <f t="shared" ca="1" si="71"/>
        <v xml:space="preserve"> (og)</v>
      </c>
      <c r="BK48" s="252" t="str">
        <f t="shared" ca="1" si="72"/>
        <v xml:space="preserve"> (og)</v>
      </c>
      <c r="BL48" s="252" t="str">
        <f t="shared" ca="1" si="73"/>
        <v xml:space="preserve"> (og)</v>
      </c>
      <c r="BN48" s="252" t="str">
        <f t="shared" si="74"/>
        <v xml:space="preserve"> (og)</v>
      </c>
      <c r="BO48" s="252" t="str">
        <f t="shared" si="75"/>
        <v xml:space="preserve"> (og)</v>
      </c>
      <c r="BQ48" s="252" t="str">
        <f t="shared" ca="1" si="76"/>
        <v xml:space="preserve"> (og)</v>
      </c>
      <c r="BR48" s="252" t="str">
        <f t="shared" ca="1" si="77"/>
        <v xml:space="preserve"> (og)</v>
      </c>
      <c r="BT48" s="253" t="str">
        <f t="shared" ca="1" si="78"/>
        <v>Scotland</v>
      </c>
      <c r="BU48" s="253">
        <f t="shared" si="13"/>
        <v>46</v>
      </c>
      <c r="BV48" s="253" t="s">
        <v>1005</v>
      </c>
      <c r="BW48" s="253">
        <f t="shared" si="79"/>
        <v>2</v>
      </c>
      <c r="BX48" s="253" t="str">
        <f t="shared" ca="1" si="80"/>
        <v>Ryan Jack</v>
      </c>
      <c r="BY48" s="253">
        <f ca="1">COUNTIF('Group Stages'!$J$8:$Q$80,BX48)+COUNTIF('Knock Out Stages'!$K$7:$R$45,BX48)</f>
        <v>0</v>
      </c>
      <c r="BZ48" s="255" t="s">
        <v>1031</v>
      </c>
      <c r="CA48" s="253" t="str">
        <f t="shared" ca="1" si="81"/>
        <v>Ryan Jack</v>
      </c>
      <c r="CB48" s="252">
        <v>45</v>
      </c>
      <c r="CC48" s="252" t="str">
        <f t="array" aca="1" ref="CC48" ca="1">IFERROR(INDEX($BX$3:$BX$810, SMALL(IF(COUNTIF(CC$3, $BY$3:$BY$810), ROW($BX$3:$BX$810)-MIN(ROW($BX$3:$BX$810))+1), $CB48), 0),"")</f>
        <v/>
      </c>
      <c r="CD48" s="252" t="str">
        <f t="array" aca="1" ref="CD48" ca="1">IFERROR(INDEX($BX$3:$BX$810, SMALL(IF(COUNTIF(CD$3, $BY$3:$BY$810), ROW($BX$3:$BX$810)-MIN(ROW($BX$3:$BX$810))+1), $CB48), 0),"")</f>
        <v/>
      </c>
      <c r="CE48" s="252" t="str">
        <f t="array" aca="1" ref="CE48" ca="1">IFERROR(INDEX($BX$3:$BX$810, SMALL(IF(COUNTIF(CE$3, $BY$3:$BY$810), ROW($BX$3:$BX$810)-MIN(ROW($BX$3:$BX$810))+1), $CB48), 0),"")</f>
        <v/>
      </c>
      <c r="CF48" s="252" t="str">
        <f t="array" aca="1" ref="CF48" ca="1">IFERROR(INDEX($BX$3:$BX$810, SMALL(IF(COUNTIF(CF$3, $BY$3:$BY$810), ROW($BX$3:$BX$810)-MIN(ROW($BX$3:$BX$810))+1), $CB48), 0),"")</f>
        <v/>
      </c>
      <c r="CG48" s="252" t="str">
        <f t="array" aca="1" ref="CG48" ca="1">IFERROR(INDEX($BX$3:$BX$810, SMALL(IF(COUNTIF(CG$3, $BY$3:$BY$810), ROW($BX$3:$BX$810)-MIN(ROW($BX$3:$BX$810))+1), $CB48), 0),"")</f>
        <v/>
      </c>
      <c r="CH48" s="252" t="str">
        <f t="array" aca="1" ref="CH48" ca="1">IFERROR(INDEX($BX$3:$BX$810, SMALL(IF(COUNTIF(CH$3, $BY$3:$BY$810), ROW($BX$3:$BX$810)-MIN(ROW($BX$3:$BX$810))+1), $CB48), 0),"")</f>
        <v/>
      </c>
      <c r="CI48" s="252" t="str">
        <f t="array" aca="1" ref="CI48" ca="1">IFERROR(INDEX($BX$3:$BX$810, SMALL(IF(COUNTIF(CI$3, $BY$3:$BY$810), ROW($BX$3:$BX$810)-MIN(ROW($BX$3:$BX$810))+1), $CB48), 0),"")</f>
        <v/>
      </c>
      <c r="CJ48" s="252" t="str">
        <f t="array" aca="1" ref="CJ48" ca="1">IFERROR(INDEX($BX$3:$BX$810, SMALL(IF(COUNTIF(CJ$3, $BY$3:$BY$810), ROW($BX$3:$BX$810)-MIN(ROW($BX$3:$BX$810))+1), $CB48), 0),"")</f>
        <v/>
      </c>
      <c r="CK48" s="252" t="str">
        <f t="array" aca="1" ref="CK48" ca="1">IFERROR(INDEX($BX$3:$BX$810, SMALL(IF(COUNTIF(CK$3, $BY$3:$BY$810), ROW($BX$3:$BX$810)-MIN(ROW($BX$3:$BX$810))+1), $CB48), 0),"")</f>
        <v/>
      </c>
      <c r="CL48" s="252" t="str">
        <f t="array" aca="1" ref="CL48" ca="1">IFERROR(INDEX($BX$3:$BX$810, SMALL(IF(COUNTIF(CL$3, $BY$3:$BY$810), ROW($BX$3:$BX$810)-MIN(ROW($BX$3:$BX$810))+1), $CB48), 0),"")</f>
        <v/>
      </c>
      <c r="CM48" s="252" t="str">
        <f t="array" aca="1" ref="CM48" ca="1">IFERROR(INDEX($BX$3:$BX$810, SMALL(IF(COUNTIF(CM$3, $BY$3:$BY$810), ROW($BX$3:$BX$810)-MIN(ROW($BX$3:$BX$810))+1), $CB48), 0),"")</f>
        <v/>
      </c>
      <c r="CN48" s="252" t="str">
        <f t="array" aca="1" ref="CN48" ca="1">IFERROR(INDEX($BX$3:$BX$810, SMALL(IF(COUNTIF(CN$3, $BY$3:$BY$810), ROW($BX$3:$BX$810)-MIN(ROW($BX$3:$BX$810))+1), $CB48), 0),"")</f>
        <v/>
      </c>
      <c r="CO48" s="252" t="str">
        <f t="array" aca="1" ref="CO48" ca="1">IFERROR(INDEX($BX$3:$BX$810, SMALL(IF(COUNTIF(CO$3, $BY$3:$BY$810), ROW($BX$3:$BX$810)-MIN(ROW($BX$3:$BX$810))+1), $CB48), 0),"")</f>
        <v/>
      </c>
      <c r="CP48" s="252" t="str">
        <f t="array" aca="1" ref="CP48" ca="1">IFERROR(INDEX($BX$3:$BX$810, SMALL(IF(COUNTIF(CP$3, $BY$3:$BY$810), ROW($BX$3:$BX$810)-MIN(ROW($BX$3:$BX$810))+1), $CB48), 0),"")</f>
        <v/>
      </c>
      <c r="CQ48" s="252" t="str">
        <f t="array" aca="1" ref="CQ48" ca="1">IFERROR(INDEX($BX$3:$BX$810, SMALL(IF(COUNTIF(CQ$3, $BY$3:$BY$810), ROW($BX$3:$BX$810)-MIN(ROW($BX$3:$BX$810))+1), $CB48), 0),"")</f>
        <v/>
      </c>
      <c r="CS48" s="252">
        <f t="shared" ref="CS48:CS111" si="85">CS47+1</f>
        <v>45</v>
      </c>
      <c r="CT48" s="252">
        <f t="shared" ref="CT48:CT111" si="86">CT6+1</f>
        <v>2</v>
      </c>
      <c r="CU48" s="252" t="s">
        <v>880</v>
      </c>
      <c r="CV48" s="252" t="str">
        <f t="shared" ref="CV48:CV111" ca="1" si="87">OFFSET(INDIRECT(CU48),0,-CT48)</f>
        <v/>
      </c>
      <c r="CW48" s="252">
        <f t="shared" ca="1" si="14"/>
        <v>0</v>
      </c>
      <c r="CZ48" s="252">
        <v>45</v>
      </c>
      <c r="DA48" s="252" t="str">
        <f t="shared" ca="1" si="15"/>
        <v/>
      </c>
      <c r="DB48" s="252" t="str">
        <f t="shared" ca="1" si="82"/>
        <v/>
      </c>
      <c r="DC48" s="252" t="str">
        <f t="shared" ca="1" si="83"/>
        <v/>
      </c>
      <c r="DD48" s="252" t="str">
        <f t="shared" ca="1" si="84"/>
        <v/>
      </c>
    </row>
    <row r="49" spans="1:108" x14ac:dyDescent="0.2">
      <c r="A49" s="252">
        <f t="shared" ref="A49:A54" si="88">A23</f>
        <v>21</v>
      </c>
      <c r="B49" s="252" t="str">
        <f t="shared" ref="B49:B51" si="89">C23&amp;" (og)"</f>
        <v>Zander Clark (og)</v>
      </c>
      <c r="C49" s="252" t="str">
        <f t="shared" ref="C49:C51" si="90">B23&amp;" (og)"</f>
        <v>İlkay Gündoğan (og)</v>
      </c>
      <c r="D49" s="252" t="str">
        <f t="shared" ref="D49:D51" si="91">B23&amp;" (og)"</f>
        <v>İlkay Gündoğan (og)</v>
      </c>
      <c r="E49" s="252" t="str">
        <f t="shared" ref="E49:E51" si="92">B23&amp;" (og)"</f>
        <v>İlkay Gündoğan (og)</v>
      </c>
      <c r="F49" s="252" t="str">
        <f t="shared" ref="F49:F51" si="93">G23&amp;" (og)"</f>
        <v>Kristjan Asllani (og)</v>
      </c>
      <c r="G49" s="252" t="str">
        <f t="shared" ref="G49:G51" si="94">F23&amp;" (og)"</f>
        <v>Nicolò Fagioli (og)</v>
      </c>
      <c r="H49" s="252" t="str">
        <f t="shared" ref="H49:H51" si="95">F23&amp;" (og)"</f>
        <v>Nicolò Fagioli (og)</v>
      </c>
      <c r="I49" s="252" t="str">
        <f t="shared" ref="I49:I51" si="96">F23&amp;" (og)"</f>
        <v>Nicolò Fagioli (og)</v>
      </c>
      <c r="J49" s="252" t="str">
        <f t="shared" ref="J49:J51" si="97">K23&amp;" (og)"</f>
        <v>Eberechi Eze (og)</v>
      </c>
      <c r="K49" s="252" t="str">
        <f t="shared" ref="K49:K51" si="98">J23&amp;" (og)"</f>
        <v>Mijat Gaćinović (og)</v>
      </c>
      <c r="L49" s="252" t="str">
        <f t="shared" ref="L49:L51" si="99">J23&amp;" (og)"</f>
        <v>Mijat Gaćinović (og)</v>
      </c>
      <c r="M49" s="252" t="str">
        <f t="shared" ref="M49:M51" si="100">J23&amp;" (og)"</f>
        <v>Mijat Gaćinović (og)</v>
      </c>
      <c r="N49" s="252" t="str">
        <f t="shared" ref="N49:N51" si="101">O23&amp;" (og)"</f>
        <v>Joshua Zirkzee (og)</v>
      </c>
      <c r="O49" s="252" t="str">
        <f t="shared" ref="O49:O51" si="102">N23&amp;" (og)"</f>
        <v>Nicola Zalewski (og)</v>
      </c>
      <c r="P49" s="252" t="str">
        <f t="shared" ref="P49:P51" si="103">N23&amp;" (og)"</f>
        <v>Nicola Zalewski (og)</v>
      </c>
      <c r="Q49" s="252" t="str">
        <f t="shared" ref="Q49:Q51" si="104">N23&amp;" (og)"</f>
        <v>Nicola Zalewski (og)</v>
      </c>
      <c r="R49" s="252" t="str">
        <f t="shared" ref="R49:R51" si="105">S23&amp;" (og)"</f>
        <v>Matúš Bero (og)</v>
      </c>
      <c r="S49" s="252" t="str">
        <f t="shared" ref="S49:S51" si="106">R23&amp;" (og)"</f>
        <v>Timothy Castagne (og)</v>
      </c>
      <c r="T49" s="252" t="str">
        <f t="shared" ref="T49:T51" si="107">R23&amp;" (og)"</f>
        <v>Timothy Castagne (og)</v>
      </c>
      <c r="U49" s="252" t="str">
        <f t="shared" ref="U49:U51" si="108">R23&amp;" (og)"</f>
        <v>Timothy Castagne (og)</v>
      </c>
      <c r="V49" s="252" t="str">
        <f t="shared" ref="V49:V51" si="109">W23&amp;" (og)"</f>
        <v>Lukáš Červ (og)</v>
      </c>
      <c r="W49" s="252" t="str">
        <f t="shared" ref="W49:W51" si="110">V23&amp;" (og)"</f>
        <v>Diogo Jota (og)</v>
      </c>
      <c r="X49" s="252" t="str">
        <f t="shared" ref="X49:X51" si="111">V23&amp;" (og)"</f>
        <v>Diogo Jota (og)</v>
      </c>
      <c r="Y49" s="252" t="str">
        <f t="shared" ref="Y49:Y51" si="112">V23&amp;" (og)"</f>
        <v>Diogo Jota (og)</v>
      </c>
      <c r="AI49" s="252" t="str">
        <f t="shared" ca="1" si="46"/>
        <v xml:space="preserve"> (og)</v>
      </c>
      <c r="AJ49" s="252" t="str">
        <f t="shared" ca="1" si="47"/>
        <v xml:space="preserve"> (og)</v>
      </c>
      <c r="AK49" s="252" t="str">
        <f t="shared" ca="1" si="48"/>
        <v xml:space="preserve"> (og)</v>
      </c>
      <c r="AL49" s="252" t="str">
        <f t="shared" ca="1" si="49"/>
        <v xml:space="preserve"> (og)</v>
      </c>
      <c r="AM49" s="252" t="str">
        <f t="shared" ca="1" si="50"/>
        <v xml:space="preserve"> (og)</v>
      </c>
      <c r="AN49" s="252" t="str">
        <f t="shared" ca="1" si="51"/>
        <v xml:space="preserve"> (og)</v>
      </c>
      <c r="AO49" s="252" t="str">
        <f t="shared" ca="1" si="52"/>
        <v xml:space="preserve"> (og)</v>
      </c>
      <c r="AP49" s="252" t="str">
        <f t="shared" ca="1" si="53"/>
        <v xml:space="preserve"> (og)</v>
      </c>
      <c r="AQ49" s="252" t="str">
        <f t="shared" ca="1" si="54"/>
        <v xml:space="preserve"> (og)</v>
      </c>
      <c r="AR49" s="252" t="str">
        <f t="shared" ca="1" si="55"/>
        <v xml:space="preserve"> (og)</v>
      </c>
      <c r="AS49" s="252" t="str">
        <f t="shared" ca="1" si="56"/>
        <v xml:space="preserve"> (og)</v>
      </c>
      <c r="AT49" s="252" t="str">
        <f t="shared" ca="1" si="57"/>
        <v xml:space="preserve"> (og)</v>
      </c>
      <c r="AU49" s="252" t="str">
        <f t="shared" ca="1" si="58"/>
        <v xml:space="preserve"> (og)</v>
      </c>
      <c r="AV49" s="252" t="str">
        <f t="shared" ca="1" si="59"/>
        <v xml:space="preserve"> (og)</v>
      </c>
      <c r="AW49" s="252" t="str">
        <f t="shared" ca="1" si="60"/>
        <v xml:space="preserve"> (og)</v>
      </c>
      <c r="AX49" s="252" t="str">
        <f t="shared" ca="1" si="61"/>
        <v xml:space="preserve"> (og)</v>
      </c>
      <c r="AZ49" s="252" t="str">
        <f t="shared" ca="1" si="62"/>
        <v xml:space="preserve"> (og)</v>
      </c>
      <c r="BA49" s="252" t="str">
        <f t="shared" ca="1" si="63"/>
        <v xml:space="preserve"> (og)</v>
      </c>
      <c r="BB49" s="252" t="str">
        <f t="shared" ca="1" si="64"/>
        <v xml:space="preserve"> (og)</v>
      </c>
      <c r="BC49" s="252" t="str">
        <f t="shared" ca="1" si="65"/>
        <v xml:space="preserve"> (og)</v>
      </c>
      <c r="BD49" s="252" t="str">
        <f t="shared" ca="1" si="66"/>
        <v xml:space="preserve"> (og)</v>
      </c>
      <c r="BE49" s="252" t="str">
        <f t="shared" ca="1" si="67"/>
        <v xml:space="preserve"> (og)</v>
      </c>
      <c r="BF49" s="252" t="str">
        <f t="shared" ca="1" si="68"/>
        <v xml:space="preserve"> (og)</v>
      </c>
      <c r="BG49" s="252" t="str">
        <f t="shared" ca="1" si="69"/>
        <v xml:space="preserve"> (og)</v>
      </c>
      <c r="BI49" s="252" t="str">
        <f t="shared" ca="1" si="70"/>
        <v xml:space="preserve"> (og)</v>
      </c>
      <c r="BJ49" s="252" t="str">
        <f t="shared" ca="1" si="71"/>
        <v xml:space="preserve"> (og)</v>
      </c>
      <c r="BK49" s="252" t="str">
        <f t="shared" ca="1" si="72"/>
        <v xml:space="preserve"> (og)</v>
      </c>
      <c r="BL49" s="252" t="str">
        <f t="shared" ca="1" si="73"/>
        <v xml:space="preserve"> (og)</v>
      </c>
      <c r="BN49" s="252" t="str">
        <f t="shared" si="74"/>
        <v xml:space="preserve"> (og)</v>
      </c>
      <c r="BO49" s="252" t="str">
        <f t="shared" si="75"/>
        <v xml:space="preserve"> (og)</v>
      </c>
      <c r="BQ49" s="252" t="str">
        <f t="shared" ca="1" si="76"/>
        <v xml:space="preserve"> (og)</v>
      </c>
      <c r="BR49" s="252" t="str">
        <f t="shared" ca="1" si="77"/>
        <v xml:space="preserve"> (og)</v>
      </c>
      <c r="BT49" s="253" t="str">
        <f t="shared" ca="1" si="78"/>
        <v>Scotland</v>
      </c>
      <c r="BU49" s="253">
        <f t="shared" si="13"/>
        <v>47</v>
      </c>
      <c r="BV49" s="253" t="s">
        <v>1006</v>
      </c>
      <c r="BW49" s="253">
        <f t="shared" si="79"/>
        <v>2</v>
      </c>
      <c r="BX49" s="253" t="str">
        <f t="shared" ca="1" si="80"/>
        <v>Zander Clark</v>
      </c>
      <c r="BY49" s="253">
        <f ca="1">COUNTIF('Group Stages'!$J$8:$Q$80,BX49)+COUNTIF('Knock Out Stages'!$K$7:$R$45,BX49)</f>
        <v>0</v>
      </c>
      <c r="BZ49" s="255" t="s">
        <v>1032</v>
      </c>
      <c r="CA49" s="253" t="str">
        <f t="shared" ca="1" si="81"/>
        <v>Zander Clark</v>
      </c>
      <c r="CB49" s="252">
        <v>46</v>
      </c>
      <c r="CC49" s="252" t="str">
        <f t="array" aca="1" ref="CC49" ca="1">IFERROR(INDEX($BX$3:$BX$810, SMALL(IF(COUNTIF(CC$3, $BY$3:$BY$810), ROW($BX$3:$BX$810)-MIN(ROW($BX$3:$BX$810))+1), $CB49), 0),"")</f>
        <v/>
      </c>
      <c r="CS49" s="252">
        <f t="shared" si="85"/>
        <v>46</v>
      </c>
      <c r="CT49" s="252">
        <f t="shared" si="86"/>
        <v>2</v>
      </c>
      <c r="CU49" s="252" t="s">
        <v>881</v>
      </c>
      <c r="CV49" s="252" t="str">
        <f t="shared" ca="1" si="87"/>
        <v/>
      </c>
      <c r="CW49" s="252">
        <f t="shared" ca="1" si="14"/>
        <v>0</v>
      </c>
      <c r="CZ49" s="252">
        <v>46</v>
      </c>
      <c r="DA49" s="252" t="str">
        <f t="shared" ca="1" si="15"/>
        <v/>
      </c>
      <c r="DB49" s="252" t="str">
        <f t="shared" ca="1" si="82"/>
        <v/>
      </c>
      <c r="DC49" s="252" t="str">
        <f t="shared" ca="1" si="83"/>
        <v/>
      </c>
      <c r="DD49" s="252" t="str">
        <f t="shared" ca="1" si="84"/>
        <v/>
      </c>
    </row>
    <row r="50" spans="1:108" x14ac:dyDescent="0.2">
      <c r="A50" s="252">
        <f t="shared" si="88"/>
        <v>22</v>
      </c>
      <c r="B50" s="252" t="str">
        <f t="shared" si="89"/>
        <v>Ross McCrorie (og)</v>
      </c>
      <c r="C50" s="252" t="str">
        <f t="shared" si="90"/>
        <v>Marc-André ter Stegen (og)</v>
      </c>
      <c r="D50" s="252" t="str">
        <f t="shared" si="91"/>
        <v>Marc-André ter Stegen (og)</v>
      </c>
      <c r="E50" s="252" t="str">
        <f t="shared" si="92"/>
        <v>Marc-André ter Stegen (og)</v>
      </c>
      <c r="F50" s="252" t="str">
        <f t="shared" si="93"/>
        <v>Amir Abrashi (og)</v>
      </c>
      <c r="G50" s="252" t="str">
        <f t="shared" si="94"/>
        <v>Stephan El Shaarawy (og)</v>
      </c>
      <c r="H50" s="252" t="str">
        <f t="shared" si="95"/>
        <v>Stephan El Shaarawy (og)</v>
      </c>
      <c r="I50" s="252" t="str">
        <f t="shared" si="96"/>
        <v>Stephan El Shaarawy (og)</v>
      </c>
      <c r="J50" s="252" t="str">
        <f t="shared" si="97"/>
        <v>Joe Gomez (og)</v>
      </c>
      <c r="K50" s="252" t="str">
        <f t="shared" si="98"/>
        <v>Saša Lukić (og)</v>
      </c>
      <c r="L50" s="252" t="str">
        <f t="shared" si="99"/>
        <v>Saša Lukić (og)</v>
      </c>
      <c r="M50" s="252" t="str">
        <f t="shared" si="100"/>
        <v>Saša Lukić (og)</v>
      </c>
      <c r="N50" s="252" t="str">
        <f t="shared" si="101"/>
        <v>Denzel Dumfries (og)</v>
      </c>
      <c r="O50" s="252" t="str">
        <f t="shared" si="102"/>
        <v>Marcin Bułka (og)</v>
      </c>
      <c r="P50" s="252" t="str">
        <f t="shared" si="103"/>
        <v>Marcin Bułka (og)</v>
      </c>
      <c r="Q50" s="252" t="str">
        <f t="shared" si="104"/>
        <v>Marcin Bułka (og)</v>
      </c>
      <c r="R50" s="252" t="str">
        <f t="shared" si="105"/>
        <v>Stanislav Lobotka (og)</v>
      </c>
      <c r="S50" s="252" t="str">
        <f t="shared" si="106"/>
        <v>Jérémy Doku (og)</v>
      </c>
      <c r="T50" s="252" t="str">
        <f t="shared" si="107"/>
        <v>Jérémy Doku (og)</v>
      </c>
      <c r="U50" s="252" t="str">
        <f t="shared" si="108"/>
        <v>Jérémy Doku (og)</v>
      </c>
      <c r="V50" s="252" t="str">
        <f t="shared" si="109"/>
        <v>Tomáš Souček (og)</v>
      </c>
      <c r="W50" s="252" t="str">
        <f t="shared" si="110"/>
        <v>Diogo Costa (og)</v>
      </c>
      <c r="X50" s="252" t="str">
        <f t="shared" si="111"/>
        <v>Diogo Costa (og)</v>
      </c>
      <c r="Y50" s="252" t="str">
        <f t="shared" si="112"/>
        <v>Diogo Costa (og)</v>
      </c>
      <c r="AI50" s="252" t="str">
        <f t="shared" ca="1" si="46"/>
        <v xml:space="preserve"> (og)</v>
      </c>
      <c r="AJ50" s="252" t="str">
        <f t="shared" ca="1" si="47"/>
        <v xml:space="preserve"> (og)</v>
      </c>
      <c r="AK50" s="252" t="str">
        <f t="shared" ca="1" si="48"/>
        <v xml:space="preserve"> (og)</v>
      </c>
      <c r="AL50" s="252" t="str">
        <f t="shared" ca="1" si="49"/>
        <v xml:space="preserve"> (og)</v>
      </c>
      <c r="AM50" s="252" t="str">
        <f t="shared" ca="1" si="50"/>
        <v xml:space="preserve"> (og)</v>
      </c>
      <c r="AN50" s="252" t="str">
        <f t="shared" ca="1" si="51"/>
        <v xml:space="preserve"> (og)</v>
      </c>
      <c r="AO50" s="252" t="str">
        <f t="shared" ca="1" si="52"/>
        <v xml:space="preserve"> (og)</v>
      </c>
      <c r="AP50" s="252" t="str">
        <f t="shared" ca="1" si="53"/>
        <v xml:space="preserve"> (og)</v>
      </c>
      <c r="AQ50" s="252" t="str">
        <f t="shared" ca="1" si="54"/>
        <v xml:space="preserve"> (og)</v>
      </c>
      <c r="AR50" s="252" t="str">
        <f t="shared" ca="1" si="55"/>
        <v xml:space="preserve"> (og)</v>
      </c>
      <c r="AS50" s="252" t="str">
        <f t="shared" ca="1" si="56"/>
        <v xml:space="preserve"> (og)</v>
      </c>
      <c r="AT50" s="252" t="str">
        <f t="shared" ca="1" si="57"/>
        <v xml:space="preserve"> (og)</v>
      </c>
      <c r="AU50" s="252" t="str">
        <f t="shared" ca="1" si="58"/>
        <v xml:space="preserve"> (og)</v>
      </c>
      <c r="AV50" s="252" t="str">
        <f t="shared" ca="1" si="59"/>
        <v xml:space="preserve"> (og)</v>
      </c>
      <c r="AW50" s="252" t="str">
        <f t="shared" ca="1" si="60"/>
        <v xml:space="preserve"> (og)</v>
      </c>
      <c r="AX50" s="252" t="str">
        <f t="shared" ca="1" si="61"/>
        <v xml:space="preserve"> (og)</v>
      </c>
      <c r="AZ50" s="252" t="str">
        <f t="shared" ca="1" si="62"/>
        <v xml:space="preserve"> (og)</v>
      </c>
      <c r="BA50" s="252" t="str">
        <f t="shared" ca="1" si="63"/>
        <v xml:space="preserve"> (og)</v>
      </c>
      <c r="BB50" s="252" t="str">
        <f t="shared" ca="1" si="64"/>
        <v xml:space="preserve"> (og)</v>
      </c>
      <c r="BC50" s="252" t="str">
        <f t="shared" ca="1" si="65"/>
        <v xml:space="preserve"> (og)</v>
      </c>
      <c r="BD50" s="252" t="str">
        <f t="shared" ca="1" si="66"/>
        <v xml:space="preserve"> (og)</v>
      </c>
      <c r="BE50" s="252" t="str">
        <f t="shared" ca="1" si="67"/>
        <v xml:space="preserve"> (og)</v>
      </c>
      <c r="BF50" s="252" t="str">
        <f t="shared" ca="1" si="68"/>
        <v xml:space="preserve"> (og)</v>
      </c>
      <c r="BG50" s="252" t="str">
        <f t="shared" ca="1" si="69"/>
        <v xml:space="preserve"> (og)</v>
      </c>
      <c r="BI50" s="252" t="str">
        <f t="shared" ca="1" si="70"/>
        <v xml:space="preserve"> (og)</v>
      </c>
      <c r="BJ50" s="252" t="str">
        <f t="shared" ca="1" si="71"/>
        <v xml:space="preserve"> (og)</v>
      </c>
      <c r="BK50" s="252" t="str">
        <f t="shared" ca="1" si="72"/>
        <v xml:space="preserve"> (og)</v>
      </c>
      <c r="BL50" s="252" t="str">
        <f t="shared" ca="1" si="73"/>
        <v xml:space="preserve"> (og)</v>
      </c>
      <c r="BN50" s="252" t="str">
        <f t="shared" si="74"/>
        <v xml:space="preserve"> (og)</v>
      </c>
      <c r="BO50" s="252" t="str">
        <f t="shared" si="75"/>
        <v xml:space="preserve"> (og)</v>
      </c>
      <c r="BQ50" s="252" t="str">
        <f t="shared" ca="1" si="76"/>
        <v xml:space="preserve"> (og)</v>
      </c>
      <c r="BR50" s="252" t="str">
        <f t="shared" ca="1" si="77"/>
        <v xml:space="preserve"> (og)</v>
      </c>
      <c r="BT50" s="253" t="str">
        <f t="shared" ca="1" si="78"/>
        <v>Scotland</v>
      </c>
      <c r="BU50" s="253">
        <f t="shared" si="13"/>
        <v>48</v>
      </c>
      <c r="BV50" s="253" t="s">
        <v>1007</v>
      </c>
      <c r="BW50" s="253">
        <f t="shared" si="79"/>
        <v>2</v>
      </c>
      <c r="BX50" s="253" t="str">
        <f t="shared" ca="1" si="80"/>
        <v>Ross McCrorie</v>
      </c>
      <c r="BY50" s="253">
        <f ca="1">COUNTIF('Group Stages'!$J$8:$Q$80,BX50)+COUNTIF('Knock Out Stages'!$K$7:$R$45,BX50)</f>
        <v>0</v>
      </c>
      <c r="BZ50" s="255" t="s">
        <v>1033</v>
      </c>
      <c r="CA50" s="253" t="str">
        <f t="shared" ca="1" si="81"/>
        <v>Ross McCrorie</v>
      </c>
      <c r="CB50" s="252">
        <v>47</v>
      </c>
      <c r="CC50" s="252" t="str">
        <f t="array" aca="1" ref="CC50" ca="1">IFERROR(INDEX($BX$3:$BX$810, SMALL(IF(COUNTIF(CC$3, $BY$3:$BY$810), ROW($BX$3:$BX$810)-MIN(ROW($BX$3:$BX$810))+1), $CB50), 0),"")</f>
        <v/>
      </c>
      <c r="CS50" s="252">
        <f t="shared" si="85"/>
        <v>47</v>
      </c>
      <c r="CT50" s="252">
        <f t="shared" si="86"/>
        <v>2</v>
      </c>
      <c r="CU50" s="252" t="s">
        <v>882</v>
      </c>
      <c r="CV50" s="252" t="str">
        <f t="shared" ca="1" si="87"/>
        <v/>
      </c>
      <c r="CW50" s="252">
        <f t="shared" ca="1" si="14"/>
        <v>0</v>
      </c>
      <c r="CZ50" s="252">
        <v>47</v>
      </c>
      <c r="DA50" s="252" t="str">
        <f t="shared" ca="1" si="15"/>
        <v/>
      </c>
      <c r="DB50" s="252" t="str">
        <f t="shared" ca="1" si="82"/>
        <v/>
      </c>
      <c r="DC50" s="252" t="str">
        <f t="shared" ca="1" si="83"/>
        <v/>
      </c>
      <c r="DD50" s="252" t="str">
        <f t="shared" ca="1" si="84"/>
        <v/>
      </c>
    </row>
    <row r="51" spans="1:108" x14ac:dyDescent="0.2">
      <c r="A51" s="252">
        <f t="shared" si="88"/>
        <v>23</v>
      </c>
      <c r="B51" s="252" t="str">
        <f t="shared" si="89"/>
        <v>Kenny McLean (og)</v>
      </c>
      <c r="C51" s="252" t="str">
        <f t="shared" si="90"/>
        <v>Robert Andrich (og)</v>
      </c>
      <c r="D51" s="252" t="str">
        <f t="shared" si="91"/>
        <v>Robert Andrich (og)</v>
      </c>
      <c r="E51" s="252" t="str">
        <f t="shared" si="92"/>
        <v>Robert Andrich (og)</v>
      </c>
      <c r="F51" s="252" t="str">
        <f t="shared" si="93"/>
        <v>Thomas Strakosha (og)</v>
      </c>
      <c r="G51" s="252" t="str">
        <f t="shared" si="94"/>
        <v>Alessandro Bastoni (og)</v>
      </c>
      <c r="H51" s="252" t="str">
        <f t="shared" si="95"/>
        <v>Alessandro Bastoni (og)</v>
      </c>
      <c r="I51" s="252" t="str">
        <f t="shared" si="96"/>
        <v>Alessandro Bastoni (og)</v>
      </c>
      <c r="J51" s="252" t="str">
        <f t="shared" si="97"/>
        <v>Dean Henderson (og)</v>
      </c>
      <c r="K51" s="252" t="str">
        <f t="shared" si="98"/>
        <v>Vanja Milinković-Savić (og)</v>
      </c>
      <c r="L51" s="252" t="str">
        <f t="shared" si="99"/>
        <v>Vanja Milinković-Savić (og)</v>
      </c>
      <c r="M51" s="252" t="str">
        <f t="shared" si="100"/>
        <v>Vanja Milinković-Savić (og)</v>
      </c>
      <c r="N51" s="252" t="str">
        <f t="shared" si="101"/>
        <v>Mark Flekken (og)</v>
      </c>
      <c r="O51" s="252" t="str">
        <f t="shared" si="102"/>
        <v>Krzysztof Piątek (og)</v>
      </c>
      <c r="P51" s="252" t="str">
        <f t="shared" si="103"/>
        <v>Krzysztof Piątek (og)</v>
      </c>
      <c r="Q51" s="252" t="str">
        <f t="shared" si="104"/>
        <v>Krzysztof Piątek (og)</v>
      </c>
      <c r="R51" s="252" t="str">
        <f t="shared" si="105"/>
        <v>Henrich Ravas (og)</v>
      </c>
      <c r="S51" s="252" t="str">
        <f t="shared" si="106"/>
        <v>Arthur Vermeeren (og)</v>
      </c>
      <c r="T51" s="252" t="str">
        <f t="shared" si="107"/>
        <v>Arthur Vermeeren (og)</v>
      </c>
      <c r="U51" s="252" t="str">
        <f t="shared" si="108"/>
        <v>Arthur Vermeeren (og)</v>
      </c>
      <c r="V51" s="252" t="str">
        <f t="shared" si="109"/>
        <v>Vítězslav Jaroš (og)</v>
      </c>
      <c r="W51" s="252" t="str">
        <f t="shared" si="110"/>
        <v>Vitinha (og)</v>
      </c>
      <c r="X51" s="252" t="str">
        <f t="shared" si="111"/>
        <v>Vitinha (og)</v>
      </c>
      <c r="Y51" s="252" t="str">
        <f t="shared" si="112"/>
        <v>Vitinha (og)</v>
      </c>
      <c r="AI51" s="252" t="str">
        <f t="shared" ca="1" si="46"/>
        <v xml:space="preserve"> (og)</v>
      </c>
      <c r="AJ51" s="252" t="str">
        <f t="shared" ca="1" si="47"/>
        <v xml:space="preserve"> (og)</v>
      </c>
      <c r="AK51" s="252" t="str">
        <f t="shared" ca="1" si="48"/>
        <v xml:space="preserve"> (og)</v>
      </c>
      <c r="AL51" s="252" t="str">
        <f t="shared" ca="1" si="49"/>
        <v xml:space="preserve"> (og)</v>
      </c>
      <c r="AM51" s="252" t="str">
        <f t="shared" ca="1" si="50"/>
        <v xml:space="preserve"> (og)</v>
      </c>
      <c r="AN51" s="252" t="str">
        <f t="shared" ca="1" si="51"/>
        <v xml:space="preserve"> (og)</v>
      </c>
      <c r="AO51" s="252" t="str">
        <f t="shared" ca="1" si="52"/>
        <v xml:space="preserve"> (og)</v>
      </c>
      <c r="AP51" s="252" t="str">
        <f t="shared" ca="1" si="53"/>
        <v xml:space="preserve"> (og)</v>
      </c>
      <c r="AQ51" s="252" t="str">
        <f t="shared" ca="1" si="54"/>
        <v xml:space="preserve"> (og)</v>
      </c>
      <c r="AR51" s="252" t="str">
        <f t="shared" ca="1" si="55"/>
        <v xml:space="preserve"> (og)</v>
      </c>
      <c r="AS51" s="252" t="str">
        <f t="shared" ca="1" si="56"/>
        <v xml:space="preserve"> (og)</v>
      </c>
      <c r="AT51" s="252" t="str">
        <f t="shared" ca="1" si="57"/>
        <v xml:space="preserve"> (og)</v>
      </c>
      <c r="AU51" s="252" t="str">
        <f t="shared" ca="1" si="58"/>
        <v xml:space="preserve"> (og)</v>
      </c>
      <c r="AV51" s="252" t="str">
        <f t="shared" ca="1" si="59"/>
        <v xml:space="preserve"> (og)</v>
      </c>
      <c r="AW51" s="252" t="str">
        <f t="shared" ca="1" si="60"/>
        <v xml:space="preserve"> (og)</v>
      </c>
      <c r="AX51" s="252" t="str">
        <f t="shared" ca="1" si="61"/>
        <v xml:space="preserve"> (og)</v>
      </c>
      <c r="AZ51" s="252" t="str">
        <f t="shared" ca="1" si="62"/>
        <v xml:space="preserve"> (og)</v>
      </c>
      <c r="BA51" s="252" t="str">
        <f t="shared" ca="1" si="63"/>
        <v xml:space="preserve"> (og)</v>
      </c>
      <c r="BB51" s="252" t="str">
        <f t="shared" ca="1" si="64"/>
        <v xml:space="preserve"> (og)</v>
      </c>
      <c r="BC51" s="252" t="str">
        <f t="shared" ca="1" si="65"/>
        <v xml:space="preserve"> (og)</v>
      </c>
      <c r="BD51" s="252" t="str">
        <f t="shared" ca="1" si="66"/>
        <v xml:space="preserve"> (og)</v>
      </c>
      <c r="BE51" s="252" t="str">
        <f t="shared" ca="1" si="67"/>
        <v xml:space="preserve"> (og)</v>
      </c>
      <c r="BF51" s="252" t="str">
        <f t="shared" ca="1" si="68"/>
        <v xml:space="preserve"> (og)</v>
      </c>
      <c r="BG51" s="252" t="str">
        <f t="shared" ca="1" si="69"/>
        <v xml:space="preserve"> (og)</v>
      </c>
      <c r="BI51" s="252" t="str">
        <f t="shared" ca="1" si="70"/>
        <v xml:space="preserve"> (og)</v>
      </c>
      <c r="BJ51" s="252" t="str">
        <f t="shared" ca="1" si="71"/>
        <v xml:space="preserve"> (og)</v>
      </c>
      <c r="BK51" s="252" t="str">
        <f t="shared" ca="1" si="72"/>
        <v xml:space="preserve"> (og)</v>
      </c>
      <c r="BL51" s="252" t="str">
        <f t="shared" ca="1" si="73"/>
        <v xml:space="preserve"> (og)</v>
      </c>
      <c r="BN51" s="252" t="str">
        <f t="shared" si="74"/>
        <v xml:space="preserve"> (og)</v>
      </c>
      <c r="BO51" s="252" t="str">
        <f t="shared" si="75"/>
        <v xml:space="preserve"> (og)</v>
      </c>
      <c r="BQ51" s="252" t="str">
        <f t="shared" ca="1" si="76"/>
        <v xml:space="preserve"> (og)</v>
      </c>
      <c r="BR51" s="252" t="str">
        <f t="shared" ca="1" si="77"/>
        <v xml:space="preserve"> (og)</v>
      </c>
      <c r="BT51" s="253" t="str">
        <f t="shared" ca="1" si="78"/>
        <v>Scotland</v>
      </c>
      <c r="BU51" s="253">
        <f t="shared" si="13"/>
        <v>49</v>
      </c>
      <c r="BV51" s="253" t="s">
        <v>1008</v>
      </c>
      <c r="BW51" s="253">
        <f t="shared" si="79"/>
        <v>2</v>
      </c>
      <c r="BX51" s="253" t="str">
        <f t="shared" ca="1" si="80"/>
        <v>Kenny McLean</v>
      </c>
      <c r="BY51" s="253">
        <f ca="1">COUNTIF('Group Stages'!$J$8:$Q$80,BX51)+COUNTIF('Knock Out Stages'!$K$7:$R$45,BX51)</f>
        <v>0</v>
      </c>
      <c r="BZ51" s="255" t="s">
        <v>1034</v>
      </c>
      <c r="CA51" s="253" t="str">
        <f t="shared" ca="1" si="81"/>
        <v>Kenny McLean</v>
      </c>
      <c r="CB51" s="252">
        <v>48</v>
      </c>
      <c r="CC51" s="252" t="str">
        <f t="array" aca="1" ref="CC51" ca="1">IFERROR(INDEX($BX$3:$BX$810, SMALL(IF(COUNTIF(CC$3, $BY$3:$BY$810), ROW($BX$3:$BX$810)-MIN(ROW($BX$3:$BX$810))+1), $CB51), 0),"")</f>
        <v/>
      </c>
      <c r="CS51" s="252">
        <f t="shared" si="85"/>
        <v>48</v>
      </c>
      <c r="CT51" s="252">
        <f t="shared" si="86"/>
        <v>2</v>
      </c>
      <c r="CU51" s="252" t="s">
        <v>883</v>
      </c>
      <c r="CV51" s="252" t="str">
        <f t="shared" ca="1" si="87"/>
        <v/>
      </c>
      <c r="CW51" s="252">
        <f t="shared" ca="1" si="14"/>
        <v>0</v>
      </c>
      <c r="CZ51" s="252">
        <v>48</v>
      </c>
      <c r="DA51" s="252" t="str">
        <f t="shared" ca="1" si="15"/>
        <v/>
      </c>
      <c r="DB51" s="252" t="str">
        <f t="shared" ca="1" si="82"/>
        <v/>
      </c>
      <c r="DC51" s="252" t="str">
        <f t="shared" ca="1" si="83"/>
        <v/>
      </c>
      <c r="DD51" s="252" t="str">
        <f t="shared" ca="1" si="84"/>
        <v/>
      </c>
    </row>
    <row r="52" spans="1:108" x14ac:dyDescent="0.2">
      <c r="A52" s="252">
        <f t="shared" si="88"/>
        <v>24</v>
      </c>
      <c r="B52" s="252" t="str">
        <f t="shared" ref="B52:B54" si="113">C26&amp;" (og)"</f>
        <v>Greg Taylor (og)</v>
      </c>
      <c r="C52" s="252" t="str">
        <f t="shared" ref="C52:C54" si="114">B26&amp;" (og)"</f>
        <v>Robin Koch (og)</v>
      </c>
      <c r="D52" s="252" t="str">
        <f t="shared" ref="D52:D54" si="115">B26&amp;" (og)"</f>
        <v>Robin Koch (og)</v>
      </c>
      <c r="E52" s="252" t="str">
        <f t="shared" ref="E52:E54" si="116">B26&amp;" (og)"</f>
        <v>Robin Koch (og)</v>
      </c>
      <c r="F52" s="252" t="str">
        <f t="shared" ref="F52:F54" si="117">G26&amp;" (og)"</f>
        <v>Marash Kumbulla (og)</v>
      </c>
      <c r="G52" s="252" t="str">
        <f t="shared" ref="G52:G54" si="118">F26&amp;" (og)"</f>
        <v>Andrea Cambiaso (og)</v>
      </c>
      <c r="H52" s="252" t="str">
        <f t="shared" ref="H52:H54" si="119">F26&amp;" (og)"</f>
        <v>Andrea Cambiaso (og)</v>
      </c>
      <c r="I52" s="252" t="str">
        <f t="shared" ref="I52:I54" si="120">F26&amp;" (og)"</f>
        <v>Andrea Cambiaso (og)</v>
      </c>
      <c r="J52" s="252" t="str">
        <f t="shared" ref="J52:J54" si="121">K26&amp;" (og)"</f>
        <v>Cole Palmer (og)</v>
      </c>
      <c r="K52" s="252" t="str">
        <f t="shared" ref="K52:K54" si="122">J26&amp;" (og)"</f>
        <v>Uroš Spajić (og)</v>
      </c>
      <c r="L52" s="252" t="str">
        <f t="shared" ref="L52:L54" si="123">J26&amp;" (og)"</f>
        <v>Uroš Spajić (og)</v>
      </c>
      <c r="M52" s="252" t="str">
        <f t="shared" ref="M52:M54" si="124">J26&amp;" (og)"</f>
        <v>Uroš Spajić (og)</v>
      </c>
      <c r="N52" s="252" t="str">
        <f t="shared" ref="N52:N54" si="125">O26&amp;" (og)"</f>
        <v>Jerdy Schouten (og)</v>
      </c>
      <c r="O52" s="252" t="str">
        <f t="shared" ref="O52:O54" si="126">N26&amp;" (og)"</f>
        <v>Bartosz Slisz (og)</v>
      </c>
      <c r="P52" s="252" t="str">
        <f t="shared" ref="P52:P54" si="127">N26&amp;" (og)"</f>
        <v>Bartosz Slisz (og)</v>
      </c>
      <c r="Q52" s="252" t="str">
        <f t="shared" ref="Q52:Q54" si="128">N26&amp;" (og)"</f>
        <v>Bartosz Slisz (og)</v>
      </c>
      <c r="R52" s="252" t="str">
        <f t="shared" ref="R52:R54" si="129">S26&amp;" (og)"</f>
        <v>Leo Sauer (og)</v>
      </c>
      <c r="S52" s="252" t="str">
        <f t="shared" ref="S52:S54" si="130">R26&amp;" (og)"</f>
        <v>Amadou Onana (og)</v>
      </c>
      <c r="T52" s="252" t="str">
        <f t="shared" ref="T52:T54" si="131">R26&amp;" (og)"</f>
        <v>Amadou Onana (og)</v>
      </c>
      <c r="U52" s="252" t="str">
        <f t="shared" ref="U52:U54" si="132">R26&amp;" (og)"</f>
        <v>Amadou Onana (og)</v>
      </c>
      <c r="V52" s="252" t="str">
        <f t="shared" ref="V52:V54" si="133">W26&amp;" (og)"</f>
        <v>Tomáš Vlček (og)</v>
      </c>
      <c r="W52" s="252" t="str">
        <f t="shared" ref="W52:W54" si="134">V26&amp;" (og)"</f>
        <v>António Silva (og)</v>
      </c>
      <c r="X52" s="252" t="str">
        <f t="shared" ref="X52:X54" si="135">V26&amp;" (og)"</f>
        <v>António Silva (og)</v>
      </c>
      <c r="Y52" s="252" t="str">
        <f t="shared" ref="Y52:Y54" si="136">V26&amp;" (og)"</f>
        <v>António Silva (og)</v>
      </c>
      <c r="AI52" s="252" t="str">
        <f t="shared" ref="AI52:AI54" ca="1" si="137">AJ26&amp;" (og)"</f>
        <v xml:space="preserve"> (og)</v>
      </c>
      <c r="AJ52" s="252" t="str">
        <f t="shared" ref="AJ52:AJ54" ca="1" si="138">AI26&amp;" (og)"</f>
        <v xml:space="preserve"> (og)</v>
      </c>
      <c r="AK52" s="252" t="str">
        <f t="shared" ref="AK52:AK54" ca="1" si="139">AL26&amp;" (og)"</f>
        <v xml:space="preserve"> (og)</v>
      </c>
      <c r="AL52" s="252" t="str">
        <f t="shared" ref="AL52:AL54" ca="1" si="140">AK26&amp;" (og)"</f>
        <v xml:space="preserve"> (og)</v>
      </c>
      <c r="AM52" s="252" t="str">
        <f t="shared" ref="AM52:AM54" ca="1" si="141">AN26&amp;" (og)"</f>
        <v xml:space="preserve"> (og)</v>
      </c>
      <c r="AN52" s="252" t="str">
        <f t="shared" ref="AN52:AN54" ca="1" si="142">AM26&amp;" (og)"</f>
        <v xml:space="preserve"> (og)</v>
      </c>
      <c r="AO52" s="252" t="str">
        <f t="shared" ref="AO52:AO54" ca="1" si="143">AP26&amp;" (og)"</f>
        <v xml:space="preserve"> (og)</v>
      </c>
      <c r="AP52" s="252" t="str">
        <f t="shared" ref="AP52:AP54" ca="1" si="144">AO26&amp;" (og)"</f>
        <v xml:space="preserve"> (og)</v>
      </c>
      <c r="AQ52" s="252" t="str">
        <f t="shared" ref="AQ52:AQ54" ca="1" si="145">AR26&amp;" (og)"</f>
        <v xml:space="preserve"> (og)</v>
      </c>
      <c r="AR52" s="252" t="str">
        <f t="shared" ref="AR52:AR54" ca="1" si="146">AQ26&amp;" (og)"</f>
        <v xml:space="preserve"> (og)</v>
      </c>
      <c r="AS52" s="252" t="str">
        <f t="shared" ref="AS52:AS54" ca="1" si="147">AT26&amp;" (og)"</f>
        <v xml:space="preserve"> (og)</v>
      </c>
      <c r="AT52" s="252" t="str">
        <f t="shared" ref="AT52:AT54" ca="1" si="148">AS26&amp;" (og)"</f>
        <v xml:space="preserve"> (og)</v>
      </c>
      <c r="AU52" s="252" t="str">
        <f t="shared" ref="AU52:AU54" ca="1" si="149">AV26&amp;" (og)"</f>
        <v xml:space="preserve"> (og)</v>
      </c>
      <c r="AV52" s="252" t="str">
        <f t="shared" ref="AV52:AV54" ca="1" si="150">AU26&amp;" (og)"</f>
        <v xml:space="preserve"> (og)</v>
      </c>
      <c r="AW52" s="252" t="str">
        <f t="shared" ref="AW52:AW54" ca="1" si="151">AX26&amp;" (og)"</f>
        <v xml:space="preserve"> (og)</v>
      </c>
      <c r="AX52" s="252" t="str">
        <f t="shared" ref="AX52:AX54" ca="1" si="152">AW26&amp;" (og)"</f>
        <v xml:space="preserve"> (og)</v>
      </c>
      <c r="AZ52" s="252" t="str">
        <f t="shared" ref="AZ52:AZ54" ca="1" si="153">BA26&amp;" (og)"</f>
        <v xml:space="preserve"> (og)</v>
      </c>
      <c r="BA52" s="252" t="str">
        <f t="shared" ref="BA52:BA54" ca="1" si="154">AZ26&amp;" (og)"</f>
        <v xml:space="preserve"> (og)</v>
      </c>
      <c r="BB52" s="252" t="str">
        <f t="shared" ref="BB52:BB54" ca="1" si="155">BC26&amp;" (og)"</f>
        <v xml:space="preserve"> (og)</v>
      </c>
      <c r="BC52" s="252" t="str">
        <f t="shared" ref="BC52:BC54" ca="1" si="156">BB26&amp;" (og)"</f>
        <v xml:space="preserve"> (og)</v>
      </c>
      <c r="BD52" s="252" t="str">
        <f t="shared" ref="BD52:BD54" ca="1" si="157">BE26&amp;" (og)"</f>
        <v xml:space="preserve"> (og)</v>
      </c>
      <c r="BE52" s="252" t="str">
        <f t="shared" ref="BE52:BE54" ca="1" si="158">BD26&amp;" (og)"</f>
        <v xml:space="preserve"> (og)</v>
      </c>
      <c r="BF52" s="252" t="str">
        <f t="shared" ref="BF52:BF54" ca="1" si="159">BG26&amp;" (og)"</f>
        <v xml:space="preserve"> (og)</v>
      </c>
      <c r="BG52" s="252" t="str">
        <f t="shared" ref="BG52:BG54" ca="1" si="160">BF26&amp;" (og)"</f>
        <v xml:space="preserve"> (og)</v>
      </c>
      <c r="BI52" s="252" t="str">
        <f t="shared" ref="BI52:BI54" ca="1" si="161">BJ26&amp;" (og)"</f>
        <v xml:space="preserve"> (og)</v>
      </c>
      <c r="BJ52" s="252" t="str">
        <f t="shared" ref="BJ52:BJ54" ca="1" si="162">BI26&amp;" (og)"</f>
        <v xml:space="preserve"> (og)</v>
      </c>
      <c r="BK52" s="252" t="str">
        <f t="shared" ref="BK52:BK54" ca="1" si="163">BL26&amp;" (og)"</f>
        <v xml:space="preserve"> (og)</v>
      </c>
      <c r="BL52" s="252" t="str">
        <f t="shared" ref="BL52:BL54" ca="1" si="164">BK26&amp;" (og)"</f>
        <v xml:space="preserve"> (og)</v>
      </c>
      <c r="BN52" s="252" t="str">
        <f t="shared" ref="BN52:BN54" si="165">BO26&amp;" (og)"</f>
        <v xml:space="preserve"> (og)</v>
      </c>
      <c r="BO52" s="252" t="str">
        <f t="shared" ref="BO52:BO54" si="166">BN26&amp;" (og)"</f>
        <v xml:space="preserve"> (og)</v>
      </c>
      <c r="BQ52" s="252" t="str">
        <f t="shared" ref="BQ52:BQ54" ca="1" si="167">BR26&amp;" (og)"</f>
        <v xml:space="preserve"> (og)</v>
      </c>
      <c r="BR52" s="252" t="str">
        <f t="shared" ref="BR52:BR54" ca="1" si="168">BQ26&amp;" (og)"</f>
        <v xml:space="preserve"> (og)</v>
      </c>
      <c r="BT52" s="253" t="str">
        <f t="shared" ref="BT52:BT54" ca="1" si="169">OFFSET($A$2,0,BW52)</f>
        <v>Scotland</v>
      </c>
      <c r="BU52" s="253">
        <f t="shared" si="13"/>
        <v>50</v>
      </c>
      <c r="BV52" s="253" t="s">
        <v>1009</v>
      </c>
      <c r="BW52" s="253">
        <f t="shared" si="79"/>
        <v>2</v>
      </c>
      <c r="BX52" s="253" t="str">
        <f t="shared" ref="BX52:BX54" ca="1" si="170">OFFSET(INDIRECT(BV52),0,BW52)</f>
        <v>Greg Taylor</v>
      </c>
      <c r="BY52" s="253">
        <f ca="1">COUNTIF('Group Stages'!$J$8:$Q$80,BX52)+COUNTIF('Knock Out Stages'!$K$7:$R$45,BX52)</f>
        <v>0</v>
      </c>
      <c r="BZ52" s="255" t="s">
        <v>1035</v>
      </c>
      <c r="CA52" s="253" t="str">
        <f t="shared" ref="CA52:CA54" ca="1" si="171">OFFSET(INDIRECT(BZ52),0,BW52)</f>
        <v>Greg Taylor</v>
      </c>
      <c r="CB52" s="252">
        <v>49</v>
      </c>
      <c r="CC52" s="252" t="str">
        <f t="array" aca="1" ref="CC52" ca="1">IFERROR(INDEX($BX$3:$BX$810, SMALL(IF(COUNTIF(CC$3, $BY$3:$BY$810), ROW($BX$3:$BX$810)-MIN(ROW($BX$3:$BX$810))+1), $CB52), 0),"")</f>
        <v/>
      </c>
      <c r="CS52" s="252">
        <f t="shared" si="85"/>
        <v>49</v>
      </c>
      <c r="CT52" s="252">
        <f t="shared" si="86"/>
        <v>2</v>
      </c>
      <c r="CU52" s="252" t="s">
        <v>884</v>
      </c>
      <c r="CV52" s="252" t="str">
        <f t="shared" ca="1" si="87"/>
        <v/>
      </c>
      <c r="CW52" s="252">
        <f t="shared" ca="1" si="14"/>
        <v>0</v>
      </c>
      <c r="CZ52" s="252">
        <v>49</v>
      </c>
      <c r="DA52" s="252" t="str">
        <f t="shared" ca="1" si="15"/>
        <v/>
      </c>
      <c r="DB52" s="252" t="str">
        <f t="shared" ca="1" si="82"/>
        <v/>
      </c>
      <c r="DC52" s="252" t="str">
        <f t="shared" ca="1" si="83"/>
        <v/>
      </c>
      <c r="DD52" s="252" t="str">
        <f t="shared" ca="1" si="84"/>
        <v/>
      </c>
    </row>
    <row r="53" spans="1:108" x14ac:dyDescent="0.2">
      <c r="A53" s="252">
        <f t="shared" si="88"/>
        <v>25</v>
      </c>
      <c r="B53" s="252" t="str">
        <f t="shared" si="113"/>
        <v>James Forrest (og)</v>
      </c>
      <c r="C53" s="252" t="str">
        <f t="shared" si="114"/>
        <v>Emre Can (og)</v>
      </c>
      <c r="D53" s="252" t="str">
        <f t="shared" si="115"/>
        <v>Emre Can (og)</v>
      </c>
      <c r="E53" s="252" t="str">
        <f t="shared" si="116"/>
        <v>Emre Can (og)</v>
      </c>
      <c r="F53" s="252" t="str">
        <f t="shared" si="117"/>
        <v>Naser Aliji (og)</v>
      </c>
      <c r="G53" s="252" t="str">
        <f t="shared" si="118"/>
        <v>Michael Folorunsho (og)</v>
      </c>
      <c r="H53" s="252" t="str">
        <f t="shared" si="119"/>
        <v>Michael Folorunsho (og)</v>
      </c>
      <c r="I53" s="252" t="str">
        <f t="shared" si="120"/>
        <v>Michael Folorunsho (og)</v>
      </c>
      <c r="J53" s="252" t="str">
        <f t="shared" si="121"/>
        <v>Adam Wharton (og)</v>
      </c>
      <c r="K53" s="252" t="str">
        <f t="shared" si="122"/>
        <v>Filip Mladenović (og)</v>
      </c>
      <c r="L53" s="252" t="str">
        <f t="shared" si="123"/>
        <v>Filip Mladenović (og)</v>
      </c>
      <c r="M53" s="252" t="str">
        <f t="shared" si="124"/>
        <v>Filip Mladenović (og)</v>
      </c>
      <c r="N53" s="252" t="str">
        <f t="shared" si="125"/>
        <v>Steven Bergwijn (og)</v>
      </c>
      <c r="O53" s="252" t="str">
        <f t="shared" si="126"/>
        <v>Michał Skóraś (og)</v>
      </c>
      <c r="P53" s="252" t="str">
        <f t="shared" si="127"/>
        <v>Michał Skóraś (og)</v>
      </c>
      <c r="Q53" s="252" t="str">
        <f t="shared" si="128"/>
        <v>Michał Skóraś (og)</v>
      </c>
      <c r="R53" s="252" t="str">
        <f t="shared" si="129"/>
        <v>Sebastian Kóša (og)</v>
      </c>
      <c r="S53" s="252" t="str">
        <f t="shared" si="130"/>
        <v>Maxim De Cuyper (og)</v>
      </c>
      <c r="T53" s="252" t="str">
        <f t="shared" si="131"/>
        <v>Maxim De Cuyper (og)</v>
      </c>
      <c r="U53" s="252" t="str">
        <f t="shared" si="132"/>
        <v>Maxim De Cuyper (og)</v>
      </c>
      <c r="V53" s="252" t="str">
        <f t="shared" si="133"/>
        <v>Pavel Šulc (og)</v>
      </c>
      <c r="W53" s="252" t="str">
        <f t="shared" si="134"/>
        <v>Pedro Neto (og)</v>
      </c>
      <c r="X53" s="252" t="str">
        <f t="shared" si="135"/>
        <v>Pedro Neto (og)</v>
      </c>
      <c r="Y53" s="252" t="str">
        <f t="shared" si="136"/>
        <v>Pedro Neto (og)</v>
      </c>
      <c r="AI53" s="252" t="str">
        <f t="shared" ca="1" si="137"/>
        <v xml:space="preserve"> (og)</v>
      </c>
      <c r="AJ53" s="252" t="str">
        <f t="shared" ca="1" si="138"/>
        <v xml:space="preserve"> (og)</v>
      </c>
      <c r="AK53" s="252" t="str">
        <f t="shared" ca="1" si="139"/>
        <v xml:space="preserve"> (og)</v>
      </c>
      <c r="AL53" s="252" t="str">
        <f t="shared" ca="1" si="140"/>
        <v xml:space="preserve"> (og)</v>
      </c>
      <c r="AM53" s="252" t="str">
        <f t="shared" ca="1" si="141"/>
        <v xml:space="preserve"> (og)</v>
      </c>
      <c r="AN53" s="252" t="str">
        <f t="shared" ca="1" si="142"/>
        <v xml:space="preserve"> (og)</v>
      </c>
      <c r="AO53" s="252" t="str">
        <f t="shared" ca="1" si="143"/>
        <v xml:space="preserve"> (og)</v>
      </c>
      <c r="AP53" s="252" t="str">
        <f t="shared" ca="1" si="144"/>
        <v xml:space="preserve"> (og)</v>
      </c>
      <c r="AQ53" s="252" t="str">
        <f t="shared" ca="1" si="145"/>
        <v xml:space="preserve"> (og)</v>
      </c>
      <c r="AR53" s="252" t="str">
        <f t="shared" ca="1" si="146"/>
        <v xml:space="preserve"> (og)</v>
      </c>
      <c r="AS53" s="252" t="str">
        <f t="shared" ca="1" si="147"/>
        <v xml:space="preserve"> (og)</v>
      </c>
      <c r="AT53" s="252" t="str">
        <f t="shared" ca="1" si="148"/>
        <v xml:space="preserve"> (og)</v>
      </c>
      <c r="AU53" s="252" t="str">
        <f t="shared" ca="1" si="149"/>
        <v xml:space="preserve"> (og)</v>
      </c>
      <c r="AV53" s="252" t="str">
        <f t="shared" ca="1" si="150"/>
        <v xml:space="preserve"> (og)</v>
      </c>
      <c r="AW53" s="252" t="str">
        <f t="shared" ca="1" si="151"/>
        <v xml:space="preserve"> (og)</v>
      </c>
      <c r="AX53" s="252" t="str">
        <f t="shared" ca="1" si="152"/>
        <v xml:space="preserve"> (og)</v>
      </c>
      <c r="AZ53" s="252" t="str">
        <f t="shared" ca="1" si="153"/>
        <v xml:space="preserve"> (og)</v>
      </c>
      <c r="BA53" s="252" t="str">
        <f t="shared" ca="1" si="154"/>
        <v xml:space="preserve"> (og)</v>
      </c>
      <c r="BB53" s="252" t="str">
        <f t="shared" ca="1" si="155"/>
        <v xml:space="preserve"> (og)</v>
      </c>
      <c r="BC53" s="252" t="str">
        <f t="shared" ca="1" si="156"/>
        <v xml:space="preserve"> (og)</v>
      </c>
      <c r="BD53" s="252" t="str">
        <f t="shared" ca="1" si="157"/>
        <v xml:space="preserve"> (og)</v>
      </c>
      <c r="BE53" s="252" t="str">
        <f t="shared" ca="1" si="158"/>
        <v xml:space="preserve"> (og)</v>
      </c>
      <c r="BF53" s="252" t="str">
        <f t="shared" ca="1" si="159"/>
        <v xml:space="preserve"> (og)</v>
      </c>
      <c r="BG53" s="252" t="str">
        <f t="shared" ca="1" si="160"/>
        <v xml:space="preserve"> (og)</v>
      </c>
      <c r="BI53" s="252" t="str">
        <f t="shared" ca="1" si="161"/>
        <v xml:space="preserve"> (og)</v>
      </c>
      <c r="BJ53" s="252" t="str">
        <f t="shared" ca="1" si="162"/>
        <v xml:space="preserve"> (og)</v>
      </c>
      <c r="BK53" s="252" t="str">
        <f t="shared" ca="1" si="163"/>
        <v xml:space="preserve"> (og)</v>
      </c>
      <c r="BL53" s="252" t="str">
        <f t="shared" ca="1" si="164"/>
        <v xml:space="preserve"> (og)</v>
      </c>
      <c r="BN53" s="252" t="str">
        <f t="shared" si="165"/>
        <v xml:space="preserve"> (og)</v>
      </c>
      <c r="BO53" s="252" t="str">
        <f t="shared" si="166"/>
        <v xml:space="preserve"> (og)</v>
      </c>
      <c r="BQ53" s="252" t="str">
        <f t="shared" ca="1" si="167"/>
        <v xml:space="preserve"> (og)</v>
      </c>
      <c r="BR53" s="252" t="str">
        <f t="shared" ca="1" si="168"/>
        <v xml:space="preserve"> (og)</v>
      </c>
      <c r="BT53" s="253" t="str">
        <f t="shared" ca="1" si="169"/>
        <v>Scotland</v>
      </c>
      <c r="BU53" s="253">
        <f t="shared" si="13"/>
        <v>51</v>
      </c>
      <c r="BV53" s="253" t="s">
        <v>1010</v>
      </c>
      <c r="BW53" s="253">
        <f t="shared" si="79"/>
        <v>2</v>
      </c>
      <c r="BX53" s="253" t="str">
        <f t="shared" ca="1" si="170"/>
        <v>James Forrest</v>
      </c>
      <c r="BY53" s="253">
        <f ca="1">COUNTIF('Group Stages'!$J$8:$Q$80,BX53)+COUNTIF('Knock Out Stages'!$K$7:$R$45,BX53)</f>
        <v>0</v>
      </c>
      <c r="BZ53" s="255" t="s">
        <v>1036</v>
      </c>
      <c r="CA53" s="253" t="str">
        <f t="shared" ca="1" si="171"/>
        <v>James Forrest</v>
      </c>
      <c r="CB53" s="252">
        <v>50</v>
      </c>
      <c r="CC53" s="252" t="str">
        <f t="array" aca="1" ref="CC53" ca="1">IFERROR(INDEX($BX$3:$BX$810, SMALL(IF(COUNTIF(CC$3, $BY$3:$BY$810), ROW($BX$3:$BX$810)-MIN(ROW($BX$3:$BX$810))+1), $CB53), 0),"")</f>
        <v/>
      </c>
      <c r="CS53" s="252">
        <f t="shared" si="85"/>
        <v>50</v>
      </c>
      <c r="CT53" s="252">
        <f t="shared" si="86"/>
        <v>2</v>
      </c>
      <c r="CU53" s="252" t="s">
        <v>885</v>
      </c>
      <c r="CV53" s="252" t="str">
        <f t="shared" ca="1" si="87"/>
        <v/>
      </c>
      <c r="CW53" s="252">
        <f t="shared" ca="1" si="14"/>
        <v>0</v>
      </c>
      <c r="CZ53" s="252">
        <v>50</v>
      </c>
      <c r="DA53" s="252" t="str">
        <f t="shared" ca="1" si="15"/>
        <v/>
      </c>
      <c r="DB53" s="252" t="str">
        <f t="shared" ca="1" si="82"/>
        <v/>
      </c>
      <c r="DC53" s="252" t="str">
        <f t="shared" ca="1" si="83"/>
        <v/>
      </c>
      <c r="DD53" s="252" t="str">
        <f t="shared" ca="1" si="84"/>
        <v/>
      </c>
    </row>
    <row r="54" spans="1:108" x14ac:dyDescent="0.2">
      <c r="A54" s="252">
        <f t="shared" si="88"/>
        <v>26</v>
      </c>
      <c r="B54" s="252" t="str">
        <f t="shared" si="113"/>
        <v>Scott McKenna (og)</v>
      </c>
      <c r="C54" s="252" t="str">
        <f t="shared" si="114"/>
        <v>Deniz Undav (og)</v>
      </c>
      <c r="D54" s="252" t="str">
        <f t="shared" si="115"/>
        <v>Deniz Undav (og)</v>
      </c>
      <c r="E54" s="252" t="str">
        <f t="shared" si="116"/>
        <v>Deniz Undav (og)</v>
      </c>
      <c r="F54" s="252" t="str">
        <f t="shared" si="117"/>
        <v>Arbër Hoxha (og)</v>
      </c>
      <c r="G54" s="252" t="str">
        <f t="shared" si="118"/>
        <v>Alex Meret (og)</v>
      </c>
      <c r="H54" s="252" t="str">
        <f t="shared" si="119"/>
        <v>Alex Meret (og)</v>
      </c>
      <c r="I54" s="252" t="str">
        <f t="shared" si="120"/>
        <v>Alex Meret (og)</v>
      </c>
      <c r="J54" s="252" t="str">
        <f t="shared" si="121"/>
        <v>Kobbie Mainoo (og)</v>
      </c>
      <c r="K54" s="252" t="str">
        <f t="shared" si="122"/>
        <v>Veljko Birmančević (og)</v>
      </c>
      <c r="L54" s="252" t="str">
        <f t="shared" si="123"/>
        <v>Veljko Birmančević (og)</v>
      </c>
      <c r="M54" s="252" t="str">
        <f t="shared" si="124"/>
        <v>Veljko Birmančević (og)</v>
      </c>
      <c r="N54" s="252" t="str">
        <f t="shared" si="125"/>
        <v>Ryan Gravenberch (og)</v>
      </c>
      <c r="O54" s="252" t="str">
        <f t="shared" si="126"/>
        <v>Kacper Urbański (og)</v>
      </c>
      <c r="P54" s="252" t="str">
        <f t="shared" si="127"/>
        <v>Kacper Urbański (og)</v>
      </c>
      <c r="Q54" s="252" t="str">
        <f t="shared" si="128"/>
        <v>Kacper Urbański (og)</v>
      </c>
      <c r="R54" s="252" t="str">
        <f t="shared" si="129"/>
        <v>Ivan Schranz (og)</v>
      </c>
      <c r="S54" s="252" t="str">
        <f t="shared" si="130"/>
        <v>0 (og)</v>
      </c>
      <c r="T54" s="252" t="str">
        <f t="shared" si="131"/>
        <v>0 (og)</v>
      </c>
      <c r="U54" s="252" t="str">
        <f t="shared" si="132"/>
        <v>0 (og)</v>
      </c>
      <c r="V54" s="252" t="str">
        <f t="shared" si="133"/>
        <v>Matěj Jurásek (og)</v>
      </c>
      <c r="W54" s="252" t="str">
        <f t="shared" si="134"/>
        <v>Francisco Conceição (og)</v>
      </c>
      <c r="X54" s="252" t="str">
        <f t="shared" si="135"/>
        <v>Francisco Conceição (og)</v>
      </c>
      <c r="Y54" s="252" t="str">
        <f t="shared" si="136"/>
        <v>Francisco Conceição (og)</v>
      </c>
      <c r="AI54" s="252" t="str">
        <f t="shared" ca="1" si="137"/>
        <v xml:space="preserve"> (og)</v>
      </c>
      <c r="AJ54" s="252" t="str">
        <f t="shared" ca="1" si="138"/>
        <v xml:space="preserve"> (og)</v>
      </c>
      <c r="AK54" s="252" t="str">
        <f t="shared" ca="1" si="139"/>
        <v xml:space="preserve"> (og)</v>
      </c>
      <c r="AL54" s="252" t="str">
        <f t="shared" ca="1" si="140"/>
        <v xml:space="preserve"> (og)</v>
      </c>
      <c r="AM54" s="252" t="str">
        <f t="shared" ca="1" si="141"/>
        <v xml:space="preserve"> (og)</v>
      </c>
      <c r="AN54" s="252" t="str">
        <f t="shared" ca="1" si="142"/>
        <v xml:space="preserve"> (og)</v>
      </c>
      <c r="AO54" s="252" t="str">
        <f t="shared" ca="1" si="143"/>
        <v xml:space="preserve"> (og)</v>
      </c>
      <c r="AP54" s="252" t="str">
        <f t="shared" ca="1" si="144"/>
        <v xml:space="preserve"> (og)</v>
      </c>
      <c r="AQ54" s="252" t="str">
        <f t="shared" ca="1" si="145"/>
        <v xml:space="preserve"> (og)</v>
      </c>
      <c r="AR54" s="252" t="str">
        <f t="shared" ca="1" si="146"/>
        <v xml:space="preserve"> (og)</v>
      </c>
      <c r="AS54" s="252" t="str">
        <f t="shared" ca="1" si="147"/>
        <v xml:space="preserve"> (og)</v>
      </c>
      <c r="AT54" s="252" t="str">
        <f t="shared" ca="1" si="148"/>
        <v xml:space="preserve"> (og)</v>
      </c>
      <c r="AU54" s="252" t="str">
        <f t="shared" ca="1" si="149"/>
        <v xml:space="preserve"> (og)</v>
      </c>
      <c r="AV54" s="252" t="str">
        <f t="shared" ca="1" si="150"/>
        <v xml:space="preserve"> (og)</v>
      </c>
      <c r="AW54" s="252" t="str">
        <f t="shared" ca="1" si="151"/>
        <v xml:space="preserve"> (og)</v>
      </c>
      <c r="AX54" s="252" t="str">
        <f t="shared" ca="1" si="152"/>
        <v xml:space="preserve"> (og)</v>
      </c>
      <c r="AZ54" s="252" t="str">
        <f t="shared" ca="1" si="153"/>
        <v xml:space="preserve"> (og)</v>
      </c>
      <c r="BA54" s="252" t="str">
        <f t="shared" ca="1" si="154"/>
        <v xml:space="preserve"> (og)</v>
      </c>
      <c r="BB54" s="252" t="str">
        <f t="shared" ca="1" si="155"/>
        <v xml:space="preserve"> (og)</v>
      </c>
      <c r="BC54" s="252" t="str">
        <f t="shared" ca="1" si="156"/>
        <v xml:space="preserve"> (og)</v>
      </c>
      <c r="BD54" s="252" t="str">
        <f t="shared" ca="1" si="157"/>
        <v xml:space="preserve"> (og)</v>
      </c>
      <c r="BE54" s="252" t="str">
        <f t="shared" ca="1" si="158"/>
        <v xml:space="preserve"> (og)</v>
      </c>
      <c r="BF54" s="252" t="str">
        <f t="shared" ca="1" si="159"/>
        <v xml:space="preserve"> (og)</v>
      </c>
      <c r="BG54" s="252" t="str">
        <f t="shared" ca="1" si="160"/>
        <v xml:space="preserve"> (og)</v>
      </c>
      <c r="BI54" s="252" t="str">
        <f t="shared" ca="1" si="161"/>
        <v xml:space="preserve"> (og)</v>
      </c>
      <c r="BJ54" s="252" t="str">
        <f t="shared" ca="1" si="162"/>
        <v xml:space="preserve"> (og)</v>
      </c>
      <c r="BK54" s="252" t="str">
        <f t="shared" ca="1" si="163"/>
        <v xml:space="preserve"> (og)</v>
      </c>
      <c r="BL54" s="252" t="str">
        <f t="shared" ca="1" si="164"/>
        <v xml:space="preserve"> (og)</v>
      </c>
      <c r="BN54" s="252" t="str">
        <f t="shared" si="165"/>
        <v xml:space="preserve"> (og)</v>
      </c>
      <c r="BO54" s="252" t="str">
        <f t="shared" si="166"/>
        <v xml:space="preserve"> (og)</v>
      </c>
      <c r="BQ54" s="252" t="str">
        <f t="shared" ca="1" si="167"/>
        <v xml:space="preserve"> (og)</v>
      </c>
      <c r="BR54" s="252" t="str">
        <f t="shared" ca="1" si="168"/>
        <v xml:space="preserve"> (og)</v>
      </c>
      <c r="BT54" s="253" t="str">
        <f t="shared" ca="1" si="169"/>
        <v>Scotland</v>
      </c>
      <c r="BU54" s="253">
        <f t="shared" si="13"/>
        <v>52</v>
      </c>
      <c r="BV54" s="253" t="s">
        <v>1011</v>
      </c>
      <c r="BW54" s="253">
        <f t="shared" si="79"/>
        <v>2</v>
      </c>
      <c r="BX54" s="253" t="str">
        <f t="shared" ca="1" si="170"/>
        <v>Scott McKenna</v>
      </c>
      <c r="BY54" s="253">
        <f ca="1">COUNTIF('Group Stages'!$J$8:$Q$80,BX54)+COUNTIF('Knock Out Stages'!$K$7:$R$45,BX54)</f>
        <v>0</v>
      </c>
      <c r="BZ54" s="255" t="s">
        <v>1037</v>
      </c>
      <c r="CA54" s="253" t="str">
        <f t="shared" ca="1" si="171"/>
        <v>Scott McKenna</v>
      </c>
      <c r="CB54" s="252">
        <v>51</v>
      </c>
      <c r="CC54" s="252" t="str">
        <f t="array" aca="1" ref="CC54" ca="1">IFERROR(INDEX($BX$3:$BX$810, SMALL(IF(COUNTIF(CC$3, $BY$3:$BY$810), ROW($BX$3:$BX$810)-MIN(ROW($BX$3:$BX$810))+1), $CB54), 0),"")</f>
        <v/>
      </c>
      <c r="CS54" s="252">
        <f t="shared" si="85"/>
        <v>51</v>
      </c>
      <c r="CT54" s="252">
        <f t="shared" si="86"/>
        <v>2</v>
      </c>
      <c r="CU54" s="252" t="s">
        <v>886</v>
      </c>
      <c r="CV54" s="252" t="str">
        <f t="shared" ca="1" si="87"/>
        <v/>
      </c>
      <c r="CW54" s="252">
        <f t="shared" ca="1" si="14"/>
        <v>0</v>
      </c>
      <c r="CZ54" s="252">
        <v>51</v>
      </c>
      <c r="DA54" s="252" t="str">
        <f t="shared" ca="1" si="15"/>
        <v/>
      </c>
      <c r="DB54" s="252" t="str">
        <f t="shared" ca="1" si="82"/>
        <v/>
      </c>
      <c r="DC54" s="252" t="str">
        <f t="shared" ca="1" si="83"/>
        <v/>
      </c>
      <c r="DD54" s="252" t="str">
        <f t="shared" ca="1" si="84"/>
        <v/>
      </c>
    </row>
    <row r="55" spans="1:108" x14ac:dyDescent="0.2">
      <c r="BT55" s="253" t="str">
        <f t="shared" ca="1" si="78"/>
        <v>Hungary</v>
      </c>
      <c r="BU55" s="253">
        <f t="shared" si="13"/>
        <v>53</v>
      </c>
      <c r="BV55" s="253" t="str">
        <f>BV29</f>
        <v>A3</v>
      </c>
      <c r="BW55" s="253">
        <f>BW29+1</f>
        <v>3</v>
      </c>
      <c r="BX55" s="253" t="str">
        <f t="shared" ca="1" si="80"/>
        <v>Péter Gulácsi</v>
      </c>
      <c r="BY55" s="253">
        <f ca="1">COUNTIF('Group Stages'!$J$8:$Q$80,BX55)+COUNTIF('Knock Out Stages'!$K$7:$R$45,BX55)</f>
        <v>0</v>
      </c>
      <c r="BZ55" s="253" t="str">
        <f>BZ29</f>
        <v>'Player Database'!b6</v>
      </c>
      <c r="CA55" s="253" t="str">
        <f t="shared" ca="1" si="81"/>
        <v>Péter Gulácsi</v>
      </c>
      <c r="CB55" s="252">
        <v>52</v>
      </c>
      <c r="CC55" s="252" t="str">
        <f t="array" aca="1" ref="CC55" ca="1">IFERROR(INDEX($BX$3:$BX$810, SMALL(IF(COUNTIF(CC$3, $BY$3:$BY$810), ROW($BX$3:$BX$810)-MIN(ROW($BX$3:$BX$810))+1), $CB55), 0),"")</f>
        <v/>
      </c>
      <c r="CS55" s="252">
        <f t="shared" si="85"/>
        <v>52</v>
      </c>
      <c r="CT55" s="252">
        <f t="shared" si="86"/>
        <v>2</v>
      </c>
      <c r="CU55" s="252" t="s">
        <v>887</v>
      </c>
      <c r="CV55" s="252" t="str">
        <f t="shared" ca="1" si="87"/>
        <v/>
      </c>
      <c r="CW55" s="252">
        <f t="shared" ca="1" si="14"/>
        <v>0</v>
      </c>
      <c r="CZ55" s="252">
        <v>52</v>
      </c>
      <c r="DA55" s="252" t="str">
        <f t="shared" ca="1" si="15"/>
        <v/>
      </c>
      <c r="DB55" s="252" t="str">
        <f t="shared" ca="1" si="82"/>
        <v/>
      </c>
      <c r="DC55" s="252" t="str">
        <f t="shared" ca="1" si="83"/>
        <v/>
      </c>
      <c r="DD55" s="252" t="str">
        <f t="shared" ca="1" si="84"/>
        <v/>
      </c>
    </row>
    <row r="56" spans="1:108" x14ac:dyDescent="0.2">
      <c r="A56" s="252">
        <v>2</v>
      </c>
      <c r="BT56" s="253" t="str">
        <f t="shared" ca="1" si="78"/>
        <v>Hungary</v>
      </c>
      <c r="BU56" s="253">
        <f t="shared" si="13"/>
        <v>54</v>
      </c>
      <c r="BV56" s="253" t="str">
        <f t="shared" ref="BV56:BV119" si="172">BV30</f>
        <v>A4</v>
      </c>
      <c r="BW56" s="253">
        <f t="shared" ref="BW56:BW119" si="173">BW30+1</f>
        <v>3</v>
      </c>
      <c r="BX56" s="253" t="str">
        <f t="shared" ref="BX56:BX119" ca="1" si="174">OFFSET(INDIRECT(BV56),0,BW56)</f>
        <v>Ádám Lang</v>
      </c>
      <c r="BY56" s="253">
        <f ca="1">COUNTIF('Group Stages'!$J$8:$Q$80,BX56)+COUNTIF('Knock Out Stages'!$K$7:$R$45,BX56)</f>
        <v>0</v>
      </c>
      <c r="BZ56" s="253" t="str">
        <f t="shared" ref="BZ56:BZ119" si="175">BZ30</f>
        <v>'Player Database'!b7</v>
      </c>
      <c r="CA56" s="253" t="str">
        <f t="shared" ref="CA56:CA119" ca="1" si="176">OFFSET(INDIRECT(BZ56),0,BW56)</f>
        <v>Ádám Lang</v>
      </c>
      <c r="CB56" s="252">
        <v>53</v>
      </c>
      <c r="CC56" s="252" t="str">
        <f t="array" aca="1" ref="CC56" ca="1">IFERROR(INDEX($BX$3:$BX$810, SMALL(IF(COUNTIF(CC$3, $BY$3:$BY$810), ROW($BX$3:$BX$810)-MIN(ROW($BX$3:$BX$810))+1), $CB56), 0),"")</f>
        <v/>
      </c>
      <c r="CS56" s="252">
        <f t="shared" si="85"/>
        <v>53</v>
      </c>
      <c r="CT56" s="252">
        <f t="shared" si="86"/>
        <v>2</v>
      </c>
      <c r="CU56" s="252" t="s">
        <v>888</v>
      </c>
      <c r="CV56" s="252" t="str">
        <f t="shared" ca="1" si="87"/>
        <v/>
      </c>
      <c r="CW56" s="252">
        <f t="shared" ca="1" si="14"/>
        <v>0</v>
      </c>
      <c r="CZ56" s="252">
        <v>53</v>
      </c>
      <c r="DA56" s="252" t="str">
        <f t="shared" ca="1" si="15"/>
        <v/>
      </c>
      <c r="DB56" s="252" t="str">
        <f t="shared" ca="1" si="82"/>
        <v/>
      </c>
      <c r="DC56" s="252" t="str">
        <f t="shared" ca="1" si="83"/>
        <v/>
      </c>
      <c r="DD56" s="252" t="str">
        <f t="shared" ca="1" si="84"/>
        <v/>
      </c>
    </row>
    <row r="57" spans="1:108" x14ac:dyDescent="0.2">
      <c r="A57" s="252">
        <v>1</v>
      </c>
      <c r="B57" s="252" t="str">
        <f t="shared" ref="B57:Y57" si="177">B3</f>
        <v>Manuel Neuer</v>
      </c>
      <c r="C57" s="252" t="str">
        <f t="shared" si="177"/>
        <v>Angus Gunn</v>
      </c>
      <c r="D57" s="252" t="str">
        <f t="shared" si="177"/>
        <v>Péter Gulácsi</v>
      </c>
      <c r="E57" s="252" t="str">
        <f t="shared" si="177"/>
        <v>Yann Sommer</v>
      </c>
      <c r="F57" s="252" t="str">
        <f t="shared" si="177"/>
        <v>Gianluigi Donnarumma</v>
      </c>
      <c r="G57" s="252" t="str">
        <f t="shared" si="177"/>
        <v>Etrit Berisha</v>
      </c>
      <c r="H57" s="252" t="str">
        <f t="shared" si="177"/>
        <v>David Raya</v>
      </c>
      <c r="I57" s="252" t="str">
        <f t="shared" si="177"/>
        <v>Dominik Livaković</v>
      </c>
      <c r="J57" s="252" t="str">
        <f t="shared" si="177"/>
        <v>Predrag Rajković</v>
      </c>
      <c r="K57" s="252" t="str">
        <f t="shared" si="177"/>
        <v>Jordan Pickford</v>
      </c>
      <c r="L57" s="252" t="str">
        <f t="shared" si="177"/>
        <v>Jan Oblak</v>
      </c>
      <c r="M57" s="252" t="str">
        <f t="shared" si="177"/>
        <v>Kasper Schmeichel</v>
      </c>
      <c r="N57" s="252" t="str">
        <f t="shared" si="177"/>
        <v>Wojciech Szczęsny</v>
      </c>
      <c r="O57" s="252" t="str">
        <f t="shared" si="177"/>
        <v>Bart Verbruggen</v>
      </c>
      <c r="P57" s="252" t="str">
        <f t="shared" si="177"/>
        <v>Heinz Lindner</v>
      </c>
      <c r="Q57" s="252" t="str">
        <f t="shared" si="177"/>
        <v>Brice Samba</v>
      </c>
      <c r="R57" s="252" t="str">
        <f t="shared" si="177"/>
        <v>Koen Casteels</v>
      </c>
      <c r="S57" s="252" t="str">
        <f t="shared" si="177"/>
        <v>Martin Dúbravka</v>
      </c>
      <c r="T57" s="252" t="str">
        <f t="shared" si="177"/>
        <v>Florin Niță</v>
      </c>
      <c r="U57" s="252" t="str">
        <f t="shared" si="177"/>
        <v>Heorhiy Bushchan</v>
      </c>
      <c r="V57" s="252" t="str">
        <f t="shared" si="177"/>
        <v>Rui Patrício</v>
      </c>
      <c r="W57" s="252" t="str">
        <f t="shared" si="177"/>
        <v>Jindřich Staněk</v>
      </c>
      <c r="X57" s="252" t="str">
        <f t="shared" si="177"/>
        <v>Mert Günok</v>
      </c>
      <c r="Y57" s="252" t="str">
        <f t="shared" si="177"/>
        <v>Giorgi Loria</v>
      </c>
      <c r="BT57" s="253" t="str">
        <f t="shared" ca="1" si="78"/>
        <v>Hungary</v>
      </c>
      <c r="BU57" s="253">
        <f t="shared" si="13"/>
        <v>55</v>
      </c>
      <c r="BV57" s="253" t="str">
        <f t="shared" si="172"/>
        <v>A5</v>
      </c>
      <c r="BW57" s="253">
        <f t="shared" si="173"/>
        <v>3</v>
      </c>
      <c r="BX57" s="253" t="str">
        <f t="shared" ca="1" si="174"/>
        <v>Botond Balogh</v>
      </c>
      <c r="BY57" s="253">
        <f ca="1">COUNTIF('Group Stages'!$J$8:$Q$80,BX57)+COUNTIF('Knock Out Stages'!$K$7:$R$45,BX57)</f>
        <v>0</v>
      </c>
      <c r="BZ57" s="253" t="str">
        <f t="shared" si="175"/>
        <v>'Player Database'!b8</v>
      </c>
      <c r="CA57" s="253" t="str">
        <f t="shared" ca="1" si="176"/>
        <v>Botond Balogh</v>
      </c>
      <c r="CB57" s="252">
        <v>54</v>
      </c>
      <c r="CC57" s="252" t="str">
        <f t="array" aca="1" ref="CC57" ca="1">IFERROR(INDEX($BX$3:$BX$810, SMALL(IF(COUNTIF(CC$3, $BY$3:$BY$810), ROW($BX$3:$BX$810)-MIN(ROW($BX$3:$BX$810))+1), $CB57), 0),"")</f>
        <v/>
      </c>
      <c r="CS57" s="252">
        <f t="shared" si="85"/>
        <v>54</v>
      </c>
      <c r="CT57" s="252">
        <f t="shared" si="86"/>
        <v>2</v>
      </c>
      <c r="CU57" s="252" t="s">
        <v>889</v>
      </c>
      <c r="CV57" s="252" t="str">
        <f t="shared" ca="1" si="87"/>
        <v/>
      </c>
      <c r="CW57" s="252">
        <f t="shared" ca="1" si="14"/>
        <v>0</v>
      </c>
      <c r="CZ57" s="252">
        <v>54</v>
      </c>
      <c r="DA57" s="252" t="str">
        <f t="shared" ca="1" si="15"/>
        <v/>
      </c>
      <c r="DB57" s="252" t="str">
        <f t="shared" ca="1" si="82"/>
        <v/>
      </c>
      <c r="DC57" s="252" t="str">
        <f t="shared" ca="1" si="83"/>
        <v/>
      </c>
      <c r="DD57" s="252" t="str">
        <f t="shared" ca="1" si="84"/>
        <v/>
      </c>
    </row>
    <row r="58" spans="1:108" x14ac:dyDescent="0.2">
      <c r="A58" s="252">
        <v>2</v>
      </c>
      <c r="B58" s="252" t="str">
        <f t="shared" ref="B58:Y58" si="178">B4</f>
        <v>Antonio Rüdiger</v>
      </c>
      <c r="C58" s="252" t="str">
        <f t="shared" si="178"/>
        <v>Anthony Ralston</v>
      </c>
      <c r="D58" s="252" t="str">
        <f t="shared" si="178"/>
        <v>Ádám Lang</v>
      </c>
      <c r="E58" s="252" t="str">
        <f t="shared" si="178"/>
        <v>Leonidas Stergiou</v>
      </c>
      <c r="F58" s="252" t="str">
        <f t="shared" si="178"/>
        <v>Giovanni Di Lorenzo</v>
      </c>
      <c r="G58" s="252" t="str">
        <f t="shared" si="178"/>
        <v>Iván Balliu</v>
      </c>
      <c r="H58" s="252" t="str">
        <f t="shared" si="178"/>
        <v>Dani Carvajal</v>
      </c>
      <c r="I58" s="252" t="str">
        <f t="shared" si="178"/>
        <v>Josip Stanišić</v>
      </c>
      <c r="J58" s="252" t="str">
        <f t="shared" si="178"/>
        <v>Strahinja Pavlović</v>
      </c>
      <c r="K58" s="252" t="str">
        <f t="shared" si="178"/>
        <v>Kyle Walker</v>
      </c>
      <c r="L58" s="252" t="str">
        <f t="shared" si="178"/>
        <v>Žan Karničnik</v>
      </c>
      <c r="M58" s="252" t="str">
        <f t="shared" si="178"/>
        <v>Joachim Andersen</v>
      </c>
      <c r="N58" s="252" t="str">
        <f t="shared" si="178"/>
        <v>Bartosz Salamon</v>
      </c>
      <c r="O58" s="252" t="str">
        <f t="shared" si="178"/>
        <v>Lutsharel Geertruida</v>
      </c>
      <c r="P58" s="252" t="str">
        <f t="shared" si="178"/>
        <v>Maximilian Wöber</v>
      </c>
      <c r="Q58" s="252" t="str">
        <f t="shared" si="178"/>
        <v>Benjamin Pavard</v>
      </c>
      <c r="R58" s="252" t="str">
        <f t="shared" si="178"/>
        <v>Zeno Debast</v>
      </c>
      <c r="S58" s="252" t="str">
        <f t="shared" si="178"/>
        <v>Peter Pekarík</v>
      </c>
      <c r="T58" s="252" t="str">
        <f t="shared" si="178"/>
        <v>Andrei Rațiu</v>
      </c>
      <c r="U58" s="252" t="str">
        <f t="shared" si="178"/>
        <v>Yukhym Konoplya</v>
      </c>
      <c r="V58" s="252" t="str">
        <f t="shared" si="178"/>
        <v>Nélson Semedo</v>
      </c>
      <c r="W58" s="252" t="str">
        <f t="shared" si="178"/>
        <v>David Zima</v>
      </c>
      <c r="X58" s="252" t="str">
        <f t="shared" si="178"/>
        <v>Zeki Çelik</v>
      </c>
      <c r="Y58" s="252" t="str">
        <f t="shared" si="178"/>
        <v>Otar Kakabadze</v>
      </c>
      <c r="BT58" s="253" t="str">
        <f t="shared" ca="1" si="78"/>
        <v>Hungary</v>
      </c>
      <c r="BU58" s="253">
        <f t="shared" si="13"/>
        <v>56</v>
      </c>
      <c r="BV58" s="253" t="str">
        <f t="shared" si="172"/>
        <v>A6</v>
      </c>
      <c r="BW58" s="253">
        <f t="shared" si="173"/>
        <v>3</v>
      </c>
      <c r="BX58" s="253" t="str">
        <f t="shared" ca="1" si="174"/>
        <v>Attila Szalai</v>
      </c>
      <c r="BY58" s="253">
        <f ca="1">COUNTIF('Group Stages'!$J$8:$Q$80,BX58)+COUNTIF('Knock Out Stages'!$K$7:$R$45,BX58)</f>
        <v>0</v>
      </c>
      <c r="BZ58" s="253" t="str">
        <f t="shared" si="175"/>
        <v>'Player Database'!b9</v>
      </c>
      <c r="CA58" s="253" t="str">
        <f t="shared" ca="1" si="176"/>
        <v>Attila Szalai</v>
      </c>
      <c r="CB58" s="252">
        <v>55</v>
      </c>
      <c r="CC58" s="252" t="str">
        <f t="array" aca="1" ref="CC58" ca="1">IFERROR(INDEX($BX$3:$BX$810, SMALL(IF(COUNTIF(CC$3, $BY$3:$BY$810), ROW($BX$3:$BX$810)-MIN(ROW($BX$3:$BX$810))+1), $CB58), 0),"")</f>
        <v/>
      </c>
      <c r="CS58" s="252">
        <f t="shared" si="85"/>
        <v>55</v>
      </c>
      <c r="CT58" s="252">
        <f t="shared" si="86"/>
        <v>2</v>
      </c>
      <c r="CU58" s="252" t="s">
        <v>890</v>
      </c>
      <c r="CV58" s="252" t="str">
        <f t="shared" ca="1" si="87"/>
        <v/>
      </c>
      <c r="CW58" s="252">
        <f t="shared" ca="1" si="14"/>
        <v>0</v>
      </c>
      <c r="CZ58" s="252">
        <v>55</v>
      </c>
      <c r="DA58" s="252" t="str">
        <f t="shared" ca="1" si="15"/>
        <v/>
      </c>
      <c r="DB58" s="252" t="str">
        <f t="shared" ca="1" si="82"/>
        <v/>
      </c>
      <c r="DC58" s="252" t="str">
        <f t="shared" ca="1" si="83"/>
        <v/>
      </c>
      <c r="DD58" s="252" t="str">
        <f t="shared" ca="1" si="84"/>
        <v/>
      </c>
    </row>
    <row r="59" spans="1:108" x14ac:dyDescent="0.2">
      <c r="A59" s="252">
        <v>3</v>
      </c>
      <c r="B59" s="252" t="str">
        <f t="shared" ref="B59:Y59" si="179">B5</f>
        <v>David Raum</v>
      </c>
      <c r="C59" s="252" t="str">
        <f t="shared" si="179"/>
        <v>Andrew Robertson</v>
      </c>
      <c r="D59" s="252" t="str">
        <f t="shared" si="179"/>
        <v>Botond Balogh</v>
      </c>
      <c r="E59" s="252" t="str">
        <f t="shared" si="179"/>
        <v>Silvan Widmer</v>
      </c>
      <c r="F59" s="252" t="str">
        <f t="shared" si="179"/>
        <v>Federico Dimarco</v>
      </c>
      <c r="G59" s="252" t="str">
        <f t="shared" si="179"/>
        <v>Mario Mitaj</v>
      </c>
      <c r="H59" s="252" t="str">
        <f t="shared" si="179"/>
        <v>Robin Le Normand</v>
      </c>
      <c r="I59" s="252" t="str">
        <f t="shared" si="179"/>
        <v>Marin Pongračić</v>
      </c>
      <c r="J59" s="252" t="str">
        <f t="shared" si="179"/>
        <v>Nemanja Stojić</v>
      </c>
      <c r="K59" s="252" t="str">
        <f t="shared" si="179"/>
        <v>Luke Shaw</v>
      </c>
      <c r="L59" s="252" t="str">
        <f t="shared" si="179"/>
        <v>Jure Balkovec</v>
      </c>
      <c r="M59" s="252" t="str">
        <f t="shared" si="179"/>
        <v>Jannik Vestergaard</v>
      </c>
      <c r="N59" s="252" t="str">
        <f t="shared" si="179"/>
        <v>Paweł Dawidowicz</v>
      </c>
      <c r="O59" s="252" t="str">
        <f t="shared" si="179"/>
        <v>Matthijs de Ligt</v>
      </c>
      <c r="P59" s="252" t="str">
        <f t="shared" si="179"/>
        <v>Gernot Trauner</v>
      </c>
      <c r="Q59" s="252" t="str">
        <f t="shared" si="179"/>
        <v>Ferland Mendy</v>
      </c>
      <c r="R59" s="252" t="str">
        <f t="shared" si="179"/>
        <v>Arthur Theate</v>
      </c>
      <c r="S59" s="252" t="str">
        <f t="shared" si="179"/>
        <v>Denis Vavro</v>
      </c>
      <c r="T59" s="252" t="str">
        <f t="shared" si="179"/>
        <v>Radu Drăgușin</v>
      </c>
      <c r="U59" s="252" t="str">
        <f t="shared" si="179"/>
        <v>Oleksandr Svatok</v>
      </c>
      <c r="V59" s="252" t="str">
        <f t="shared" si="179"/>
        <v>Pepe</v>
      </c>
      <c r="W59" s="252" t="str">
        <f t="shared" si="179"/>
        <v>Tomáš Holeš</v>
      </c>
      <c r="X59" s="252" t="str">
        <f t="shared" si="179"/>
        <v>Merih Demiral</v>
      </c>
      <c r="Y59" s="252" t="str">
        <f t="shared" si="179"/>
        <v>Lasha Dvali</v>
      </c>
      <c r="BT59" s="253" t="str">
        <f t="shared" ca="1" si="78"/>
        <v>Hungary</v>
      </c>
      <c r="BU59" s="253">
        <f t="shared" si="13"/>
        <v>57</v>
      </c>
      <c r="BV59" s="253" t="str">
        <f t="shared" si="172"/>
        <v>A7</v>
      </c>
      <c r="BW59" s="253">
        <f t="shared" si="173"/>
        <v>3</v>
      </c>
      <c r="BX59" s="253" t="str">
        <f t="shared" ca="1" si="174"/>
        <v>Attila Fiola</v>
      </c>
      <c r="BY59" s="253">
        <f ca="1">COUNTIF('Group Stages'!$J$8:$Q$80,BX59)+COUNTIF('Knock Out Stages'!$K$7:$R$45,BX59)</f>
        <v>0</v>
      </c>
      <c r="BZ59" s="253" t="str">
        <f t="shared" si="175"/>
        <v>'Player Database'!b10</v>
      </c>
      <c r="CA59" s="253" t="str">
        <f t="shared" ca="1" si="176"/>
        <v>Attila Fiola</v>
      </c>
      <c r="CB59" s="252">
        <v>56</v>
      </c>
      <c r="CC59" s="252" t="str">
        <f t="array" aca="1" ref="CC59" ca="1">IFERROR(INDEX($BX$3:$BX$810, SMALL(IF(COUNTIF(CC$3, $BY$3:$BY$810), ROW($BX$3:$BX$810)-MIN(ROW($BX$3:$BX$810))+1), $CB59), 0),"")</f>
        <v/>
      </c>
      <c r="CS59" s="252">
        <f t="shared" si="85"/>
        <v>56</v>
      </c>
      <c r="CT59" s="252">
        <f t="shared" si="86"/>
        <v>2</v>
      </c>
      <c r="CU59" s="252" t="s">
        <v>891</v>
      </c>
      <c r="CV59" s="252" t="str">
        <f t="shared" ca="1" si="87"/>
        <v/>
      </c>
      <c r="CW59" s="252">
        <f t="shared" ca="1" si="14"/>
        <v>0</v>
      </c>
      <c r="CZ59" s="252">
        <v>56</v>
      </c>
      <c r="DA59" s="252" t="str">
        <f t="shared" ca="1" si="15"/>
        <v/>
      </c>
      <c r="DB59" s="252" t="str">
        <f t="shared" ca="1" si="82"/>
        <v/>
      </c>
      <c r="DC59" s="252" t="str">
        <f t="shared" ca="1" si="83"/>
        <v/>
      </c>
      <c r="DD59" s="252" t="str">
        <f t="shared" ca="1" si="84"/>
        <v/>
      </c>
    </row>
    <row r="60" spans="1:108" x14ac:dyDescent="0.2">
      <c r="A60" s="252">
        <v>4</v>
      </c>
      <c r="B60" s="252" t="str">
        <f t="shared" ref="B60:Y60" si="180">B6</f>
        <v>Jonathan Tah</v>
      </c>
      <c r="C60" s="252" t="str">
        <f t="shared" si="180"/>
        <v>Scott McTominay</v>
      </c>
      <c r="D60" s="252" t="str">
        <f t="shared" si="180"/>
        <v>Attila Szalai</v>
      </c>
      <c r="E60" s="252" t="str">
        <f t="shared" si="180"/>
        <v>Nico Elvedi</v>
      </c>
      <c r="F60" s="252" t="str">
        <f t="shared" si="180"/>
        <v>Alessandro Buongiorno</v>
      </c>
      <c r="G60" s="252" t="str">
        <f t="shared" si="180"/>
        <v>Elseid Hysaj</v>
      </c>
      <c r="H60" s="252" t="str">
        <f t="shared" si="180"/>
        <v>Nacho</v>
      </c>
      <c r="I60" s="252" t="str">
        <f t="shared" si="180"/>
        <v>Joško Gvardiol</v>
      </c>
      <c r="J60" s="252" t="str">
        <f t="shared" si="180"/>
        <v>Nikola Milenković</v>
      </c>
      <c r="K60" s="252" t="str">
        <f t="shared" si="180"/>
        <v>Declan Rice</v>
      </c>
      <c r="L60" s="252" t="str">
        <f t="shared" si="180"/>
        <v>Miha Blažič</v>
      </c>
      <c r="M60" s="252" t="str">
        <f t="shared" si="180"/>
        <v>Simon Kjær</v>
      </c>
      <c r="N60" s="252" t="str">
        <f t="shared" si="180"/>
        <v>Sebastian Walukiewicz</v>
      </c>
      <c r="O60" s="252" t="str">
        <f t="shared" si="180"/>
        <v>Virgil van Dijk</v>
      </c>
      <c r="P60" s="252" t="str">
        <f t="shared" si="180"/>
        <v>Kevin Danso</v>
      </c>
      <c r="Q60" s="252" t="str">
        <f t="shared" si="180"/>
        <v>Dayot Upamecano</v>
      </c>
      <c r="R60" s="252" t="str">
        <f t="shared" si="180"/>
        <v>Wout Faes</v>
      </c>
      <c r="S60" s="252" t="str">
        <f t="shared" si="180"/>
        <v>Adam Obert</v>
      </c>
      <c r="T60" s="252" t="str">
        <f t="shared" si="180"/>
        <v>Adrian Rus</v>
      </c>
      <c r="U60" s="252" t="str">
        <f t="shared" si="180"/>
        <v>Maksym Taloverov</v>
      </c>
      <c r="V60" s="252" t="str">
        <f t="shared" si="180"/>
        <v>Rúben Dias</v>
      </c>
      <c r="W60" s="252" t="str">
        <f t="shared" si="180"/>
        <v>Robin Hranáč</v>
      </c>
      <c r="X60" s="252" t="str">
        <f t="shared" si="180"/>
        <v>Samet Akaydin</v>
      </c>
      <c r="Y60" s="252" t="str">
        <f t="shared" si="180"/>
        <v>Guram Kashia</v>
      </c>
      <c r="BT60" s="253" t="str">
        <f t="shared" ca="1" si="78"/>
        <v>Hungary</v>
      </c>
      <c r="BU60" s="253">
        <f t="shared" si="13"/>
        <v>58</v>
      </c>
      <c r="BV60" s="253" t="str">
        <f t="shared" si="172"/>
        <v>A8</v>
      </c>
      <c r="BW60" s="253">
        <f t="shared" si="173"/>
        <v>3</v>
      </c>
      <c r="BX60" s="253" t="str">
        <f t="shared" ca="1" si="174"/>
        <v>Willi Orbán</v>
      </c>
      <c r="BY60" s="253">
        <f ca="1">COUNTIF('Group Stages'!$J$8:$Q$80,BX60)+COUNTIF('Knock Out Stages'!$K$7:$R$45,BX60)</f>
        <v>0</v>
      </c>
      <c r="BZ60" s="253" t="str">
        <f t="shared" si="175"/>
        <v>'Player Database'!b11</v>
      </c>
      <c r="CA60" s="253" t="str">
        <f t="shared" ca="1" si="176"/>
        <v>Willi Orbán</v>
      </c>
      <c r="CB60" s="252">
        <v>57</v>
      </c>
      <c r="CC60" s="252" t="str">
        <f t="array" aca="1" ref="CC60" ca="1">IFERROR(INDEX($BX$3:$BX$810, SMALL(IF(COUNTIF(CC$3, $BY$3:$BY$810), ROW($BX$3:$BX$810)-MIN(ROW($BX$3:$BX$810))+1), $CB60), 0),"")</f>
        <v/>
      </c>
      <c r="CS60" s="252">
        <f t="shared" si="85"/>
        <v>57</v>
      </c>
      <c r="CT60" s="252">
        <f t="shared" si="86"/>
        <v>2</v>
      </c>
      <c r="CU60" s="252" t="s">
        <v>892</v>
      </c>
      <c r="CV60" s="252" t="str">
        <f t="shared" ca="1" si="87"/>
        <v/>
      </c>
      <c r="CW60" s="252">
        <f t="shared" ca="1" si="14"/>
        <v>0</v>
      </c>
      <c r="CZ60" s="252">
        <v>57</v>
      </c>
      <c r="DA60" s="252" t="str">
        <f t="shared" ca="1" si="15"/>
        <v/>
      </c>
      <c r="DB60" s="252" t="str">
        <f t="shared" ca="1" si="82"/>
        <v/>
      </c>
      <c r="DC60" s="252" t="str">
        <f t="shared" ca="1" si="83"/>
        <v/>
      </c>
      <c r="DD60" s="252" t="str">
        <f t="shared" ca="1" si="84"/>
        <v/>
      </c>
    </row>
    <row r="61" spans="1:108" x14ac:dyDescent="0.2">
      <c r="A61" s="252">
        <v>5</v>
      </c>
      <c r="B61" s="252" t="str">
        <f t="shared" ref="B61:Y61" si="181">B7</f>
        <v>Pascal Groß</v>
      </c>
      <c r="C61" s="252" t="str">
        <f t="shared" si="181"/>
        <v>Grant Hanley</v>
      </c>
      <c r="D61" s="252" t="str">
        <f t="shared" si="181"/>
        <v>Attila Fiola</v>
      </c>
      <c r="E61" s="252" t="str">
        <f t="shared" si="181"/>
        <v>Manuel Akanji</v>
      </c>
      <c r="F61" s="252" t="str">
        <f t="shared" si="181"/>
        <v>Riccardo Calafiori</v>
      </c>
      <c r="G61" s="252" t="str">
        <f t="shared" si="181"/>
        <v>Arlind Ajeti</v>
      </c>
      <c r="H61" s="252" t="str">
        <f t="shared" si="181"/>
        <v>Daniel Vivian</v>
      </c>
      <c r="I61" s="252" t="str">
        <f t="shared" si="181"/>
        <v>Martin Erlić</v>
      </c>
      <c r="J61" s="252" t="str">
        <f t="shared" si="181"/>
        <v>Nemanja Maksimović</v>
      </c>
      <c r="K61" s="252" t="str">
        <f t="shared" si="181"/>
        <v>John Stones</v>
      </c>
      <c r="L61" s="252" t="str">
        <f t="shared" si="181"/>
        <v>Jon Gorenc Stanković</v>
      </c>
      <c r="M61" s="252" t="str">
        <f t="shared" si="181"/>
        <v>Joakim Mæhle</v>
      </c>
      <c r="N61" s="252" t="str">
        <f t="shared" si="181"/>
        <v>Jan Bednarek</v>
      </c>
      <c r="O61" s="252" t="str">
        <f t="shared" si="181"/>
        <v>Nathan Aké</v>
      </c>
      <c r="P61" s="252" t="str">
        <f t="shared" si="181"/>
        <v>Stefan Posch</v>
      </c>
      <c r="Q61" s="252" t="str">
        <f t="shared" si="181"/>
        <v>Jules Koundé</v>
      </c>
      <c r="R61" s="252" t="str">
        <f t="shared" si="181"/>
        <v>Jan Vertonghen</v>
      </c>
      <c r="S61" s="252" t="str">
        <f t="shared" si="181"/>
        <v>Tomáš Rigo</v>
      </c>
      <c r="T61" s="252" t="str">
        <f t="shared" si="181"/>
        <v>Ionuț Nedelcearu</v>
      </c>
      <c r="U61" s="252" t="str">
        <f t="shared" si="181"/>
        <v>Serhiy Sydorchuk</v>
      </c>
      <c r="V61" s="252" t="str">
        <f t="shared" si="181"/>
        <v>Diogo Dalot</v>
      </c>
      <c r="W61" s="252" t="str">
        <f t="shared" si="181"/>
        <v>Vladimír Coufal</v>
      </c>
      <c r="X61" s="252" t="str">
        <f t="shared" si="181"/>
        <v>Okay Yokuşlu</v>
      </c>
      <c r="Y61" s="252" t="str">
        <f t="shared" si="181"/>
        <v>Solomon Kvirkvelia</v>
      </c>
      <c r="BT61" s="253" t="str">
        <f t="shared" ca="1" si="78"/>
        <v>Hungary</v>
      </c>
      <c r="BU61" s="253">
        <f t="shared" si="13"/>
        <v>59</v>
      </c>
      <c r="BV61" s="253" t="str">
        <f t="shared" si="172"/>
        <v>A9</v>
      </c>
      <c r="BW61" s="253">
        <f t="shared" si="173"/>
        <v>3</v>
      </c>
      <c r="BX61" s="253" t="str">
        <f t="shared" ca="1" si="174"/>
        <v>Loïc Négo</v>
      </c>
      <c r="BY61" s="253">
        <f ca="1">COUNTIF('Group Stages'!$J$8:$Q$80,BX61)+COUNTIF('Knock Out Stages'!$K$7:$R$45,BX61)</f>
        <v>0</v>
      </c>
      <c r="BZ61" s="253" t="str">
        <f t="shared" si="175"/>
        <v>'Player Database'!b12</v>
      </c>
      <c r="CA61" s="253" t="str">
        <f t="shared" ca="1" si="176"/>
        <v>Loïc Négo</v>
      </c>
      <c r="CB61" s="252">
        <v>58</v>
      </c>
      <c r="CC61" s="252" t="str">
        <f t="array" aca="1" ref="CC61" ca="1">IFERROR(INDEX($BX$3:$BX$810, SMALL(IF(COUNTIF(CC$3, $BY$3:$BY$810), ROW($BX$3:$BX$810)-MIN(ROW($BX$3:$BX$810))+1), $CB61), 0),"")</f>
        <v/>
      </c>
      <c r="CS61" s="252">
        <f t="shared" si="85"/>
        <v>58</v>
      </c>
      <c r="CT61" s="252">
        <f t="shared" si="86"/>
        <v>2</v>
      </c>
      <c r="CU61" s="252" t="s">
        <v>893</v>
      </c>
      <c r="CV61" s="252" t="str">
        <f t="shared" ca="1" si="87"/>
        <v/>
      </c>
      <c r="CW61" s="252">
        <f t="shared" ca="1" si="14"/>
        <v>0</v>
      </c>
      <c r="CZ61" s="252">
        <v>58</v>
      </c>
      <c r="DA61" s="252" t="str">
        <f t="shared" ca="1" si="15"/>
        <v/>
      </c>
      <c r="DB61" s="252" t="str">
        <f t="shared" ca="1" si="82"/>
        <v/>
      </c>
      <c r="DC61" s="252" t="str">
        <f t="shared" ca="1" si="83"/>
        <v/>
      </c>
      <c r="DD61" s="252" t="str">
        <f t="shared" ca="1" si="84"/>
        <v/>
      </c>
    </row>
    <row r="62" spans="1:108" x14ac:dyDescent="0.2">
      <c r="A62" s="252">
        <v>6</v>
      </c>
      <c r="B62" s="252" t="str">
        <f t="shared" ref="B62:Y62" si="182">B8</f>
        <v>Joshua Kimmich</v>
      </c>
      <c r="C62" s="252" t="str">
        <f t="shared" si="182"/>
        <v>Kieran Tierney</v>
      </c>
      <c r="D62" s="252" t="str">
        <f t="shared" si="182"/>
        <v>Willi Orbán</v>
      </c>
      <c r="E62" s="252" t="str">
        <f t="shared" si="182"/>
        <v>Denis Zakaria</v>
      </c>
      <c r="F62" s="252" t="str">
        <f t="shared" si="182"/>
        <v>Federico Gatti</v>
      </c>
      <c r="G62" s="252" t="str">
        <f t="shared" si="182"/>
        <v>Berat Djimsiti</v>
      </c>
      <c r="H62" s="252" t="str">
        <f t="shared" si="182"/>
        <v>Mikel Merino</v>
      </c>
      <c r="I62" s="252" t="str">
        <f t="shared" si="182"/>
        <v>Josip Šutalo</v>
      </c>
      <c r="J62" s="252" t="str">
        <f t="shared" si="182"/>
        <v>Nemanja Gudelj</v>
      </c>
      <c r="K62" s="252" t="str">
        <f t="shared" si="182"/>
        <v>Marc Guéhi</v>
      </c>
      <c r="L62" s="252" t="str">
        <f t="shared" si="182"/>
        <v>Jaka Bijol</v>
      </c>
      <c r="M62" s="252" t="str">
        <f t="shared" si="182"/>
        <v>Andreas Christensen</v>
      </c>
      <c r="N62" s="252" t="str">
        <f t="shared" si="182"/>
        <v>Jakub Piotrowski</v>
      </c>
      <c r="O62" s="252" t="str">
        <f t="shared" si="182"/>
        <v>Stefan de Vrij</v>
      </c>
      <c r="P62" s="252" t="str">
        <f t="shared" si="182"/>
        <v>Nicolas Seiwald</v>
      </c>
      <c r="Q62" s="252" t="str">
        <f t="shared" si="182"/>
        <v>Eduardo Camavinga</v>
      </c>
      <c r="R62" s="252" t="str">
        <f t="shared" si="182"/>
        <v>Axel Witsel</v>
      </c>
      <c r="S62" s="252" t="str">
        <f t="shared" si="182"/>
        <v>Norbert Gyömbér</v>
      </c>
      <c r="T62" s="252" t="str">
        <f t="shared" si="182"/>
        <v>Marius Marin</v>
      </c>
      <c r="U62" s="252" t="str">
        <f t="shared" si="182"/>
        <v>Taras Stepanenko</v>
      </c>
      <c r="V62" s="252" t="str">
        <f t="shared" si="182"/>
        <v>João Palhinha</v>
      </c>
      <c r="W62" s="252" t="str">
        <f t="shared" si="182"/>
        <v>Martin Vitík</v>
      </c>
      <c r="X62" s="252" t="str">
        <f t="shared" si="182"/>
        <v>Orkun Kökçü</v>
      </c>
      <c r="Y62" s="252" t="str">
        <f t="shared" si="182"/>
        <v>Giorgi Kochorashvili</v>
      </c>
      <c r="BT62" s="253" t="str">
        <f t="shared" ca="1" si="78"/>
        <v>Hungary</v>
      </c>
      <c r="BU62" s="253">
        <f t="shared" si="13"/>
        <v>60</v>
      </c>
      <c r="BV62" s="253" t="str">
        <f t="shared" si="172"/>
        <v>A10</v>
      </c>
      <c r="BW62" s="253">
        <f t="shared" si="173"/>
        <v>3</v>
      </c>
      <c r="BX62" s="253" t="str">
        <f t="shared" ca="1" si="174"/>
        <v>Ádám Nagy</v>
      </c>
      <c r="BY62" s="253">
        <f ca="1">COUNTIF('Group Stages'!$J$8:$Q$80,BX62)+COUNTIF('Knock Out Stages'!$K$7:$R$45,BX62)</f>
        <v>0</v>
      </c>
      <c r="BZ62" s="253" t="str">
        <f t="shared" si="175"/>
        <v>'Player Database'!b13</v>
      </c>
      <c r="CA62" s="253" t="str">
        <f t="shared" ca="1" si="176"/>
        <v>Ádám Nagy</v>
      </c>
      <c r="CB62" s="252">
        <v>59</v>
      </c>
      <c r="CC62" s="252" t="str">
        <f t="array" aca="1" ref="CC62" ca="1">IFERROR(INDEX($BX$3:$BX$810, SMALL(IF(COUNTIF(CC$3, $BY$3:$BY$810), ROW($BX$3:$BX$810)-MIN(ROW($BX$3:$BX$810))+1), $CB62), 0),"")</f>
        <v/>
      </c>
      <c r="CS62" s="252">
        <f t="shared" si="85"/>
        <v>59</v>
      </c>
      <c r="CT62" s="252">
        <f t="shared" si="86"/>
        <v>2</v>
      </c>
      <c r="CU62" s="252" t="s">
        <v>894</v>
      </c>
      <c r="CV62" s="252" t="str">
        <f t="shared" ca="1" si="87"/>
        <v/>
      </c>
      <c r="CW62" s="252">
        <f t="shared" ca="1" si="14"/>
        <v>0</v>
      </c>
      <c r="CZ62" s="252">
        <v>59</v>
      </c>
      <c r="DA62" s="252" t="str">
        <f t="shared" ca="1" si="15"/>
        <v/>
      </c>
      <c r="DB62" s="252" t="str">
        <f t="shared" ca="1" si="82"/>
        <v/>
      </c>
      <c r="DC62" s="252" t="str">
        <f t="shared" ca="1" si="83"/>
        <v/>
      </c>
      <c r="DD62" s="252" t="str">
        <f t="shared" ca="1" si="84"/>
        <v/>
      </c>
    </row>
    <row r="63" spans="1:108" x14ac:dyDescent="0.2">
      <c r="A63" s="252">
        <v>7</v>
      </c>
      <c r="B63" s="252" t="str">
        <f t="shared" ref="B63:Y63" si="183">B9</f>
        <v>Kai Havertz</v>
      </c>
      <c r="C63" s="252" t="str">
        <f t="shared" si="183"/>
        <v>John McGinn</v>
      </c>
      <c r="D63" s="252" t="str">
        <f t="shared" si="183"/>
        <v>Loïc Négo</v>
      </c>
      <c r="E63" s="252" t="str">
        <f t="shared" si="183"/>
        <v>Breel Embolo</v>
      </c>
      <c r="F63" s="252" t="str">
        <f t="shared" si="183"/>
        <v>Davide Frattesi</v>
      </c>
      <c r="G63" s="252" t="str">
        <f t="shared" si="183"/>
        <v>Rey Manaj</v>
      </c>
      <c r="H63" s="252" t="str">
        <f t="shared" si="183"/>
        <v>Álvaro Morata</v>
      </c>
      <c r="I63" s="252" t="str">
        <f t="shared" si="183"/>
        <v>Lovro Majer</v>
      </c>
      <c r="J63" s="252" t="str">
        <f t="shared" si="183"/>
        <v>Dušan Vlahović</v>
      </c>
      <c r="K63" s="252" t="str">
        <f t="shared" si="183"/>
        <v>Bukayo Saka</v>
      </c>
      <c r="L63" s="252" t="str">
        <f t="shared" si="183"/>
        <v>Benjamin Verbič</v>
      </c>
      <c r="M63" s="252" t="str">
        <f t="shared" si="183"/>
        <v>Mathias Jensen</v>
      </c>
      <c r="N63" s="252" t="str">
        <f t="shared" si="183"/>
        <v>Karol Świderski</v>
      </c>
      <c r="O63" s="252" t="str">
        <f t="shared" si="183"/>
        <v>Xavi Simons</v>
      </c>
      <c r="P63" s="252" t="str">
        <f t="shared" si="183"/>
        <v>Marko Arnautović</v>
      </c>
      <c r="Q63" s="252" t="str">
        <f t="shared" si="183"/>
        <v>Antoine Griezmann</v>
      </c>
      <c r="R63" s="252" t="str">
        <f t="shared" si="183"/>
        <v>Kevin De Bruyne</v>
      </c>
      <c r="S63" s="252" t="str">
        <f t="shared" si="183"/>
        <v>Tomáš Suslov</v>
      </c>
      <c r="T63" s="252" t="str">
        <f t="shared" si="183"/>
        <v>Denis Alibec</v>
      </c>
      <c r="U63" s="252" t="str">
        <f t="shared" si="183"/>
        <v>Andriy Yarmolenko</v>
      </c>
      <c r="V63" s="252" t="str">
        <f t="shared" si="183"/>
        <v>Cristiano Ronaldo</v>
      </c>
      <c r="W63" s="252" t="str">
        <f t="shared" si="183"/>
        <v>Antonín Barák</v>
      </c>
      <c r="X63" s="252" t="str">
        <f t="shared" si="183"/>
        <v>Kerem Aktürkoğlu</v>
      </c>
      <c r="Y63" s="252" t="str">
        <f t="shared" si="183"/>
        <v>Khvicha Kvaratskhelia</v>
      </c>
      <c r="BT63" s="253" t="str">
        <f t="shared" ca="1" si="78"/>
        <v>Hungary</v>
      </c>
      <c r="BU63" s="253">
        <f t="shared" si="13"/>
        <v>61</v>
      </c>
      <c r="BV63" s="253" t="str">
        <f t="shared" si="172"/>
        <v>A11</v>
      </c>
      <c r="BW63" s="253">
        <f t="shared" si="173"/>
        <v>3</v>
      </c>
      <c r="BX63" s="253" t="str">
        <f t="shared" ca="1" si="174"/>
        <v>Martin Ádám</v>
      </c>
      <c r="BY63" s="253">
        <f ca="1">COUNTIF('Group Stages'!$J$8:$Q$80,BX63)+COUNTIF('Knock Out Stages'!$K$7:$R$45,BX63)</f>
        <v>0</v>
      </c>
      <c r="BZ63" s="253" t="str">
        <f t="shared" si="175"/>
        <v>'Player Database'!b14</v>
      </c>
      <c r="CA63" s="253" t="str">
        <f t="shared" ca="1" si="176"/>
        <v>Martin Ádám</v>
      </c>
      <c r="CB63" s="252">
        <v>60</v>
      </c>
      <c r="CC63" s="252" t="str">
        <f t="array" aca="1" ref="CC63" ca="1">IFERROR(INDEX($BX$3:$BX$810, SMALL(IF(COUNTIF(CC$3, $BY$3:$BY$810), ROW($BX$3:$BX$810)-MIN(ROW($BX$3:$BX$810))+1), $CB63), 0),"")</f>
        <v/>
      </c>
      <c r="CS63" s="252">
        <f t="shared" si="85"/>
        <v>60</v>
      </c>
      <c r="CT63" s="252">
        <f t="shared" si="86"/>
        <v>2</v>
      </c>
      <c r="CU63" s="252" t="s">
        <v>895</v>
      </c>
      <c r="CV63" s="252" t="str">
        <f t="shared" ca="1" si="87"/>
        <v/>
      </c>
      <c r="CW63" s="252">
        <f t="shared" ca="1" si="14"/>
        <v>0</v>
      </c>
      <c r="CZ63" s="252">
        <v>60</v>
      </c>
      <c r="DA63" s="252" t="str">
        <f t="shared" ca="1" si="15"/>
        <v/>
      </c>
      <c r="DB63" s="252" t="str">
        <f t="shared" ca="1" si="82"/>
        <v/>
      </c>
      <c r="DC63" s="252" t="str">
        <f t="shared" ca="1" si="83"/>
        <v/>
      </c>
      <c r="DD63" s="252" t="str">
        <f t="shared" ca="1" si="84"/>
        <v/>
      </c>
    </row>
    <row r="64" spans="1:108" x14ac:dyDescent="0.2">
      <c r="A64" s="252">
        <v>8</v>
      </c>
      <c r="B64" s="252" t="str">
        <f t="shared" ref="B64:Y64" si="184">B10</f>
        <v>Toni Kroos</v>
      </c>
      <c r="C64" s="252" t="str">
        <f t="shared" si="184"/>
        <v>Callum McGregor</v>
      </c>
      <c r="D64" s="252" t="str">
        <f t="shared" si="184"/>
        <v>Ádám Nagy</v>
      </c>
      <c r="E64" s="252" t="str">
        <f t="shared" si="184"/>
        <v>Remo Freuler</v>
      </c>
      <c r="F64" s="252" t="str">
        <f t="shared" si="184"/>
        <v>Jorginho</v>
      </c>
      <c r="G64" s="252" t="str">
        <f t="shared" si="184"/>
        <v>Klaus Gjasula</v>
      </c>
      <c r="H64" s="252" t="str">
        <f t="shared" si="184"/>
        <v>Fabián Ruiz</v>
      </c>
      <c r="I64" s="252" t="str">
        <f t="shared" si="184"/>
        <v>Mateo Kovačić</v>
      </c>
      <c r="J64" s="252" t="str">
        <f t="shared" si="184"/>
        <v>Luka Jović</v>
      </c>
      <c r="K64" s="252" t="str">
        <f t="shared" si="184"/>
        <v>Trent Alexander-Arnold</v>
      </c>
      <c r="L64" s="252" t="str">
        <f t="shared" si="184"/>
        <v>Sandi Lovrić</v>
      </c>
      <c r="M64" s="252" t="str">
        <f t="shared" si="184"/>
        <v>Thomas Delaney</v>
      </c>
      <c r="N64" s="252" t="str">
        <f t="shared" si="184"/>
        <v>Jakub Moder</v>
      </c>
      <c r="O64" s="252" t="str">
        <f t="shared" si="184"/>
        <v>Georginio Wijnaldum</v>
      </c>
      <c r="P64" s="252" t="str">
        <f t="shared" si="184"/>
        <v>Alexander Prass</v>
      </c>
      <c r="Q64" s="252" t="str">
        <f t="shared" si="184"/>
        <v>Aurélien Tchouaméni</v>
      </c>
      <c r="R64" s="252" t="str">
        <f t="shared" si="184"/>
        <v>Youri Tielemans</v>
      </c>
      <c r="S64" s="252" t="str">
        <f t="shared" si="184"/>
        <v>Ondrej Duda</v>
      </c>
      <c r="T64" s="252" t="str">
        <f t="shared" si="184"/>
        <v>Alexandru Cicâldău</v>
      </c>
      <c r="U64" s="252" t="str">
        <f t="shared" si="184"/>
        <v>Ruslan Malinovskyi</v>
      </c>
      <c r="V64" s="252" t="str">
        <f t="shared" si="184"/>
        <v>Bruno Fernandes</v>
      </c>
      <c r="W64" s="252" t="str">
        <f t="shared" si="184"/>
        <v>Petr Ševčík</v>
      </c>
      <c r="X64" s="252" t="str">
        <f t="shared" si="184"/>
        <v>Arda Güler</v>
      </c>
      <c r="Y64" s="252" t="str">
        <f t="shared" si="184"/>
        <v>Budu Zivzivadze</v>
      </c>
      <c r="BT64" s="253" t="str">
        <f t="shared" ca="1" si="78"/>
        <v>Hungary</v>
      </c>
      <c r="BU64" s="253">
        <f t="shared" si="13"/>
        <v>62</v>
      </c>
      <c r="BV64" s="253" t="str">
        <f t="shared" si="172"/>
        <v>A12</v>
      </c>
      <c r="BW64" s="253">
        <f t="shared" si="173"/>
        <v>3</v>
      </c>
      <c r="BX64" s="253" t="str">
        <f t="shared" ca="1" si="174"/>
        <v>Dominik Szoboszlai</v>
      </c>
      <c r="BY64" s="253">
        <f ca="1">COUNTIF('Group Stages'!$J$8:$Q$80,BX64)+COUNTIF('Knock Out Stages'!$K$7:$R$45,BX64)</f>
        <v>0</v>
      </c>
      <c r="BZ64" s="253" t="str">
        <f t="shared" si="175"/>
        <v>'Player Database'!b15</v>
      </c>
      <c r="CA64" s="253" t="str">
        <f t="shared" ca="1" si="176"/>
        <v>Dominik Szoboszlai</v>
      </c>
      <c r="CB64" s="252">
        <v>61</v>
      </c>
      <c r="CC64" s="252" t="str">
        <f t="array" aca="1" ref="CC64" ca="1">IFERROR(INDEX($BX$3:$BX$810, SMALL(IF(COUNTIF(CC$3, $BY$3:$BY$810), ROW($BX$3:$BX$810)-MIN(ROW($BX$3:$BX$810))+1), $CB64), 0),"")</f>
        <v/>
      </c>
      <c r="CS64" s="252">
        <f t="shared" si="85"/>
        <v>61</v>
      </c>
      <c r="CT64" s="252">
        <f t="shared" si="86"/>
        <v>2</v>
      </c>
      <c r="CU64" s="252" t="s">
        <v>896</v>
      </c>
      <c r="CV64" s="252" t="str">
        <f t="shared" ca="1" si="87"/>
        <v/>
      </c>
      <c r="CW64" s="252">
        <f t="shared" ca="1" si="14"/>
        <v>0</v>
      </c>
      <c r="CZ64" s="252">
        <v>61</v>
      </c>
      <c r="DA64" s="252" t="str">
        <f t="shared" ca="1" si="15"/>
        <v/>
      </c>
      <c r="DB64" s="252" t="str">
        <f t="shared" ca="1" si="82"/>
        <v/>
      </c>
      <c r="DC64" s="252" t="str">
        <f t="shared" ca="1" si="83"/>
        <v/>
      </c>
      <c r="DD64" s="252" t="str">
        <f t="shared" ca="1" si="84"/>
        <v/>
      </c>
    </row>
    <row r="65" spans="1:108" x14ac:dyDescent="0.2">
      <c r="A65" s="252">
        <v>9</v>
      </c>
      <c r="B65" s="252" t="str">
        <f t="shared" ref="B65:Y65" si="185">B11</f>
        <v>Niclas Füllkrug</v>
      </c>
      <c r="C65" s="252" t="str">
        <f t="shared" si="185"/>
        <v>Lawrence Shankland</v>
      </c>
      <c r="D65" s="252" t="str">
        <f t="shared" si="185"/>
        <v>Martin Ádám</v>
      </c>
      <c r="E65" s="252" t="str">
        <f t="shared" si="185"/>
        <v>Noah Okafor</v>
      </c>
      <c r="F65" s="252" t="str">
        <f t="shared" si="185"/>
        <v>Gianluca Scamacca</v>
      </c>
      <c r="G65" s="252" t="str">
        <f t="shared" si="185"/>
        <v>Jasir Asani</v>
      </c>
      <c r="H65" s="252" t="str">
        <f t="shared" si="185"/>
        <v>Joselu</v>
      </c>
      <c r="I65" s="252" t="str">
        <f t="shared" si="185"/>
        <v>Andrej Kramarić</v>
      </c>
      <c r="J65" s="252" t="str">
        <f t="shared" si="185"/>
        <v>Aleksandar Mitrović</v>
      </c>
      <c r="K65" s="252" t="str">
        <f t="shared" si="185"/>
        <v>Harry Kane</v>
      </c>
      <c r="L65" s="252" t="str">
        <f t="shared" si="185"/>
        <v>Andraž Šporar</v>
      </c>
      <c r="M65" s="252" t="str">
        <f t="shared" si="185"/>
        <v>Rasmus Højlund</v>
      </c>
      <c r="N65" s="252" t="str">
        <f t="shared" si="185"/>
        <v>Robert Lewandowski</v>
      </c>
      <c r="O65" s="252" t="str">
        <f t="shared" si="185"/>
        <v>Wout Weghorst</v>
      </c>
      <c r="P65" s="252" t="str">
        <f t="shared" si="185"/>
        <v>Marcel Sabitzer</v>
      </c>
      <c r="Q65" s="252" t="str">
        <f t="shared" si="185"/>
        <v>Olivier Giroud</v>
      </c>
      <c r="R65" s="252" t="str">
        <f t="shared" si="185"/>
        <v>Leandro Trossard</v>
      </c>
      <c r="S65" s="252" t="str">
        <f t="shared" si="185"/>
        <v>Róbert Boženík</v>
      </c>
      <c r="T65" s="252" t="str">
        <f t="shared" si="185"/>
        <v>George Pușcaș</v>
      </c>
      <c r="U65" s="252" t="str">
        <f t="shared" si="185"/>
        <v>Roman Yaremchuk</v>
      </c>
      <c r="V65" s="252" t="str">
        <f t="shared" si="185"/>
        <v>Gonçalo Ramos</v>
      </c>
      <c r="W65" s="252" t="str">
        <f t="shared" si="185"/>
        <v>Adam Hložek</v>
      </c>
      <c r="X65" s="252" t="str">
        <f t="shared" si="185"/>
        <v>Cenk Tosun</v>
      </c>
      <c r="Y65" s="252" t="str">
        <f t="shared" si="185"/>
        <v>Zuriko Davitashvili</v>
      </c>
      <c r="BT65" s="253" t="str">
        <f t="shared" ca="1" si="78"/>
        <v>Hungary</v>
      </c>
      <c r="BU65" s="253">
        <f t="shared" si="13"/>
        <v>63</v>
      </c>
      <c r="BV65" s="253" t="str">
        <f t="shared" si="172"/>
        <v>A13</v>
      </c>
      <c r="BW65" s="253">
        <f t="shared" si="173"/>
        <v>3</v>
      </c>
      <c r="BX65" s="253" t="str">
        <f t="shared" ca="1" si="174"/>
        <v>Milos Kerkez</v>
      </c>
      <c r="BY65" s="253">
        <f ca="1">COUNTIF('Group Stages'!$J$8:$Q$80,BX65)+COUNTIF('Knock Out Stages'!$K$7:$R$45,BX65)</f>
        <v>0</v>
      </c>
      <c r="BZ65" s="253" t="str">
        <f t="shared" si="175"/>
        <v>'Player Database'!b16</v>
      </c>
      <c r="CA65" s="253" t="str">
        <f t="shared" ca="1" si="176"/>
        <v>Milos Kerkez</v>
      </c>
      <c r="CB65" s="252">
        <v>62</v>
      </c>
      <c r="CC65" s="252" t="str">
        <f t="array" aca="1" ref="CC65" ca="1">IFERROR(INDEX($BX$3:$BX$810, SMALL(IF(COUNTIF(CC$3, $BY$3:$BY$810), ROW($BX$3:$BX$810)-MIN(ROW($BX$3:$BX$810))+1), $CB65), 0),"")</f>
        <v/>
      </c>
      <c r="CS65" s="252">
        <f t="shared" si="85"/>
        <v>62</v>
      </c>
      <c r="CT65" s="252">
        <f t="shared" si="86"/>
        <v>2</v>
      </c>
      <c r="CU65" s="252" t="s">
        <v>897</v>
      </c>
      <c r="CV65" s="252" t="str">
        <f t="shared" ca="1" si="87"/>
        <v/>
      </c>
      <c r="CW65" s="252">
        <f t="shared" ca="1" si="14"/>
        <v>0</v>
      </c>
      <c r="CZ65" s="252">
        <v>62</v>
      </c>
      <c r="DA65" s="252" t="str">
        <f t="shared" ca="1" si="15"/>
        <v/>
      </c>
      <c r="DB65" s="252" t="str">
        <f t="shared" ca="1" si="82"/>
        <v/>
      </c>
      <c r="DC65" s="252" t="str">
        <f t="shared" ca="1" si="83"/>
        <v/>
      </c>
      <c r="DD65" s="252" t="str">
        <f t="shared" ca="1" si="84"/>
        <v/>
      </c>
    </row>
    <row r="66" spans="1:108" x14ac:dyDescent="0.2">
      <c r="A66" s="252">
        <v>10</v>
      </c>
      <c r="B66" s="252" t="str">
        <f t="shared" ref="B66:Y66" si="186">B12</f>
        <v>Jamal Musiala</v>
      </c>
      <c r="C66" s="252" t="str">
        <f t="shared" si="186"/>
        <v>Ché Adams</v>
      </c>
      <c r="D66" s="252" t="str">
        <f t="shared" si="186"/>
        <v>Dominik Szoboszlai</v>
      </c>
      <c r="E66" s="252" t="str">
        <f t="shared" si="186"/>
        <v>Granit Xhaka</v>
      </c>
      <c r="F66" s="252" t="str">
        <f t="shared" si="186"/>
        <v>Lorenzo Pellegrini</v>
      </c>
      <c r="G66" s="252" t="str">
        <f t="shared" si="186"/>
        <v>Nedim Bajrami</v>
      </c>
      <c r="H66" s="252" t="str">
        <f t="shared" si="186"/>
        <v>Dani Olmo</v>
      </c>
      <c r="I66" s="252" t="str">
        <f t="shared" si="186"/>
        <v>Luka Modrić</v>
      </c>
      <c r="J66" s="252" t="str">
        <f t="shared" si="186"/>
        <v>Dušan Tadić</v>
      </c>
      <c r="K66" s="252" t="str">
        <f t="shared" si="186"/>
        <v>Jude Bellingham</v>
      </c>
      <c r="L66" s="252" t="str">
        <f t="shared" si="186"/>
        <v>Timi Max Elšnik</v>
      </c>
      <c r="M66" s="252" t="str">
        <f t="shared" si="186"/>
        <v>Christian Eriksen</v>
      </c>
      <c r="N66" s="252" t="str">
        <f t="shared" si="186"/>
        <v>Piotr Zieliński</v>
      </c>
      <c r="O66" s="252" t="str">
        <f t="shared" si="186"/>
        <v>Memphis Depay</v>
      </c>
      <c r="P66" s="252" t="str">
        <f t="shared" si="186"/>
        <v>Florian Grillitsch</v>
      </c>
      <c r="Q66" s="252" t="str">
        <f t="shared" si="186"/>
        <v>Kylian Mbappé</v>
      </c>
      <c r="R66" s="252" t="str">
        <f t="shared" si="186"/>
        <v>Romelu Lukaku</v>
      </c>
      <c r="S66" s="252" t="str">
        <f t="shared" si="186"/>
        <v>Ľubomír Tupta</v>
      </c>
      <c r="T66" s="252" t="str">
        <f t="shared" si="186"/>
        <v>Ianis Hagi</v>
      </c>
      <c r="U66" s="252" t="str">
        <f t="shared" si="186"/>
        <v>Mykhaylo Mudryk</v>
      </c>
      <c r="V66" s="252" t="str">
        <f t="shared" si="186"/>
        <v>Bernardo Silva</v>
      </c>
      <c r="W66" s="252" t="str">
        <f t="shared" si="186"/>
        <v>Patrik Schick</v>
      </c>
      <c r="X66" s="252" t="str">
        <f t="shared" si="186"/>
        <v>Hakan Çalhanoğlu</v>
      </c>
      <c r="Y66" s="252" t="str">
        <f t="shared" si="186"/>
        <v>Giorgi Chakvetadze</v>
      </c>
      <c r="BT66" s="253" t="str">
        <f t="shared" ca="1" si="78"/>
        <v>Hungary</v>
      </c>
      <c r="BU66" s="253">
        <f t="shared" si="13"/>
        <v>64</v>
      </c>
      <c r="BV66" s="253" t="str">
        <f t="shared" si="172"/>
        <v>A14</v>
      </c>
      <c r="BW66" s="253">
        <f t="shared" si="173"/>
        <v>3</v>
      </c>
      <c r="BX66" s="253" t="str">
        <f t="shared" ca="1" si="174"/>
        <v>Dénes Dibusz</v>
      </c>
      <c r="BY66" s="253">
        <f ca="1">COUNTIF('Group Stages'!$J$8:$Q$80,BX66)+COUNTIF('Knock Out Stages'!$K$7:$R$45,BX66)</f>
        <v>0</v>
      </c>
      <c r="BZ66" s="253" t="str">
        <f t="shared" si="175"/>
        <v>'Player Database'!b17</v>
      </c>
      <c r="CA66" s="253" t="str">
        <f t="shared" ca="1" si="176"/>
        <v>Dénes Dibusz</v>
      </c>
      <c r="CB66" s="252">
        <v>63</v>
      </c>
      <c r="CC66" s="252" t="str">
        <f t="array" aca="1" ref="CC66" ca="1">IFERROR(INDEX($BX$3:$BX$810, SMALL(IF(COUNTIF(CC$3, $BY$3:$BY$810), ROW($BX$3:$BX$810)-MIN(ROW($BX$3:$BX$810))+1), $CB66), 0),"")</f>
        <v/>
      </c>
      <c r="CS66" s="252">
        <f t="shared" si="85"/>
        <v>63</v>
      </c>
      <c r="CT66" s="252">
        <f t="shared" si="86"/>
        <v>2</v>
      </c>
      <c r="CU66" s="252" t="s">
        <v>898</v>
      </c>
      <c r="CV66" s="252" t="str">
        <f t="shared" ca="1" si="87"/>
        <v/>
      </c>
      <c r="CW66" s="252">
        <f t="shared" ca="1" si="14"/>
        <v>0</v>
      </c>
      <c r="CZ66" s="252">
        <v>63</v>
      </c>
      <c r="DA66" s="252" t="str">
        <f t="shared" ca="1" si="15"/>
        <v/>
      </c>
      <c r="DB66" s="252" t="str">
        <f t="shared" ca="1" si="82"/>
        <v/>
      </c>
      <c r="DC66" s="252" t="str">
        <f t="shared" ca="1" si="83"/>
        <v/>
      </c>
      <c r="DD66" s="252" t="str">
        <f t="shared" ca="1" si="84"/>
        <v/>
      </c>
    </row>
    <row r="67" spans="1:108" x14ac:dyDescent="0.2">
      <c r="A67" s="252">
        <v>11</v>
      </c>
      <c r="B67" s="252" t="str">
        <f t="shared" ref="B67:Y67" si="187">B13</f>
        <v>Chris Führich</v>
      </c>
      <c r="C67" s="252" t="str">
        <f t="shared" si="187"/>
        <v>Ryan Christie</v>
      </c>
      <c r="D67" s="252" t="str">
        <f t="shared" si="187"/>
        <v>Milos Kerkez</v>
      </c>
      <c r="E67" s="252" t="str">
        <f t="shared" si="187"/>
        <v>Renato Steffen</v>
      </c>
      <c r="F67" s="252" t="str">
        <f t="shared" si="187"/>
        <v>Giacomo Raspadori</v>
      </c>
      <c r="G67" s="252" t="str">
        <f t="shared" si="187"/>
        <v>Armando Broja</v>
      </c>
      <c r="H67" s="252" t="str">
        <f t="shared" si="187"/>
        <v>Ferran Torres</v>
      </c>
      <c r="I67" s="252" t="str">
        <f t="shared" si="187"/>
        <v>Marcelo Brozović</v>
      </c>
      <c r="J67" s="252" t="str">
        <f t="shared" si="187"/>
        <v>Filip Kostić</v>
      </c>
      <c r="K67" s="252" t="str">
        <f t="shared" si="187"/>
        <v>Phil Foden</v>
      </c>
      <c r="L67" s="252" t="str">
        <f t="shared" si="187"/>
        <v>Benjamin Šeško</v>
      </c>
      <c r="M67" s="252" t="str">
        <f t="shared" si="187"/>
        <v>Andreas Skov Olsen</v>
      </c>
      <c r="N67" s="252" t="str">
        <f t="shared" si="187"/>
        <v>Kamil Grosicki</v>
      </c>
      <c r="O67" s="252" t="str">
        <f t="shared" si="187"/>
        <v>Cody Gakpo</v>
      </c>
      <c r="P67" s="252" t="str">
        <f t="shared" si="187"/>
        <v>Michael Gregoritsch</v>
      </c>
      <c r="Q67" s="252" t="str">
        <f t="shared" si="187"/>
        <v>Ousmane Dembélé</v>
      </c>
      <c r="R67" s="252" t="str">
        <f t="shared" si="187"/>
        <v>Yannick Carrasco</v>
      </c>
      <c r="S67" s="252" t="str">
        <f t="shared" si="187"/>
        <v>László Bénes</v>
      </c>
      <c r="T67" s="252" t="str">
        <f t="shared" si="187"/>
        <v>Nicușor Bancu</v>
      </c>
      <c r="U67" s="252" t="str">
        <f t="shared" si="187"/>
        <v>Artem Dovbyk</v>
      </c>
      <c r="V67" s="252" t="str">
        <f t="shared" si="187"/>
        <v>João Félix</v>
      </c>
      <c r="W67" s="252" t="str">
        <f t="shared" si="187"/>
        <v>Jan Kuchta</v>
      </c>
      <c r="X67" s="252" t="str">
        <f t="shared" si="187"/>
        <v>Yusuf Yazıcı</v>
      </c>
      <c r="Y67" s="252" t="str">
        <f t="shared" si="187"/>
        <v>Giorgi Kvilitaia</v>
      </c>
      <c r="BT67" s="253" t="str">
        <f t="shared" ca="1" si="78"/>
        <v>Hungary</v>
      </c>
      <c r="BU67" s="253">
        <f t="shared" si="13"/>
        <v>65</v>
      </c>
      <c r="BV67" s="253" t="str">
        <f t="shared" si="172"/>
        <v>A15</v>
      </c>
      <c r="BW67" s="253">
        <f t="shared" si="173"/>
        <v>3</v>
      </c>
      <c r="BX67" s="253" t="str">
        <f t="shared" ca="1" si="174"/>
        <v>András Schäfer</v>
      </c>
      <c r="BY67" s="253">
        <f ca="1">COUNTIF('Group Stages'!$J$8:$Q$80,BX67)+COUNTIF('Knock Out Stages'!$K$7:$R$45,BX67)</f>
        <v>0</v>
      </c>
      <c r="BZ67" s="253" t="str">
        <f t="shared" si="175"/>
        <v>'Player Database'!b18</v>
      </c>
      <c r="CA67" s="253" t="str">
        <f t="shared" ca="1" si="176"/>
        <v>András Schäfer</v>
      </c>
      <c r="CB67" s="252">
        <v>64</v>
      </c>
      <c r="CC67" s="252" t="str">
        <f t="array" aca="1" ref="CC67" ca="1">IFERROR(INDEX($BX$3:$BX$810, SMALL(IF(COUNTIF(CC$3, $BY$3:$BY$810), ROW($BX$3:$BX$810)-MIN(ROW($BX$3:$BX$810))+1), $CB67), 0),"")</f>
        <v/>
      </c>
      <c r="CS67" s="252">
        <f t="shared" si="85"/>
        <v>64</v>
      </c>
      <c r="CT67" s="252">
        <f t="shared" si="86"/>
        <v>2</v>
      </c>
      <c r="CU67" s="252" t="s">
        <v>899</v>
      </c>
      <c r="CV67" s="252" t="str">
        <f t="shared" ca="1" si="87"/>
        <v/>
      </c>
      <c r="CW67" s="252">
        <f t="shared" ca="1" si="14"/>
        <v>0</v>
      </c>
      <c r="CZ67" s="252">
        <v>64</v>
      </c>
      <c r="DA67" s="252" t="str">
        <f t="shared" ca="1" si="15"/>
        <v/>
      </c>
      <c r="DB67" s="252" t="str">
        <f t="shared" ca="1" si="82"/>
        <v/>
      </c>
      <c r="DC67" s="252" t="str">
        <f t="shared" ca="1" si="83"/>
        <v/>
      </c>
      <c r="DD67" s="252" t="str">
        <f t="shared" ca="1" si="84"/>
        <v/>
      </c>
    </row>
    <row r="68" spans="1:108" x14ac:dyDescent="0.2">
      <c r="A68" s="252">
        <v>12</v>
      </c>
      <c r="B68" s="252" t="str">
        <f t="shared" ref="B68:Y68" si="188">B14</f>
        <v>Oliver Baumann</v>
      </c>
      <c r="C68" s="252" t="str">
        <f t="shared" si="188"/>
        <v>Liam Kelly</v>
      </c>
      <c r="D68" s="252" t="str">
        <f t="shared" si="188"/>
        <v>Dénes Dibusz</v>
      </c>
      <c r="E68" s="252" t="str">
        <f t="shared" si="188"/>
        <v>Yvon Mvogo</v>
      </c>
      <c r="F68" s="252" t="str">
        <f t="shared" si="188"/>
        <v>Guglielmo Vicario</v>
      </c>
      <c r="G68" s="252" t="str">
        <f t="shared" si="188"/>
        <v>Elhan Kastrati</v>
      </c>
      <c r="H68" s="252" t="str">
        <f t="shared" si="188"/>
        <v>Álex Grimaldo</v>
      </c>
      <c r="I68" s="252" t="str">
        <f t="shared" si="188"/>
        <v>Nediljko Labrović</v>
      </c>
      <c r="J68" s="252" t="str">
        <f t="shared" si="188"/>
        <v>Đorđe Petrović</v>
      </c>
      <c r="K68" s="252" t="str">
        <f t="shared" si="188"/>
        <v>Kieran Trippier</v>
      </c>
      <c r="L68" s="252" t="str">
        <f t="shared" si="188"/>
        <v>Vid Belec</v>
      </c>
      <c r="M68" s="252" t="str">
        <f t="shared" si="188"/>
        <v>Kasper Dolberg</v>
      </c>
      <c r="N68" s="252" t="str">
        <f t="shared" si="188"/>
        <v>Łukasz Skorupski</v>
      </c>
      <c r="O68" s="252" t="str">
        <f t="shared" si="188"/>
        <v>Jeremie Frimpong</v>
      </c>
      <c r="P68" s="252" t="str">
        <f t="shared" si="188"/>
        <v>Niklas Hedl</v>
      </c>
      <c r="Q68" s="252" t="str">
        <f t="shared" si="188"/>
        <v>Randal Kolo Muani</v>
      </c>
      <c r="R68" s="252" t="str">
        <f t="shared" si="188"/>
        <v>Thomas Kaminski</v>
      </c>
      <c r="S68" s="252" t="str">
        <f t="shared" si="188"/>
        <v>Marek Rodák</v>
      </c>
      <c r="T68" s="252" t="str">
        <f t="shared" si="188"/>
        <v>Horațiu Moldovan</v>
      </c>
      <c r="U68" s="252" t="str">
        <f t="shared" si="188"/>
        <v>Anatoliy Trubin</v>
      </c>
      <c r="V68" s="252" t="str">
        <f t="shared" si="188"/>
        <v>José Sá</v>
      </c>
      <c r="W68" s="252" t="str">
        <f t="shared" si="188"/>
        <v>David Douděra</v>
      </c>
      <c r="X68" s="252" t="str">
        <f t="shared" si="188"/>
        <v>Altay Bayındır</v>
      </c>
      <c r="Y68" s="252" t="str">
        <f t="shared" si="188"/>
        <v>Luka Gugeshashvili</v>
      </c>
      <c r="BT68" s="253" t="str">
        <f t="shared" ca="1" si="78"/>
        <v>Hungary</v>
      </c>
      <c r="BU68" s="253">
        <f t="shared" si="13"/>
        <v>66</v>
      </c>
      <c r="BV68" s="253" t="str">
        <f t="shared" si="172"/>
        <v>A16</v>
      </c>
      <c r="BW68" s="253">
        <f t="shared" si="173"/>
        <v>3</v>
      </c>
      <c r="BX68" s="253" t="str">
        <f t="shared" ca="1" si="174"/>
        <v>Bendegúz Bolla</v>
      </c>
      <c r="BY68" s="253">
        <f ca="1">COUNTIF('Group Stages'!$J$8:$Q$80,BX68)+COUNTIF('Knock Out Stages'!$K$7:$R$45,BX68)</f>
        <v>0</v>
      </c>
      <c r="BZ68" s="253" t="str">
        <f t="shared" si="175"/>
        <v>'Player Database'!b19</v>
      </c>
      <c r="CA68" s="253" t="str">
        <f t="shared" ca="1" si="176"/>
        <v>Bendegúz Bolla</v>
      </c>
      <c r="CB68" s="252">
        <v>65</v>
      </c>
      <c r="CC68" s="252" t="str">
        <f t="array" aca="1" ref="CC68" ca="1">IFERROR(INDEX($BX$3:$BX$810, SMALL(IF(COUNTIF(CC$3, $BY$3:$BY$810), ROW($BX$3:$BX$810)-MIN(ROW($BX$3:$BX$810))+1), $CB68), 0),"")</f>
        <v/>
      </c>
      <c r="CS68" s="252">
        <f t="shared" si="85"/>
        <v>65</v>
      </c>
      <c r="CT68" s="252">
        <f t="shared" si="86"/>
        <v>2</v>
      </c>
      <c r="CU68" s="252" t="s">
        <v>900</v>
      </c>
      <c r="CV68" s="252" t="str">
        <f t="shared" ca="1" si="87"/>
        <v/>
      </c>
      <c r="CW68" s="252">
        <f t="shared" ca="1" si="14"/>
        <v>0</v>
      </c>
      <c r="CZ68" s="252">
        <v>65</v>
      </c>
      <c r="DA68" s="252" t="str">
        <f t="shared" ca="1" si="15"/>
        <v/>
      </c>
      <c r="DB68" s="252" t="str">
        <f t="shared" ref="DB68:DB99" ca="1" si="189">IFERROR(VLOOKUP(DA68,$BX$3:$BY$810,2,FALSE),"")</f>
        <v/>
      </c>
      <c r="DC68" s="252" t="str">
        <f t="shared" ref="DC68:DC99" ca="1" si="190">IFERROR(VLOOKUP(DA68,$BX$3:$CA$810,4,FALSE),"")</f>
        <v/>
      </c>
      <c r="DD68" s="252" t="str">
        <f t="shared" ref="DD68:DD99" ca="1" si="191">IFERROR(INDEX($BT$3:$BT$810,MATCH(DA68,$BX$3:$BX$810,0),0),"")</f>
        <v/>
      </c>
    </row>
    <row r="69" spans="1:108" x14ac:dyDescent="0.2">
      <c r="A69" s="252">
        <v>13</v>
      </c>
      <c r="B69" s="252" t="str">
        <f t="shared" ref="B69:Y69" si="192">B15</f>
        <v>Thomas Müller</v>
      </c>
      <c r="C69" s="252" t="str">
        <f t="shared" si="192"/>
        <v>Jack Hendry</v>
      </c>
      <c r="D69" s="252" t="str">
        <f t="shared" si="192"/>
        <v>András Schäfer</v>
      </c>
      <c r="E69" s="252" t="str">
        <f t="shared" si="192"/>
        <v>Ricardo Rodriguez</v>
      </c>
      <c r="F69" s="252" t="str">
        <f t="shared" si="192"/>
        <v>Matteo Darmian</v>
      </c>
      <c r="G69" s="252" t="str">
        <f t="shared" si="192"/>
        <v>Enea Mihaj</v>
      </c>
      <c r="H69" s="252" t="str">
        <f t="shared" si="192"/>
        <v>Álex Remiro</v>
      </c>
      <c r="I69" s="252" t="str">
        <f t="shared" si="192"/>
        <v>Nikola Vlašić</v>
      </c>
      <c r="J69" s="252" t="str">
        <f t="shared" si="192"/>
        <v>Miloš Veljković</v>
      </c>
      <c r="K69" s="252" t="str">
        <f t="shared" si="192"/>
        <v>Aaron Ramsdale</v>
      </c>
      <c r="L69" s="252" t="str">
        <f t="shared" si="192"/>
        <v>Erik Janža</v>
      </c>
      <c r="M69" s="252" t="str">
        <f t="shared" si="192"/>
        <v>Mathias Jørgensen</v>
      </c>
      <c r="N69" s="252" t="str">
        <f t="shared" si="192"/>
        <v>Taras Romanczuk</v>
      </c>
      <c r="O69" s="252" t="str">
        <f t="shared" si="192"/>
        <v>Justin Bijlow</v>
      </c>
      <c r="P69" s="252" t="str">
        <f t="shared" si="192"/>
        <v>Patrick Pentz</v>
      </c>
      <c r="Q69" s="252" t="str">
        <f t="shared" si="192"/>
        <v>N'Golo Kanté</v>
      </c>
      <c r="R69" s="252" t="str">
        <f t="shared" si="192"/>
        <v>Matz Sels</v>
      </c>
      <c r="S69" s="252" t="str">
        <f t="shared" si="192"/>
        <v>Patrik Hrošovský</v>
      </c>
      <c r="T69" s="252" t="str">
        <f t="shared" si="192"/>
        <v>Valentin Mihăilă</v>
      </c>
      <c r="U69" s="252" t="str">
        <f t="shared" si="192"/>
        <v>Illya Zabarnyi</v>
      </c>
      <c r="V69" s="252" t="str">
        <f t="shared" si="192"/>
        <v>Danilo Pereira</v>
      </c>
      <c r="W69" s="252" t="str">
        <f t="shared" si="192"/>
        <v>Mojmír Chytil</v>
      </c>
      <c r="X69" s="252" t="str">
        <f t="shared" si="192"/>
        <v>Ahmetcan Kaplan</v>
      </c>
      <c r="Y69" s="252" t="str">
        <f t="shared" si="192"/>
        <v>Giorgi Gocholeishvili</v>
      </c>
      <c r="BT69" s="253" t="str">
        <f t="shared" ca="1" si="78"/>
        <v>Hungary</v>
      </c>
      <c r="BU69" s="253">
        <f t="shared" si="13"/>
        <v>67</v>
      </c>
      <c r="BV69" s="253" t="str">
        <f t="shared" si="172"/>
        <v>A17</v>
      </c>
      <c r="BW69" s="253">
        <f t="shared" si="173"/>
        <v>3</v>
      </c>
      <c r="BX69" s="253" t="str">
        <f t="shared" ca="1" si="174"/>
        <v>László Kleinheisler</v>
      </c>
      <c r="BY69" s="253">
        <f ca="1">COUNTIF('Group Stages'!$J$8:$Q$80,BX69)+COUNTIF('Knock Out Stages'!$K$7:$R$45,BX69)</f>
        <v>0</v>
      </c>
      <c r="BZ69" s="253" t="str">
        <f t="shared" si="175"/>
        <v>'Player Database'!b20</v>
      </c>
      <c r="CA69" s="253" t="str">
        <f t="shared" ca="1" si="176"/>
        <v>László Kleinheisler</v>
      </c>
      <c r="CB69" s="252">
        <v>66</v>
      </c>
      <c r="CC69" s="252" t="str">
        <f t="array" aca="1" ref="CC69" ca="1">IFERROR(INDEX($BX$3:$BX$810, SMALL(IF(COUNTIF(CC$3, $BY$3:$BY$810), ROW($BX$3:$BX$810)-MIN(ROW($BX$3:$BX$810))+1), $CB69), 0),"")</f>
        <v/>
      </c>
      <c r="CS69" s="252">
        <f t="shared" si="85"/>
        <v>66</v>
      </c>
      <c r="CT69" s="252">
        <f t="shared" si="86"/>
        <v>2</v>
      </c>
      <c r="CU69" s="252" t="s">
        <v>901</v>
      </c>
      <c r="CV69" s="252" t="str">
        <f t="shared" ca="1" si="87"/>
        <v/>
      </c>
      <c r="CW69" s="252">
        <f t="shared" ref="CW69:CW132" ca="1" si="193">IF(CV69&lt;&gt;"",CW68+1,CW68)</f>
        <v>0</v>
      </c>
      <c r="CZ69" s="252">
        <v>66</v>
      </c>
      <c r="DA69" s="252" t="str">
        <f t="shared" ref="DA69:DA132" ca="1" si="194">IFERROR(INDEX($CV$4:$CV$633,MATCH(CZ69,$CW$4:$CW$633,0),0),"")</f>
        <v/>
      </c>
      <c r="DB69" s="252" t="str">
        <f t="shared" ca="1" si="189"/>
        <v/>
      </c>
      <c r="DC69" s="252" t="str">
        <f t="shared" ca="1" si="190"/>
        <v/>
      </c>
      <c r="DD69" s="252" t="str">
        <f t="shared" ca="1" si="191"/>
        <v/>
      </c>
    </row>
    <row r="70" spans="1:108" x14ac:dyDescent="0.2">
      <c r="A70" s="252">
        <v>14</v>
      </c>
      <c r="B70" s="252" t="str">
        <f t="shared" ref="B70:Y70" si="195">B16</f>
        <v>Maximilian Beier</v>
      </c>
      <c r="C70" s="252" t="str">
        <f t="shared" si="195"/>
        <v>Billy Gilmour</v>
      </c>
      <c r="D70" s="252" t="str">
        <f t="shared" si="195"/>
        <v>Bendegúz Bolla</v>
      </c>
      <c r="E70" s="252" t="str">
        <f t="shared" si="195"/>
        <v>Steven Zuber</v>
      </c>
      <c r="F70" s="252" t="str">
        <f t="shared" si="195"/>
        <v>Federico Chiesa</v>
      </c>
      <c r="G70" s="252" t="str">
        <f t="shared" si="195"/>
        <v>Qazim Laçi</v>
      </c>
      <c r="H70" s="252" t="str">
        <f t="shared" si="195"/>
        <v>Aymeric Laporte</v>
      </c>
      <c r="I70" s="252" t="str">
        <f t="shared" si="195"/>
        <v>Ivan Perišić</v>
      </c>
      <c r="J70" s="252" t="str">
        <f t="shared" si="195"/>
        <v>Andrija Živković</v>
      </c>
      <c r="K70" s="252" t="str">
        <f t="shared" si="195"/>
        <v>Ezri Konsa</v>
      </c>
      <c r="L70" s="252" t="str">
        <f t="shared" si="195"/>
        <v>Jasmin Kurtić</v>
      </c>
      <c r="M70" s="252" t="str">
        <f t="shared" si="195"/>
        <v>Mikkel Damsgaard</v>
      </c>
      <c r="N70" s="252" t="str">
        <f t="shared" si="195"/>
        <v>Jakub Kiwior</v>
      </c>
      <c r="O70" s="252" t="str">
        <f t="shared" si="195"/>
        <v>Tijjani Reijnders</v>
      </c>
      <c r="P70" s="252" t="str">
        <f t="shared" si="195"/>
        <v>Leopold Querfeld</v>
      </c>
      <c r="Q70" s="252" t="str">
        <f t="shared" si="195"/>
        <v>Adrien Rabiot</v>
      </c>
      <c r="R70" s="252" t="str">
        <f t="shared" si="195"/>
        <v>Dodi Lukebakio</v>
      </c>
      <c r="S70" s="252" t="str">
        <f t="shared" si="195"/>
        <v>Milan Škriniar</v>
      </c>
      <c r="T70" s="252" t="str">
        <f t="shared" si="195"/>
        <v>Darius Olaru</v>
      </c>
      <c r="U70" s="252" t="str">
        <f t="shared" si="195"/>
        <v>Heorhiy Sudakov</v>
      </c>
      <c r="V70" s="252" t="str">
        <f t="shared" si="195"/>
        <v>Gonçalo Inácio</v>
      </c>
      <c r="W70" s="252" t="str">
        <f t="shared" si="195"/>
        <v>Lukáš Provod</v>
      </c>
      <c r="X70" s="252" t="str">
        <f t="shared" si="195"/>
        <v>Abdülkerim Bardakcı</v>
      </c>
      <c r="Y70" s="252" t="str">
        <f t="shared" si="195"/>
        <v>Luka Lochoshvili</v>
      </c>
      <c r="BT70" s="253" t="str">
        <f t="shared" ca="1" si="78"/>
        <v>Hungary</v>
      </c>
      <c r="BU70" s="253">
        <f t="shared" si="13"/>
        <v>68</v>
      </c>
      <c r="BV70" s="253" t="str">
        <f t="shared" si="172"/>
        <v>A18</v>
      </c>
      <c r="BW70" s="253">
        <f t="shared" si="173"/>
        <v>3</v>
      </c>
      <c r="BX70" s="253" t="str">
        <f t="shared" ca="1" si="174"/>
        <v>Dániel Gazdag</v>
      </c>
      <c r="BY70" s="253">
        <f ca="1">COUNTIF('Group Stages'!$J$8:$Q$80,BX70)+COUNTIF('Knock Out Stages'!$K$7:$R$45,BX70)</f>
        <v>0</v>
      </c>
      <c r="BZ70" s="253" t="str">
        <f t="shared" si="175"/>
        <v>'Player Database'!b21</v>
      </c>
      <c r="CA70" s="253" t="str">
        <f t="shared" ca="1" si="176"/>
        <v>Dániel Gazdag</v>
      </c>
      <c r="CB70" s="252">
        <v>67</v>
      </c>
      <c r="CC70" s="252" t="str">
        <f t="array" aca="1" ref="CC70" ca="1">IFERROR(INDEX($BX$3:$BX$810, SMALL(IF(COUNTIF(CC$3, $BY$3:$BY$810), ROW($BX$3:$BX$810)-MIN(ROW($BX$3:$BX$810))+1), $CB70), 0),"")</f>
        <v/>
      </c>
      <c r="CS70" s="252">
        <f t="shared" si="85"/>
        <v>67</v>
      </c>
      <c r="CT70" s="252">
        <f t="shared" si="86"/>
        <v>2</v>
      </c>
      <c r="CU70" s="252" t="s">
        <v>902</v>
      </c>
      <c r="CV70" s="252" t="str">
        <f t="shared" ca="1" si="87"/>
        <v/>
      </c>
      <c r="CW70" s="252">
        <f t="shared" ca="1" si="193"/>
        <v>0</v>
      </c>
      <c r="CZ70" s="252">
        <v>67</v>
      </c>
      <c r="DA70" s="252" t="str">
        <f t="shared" ca="1" si="194"/>
        <v/>
      </c>
      <c r="DB70" s="252" t="str">
        <f t="shared" ca="1" si="189"/>
        <v/>
      </c>
      <c r="DC70" s="252" t="str">
        <f t="shared" ca="1" si="190"/>
        <v/>
      </c>
      <c r="DD70" s="252" t="str">
        <f t="shared" ca="1" si="191"/>
        <v/>
      </c>
    </row>
    <row r="71" spans="1:108" x14ac:dyDescent="0.2">
      <c r="A71" s="252">
        <v>15</v>
      </c>
      <c r="B71" s="252" t="str">
        <f t="shared" ref="B71:Y71" si="196">B17</f>
        <v>Nico Schlotterbeck</v>
      </c>
      <c r="C71" s="252" t="str">
        <f t="shared" si="196"/>
        <v>Ryan Porteous</v>
      </c>
      <c r="D71" s="252" t="str">
        <f t="shared" si="196"/>
        <v>László Kleinheisler</v>
      </c>
      <c r="E71" s="252" t="str">
        <f t="shared" si="196"/>
        <v>Cédric Zesiger</v>
      </c>
      <c r="F71" s="252" t="str">
        <f t="shared" si="196"/>
        <v>Raoul Bellanova</v>
      </c>
      <c r="G71" s="252" t="str">
        <f t="shared" si="196"/>
        <v>Taulant Seferi</v>
      </c>
      <c r="H71" s="252" t="str">
        <f t="shared" si="196"/>
        <v>Álex Baena</v>
      </c>
      <c r="I71" s="252" t="str">
        <f t="shared" si="196"/>
        <v>Mario Pašalić</v>
      </c>
      <c r="J71" s="252" t="str">
        <f t="shared" si="196"/>
        <v>Srđan Babić</v>
      </c>
      <c r="K71" s="252" t="str">
        <f t="shared" si="196"/>
        <v>Lewis Dunk</v>
      </c>
      <c r="L71" s="252" t="str">
        <f t="shared" si="196"/>
        <v>Tomi Horvat</v>
      </c>
      <c r="M71" s="252" t="str">
        <f t="shared" si="196"/>
        <v>Christian Nørgaard</v>
      </c>
      <c r="N71" s="252" t="str">
        <f t="shared" si="196"/>
        <v>Tymoteusz Puchacz</v>
      </c>
      <c r="O71" s="252" t="str">
        <f t="shared" si="196"/>
        <v>Micky van de Ven</v>
      </c>
      <c r="P71" s="252" t="str">
        <f t="shared" si="196"/>
        <v>Philipp Lienhart</v>
      </c>
      <c r="Q71" s="252" t="str">
        <f t="shared" si="196"/>
        <v>Marcus Thuram</v>
      </c>
      <c r="R71" s="252" t="str">
        <f t="shared" si="196"/>
        <v>Thomas Meunier</v>
      </c>
      <c r="S71" s="252" t="str">
        <f t="shared" si="196"/>
        <v>Vernon De Marco</v>
      </c>
      <c r="T71" s="252" t="str">
        <f t="shared" si="196"/>
        <v>Andrei Burcă</v>
      </c>
      <c r="U71" s="252" t="str">
        <f t="shared" si="196"/>
        <v>Viktor Tsyhankov</v>
      </c>
      <c r="V71" s="252" t="str">
        <f t="shared" si="196"/>
        <v>João Neves</v>
      </c>
      <c r="W71" s="252" t="str">
        <f t="shared" si="196"/>
        <v>David Jurásek</v>
      </c>
      <c r="X71" s="252" t="str">
        <f t="shared" si="196"/>
        <v>Salih Özcan</v>
      </c>
      <c r="Y71" s="252" t="str">
        <f t="shared" si="196"/>
        <v>Giorgi Gvelesiani</v>
      </c>
      <c r="BT71" s="253" t="str">
        <f t="shared" ca="1" si="78"/>
        <v>Hungary</v>
      </c>
      <c r="BU71" s="253">
        <f t="shared" si="13"/>
        <v>69</v>
      </c>
      <c r="BV71" s="253" t="str">
        <f t="shared" si="172"/>
        <v>A19</v>
      </c>
      <c r="BW71" s="253">
        <f t="shared" si="173"/>
        <v>3</v>
      </c>
      <c r="BX71" s="253" t="str">
        <f t="shared" ca="1" si="174"/>
        <v>Callum Styles</v>
      </c>
      <c r="BY71" s="253">
        <f ca="1">COUNTIF('Group Stages'!$J$8:$Q$80,BX71)+COUNTIF('Knock Out Stages'!$K$7:$R$45,BX71)</f>
        <v>0</v>
      </c>
      <c r="BZ71" s="253" t="str">
        <f t="shared" si="175"/>
        <v>'Player Database'!b22</v>
      </c>
      <c r="CA71" s="253" t="str">
        <f t="shared" ca="1" si="176"/>
        <v>Callum Styles</v>
      </c>
      <c r="CB71" s="252">
        <v>68</v>
      </c>
      <c r="CC71" s="252" t="str">
        <f t="array" aca="1" ref="CC71" ca="1">IFERROR(INDEX($BX$3:$BX$810, SMALL(IF(COUNTIF(CC$3, $BY$3:$BY$810), ROW($BX$3:$BX$810)-MIN(ROW($BX$3:$BX$810))+1), $CB71), 0),"")</f>
        <v/>
      </c>
      <c r="CS71" s="252">
        <f t="shared" si="85"/>
        <v>68</v>
      </c>
      <c r="CT71" s="252">
        <f t="shared" si="86"/>
        <v>2</v>
      </c>
      <c r="CU71" s="252" t="s">
        <v>903</v>
      </c>
      <c r="CV71" s="252" t="str">
        <f t="shared" ca="1" si="87"/>
        <v/>
      </c>
      <c r="CW71" s="252">
        <f t="shared" ca="1" si="193"/>
        <v>0</v>
      </c>
      <c r="CZ71" s="252">
        <v>68</v>
      </c>
      <c r="DA71" s="252" t="str">
        <f t="shared" ca="1" si="194"/>
        <v/>
      </c>
      <c r="DB71" s="252" t="str">
        <f t="shared" ca="1" si="189"/>
        <v/>
      </c>
      <c r="DC71" s="252" t="str">
        <f t="shared" ca="1" si="190"/>
        <v/>
      </c>
      <c r="DD71" s="252" t="str">
        <f t="shared" ca="1" si="191"/>
        <v/>
      </c>
    </row>
    <row r="72" spans="1:108" x14ac:dyDescent="0.2">
      <c r="A72" s="252">
        <v>16</v>
      </c>
      <c r="B72" s="252" t="str">
        <f t="shared" ref="B72:Y72" si="197">B18</f>
        <v>Waldemar Anton</v>
      </c>
      <c r="C72" s="252" t="str">
        <f t="shared" si="197"/>
        <v>Liam Cooper</v>
      </c>
      <c r="D72" s="252" t="str">
        <f t="shared" si="197"/>
        <v>Dániel Gazdag</v>
      </c>
      <c r="E72" s="252" t="str">
        <f t="shared" si="197"/>
        <v>Vincent Sierro</v>
      </c>
      <c r="F72" s="252" t="str">
        <f t="shared" si="197"/>
        <v>Bryan Cristante</v>
      </c>
      <c r="G72" s="252" t="str">
        <f t="shared" si="197"/>
        <v>Medon Berisha</v>
      </c>
      <c r="H72" s="252" t="str">
        <f t="shared" si="197"/>
        <v>Rodri</v>
      </c>
      <c r="I72" s="252" t="str">
        <f t="shared" si="197"/>
        <v>Ante Budimir</v>
      </c>
      <c r="J72" s="252" t="str">
        <f t="shared" si="197"/>
        <v>Srđan Mijailović</v>
      </c>
      <c r="K72" s="252" t="str">
        <f t="shared" si="197"/>
        <v>Conor Gallagher</v>
      </c>
      <c r="L72" s="252" t="str">
        <f t="shared" si="197"/>
        <v>Igor Vekić</v>
      </c>
      <c r="M72" s="252" t="str">
        <f t="shared" si="197"/>
        <v>Mads Hermansen</v>
      </c>
      <c r="N72" s="252" t="str">
        <f t="shared" si="197"/>
        <v>Adam Buksa</v>
      </c>
      <c r="O72" s="252" t="str">
        <f t="shared" si="197"/>
        <v>Joey Veerman</v>
      </c>
      <c r="P72" s="252" t="str">
        <f t="shared" si="197"/>
        <v>Phillipp Mwene</v>
      </c>
      <c r="Q72" s="252" t="str">
        <f t="shared" si="197"/>
        <v>Mike Maignan</v>
      </c>
      <c r="R72" s="252" t="str">
        <f t="shared" si="197"/>
        <v>Aster Vranckx</v>
      </c>
      <c r="S72" s="252" t="str">
        <f t="shared" si="197"/>
        <v>Dávid Hancko</v>
      </c>
      <c r="T72" s="252" t="str">
        <f t="shared" si="197"/>
        <v>Ștefan Târnovanu</v>
      </c>
      <c r="U72" s="252" t="str">
        <f t="shared" si="197"/>
        <v>Vitaliy Mykolenko</v>
      </c>
      <c r="V72" s="252" t="str">
        <f t="shared" si="197"/>
        <v>Matheus Nunes</v>
      </c>
      <c r="W72" s="252" t="str">
        <f t="shared" si="197"/>
        <v>Matěj Kovář</v>
      </c>
      <c r="X72" s="252" t="str">
        <f t="shared" si="197"/>
        <v>İsmail Yüksek</v>
      </c>
      <c r="Y72" s="252" t="str">
        <f t="shared" si="197"/>
        <v>Nika Kvekveskiri</v>
      </c>
      <c r="BT72" s="253" t="str">
        <f t="shared" ca="1" si="78"/>
        <v>Hungary</v>
      </c>
      <c r="BU72" s="253">
        <f t="shared" si="13"/>
        <v>70</v>
      </c>
      <c r="BV72" s="253" t="str">
        <f t="shared" si="172"/>
        <v>A20</v>
      </c>
      <c r="BW72" s="253">
        <f t="shared" si="173"/>
        <v>3</v>
      </c>
      <c r="BX72" s="253" t="str">
        <f t="shared" ca="1" si="174"/>
        <v>Zsolt Nagy</v>
      </c>
      <c r="BY72" s="253">
        <f ca="1">COUNTIF('Group Stages'!$J$8:$Q$80,BX72)+COUNTIF('Knock Out Stages'!$K$7:$R$45,BX72)</f>
        <v>0</v>
      </c>
      <c r="BZ72" s="253" t="str">
        <f t="shared" si="175"/>
        <v>'Player Database'!b23</v>
      </c>
      <c r="CA72" s="253" t="str">
        <f t="shared" ca="1" si="176"/>
        <v>Zsolt Nagy</v>
      </c>
      <c r="CB72" s="252">
        <v>69</v>
      </c>
      <c r="CC72" s="252" t="str">
        <f t="array" aca="1" ref="CC72" ca="1">IFERROR(INDEX($BX$3:$BX$810, SMALL(IF(COUNTIF(CC$3, $BY$3:$BY$810), ROW($BX$3:$BX$810)-MIN(ROW($BX$3:$BX$810))+1), $CB72), 0),"")</f>
        <v/>
      </c>
      <c r="CS72" s="252">
        <f t="shared" si="85"/>
        <v>69</v>
      </c>
      <c r="CT72" s="252">
        <f t="shared" si="86"/>
        <v>2</v>
      </c>
      <c r="CU72" s="252" t="s">
        <v>904</v>
      </c>
      <c r="CV72" s="252" t="str">
        <f t="shared" ca="1" si="87"/>
        <v/>
      </c>
      <c r="CW72" s="252">
        <f t="shared" ca="1" si="193"/>
        <v>0</v>
      </c>
      <c r="CZ72" s="252">
        <v>69</v>
      </c>
      <c r="DA72" s="252" t="str">
        <f t="shared" ca="1" si="194"/>
        <v/>
      </c>
      <c r="DB72" s="252" t="str">
        <f t="shared" ca="1" si="189"/>
        <v/>
      </c>
      <c r="DC72" s="252" t="str">
        <f t="shared" ca="1" si="190"/>
        <v/>
      </c>
      <c r="DD72" s="252" t="str">
        <f t="shared" ca="1" si="191"/>
        <v/>
      </c>
    </row>
    <row r="73" spans="1:108" x14ac:dyDescent="0.2">
      <c r="A73" s="252">
        <v>17</v>
      </c>
      <c r="B73" s="252" t="str">
        <f t="shared" ref="B73:Y73" si="198">B19</f>
        <v>Florian Wirtz</v>
      </c>
      <c r="C73" s="252" t="str">
        <f t="shared" si="198"/>
        <v>Stuart Armstrong</v>
      </c>
      <c r="D73" s="252" t="str">
        <f t="shared" si="198"/>
        <v>Callum Styles</v>
      </c>
      <c r="E73" s="252" t="str">
        <f t="shared" si="198"/>
        <v>Ruben Vargas</v>
      </c>
      <c r="F73" s="252" t="str">
        <f t="shared" si="198"/>
        <v>Gianluca Mancini</v>
      </c>
      <c r="G73" s="252" t="str">
        <f t="shared" si="198"/>
        <v>Ernest Muçi</v>
      </c>
      <c r="H73" s="252" t="str">
        <f t="shared" si="198"/>
        <v>Nico Williams</v>
      </c>
      <c r="I73" s="252" t="str">
        <f t="shared" si="198"/>
        <v>Bruno Petković</v>
      </c>
      <c r="J73" s="252" t="str">
        <f t="shared" si="198"/>
        <v>Ivan Ilić</v>
      </c>
      <c r="K73" s="252" t="str">
        <f t="shared" si="198"/>
        <v>Ivan Toney</v>
      </c>
      <c r="L73" s="252" t="str">
        <f t="shared" si="198"/>
        <v>Jan Mlakar</v>
      </c>
      <c r="M73" s="252" t="str">
        <f t="shared" si="198"/>
        <v>Victor Kristiansen</v>
      </c>
      <c r="N73" s="252" t="str">
        <f t="shared" si="198"/>
        <v>Damian Szymański</v>
      </c>
      <c r="O73" s="252" t="str">
        <f t="shared" si="198"/>
        <v>Daley Blind</v>
      </c>
      <c r="P73" s="252" t="str">
        <f t="shared" si="198"/>
        <v>Florian Kainz</v>
      </c>
      <c r="Q73" s="252" t="str">
        <f t="shared" si="198"/>
        <v>William Saliba</v>
      </c>
      <c r="R73" s="252" t="str">
        <f t="shared" si="198"/>
        <v>Charles De Ketelaere</v>
      </c>
      <c r="S73" s="252" t="str">
        <f t="shared" si="198"/>
        <v>Lukáš Haraslín</v>
      </c>
      <c r="T73" s="252" t="str">
        <f t="shared" si="198"/>
        <v>Florinel Coman</v>
      </c>
      <c r="U73" s="252" t="str">
        <f t="shared" si="198"/>
        <v>Oleksandr Zinchenko</v>
      </c>
      <c r="V73" s="252" t="str">
        <f t="shared" si="198"/>
        <v>Rafael Leão</v>
      </c>
      <c r="W73" s="252" t="str">
        <f t="shared" si="198"/>
        <v>Václav Černý</v>
      </c>
      <c r="X73" s="252" t="str">
        <f t="shared" si="198"/>
        <v>İrfan Kahveci</v>
      </c>
      <c r="Y73" s="252" t="str">
        <f t="shared" si="198"/>
        <v>Otar Kiteishvili</v>
      </c>
      <c r="BT73" s="253" t="str">
        <f t="shared" ca="1" si="78"/>
        <v>Hungary</v>
      </c>
      <c r="BU73" s="253">
        <f t="shared" si="13"/>
        <v>71</v>
      </c>
      <c r="BV73" s="253" t="str">
        <f t="shared" si="172"/>
        <v>A21</v>
      </c>
      <c r="BW73" s="253">
        <f t="shared" si="173"/>
        <v>3</v>
      </c>
      <c r="BX73" s="253" t="str">
        <f t="shared" ca="1" si="174"/>
        <v>Barnabás Varga</v>
      </c>
      <c r="BY73" s="253">
        <f ca="1">COUNTIF('Group Stages'!$J$8:$Q$80,BX73)+COUNTIF('Knock Out Stages'!$K$7:$R$45,BX73)</f>
        <v>1</v>
      </c>
      <c r="BZ73" s="253" t="str">
        <f t="shared" si="175"/>
        <v>'Player Database'!b24</v>
      </c>
      <c r="CA73" s="253" t="str">
        <f t="shared" ca="1" si="176"/>
        <v>Barnabás Varga</v>
      </c>
      <c r="CB73" s="252">
        <v>70</v>
      </c>
      <c r="CC73" s="252" t="str">
        <f t="array" aca="1" ref="CC73" ca="1">IFERROR(INDEX($BX$3:$BX$810, SMALL(IF(COUNTIF(CC$3, $BY$3:$BY$810), ROW($BX$3:$BX$810)-MIN(ROW($BX$3:$BX$810))+1), $CB73), 0),"")</f>
        <v/>
      </c>
      <c r="CS73" s="252">
        <f t="shared" si="85"/>
        <v>70</v>
      </c>
      <c r="CT73" s="252">
        <f t="shared" si="86"/>
        <v>2</v>
      </c>
      <c r="CU73" s="252" t="s">
        <v>905</v>
      </c>
      <c r="CV73" s="252" t="str">
        <f t="shared" ca="1" si="87"/>
        <v/>
      </c>
      <c r="CW73" s="252">
        <f t="shared" ca="1" si="193"/>
        <v>0</v>
      </c>
      <c r="CZ73" s="252">
        <v>70</v>
      </c>
      <c r="DA73" s="252" t="str">
        <f t="shared" ca="1" si="194"/>
        <v/>
      </c>
      <c r="DB73" s="252" t="str">
        <f t="shared" ca="1" si="189"/>
        <v/>
      </c>
      <c r="DC73" s="252" t="str">
        <f t="shared" ca="1" si="190"/>
        <v/>
      </c>
      <c r="DD73" s="252" t="str">
        <f t="shared" ca="1" si="191"/>
        <v/>
      </c>
    </row>
    <row r="74" spans="1:108" x14ac:dyDescent="0.2">
      <c r="A74" s="252">
        <v>18</v>
      </c>
      <c r="B74" s="252" t="str">
        <f t="shared" ref="B74:Y74" si="199">B20</f>
        <v>Maximilian Mittelstädt</v>
      </c>
      <c r="C74" s="252" t="str">
        <f t="shared" si="199"/>
        <v>Lewis Morgan</v>
      </c>
      <c r="D74" s="252" t="str">
        <f t="shared" si="199"/>
        <v>Zsolt Nagy</v>
      </c>
      <c r="E74" s="252" t="str">
        <f t="shared" si="199"/>
        <v>Kwadwo Duah</v>
      </c>
      <c r="F74" s="252" t="str">
        <f t="shared" si="199"/>
        <v>Nicolò Barella</v>
      </c>
      <c r="G74" s="252" t="str">
        <f t="shared" si="199"/>
        <v>Ardian Ismajli</v>
      </c>
      <c r="H74" s="252" t="str">
        <f t="shared" si="199"/>
        <v>Martín Zubimendi</v>
      </c>
      <c r="I74" s="252" t="str">
        <f t="shared" si="199"/>
        <v>Luka Ivanušec</v>
      </c>
      <c r="J74" s="252" t="str">
        <f t="shared" si="199"/>
        <v>Petar Ratkov</v>
      </c>
      <c r="K74" s="252" t="str">
        <f t="shared" si="199"/>
        <v>Anthony Gordon</v>
      </c>
      <c r="L74" s="252" t="str">
        <f t="shared" si="199"/>
        <v>Žan Vipotnik</v>
      </c>
      <c r="M74" s="252" t="str">
        <f t="shared" si="199"/>
        <v>Alexander Bah</v>
      </c>
      <c r="N74" s="252" t="str">
        <f t="shared" si="199"/>
        <v>Bartosz Bereszyński</v>
      </c>
      <c r="O74" s="252" t="str">
        <f t="shared" si="199"/>
        <v>Donyell Malen</v>
      </c>
      <c r="P74" s="252" t="str">
        <f t="shared" si="199"/>
        <v>Romano Schmid</v>
      </c>
      <c r="Q74" s="252" t="str">
        <f t="shared" si="199"/>
        <v>Warren Zaïre-Emery</v>
      </c>
      <c r="R74" s="252" t="str">
        <f t="shared" si="199"/>
        <v>Orel Mangala</v>
      </c>
      <c r="S74" s="252" t="str">
        <f t="shared" si="199"/>
        <v>David Strelec</v>
      </c>
      <c r="T74" s="252" t="str">
        <f t="shared" si="199"/>
        <v>Răzvan Marin</v>
      </c>
      <c r="U74" s="252" t="str">
        <f t="shared" si="199"/>
        <v>Volodymyr Brazhko</v>
      </c>
      <c r="V74" s="252" t="str">
        <f t="shared" si="199"/>
        <v>Rúben Neves</v>
      </c>
      <c r="W74" s="252" t="str">
        <f t="shared" si="199"/>
        <v>Ladislav Krejčí</v>
      </c>
      <c r="X74" s="252" t="str">
        <f t="shared" si="199"/>
        <v>Mert Müldür</v>
      </c>
      <c r="Y74" s="252" t="str">
        <f t="shared" si="199"/>
        <v>Sandro Altunashvili</v>
      </c>
      <c r="BT74" s="253" t="str">
        <f t="shared" ca="1" si="78"/>
        <v>Hungary</v>
      </c>
      <c r="BU74" s="253">
        <f t="shared" si="13"/>
        <v>72</v>
      </c>
      <c r="BV74" s="253" t="str">
        <f t="shared" si="172"/>
        <v>A22</v>
      </c>
      <c r="BW74" s="253">
        <f t="shared" si="173"/>
        <v>3</v>
      </c>
      <c r="BX74" s="253" t="str">
        <f t="shared" ca="1" si="174"/>
        <v>Roland Sallai</v>
      </c>
      <c r="BY74" s="253">
        <f ca="1">COUNTIF('Group Stages'!$J$8:$Q$80,BX74)+COUNTIF('Knock Out Stages'!$K$7:$R$45,BX74)</f>
        <v>0</v>
      </c>
      <c r="BZ74" s="253" t="str">
        <f t="shared" si="175"/>
        <v>'Player Database'!b25</v>
      </c>
      <c r="CA74" s="253" t="str">
        <f t="shared" ca="1" si="176"/>
        <v>Roland Sallai</v>
      </c>
      <c r="CB74" s="252">
        <v>71</v>
      </c>
      <c r="CC74" s="252" t="str">
        <f t="array" aca="1" ref="CC74" ca="1">IFERROR(INDEX($BX$3:$BX$810, SMALL(IF(COUNTIF(CC$3, $BY$3:$BY$810), ROW($BX$3:$BX$810)-MIN(ROW($BX$3:$BX$810))+1), $CB74), 0),"")</f>
        <v/>
      </c>
      <c r="CS74" s="252">
        <f t="shared" si="85"/>
        <v>71</v>
      </c>
      <c r="CT74" s="252">
        <f t="shared" si="86"/>
        <v>2</v>
      </c>
      <c r="CU74" s="252" t="s">
        <v>906</v>
      </c>
      <c r="CV74" s="252" t="str">
        <f t="shared" ca="1" si="87"/>
        <v/>
      </c>
      <c r="CW74" s="252">
        <f t="shared" ca="1" si="193"/>
        <v>0</v>
      </c>
      <c r="CZ74" s="252">
        <v>71</v>
      </c>
      <c r="DA74" s="252" t="str">
        <f t="shared" ca="1" si="194"/>
        <v/>
      </c>
      <c r="DB74" s="252" t="str">
        <f t="shared" ca="1" si="189"/>
        <v/>
      </c>
      <c r="DC74" s="252" t="str">
        <f t="shared" ca="1" si="190"/>
        <v/>
      </c>
      <c r="DD74" s="252" t="str">
        <f t="shared" ca="1" si="191"/>
        <v/>
      </c>
    </row>
    <row r="75" spans="1:108" x14ac:dyDescent="0.2">
      <c r="A75" s="252">
        <v>19</v>
      </c>
      <c r="B75" s="252" t="str">
        <f t="shared" ref="B75:Y75" si="200">B21</f>
        <v>Leroy Sané</v>
      </c>
      <c r="C75" s="252" t="str">
        <f t="shared" si="200"/>
        <v>Tommy Conway</v>
      </c>
      <c r="D75" s="252" t="str">
        <f t="shared" si="200"/>
        <v>Barnabás Varga</v>
      </c>
      <c r="E75" s="252" t="str">
        <f t="shared" si="200"/>
        <v>Dan Ndoye</v>
      </c>
      <c r="F75" s="252" t="str">
        <f t="shared" si="200"/>
        <v>Mateo Retegui</v>
      </c>
      <c r="G75" s="252" t="str">
        <f t="shared" si="200"/>
        <v>Mirlind Daku</v>
      </c>
      <c r="H75" s="252" t="str">
        <f t="shared" si="200"/>
        <v>Lamine Yamal</v>
      </c>
      <c r="I75" s="252" t="str">
        <f t="shared" si="200"/>
        <v>Borna Sosa</v>
      </c>
      <c r="J75" s="252" t="str">
        <f t="shared" si="200"/>
        <v>Lazar Samardžić</v>
      </c>
      <c r="K75" s="252" t="str">
        <f t="shared" si="200"/>
        <v>Ollie Watkins</v>
      </c>
      <c r="L75" s="252" t="str">
        <f t="shared" si="200"/>
        <v>Žan Celar</v>
      </c>
      <c r="M75" s="252" t="str">
        <f t="shared" si="200"/>
        <v>Jonas Wind</v>
      </c>
      <c r="N75" s="252" t="str">
        <f t="shared" si="200"/>
        <v>Przemysław Frankowski</v>
      </c>
      <c r="O75" s="252" t="str">
        <f t="shared" si="200"/>
        <v>Brian Brobbey</v>
      </c>
      <c r="P75" s="252" t="str">
        <f t="shared" si="200"/>
        <v>Christoph Baumgartner</v>
      </c>
      <c r="Q75" s="252" t="str">
        <f t="shared" si="200"/>
        <v>Youssouf Fofana</v>
      </c>
      <c r="R75" s="252" t="str">
        <f t="shared" si="200"/>
        <v>Johan Bakayoko</v>
      </c>
      <c r="S75" s="252" t="str">
        <f t="shared" si="200"/>
        <v>Juraj Kucka</v>
      </c>
      <c r="T75" s="252" t="str">
        <f t="shared" si="200"/>
        <v>Denis Drăguș</v>
      </c>
      <c r="U75" s="252" t="str">
        <f t="shared" si="200"/>
        <v>Mykola Shaparenko</v>
      </c>
      <c r="V75" s="252" t="str">
        <f t="shared" si="200"/>
        <v>Nuno Mendes</v>
      </c>
      <c r="W75" s="252" t="str">
        <f t="shared" si="200"/>
        <v>Tomáš Chorý</v>
      </c>
      <c r="X75" s="252" t="str">
        <f t="shared" si="200"/>
        <v>Kenan Yıldız</v>
      </c>
      <c r="Y75" s="252" t="str">
        <f t="shared" si="200"/>
        <v>Levan Shengelia</v>
      </c>
      <c r="BT75" s="253" t="str">
        <f t="shared" ca="1" si="78"/>
        <v>Hungary</v>
      </c>
      <c r="BU75" s="253">
        <f t="shared" ref="BU75:BU138" si="201">BU74+1</f>
        <v>73</v>
      </c>
      <c r="BV75" s="253" t="str">
        <f t="shared" si="172"/>
        <v>A23</v>
      </c>
      <c r="BW75" s="253">
        <f t="shared" si="173"/>
        <v>3</v>
      </c>
      <c r="BX75" s="253" t="str">
        <f t="shared" ca="1" si="174"/>
        <v>Endre Botka</v>
      </c>
      <c r="BY75" s="253">
        <f ca="1">COUNTIF('Group Stages'!$J$8:$Q$80,BX75)+COUNTIF('Knock Out Stages'!$K$7:$R$45,BX75)</f>
        <v>0</v>
      </c>
      <c r="BZ75" s="253" t="str">
        <f t="shared" si="175"/>
        <v>'Player Database'!b26</v>
      </c>
      <c r="CA75" s="253" t="str">
        <f t="shared" ca="1" si="176"/>
        <v>Endre Botka</v>
      </c>
      <c r="CB75" s="252">
        <v>72</v>
      </c>
      <c r="CC75" s="252" t="str">
        <f t="array" aca="1" ref="CC75" ca="1">IFERROR(INDEX($BX$3:$BX$810, SMALL(IF(COUNTIF(CC$3, $BY$3:$BY$810), ROW($BX$3:$BX$810)-MIN(ROW($BX$3:$BX$810))+1), $CB75), 0),"")</f>
        <v/>
      </c>
      <c r="CS75" s="252">
        <f t="shared" si="85"/>
        <v>72</v>
      </c>
      <c r="CT75" s="252">
        <f t="shared" si="86"/>
        <v>2</v>
      </c>
      <c r="CU75" s="252" t="s">
        <v>907</v>
      </c>
      <c r="CV75" s="252" t="str">
        <f t="shared" ca="1" si="87"/>
        <v/>
      </c>
      <c r="CW75" s="252">
        <f t="shared" ca="1" si="193"/>
        <v>0</v>
      </c>
      <c r="CZ75" s="252">
        <v>72</v>
      </c>
      <c r="DA75" s="252" t="str">
        <f t="shared" ca="1" si="194"/>
        <v/>
      </c>
      <c r="DB75" s="252" t="str">
        <f t="shared" ca="1" si="189"/>
        <v/>
      </c>
      <c r="DC75" s="252" t="str">
        <f t="shared" ca="1" si="190"/>
        <v/>
      </c>
      <c r="DD75" s="252" t="str">
        <f t="shared" ca="1" si="191"/>
        <v/>
      </c>
    </row>
    <row r="76" spans="1:108" x14ac:dyDescent="0.2">
      <c r="A76" s="252">
        <v>20</v>
      </c>
      <c r="B76" s="252" t="str">
        <f t="shared" ref="B76:Y76" si="202">B22</f>
        <v>Benjamin Henrichs</v>
      </c>
      <c r="C76" s="252" t="str">
        <f t="shared" si="202"/>
        <v>Ryan Jack</v>
      </c>
      <c r="D76" s="252" t="str">
        <f t="shared" si="202"/>
        <v>Roland Sallai</v>
      </c>
      <c r="E76" s="252" t="str">
        <f t="shared" si="202"/>
        <v>Michel Aebischer</v>
      </c>
      <c r="F76" s="252" t="str">
        <f t="shared" si="202"/>
        <v>Mattia Zaccagni</v>
      </c>
      <c r="G76" s="252" t="str">
        <f t="shared" si="202"/>
        <v>Ylber Ramadani</v>
      </c>
      <c r="H76" s="252" t="str">
        <f t="shared" si="202"/>
        <v>Pedri</v>
      </c>
      <c r="I76" s="252" t="str">
        <f t="shared" si="202"/>
        <v>Marko Pjaca</v>
      </c>
      <c r="J76" s="252" t="str">
        <f t="shared" si="202"/>
        <v>Sergej Milinković-Savić</v>
      </c>
      <c r="K76" s="252" t="str">
        <f t="shared" si="202"/>
        <v>Jarrod Bowen</v>
      </c>
      <c r="L76" s="252" t="str">
        <f t="shared" si="202"/>
        <v>Petar Stojanović</v>
      </c>
      <c r="M76" s="252" t="str">
        <f t="shared" si="202"/>
        <v>Yussuf Poulsen</v>
      </c>
      <c r="N76" s="252" t="str">
        <f t="shared" si="202"/>
        <v>Sebastian Szymański</v>
      </c>
      <c r="O76" s="252" t="str">
        <f t="shared" si="202"/>
        <v>Ian Maatsen</v>
      </c>
      <c r="P76" s="252" t="str">
        <f t="shared" si="202"/>
        <v>Konrad Laimer</v>
      </c>
      <c r="Q76" s="252" t="str">
        <f t="shared" si="202"/>
        <v>Kingsley Coman</v>
      </c>
      <c r="R76" s="252" t="str">
        <f t="shared" si="202"/>
        <v>Loïs Openda</v>
      </c>
      <c r="S76" s="252" t="str">
        <f t="shared" si="202"/>
        <v>Dávid Ďuriš</v>
      </c>
      <c r="T76" s="252" t="str">
        <f t="shared" si="202"/>
        <v>Dennis Man</v>
      </c>
      <c r="U76" s="252" t="str">
        <f t="shared" si="202"/>
        <v>Oleksandr Zubkov</v>
      </c>
      <c r="V76" s="252" t="str">
        <f t="shared" si="202"/>
        <v>João Cancelo</v>
      </c>
      <c r="W76" s="252" t="str">
        <f t="shared" si="202"/>
        <v>Ondřej Lingr</v>
      </c>
      <c r="X76" s="252" t="str">
        <f t="shared" si="202"/>
        <v>Ferdi Kadıoğlu</v>
      </c>
      <c r="Y76" s="252" t="str">
        <f t="shared" si="202"/>
        <v>Anzor Mekvabishvili</v>
      </c>
      <c r="BT76" s="253" t="str">
        <f t="shared" ca="1" si="78"/>
        <v>Hungary</v>
      </c>
      <c r="BU76" s="253">
        <f t="shared" si="201"/>
        <v>74</v>
      </c>
      <c r="BV76" s="253" t="str">
        <f t="shared" si="172"/>
        <v>A24</v>
      </c>
      <c r="BW76" s="253">
        <f t="shared" si="173"/>
        <v>3</v>
      </c>
      <c r="BX76" s="253" t="str">
        <f t="shared" ca="1" si="174"/>
        <v>Péter Szappanos</v>
      </c>
      <c r="BY76" s="253">
        <f ca="1">COUNTIF('Group Stages'!$J$8:$Q$80,BX76)+COUNTIF('Knock Out Stages'!$K$7:$R$45,BX76)</f>
        <v>0</v>
      </c>
      <c r="BZ76" s="253" t="str">
        <f t="shared" si="175"/>
        <v>'Player Database'!b27</v>
      </c>
      <c r="CA76" s="253" t="str">
        <f t="shared" ca="1" si="176"/>
        <v>Péter Szappanos</v>
      </c>
      <c r="CB76" s="252">
        <v>73</v>
      </c>
      <c r="CC76" s="252" t="str">
        <f t="array" aca="1" ref="CC76" ca="1">IFERROR(INDEX($BX$3:$BX$810, SMALL(IF(COUNTIF(CC$3, $BY$3:$BY$810), ROW($BX$3:$BX$810)-MIN(ROW($BX$3:$BX$810))+1), $CB76), 0),"")</f>
        <v/>
      </c>
      <c r="CS76" s="252">
        <f t="shared" si="85"/>
        <v>73</v>
      </c>
      <c r="CT76" s="252">
        <f t="shared" si="86"/>
        <v>2</v>
      </c>
      <c r="CU76" s="252" t="s">
        <v>908</v>
      </c>
      <c r="CV76" s="252" t="str">
        <f t="shared" ca="1" si="87"/>
        <v/>
      </c>
      <c r="CW76" s="252">
        <f t="shared" ca="1" si="193"/>
        <v>0</v>
      </c>
      <c r="CZ76" s="252">
        <v>73</v>
      </c>
      <c r="DA76" s="252" t="str">
        <f t="shared" ca="1" si="194"/>
        <v/>
      </c>
      <c r="DB76" s="252" t="str">
        <f t="shared" ca="1" si="189"/>
        <v/>
      </c>
      <c r="DC76" s="252" t="str">
        <f t="shared" ca="1" si="190"/>
        <v/>
      </c>
      <c r="DD76" s="252" t="str">
        <f t="shared" ca="1" si="191"/>
        <v/>
      </c>
    </row>
    <row r="77" spans="1:108" x14ac:dyDescent="0.2">
      <c r="A77" s="252">
        <v>21</v>
      </c>
      <c r="B77" s="252" t="str">
        <f t="shared" ref="B77:Y77" si="203">B23</f>
        <v>İlkay Gündoğan</v>
      </c>
      <c r="C77" s="252" t="str">
        <f t="shared" si="203"/>
        <v>Zander Clark</v>
      </c>
      <c r="D77" s="252" t="str">
        <f t="shared" si="203"/>
        <v>Endre Botka</v>
      </c>
      <c r="E77" s="252" t="str">
        <f t="shared" si="203"/>
        <v>Gregor Kobel</v>
      </c>
      <c r="F77" s="252" t="str">
        <f t="shared" si="203"/>
        <v>Nicolò Fagioli</v>
      </c>
      <c r="G77" s="252" t="str">
        <f t="shared" si="203"/>
        <v>Kristjan Asllani</v>
      </c>
      <c r="H77" s="252" t="str">
        <f t="shared" si="203"/>
        <v>Mikel Oyarzabal</v>
      </c>
      <c r="I77" s="252" t="str">
        <f t="shared" si="203"/>
        <v>Domagoj Vida</v>
      </c>
      <c r="J77" s="252" t="str">
        <f t="shared" si="203"/>
        <v>Mijat Gaćinović</v>
      </c>
      <c r="K77" s="252" t="str">
        <f t="shared" si="203"/>
        <v>Eberechi Eze</v>
      </c>
      <c r="L77" s="252" t="str">
        <f t="shared" si="203"/>
        <v>Vanja Drkušić</v>
      </c>
      <c r="M77" s="252" t="str">
        <f t="shared" si="203"/>
        <v>Morten Hjulmand</v>
      </c>
      <c r="N77" s="252" t="str">
        <f t="shared" si="203"/>
        <v>Nicola Zalewski</v>
      </c>
      <c r="O77" s="252" t="str">
        <f t="shared" si="203"/>
        <v>Joshua Zirkzee</v>
      </c>
      <c r="P77" s="252" t="str">
        <f t="shared" si="203"/>
        <v>Flavius Daniliuc</v>
      </c>
      <c r="Q77" s="252" t="str">
        <f t="shared" si="203"/>
        <v>Jonathan Clauss</v>
      </c>
      <c r="R77" s="252" t="str">
        <f t="shared" si="203"/>
        <v>Timothy Castagne</v>
      </c>
      <c r="S77" s="252" t="str">
        <f t="shared" si="203"/>
        <v>Matúš Bero</v>
      </c>
      <c r="T77" s="252" t="str">
        <f t="shared" si="203"/>
        <v>Nicolae Stanciu</v>
      </c>
      <c r="U77" s="252" t="str">
        <f t="shared" si="203"/>
        <v>Valeriy Bondar</v>
      </c>
      <c r="V77" s="252" t="str">
        <f t="shared" si="203"/>
        <v>Diogo Jota</v>
      </c>
      <c r="W77" s="252" t="str">
        <f t="shared" si="203"/>
        <v>Lukáš Červ</v>
      </c>
      <c r="X77" s="252" t="str">
        <f t="shared" si="203"/>
        <v>Barış Alper Yılmaz</v>
      </c>
      <c r="Y77" s="252" t="str">
        <f t="shared" si="203"/>
        <v>Giorgi Tsitaishvili</v>
      </c>
      <c r="BT77" s="253" t="str">
        <f t="shared" ca="1" si="78"/>
        <v>Hungary</v>
      </c>
      <c r="BU77" s="253">
        <f t="shared" si="201"/>
        <v>75</v>
      </c>
      <c r="BV77" s="253" t="str">
        <f t="shared" si="172"/>
        <v>A25</v>
      </c>
      <c r="BW77" s="253">
        <f t="shared" si="173"/>
        <v>3</v>
      </c>
      <c r="BX77" s="253" t="str">
        <f t="shared" ca="1" si="174"/>
        <v>Kevin Csoboth</v>
      </c>
      <c r="BY77" s="253">
        <f ca="1">COUNTIF('Group Stages'!$J$8:$Q$80,BX77)+COUNTIF('Knock Out Stages'!$K$7:$R$45,BX77)</f>
        <v>0</v>
      </c>
      <c r="BZ77" s="253" t="str">
        <f t="shared" si="175"/>
        <v>'Player Database'!b28</v>
      </c>
      <c r="CA77" s="253" t="str">
        <f t="shared" ca="1" si="176"/>
        <v>Kevin Csoboth</v>
      </c>
      <c r="CB77" s="252">
        <v>74</v>
      </c>
      <c r="CC77" s="252" t="str">
        <f t="array" aca="1" ref="CC77" ca="1">IFERROR(INDEX($BX$3:$BX$810, SMALL(IF(COUNTIF(CC$3, $BY$3:$BY$810), ROW($BX$3:$BX$810)-MIN(ROW($BX$3:$BX$810))+1), $CB77), 0),"")</f>
        <v/>
      </c>
      <c r="CS77" s="252">
        <f t="shared" si="85"/>
        <v>74</v>
      </c>
      <c r="CT77" s="252">
        <f t="shared" si="86"/>
        <v>2</v>
      </c>
      <c r="CU77" s="252" t="s">
        <v>909</v>
      </c>
      <c r="CV77" s="252" t="str">
        <f t="shared" ca="1" si="87"/>
        <v/>
      </c>
      <c r="CW77" s="252">
        <f t="shared" ca="1" si="193"/>
        <v>0</v>
      </c>
      <c r="CZ77" s="252">
        <v>74</v>
      </c>
      <c r="DA77" s="252" t="str">
        <f t="shared" ca="1" si="194"/>
        <v/>
      </c>
      <c r="DB77" s="252" t="str">
        <f t="shared" ca="1" si="189"/>
        <v/>
      </c>
      <c r="DC77" s="252" t="str">
        <f t="shared" ca="1" si="190"/>
        <v/>
      </c>
      <c r="DD77" s="252" t="str">
        <f t="shared" ca="1" si="191"/>
        <v/>
      </c>
    </row>
    <row r="78" spans="1:108" x14ac:dyDescent="0.2">
      <c r="A78" s="252">
        <v>22</v>
      </c>
      <c r="B78" s="252" t="str">
        <f t="shared" ref="B78:Y78" si="204">B24</f>
        <v>Marc-André ter Stegen</v>
      </c>
      <c r="C78" s="252" t="str">
        <f t="shared" si="204"/>
        <v>Ross McCrorie</v>
      </c>
      <c r="D78" s="252" t="str">
        <f t="shared" si="204"/>
        <v>Péter Szappanos</v>
      </c>
      <c r="E78" s="252" t="str">
        <f t="shared" si="204"/>
        <v>Fabian Schär</v>
      </c>
      <c r="F78" s="252" t="str">
        <f t="shared" si="204"/>
        <v>Stephan El Shaarawy</v>
      </c>
      <c r="G78" s="252" t="str">
        <f t="shared" si="204"/>
        <v>Amir Abrashi</v>
      </c>
      <c r="H78" s="252" t="str">
        <f t="shared" si="204"/>
        <v>Jesús Navas</v>
      </c>
      <c r="I78" s="252" t="str">
        <f t="shared" si="204"/>
        <v>Josip Juranović</v>
      </c>
      <c r="J78" s="252" t="str">
        <f t="shared" si="204"/>
        <v>Saša Lukić</v>
      </c>
      <c r="K78" s="252" t="str">
        <f t="shared" si="204"/>
        <v>Joe Gomez</v>
      </c>
      <c r="L78" s="252" t="str">
        <f t="shared" si="204"/>
        <v>Adam Gnezda Čerin</v>
      </c>
      <c r="M78" s="252" t="str">
        <f t="shared" si="204"/>
        <v>Frederik Rønnow</v>
      </c>
      <c r="N78" s="252" t="str">
        <f t="shared" si="204"/>
        <v>Marcin Bułka</v>
      </c>
      <c r="O78" s="252" t="str">
        <f t="shared" si="204"/>
        <v>Denzel Dumfries</v>
      </c>
      <c r="P78" s="252" t="str">
        <f t="shared" si="204"/>
        <v>Matthias Seidl</v>
      </c>
      <c r="Q78" s="252" t="str">
        <f t="shared" si="204"/>
        <v>Théo Hernandez</v>
      </c>
      <c r="R78" s="252" t="str">
        <f t="shared" si="204"/>
        <v>Jérémy Doku</v>
      </c>
      <c r="S78" s="252" t="str">
        <f t="shared" si="204"/>
        <v>Stanislav Lobotka</v>
      </c>
      <c r="T78" s="252" t="str">
        <f t="shared" si="204"/>
        <v>Vasile Mogoș</v>
      </c>
      <c r="U78" s="252" t="str">
        <f t="shared" si="204"/>
        <v>Mykola Matviyenko</v>
      </c>
      <c r="V78" s="252" t="str">
        <f t="shared" si="204"/>
        <v>Diogo Costa</v>
      </c>
      <c r="W78" s="252" t="str">
        <f t="shared" si="204"/>
        <v>Tomáš Souček</v>
      </c>
      <c r="X78" s="252" t="str">
        <f t="shared" si="204"/>
        <v>Kaan Ayhan</v>
      </c>
      <c r="Y78" s="252" t="str">
        <f t="shared" si="204"/>
        <v>Georges Mikautadze</v>
      </c>
      <c r="BT78" s="253" t="str">
        <f t="shared" ca="1" si="78"/>
        <v>Hungary</v>
      </c>
      <c r="BU78" s="253">
        <f t="shared" si="201"/>
        <v>76</v>
      </c>
      <c r="BV78" s="253" t="str">
        <f t="shared" si="172"/>
        <v>A26</v>
      </c>
      <c r="BW78" s="253">
        <f t="shared" si="173"/>
        <v>3</v>
      </c>
      <c r="BX78" s="253" t="str">
        <f t="shared" ca="1" si="174"/>
        <v>Márton Dárdai</v>
      </c>
      <c r="BY78" s="253">
        <f ca="1">COUNTIF('Group Stages'!$J$8:$Q$80,BX78)+COUNTIF('Knock Out Stages'!$K$7:$R$45,BX78)</f>
        <v>0</v>
      </c>
      <c r="BZ78" s="253" t="str">
        <f t="shared" si="175"/>
        <v>'Player Database'!b29</v>
      </c>
      <c r="CA78" s="253" t="str">
        <f t="shared" ca="1" si="176"/>
        <v>Márton Dárdai</v>
      </c>
      <c r="CB78" s="252">
        <v>75</v>
      </c>
      <c r="CC78" s="252" t="str">
        <f t="array" aca="1" ref="CC78" ca="1">IFERROR(INDEX($BX$3:$BX$810, SMALL(IF(COUNTIF(CC$3, $BY$3:$BY$810), ROW($BX$3:$BX$810)-MIN(ROW($BX$3:$BX$810))+1), $CB78), 0),"")</f>
        <v/>
      </c>
      <c r="CS78" s="252">
        <f t="shared" si="85"/>
        <v>75</v>
      </c>
      <c r="CT78" s="252">
        <f t="shared" si="86"/>
        <v>2</v>
      </c>
      <c r="CU78" s="252" t="s">
        <v>910</v>
      </c>
      <c r="CV78" s="252" t="str">
        <f t="shared" ca="1" si="87"/>
        <v/>
      </c>
      <c r="CW78" s="252">
        <f t="shared" ca="1" si="193"/>
        <v>0</v>
      </c>
      <c r="CZ78" s="252">
        <v>75</v>
      </c>
      <c r="DA78" s="252" t="str">
        <f t="shared" ca="1" si="194"/>
        <v/>
      </c>
      <c r="DB78" s="252" t="str">
        <f t="shared" ca="1" si="189"/>
        <v/>
      </c>
      <c r="DC78" s="252" t="str">
        <f t="shared" ca="1" si="190"/>
        <v/>
      </c>
      <c r="DD78" s="252" t="str">
        <f t="shared" ca="1" si="191"/>
        <v/>
      </c>
    </row>
    <row r="79" spans="1:108" x14ac:dyDescent="0.2">
      <c r="A79" s="252">
        <v>23</v>
      </c>
      <c r="B79" s="252" t="str">
        <f t="shared" ref="B79:Y80" si="205">B25</f>
        <v>Robert Andrich</v>
      </c>
      <c r="C79" s="252" t="str">
        <f t="shared" si="205"/>
        <v>Kenny McLean</v>
      </c>
      <c r="D79" s="252" t="str">
        <f t="shared" si="205"/>
        <v>Kevin Csoboth</v>
      </c>
      <c r="E79" s="252" t="str">
        <f t="shared" si="205"/>
        <v>Xherdan Shaqiri</v>
      </c>
      <c r="F79" s="252" t="str">
        <f t="shared" si="205"/>
        <v>Alessandro Bastoni</v>
      </c>
      <c r="G79" s="252" t="str">
        <f t="shared" si="205"/>
        <v>Thomas Strakosha</v>
      </c>
      <c r="H79" s="252" t="str">
        <f t="shared" si="205"/>
        <v>Unai Simón</v>
      </c>
      <c r="I79" s="252" t="str">
        <f t="shared" si="205"/>
        <v>Ivica Ivušić</v>
      </c>
      <c r="J79" s="252" t="str">
        <f t="shared" si="205"/>
        <v>Vanja Milinković-Savić</v>
      </c>
      <c r="K79" s="252" t="str">
        <f t="shared" si="205"/>
        <v>Dean Henderson</v>
      </c>
      <c r="L79" s="252" t="str">
        <f t="shared" si="205"/>
        <v>David Brekalo</v>
      </c>
      <c r="M79" s="252" t="str">
        <f t="shared" si="205"/>
        <v>Pierre-Emile Højbjerg</v>
      </c>
      <c r="N79" s="252" t="str">
        <f t="shared" si="205"/>
        <v>Krzysztof Piątek</v>
      </c>
      <c r="O79" s="252" t="str">
        <f t="shared" si="205"/>
        <v>Mark Flekken</v>
      </c>
      <c r="P79" s="252" t="str">
        <f t="shared" si="205"/>
        <v>Patrick Wimmer</v>
      </c>
      <c r="Q79" s="252" t="str">
        <f t="shared" si="205"/>
        <v>Alphonse Areola</v>
      </c>
      <c r="R79" s="252" t="str">
        <f t="shared" si="205"/>
        <v>Arthur Vermeeren</v>
      </c>
      <c r="S79" s="252" t="str">
        <f t="shared" si="205"/>
        <v>Henrich Ravas</v>
      </c>
      <c r="T79" s="252" t="str">
        <f t="shared" si="205"/>
        <v>Deian Sorescu</v>
      </c>
      <c r="U79" s="252" t="str">
        <f t="shared" si="205"/>
        <v>Andriy Lunin</v>
      </c>
      <c r="V79" s="252" t="str">
        <f t="shared" si="205"/>
        <v>Vitinha</v>
      </c>
      <c r="W79" s="252" t="str">
        <f t="shared" si="205"/>
        <v>Vítězslav Jaroš</v>
      </c>
      <c r="X79" s="252" t="str">
        <f t="shared" si="205"/>
        <v>Uğurcan Çakır</v>
      </c>
      <c r="Y79" s="252" t="str">
        <f t="shared" si="205"/>
        <v>Saba Lobzhanidze</v>
      </c>
      <c r="BT79" s="253" t="str">
        <f t="shared" ca="1" si="78"/>
        <v>Hungary</v>
      </c>
      <c r="BU79" s="253">
        <f t="shared" si="201"/>
        <v>77</v>
      </c>
      <c r="BV79" s="253" t="str">
        <f t="shared" si="172"/>
        <v>A27</v>
      </c>
      <c r="BW79" s="253">
        <f t="shared" si="173"/>
        <v>3</v>
      </c>
      <c r="BX79" s="253" t="str">
        <f t="shared" ca="1" si="174"/>
        <v>Krisztofer Horváth</v>
      </c>
      <c r="BY79" s="253">
        <f ca="1">COUNTIF('Group Stages'!$J$8:$Q$80,BX79)+COUNTIF('Knock Out Stages'!$K$7:$R$45,BX79)</f>
        <v>0</v>
      </c>
      <c r="BZ79" s="253" t="str">
        <f t="shared" si="175"/>
        <v>'Player Database'!b30</v>
      </c>
      <c r="CA79" s="253" t="str">
        <f t="shared" ca="1" si="176"/>
        <v>Krisztofer Horváth</v>
      </c>
      <c r="CB79" s="252">
        <v>76</v>
      </c>
      <c r="CC79" s="252" t="str">
        <f t="array" aca="1" ref="CC79" ca="1">IFERROR(INDEX($BX$3:$BX$810, SMALL(IF(COUNTIF(CC$3, $BY$3:$BY$810), ROW($BX$3:$BX$810)-MIN(ROW($BX$3:$BX$810))+1), $CB79), 0),"")</f>
        <v/>
      </c>
      <c r="CS79" s="252">
        <f t="shared" si="85"/>
        <v>76</v>
      </c>
      <c r="CT79" s="252">
        <f t="shared" si="86"/>
        <v>2</v>
      </c>
      <c r="CU79" s="252" t="s">
        <v>911</v>
      </c>
      <c r="CV79" s="252" t="str">
        <f t="shared" ca="1" si="87"/>
        <v/>
      </c>
      <c r="CW79" s="252">
        <f t="shared" ca="1" si="193"/>
        <v>0</v>
      </c>
      <c r="CZ79" s="252">
        <v>76</v>
      </c>
      <c r="DA79" s="252" t="str">
        <f t="shared" ca="1" si="194"/>
        <v/>
      </c>
      <c r="DB79" s="252" t="str">
        <f t="shared" ca="1" si="189"/>
        <v/>
      </c>
      <c r="DC79" s="252" t="str">
        <f t="shared" ca="1" si="190"/>
        <v/>
      </c>
      <c r="DD79" s="252" t="str">
        <f t="shared" ca="1" si="191"/>
        <v/>
      </c>
    </row>
    <row r="80" spans="1:108" x14ac:dyDescent="0.2">
      <c r="A80" s="252">
        <v>24</v>
      </c>
      <c r="B80" s="252" t="str">
        <f t="shared" si="205"/>
        <v>Robin Koch</v>
      </c>
      <c r="C80" s="252" t="str">
        <f t="shared" si="205"/>
        <v>Greg Taylor</v>
      </c>
      <c r="D80" s="252" t="str">
        <f t="shared" si="205"/>
        <v>Márton Dárdai</v>
      </c>
      <c r="E80" s="252" t="str">
        <f t="shared" si="205"/>
        <v>Ardon Jashari</v>
      </c>
      <c r="F80" s="252" t="str">
        <f t="shared" si="205"/>
        <v>Andrea Cambiaso</v>
      </c>
      <c r="G80" s="252" t="str">
        <f t="shared" si="205"/>
        <v>Marash Kumbulla</v>
      </c>
      <c r="H80" s="252" t="str">
        <f t="shared" si="205"/>
        <v>Marc Cucurella</v>
      </c>
      <c r="I80" s="252" t="str">
        <f t="shared" si="205"/>
        <v>Marco Pašalić</v>
      </c>
      <c r="J80" s="252" t="str">
        <f t="shared" si="205"/>
        <v>Uroš Spajić</v>
      </c>
      <c r="K80" s="252" t="str">
        <f t="shared" si="205"/>
        <v>Cole Palmer</v>
      </c>
      <c r="L80" s="252" t="str">
        <f t="shared" si="205"/>
        <v>Nino Žugelj</v>
      </c>
      <c r="M80" s="252" t="str">
        <f t="shared" si="205"/>
        <v>Anders Dreyer</v>
      </c>
      <c r="N80" s="252" t="str">
        <f t="shared" si="205"/>
        <v>Bartosz Slisz</v>
      </c>
      <c r="O80" s="252" t="str">
        <f t="shared" si="205"/>
        <v>Jerdy Schouten</v>
      </c>
      <c r="P80" s="252" t="str">
        <f t="shared" si="205"/>
        <v>Andreas Weimann</v>
      </c>
      <c r="Q80" s="252" t="str">
        <f t="shared" si="205"/>
        <v>Ibrahima Konaté</v>
      </c>
      <c r="R80" s="252" t="str">
        <f t="shared" si="205"/>
        <v>Amadou Onana</v>
      </c>
      <c r="S80" s="252" t="str">
        <f t="shared" si="205"/>
        <v>Leo Sauer</v>
      </c>
      <c r="T80" s="252" t="str">
        <f t="shared" si="205"/>
        <v>Bogdan Racovițan</v>
      </c>
      <c r="U80" s="252" t="str">
        <f t="shared" si="205"/>
        <v>Oleksandr Tymchyk</v>
      </c>
      <c r="V80" s="252" t="str">
        <f t="shared" si="205"/>
        <v>António Silva</v>
      </c>
      <c r="W80" s="252" t="str">
        <f t="shared" si="205"/>
        <v>Tomáš Vlček</v>
      </c>
      <c r="X80" s="252" t="str">
        <f t="shared" si="205"/>
        <v>Semih Kılıçsoy</v>
      </c>
      <c r="Y80" s="252" t="str">
        <f t="shared" si="205"/>
        <v>Jemal Tabidze</v>
      </c>
      <c r="BT80" s="253" t="str">
        <f t="shared" ca="1" si="78"/>
        <v>Hungary</v>
      </c>
      <c r="BU80" s="253">
        <f t="shared" si="201"/>
        <v>78</v>
      </c>
      <c r="BV80" s="253" t="str">
        <f t="shared" si="172"/>
        <v>A28</v>
      </c>
      <c r="BW80" s="253">
        <f t="shared" si="173"/>
        <v>3</v>
      </c>
      <c r="BX80" s="253" t="str">
        <f t="shared" ca="1" si="174"/>
        <v>Mihály Kata</v>
      </c>
      <c r="BY80" s="253">
        <f ca="1">COUNTIF('Group Stages'!$J$8:$Q$80,BX80)+COUNTIF('Knock Out Stages'!$K$7:$R$45,BX80)</f>
        <v>0</v>
      </c>
      <c r="BZ80" s="253" t="str">
        <f t="shared" si="175"/>
        <v>'Player Database'!b31</v>
      </c>
      <c r="CA80" s="253" t="str">
        <f t="shared" ca="1" si="176"/>
        <v>Mihály Kata</v>
      </c>
      <c r="CB80" s="252">
        <v>77</v>
      </c>
      <c r="CC80" s="252" t="str">
        <f t="array" aca="1" ref="CC80" ca="1">IFERROR(INDEX($BX$3:$BX$810, SMALL(IF(COUNTIF(CC$3, $BY$3:$BY$810), ROW($BX$3:$BX$810)-MIN(ROW($BX$3:$BX$810))+1), $CB80), 0),"")</f>
        <v/>
      </c>
      <c r="CS80" s="252">
        <f t="shared" si="85"/>
        <v>77</v>
      </c>
      <c r="CT80" s="252">
        <f t="shared" si="86"/>
        <v>2</v>
      </c>
      <c r="CU80" s="252" t="s">
        <v>912</v>
      </c>
      <c r="CV80" s="252" t="str">
        <f t="shared" ca="1" si="87"/>
        <v/>
      </c>
      <c r="CW80" s="252">
        <f t="shared" ca="1" si="193"/>
        <v>0</v>
      </c>
      <c r="CZ80" s="252">
        <v>77</v>
      </c>
      <c r="DA80" s="252" t="str">
        <f t="shared" ca="1" si="194"/>
        <v/>
      </c>
      <c r="DB80" s="252" t="str">
        <f t="shared" ca="1" si="189"/>
        <v/>
      </c>
      <c r="DC80" s="252" t="str">
        <f t="shared" ca="1" si="190"/>
        <v/>
      </c>
      <c r="DD80" s="252" t="str">
        <f t="shared" ca="1" si="191"/>
        <v/>
      </c>
    </row>
    <row r="81" spans="1:108" x14ac:dyDescent="0.2">
      <c r="A81" s="252">
        <v>25</v>
      </c>
      <c r="B81" s="252" t="str">
        <f t="shared" ref="B81:Y81" si="206">B27</f>
        <v>Emre Can</v>
      </c>
      <c r="C81" s="252" t="str">
        <f t="shared" si="206"/>
        <v>James Forrest</v>
      </c>
      <c r="D81" s="252" t="str">
        <f t="shared" si="206"/>
        <v>Krisztofer Horváth</v>
      </c>
      <c r="E81" s="252" t="str">
        <f t="shared" si="206"/>
        <v>Zeki Amdouni</v>
      </c>
      <c r="F81" s="252" t="str">
        <f t="shared" si="206"/>
        <v>Michael Folorunsho</v>
      </c>
      <c r="G81" s="252" t="str">
        <f t="shared" si="206"/>
        <v>Naser Aliji</v>
      </c>
      <c r="H81" s="252" t="str">
        <f t="shared" si="206"/>
        <v>Fermín López</v>
      </c>
      <c r="I81" s="252" t="str">
        <f t="shared" si="206"/>
        <v>Luka Sučić</v>
      </c>
      <c r="J81" s="252" t="str">
        <f t="shared" si="206"/>
        <v>Filip Mladenović</v>
      </c>
      <c r="K81" s="252" t="str">
        <f t="shared" si="206"/>
        <v>Adam Wharton</v>
      </c>
      <c r="L81" s="252" t="str">
        <f t="shared" si="206"/>
        <v>Adrian Zeljković</v>
      </c>
      <c r="M81" s="252" t="str">
        <f t="shared" si="206"/>
        <v>Rasmus Kristensen</v>
      </c>
      <c r="N81" s="252" t="str">
        <f t="shared" si="206"/>
        <v>Michał Skóraś</v>
      </c>
      <c r="O81" s="252" t="str">
        <f t="shared" si="206"/>
        <v>Steven Bergwijn</v>
      </c>
      <c r="P81" s="252" t="str">
        <f t="shared" si="206"/>
        <v>Maximilian Entrup</v>
      </c>
      <c r="Q81" s="252" t="str">
        <f t="shared" si="206"/>
        <v>Bradley Barcola</v>
      </c>
      <c r="R81" s="252" t="str">
        <f t="shared" si="206"/>
        <v>Maxim De Cuyper</v>
      </c>
      <c r="S81" s="252" t="str">
        <f t="shared" si="206"/>
        <v>Sebastian Kóša</v>
      </c>
      <c r="T81" s="252" t="str">
        <f t="shared" si="206"/>
        <v>Daniel Bîrligea</v>
      </c>
      <c r="U81" s="252" t="str">
        <f t="shared" si="206"/>
        <v>Vladyslav Vanat</v>
      </c>
      <c r="V81" s="252" t="str">
        <f t="shared" si="206"/>
        <v>Pedro Neto</v>
      </c>
      <c r="W81" s="252" t="str">
        <f t="shared" si="206"/>
        <v>Pavel Šulc</v>
      </c>
      <c r="X81" s="252" t="str">
        <f t="shared" si="206"/>
        <v>Yunus Akgün</v>
      </c>
      <c r="Y81" s="252" t="str">
        <f t="shared" si="206"/>
        <v>Giorgi Mamardashvili</v>
      </c>
      <c r="BT81" s="253" t="str">
        <f t="shared" ca="1" si="78"/>
        <v>Switzerland</v>
      </c>
      <c r="BU81" s="253">
        <f t="shared" si="201"/>
        <v>79</v>
      </c>
      <c r="BV81" s="253" t="str">
        <f t="shared" si="172"/>
        <v>A3</v>
      </c>
      <c r="BW81" s="253">
        <f t="shared" si="173"/>
        <v>4</v>
      </c>
      <c r="BX81" s="253" t="str">
        <f t="shared" ca="1" si="174"/>
        <v>Yann Sommer</v>
      </c>
      <c r="BY81" s="253">
        <f ca="1">COUNTIF('Group Stages'!$J$8:$Q$80,BX81)+COUNTIF('Knock Out Stages'!$K$7:$R$45,BX81)</f>
        <v>0</v>
      </c>
      <c r="BZ81" s="253" t="str">
        <f t="shared" si="175"/>
        <v>'Player Database'!b6</v>
      </c>
      <c r="CA81" s="253" t="str">
        <f t="shared" ca="1" si="176"/>
        <v>Yann Sommer</v>
      </c>
      <c r="CB81" s="252">
        <v>78</v>
      </c>
      <c r="CC81" s="252" t="str">
        <f t="array" aca="1" ref="CC81" ca="1">IFERROR(INDEX($BX$3:$BX$810, SMALL(IF(COUNTIF(CC$3, $BY$3:$BY$810), ROW($BX$3:$BX$810)-MIN(ROW($BX$3:$BX$810))+1), $CB81), 0),"")</f>
        <v/>
      </c>
      <c r="CS81" s="252">
        <f t="shared" si="85"/>
        <v>78</v>
      </c>
      <c r="CT81" s="252">
        <f t="shared" si="86"/>
        <v>2</v>
      </c>
      <c r="CU81" s="252" t="s">
        <v>913</v>
      </c>
      <c r="CV81" s="252" t="str">
        <f t="shared" ca="1" si="87"/>
        <v/>
      </c>
      <c r="CW81" s="252">
        <f t="shared" ca="1" si="193"/>
        <v>0</v>
      </c>
      <c r="CZ81" s="252">
        <v>78</v>
      </c>
      <c r="DA81" s="252" t="str">
        <f t="shared" ca="1" si="194"/>
        <v/>
      </c>
      <c r="DB81" s="252" t="str">
        <f t="shared" ca="1" si="189"/>
        <v/>
      </c>
      <c r="DC81" s="252" t="str">
        <f t="shared" ca="1" si="190"/>
        <v/>
      </c>
      <c r="DD81" s="252" t="str">
        <f t="shared" ca="1" si="191"/>
        <v/>
      </c>
    </row>
    <row r="82" spans="1:108" x14ac:dyDescent="0.2">
      <c r="A82" s="252">
        <v>26</v>
      </c>
      <c r="B82" s="252" t="str">
        <f t="shared" ref="B82:Y82" si="207">B28</f>
        <v>Deniz Undav</v>
      </c>
      <c r="C82" s="252" t="str">
        <f t="shared" si="207"/>
        <v>Scott McKenna</v>
      </c>
      <c r="D82" s="252" t="str">
        <f t="shared" si="207"/>
        <v>Mihály Kata</v>
      </c>
      <c r="E82" s="252" t="str">
        <f t="shared" si="207"/>
        <v>Fabian Rieder</v>
      </c>
      <c r="F82" s="252" t="str">
        <f t="shared" si="207"/>
        <v>Alex Meret</v>
      </c>
      <c r="G82" s="252" t="str">
        <f t="shared" si="207"/>
        <v>Arbër Hoxha</v>
      </c>
      <c r="H82" s="252" t="str">
        <f t="shared" si="207"/>
        <v>Ayoze Pérez</v>
      </c>
      <c r="I82" s="252" t="str">
        <f t="shared" si="207"/>
        <v>Martin Baturina</v>
      </c>
      <c r="J82" s="252" t="str">
        <f t="shared" si="207"/>
        <v>Veljko Birmančević</v>
      </c>
      <c r="K82" s="252" t="str">
        <f t="shared" si="207"/>
        <v>Kobbie Mainoo</v>
      </c>
      <c r="L82" s="252" t="str">
        <f t="shared" si="207"/>
        <v>Josip Iličić</v>
      </c>
      <c r="M82" s="252" t="str">
        <f t="shared" si="207"/>
        <v>Jacob Bruun Larsen</v>
      </c>
      <c r="N82" s="252" t="str">
        <f t="shared" si="207"/>
        <v>Kacper Urbański</v>
      </c>
      <c r="O82" s="252" t="str">
        <f t="shared" si="207"/>
        <v>Ryan Gravenberch</v>
      </c>
      <c r="P82" s="252" t="str">
        <f t="shared" si="207"/>
        <v>Marco Grüll</v>
      </c>
      <c r="Q82" s="252">
        <f t="shared" si="207"/>
        <v>0</v>
      </c>
      <c r="R82" s="252">
        <f t="shared" si="207"/>
        <v>0</v>
      </c>
      <c r="S82" s="252" t="str">
        <f t="shared" si="207"/>
        <v>Ivan Schranz</v>
      </c>
      <c r="T82" s="252" t="str">
        <f t="shared" si="207"/>
        <v>Adrian Șut</v>
      </c>
      <c r="U82" s="252" t="str">
        <f t="shared" si="207"/>
        <v>Bohdan Mykhaylichenko</v>
      </c>
      <c r="V82" s="252" t="str">
        <f t="shared" si="207"/>
        <v>Francisco Conceição</v>
      </c>
      <c r="W82" s="252" t="str">
        <f t="shared" si="207"/>
        <v>Matěj Jurásek</v>
      </c>
      <c r="X82" s="252" t="str">
        <f t="shared" si="207"/>
        <v>Bertuğ Yıldırım</v>
      </c>
      <c r="Y82" s="252" t="str">
        <f t="shared" si="207"/>
        <v>Gabriel Sigua</v>
      </c>
      <c r="BT82" s="253" t="str">
        <f t="shared" ca="1" si="78"/>
        <v>Switzerland</v>
      </c>
      <c r="BU82" s="253">
        <f t="shared" si="201"/>
        <v>80</v>
      </c>
      <c r="BV82" s="253" t="str">
        <f t="shared" si="172"/>
        <v>A4</v>
      </c>
      <c r="BW82" s="253">
        <f t="shared" si="173"/>
        <v>4</v>
      </c>
      <c r="BX82" s="253" t="str">
        <f t="shared" ca="1" si="174"/>
        <v>Leonidas Stergiou</v>
      </c>
      <c r="BY82" s="253">
        <f ca="1">COUNTIF('Group Stages'!$J$8:$Q$80,BX82)+COUNTIF('Knock Out Stages'!$K$7:$R$45,BX82)</f>
        <v>0</v>
      </c>
      <c r="BZ82" s="253" t="str">
        <f t="shared" si="175"/>
        <v>'Player Database'!b7</v>
      </c>
      <c r="CA82" s="253" t="str">
        <f t="shared" ca="1" si="176"/>
        <v>Leonidas Stergiou</v>
      </c>
      <c r="CB82" s="252">
        <v>79</v>
      </c>
      <c r="CC82" s="252" t="str">
        <f t="array" aca="1" ref="CC82" ca="1">IFERROR(INDEX($BX$3:$BX$810, SMALL(IF(COUNTIF(CC$3, $BY$3:$BY$810), ROW($BX$3:$BX$810)-MIN(ROW($BX$3:$BX$810))+1), $CB82), 0),"")</f>
        <v/>
      </c>
      <c r="CS82" s="252">
        <f t="shared" si="85"/>
        <v>79</v>
      </c>
      <c r="CT82" s="252">
        <f t="shared" si="86"/>
        <v>2</v>
      </c>
      <c r="CU82" s="252" t="s">
        <v>914</v>
      </c>
      <c r="CV82" s="252" t="str">
        <f t="shared" ca="1" si="87"/>
        <v/>
      </c>
      <c r="CW82" s="252">
        <f t="shared" ca="1" si="193"/>
        <v>0</v>
      </c>
      <c r="CZ82" s="252">
        <v>79</v>
      </c>
      <c r="DA82" s="252" t="str">
        <f t="shared" ca="1" si="194"/>
        <v/>
      </c>
      <c r="DB82" s="252" t="str">
        <f t="shared" ca="1" si="189"/>
        <v/>
      </c>
      <c r="DC82" s="252" t="str">
        <f t="shared" ca="1" si="190"/>
        <v/>
      </c>
      <c r="DD82" s="252" t="str">
        <f t="shared" ca="1" si="191"/>
        <v/>
      </c>
    </row>
    <row r="83" spans="1:108" x14ac:dyDescent="0.2">
      <c r="A83" s="252">
        <f t="shared" ref="A83:A102" si="208">A57</f>
        <v>1</v>
      </c>
      <c r="B83" s="252" t="str">
        <f t="shared" ref="B83:B102" si="209">D3&amp;" (og)"</f>
        <v>Péter Gulácsi (og)</v>
      </c>
      <c r="C83" s="252" t="str">
        <f t="shared" ref="C83:C102" si="210">D3&amp;" (og)"</f>
        <v>Péter Gulácsi (og)</v>
      </c>
      <c r="D83" s="252" t="str">
        <f t="shared" ref="D83:D102" si="211">C3&amp;" (og)"</f>
        <v>Angus Gunn (og)</v>
      </c>
      <c r="E83" s="252" t="str">
        <f t="shared" ref="E83:E102" si="212">C3&amp;" (og)"</f>
        <v>Angus Gunn (og)</v>
      </c>
      <c r="F83" s="252" t="str">
        <f t="shared" ref="F83:F102" si="213">H3&amp;" (og)"</f>
        <v>David Raya (og)</v>
      </c>
      <c r="G83" s="252" t="str">
        <f t="shared" ref="G83:G102" si="214">H3&amp;" (og)"</f>
        <v>David Raya (og)</v>
      </c>
      <c r="H83" s="252" t="str">
        <f t="shared" ref="H83:H99" si="215">G3&amp;" (og)"</f>
        <v>Etrit Berisha (og)</v>
      </c>
      <c r="I83" s="252" t="str">
        <f t="shared" ref="I83:I102" si="216">G3&amp;" (og)"</f>
        <v>Etrit Berisha (og)</v>
      </c>
      <c r="J83" s="252" t="str">
        <f t="shared" ref="J83:J102" si="217">L3&amp;" (og)"</f>
        <v>Jan Oblak (og)</v>
      </c>
      <c r="K83" s="252" t="str">
        <f t="shared" ref="K83:K102" si="218">L3&amp;" (og)"</f>
        <v>Jan Oblak (og)</v>
      </c>
      <c r="L83" s="252" t="str">
        <f t="shared" ref="L83:L102" si="219">K3&amp;" (og)"</f>
        <v>Jordan Pickford (og)</v>
      </c>
      <c r="M83" s="252" t="str">
        <f t="shared" ref="M83:M102" si="220">K3&amp;" (og)"</f>
        <v>Jordan Pickford (og)</v>
      </c>
      <c r="N83" s="252" t="str">
        <f t="shared" ref="N83:N102" si="221">P3&amp;" (og)"</f>
        <v>Heinz Lindner (og)</v>
      </c>
      <c r="O83" s="252" t="str">
        <f t="shared" ref="O83:O102" si="222">P3&amp;" (og)"</f>
        <v>Heinz Lindner (og)</v>
      </c>
      <c r="P83" s="252" t="str">
        <f t="shared" ref="P83:P102" si="223">O3&amp;" (og)"</f>
        <v>Bart Verbruggen (og)</v>
      </c>
      <c r="Q83" s="252" t="str">
        <f t="shared" ref="Q83:Q102" si="224">O3&amp;" (og)"</f>
        <v>Bart Verbruggen (og)</v>
      </c>
      <c r="R83" s="252" t="str">
        <f t="shared" ref="R83:R102" si="225">T3&amp;" (og)"</f>
        <v>Florin Niță (og)</v>
      </c>
      <c r="S83" s="252" t="str">
        <f t="shared" ref="S83:S102" si="226">T3&amp;" (og)"</f>
        <v>Florin Niță (og)</v>
      </c>
      <c r="T83" s="252" t="str">
        <f t="shared" ref="T83:T102" si="227">S3&amp;" (og)"</f>
        <v>Martin Dúbravka (og)</v>
      </c>
      <c r="U83" s="252" t="str">
        <f t="shared" ref="U83:U102" si="228">S3&amp;" (og)"</f>
        <v>Martin Dúbravka (og)</v>
      </c>
      <c r="V83" s="252" t="str">
        <f t="shared" ref="V83:V102" si="229">X3&amp;" (og)"</f>
        <v>Mert Günok (og)</v>
      </c>
      <c r="W83" s="252" t="str">
        <f t="shared" ref="W83:W102" si="230">X3&amp;" (og)"</f>
        <v>Mert Günok (og)</v>
      </c>
      <c r="X83" s="252" t="str">
        <f t="shared" ref="X83:X102" si="231">W3&amp;" (og)"</f>
        <v>Jindřich Staněk (og)</v>
      </c>
      <c r="Y83" s="252" t="str">
        <f t="shared" ref="Y83:Y102" si="232">W3&amp;" (og)"</f>
        <v>Jindřich Staněk (og)</v>
      </c>
      <c r="BT83" s="253" t="str">
        <f t="shared" ca="1" si="78"/>
        <v>Switzerland</v>
      </c>
      <c r="BU83" s="253">
        <f t="shared" si="201"/>
        <v>81</v>
      </c>
      <c r="BV83" s="253" t="str">
        <f t="shared" si="172"/>
        <v>A5</v>
      </c>
      <c r="BW83" s="253">
        <f t="shared" si="173"/>
        <v>4</v>
      </c>
      <c r="BX83" s="253" t="str">
        <f t="shared" ca="1" si="174"/>
        <v>Silvan Widmer</v>
      </c>
      <c r="BY83" s="253">
        <f ca="1">COUNTIF('Group Stages'!$J$8:$Q$80,BX83)+COUNTIF('Knock Out Stages'!$K$7:$R$45,BX83)</f>
        <v>0</v>
      </c>
      <c r="BZ83" s="253" t="str">
        <f t="shared" si="175"/>
        <v>'Player Database'!b8</v>
      </c>
      <c r="CA83" s="253" t="str">
        <f t="shared" ca="1" si="176"/>
        <v>Silvan Widmer</v>
      </c>
      <c r="CB83" s="252">
        <v>80</v>
      </c>
      <c r="CC83" s="252" t="str">
        <f t="array" aca="1" ref="CC83" ca="1">IFERROR(INDEX($BX$3:$BX$810, SMALL(IF(COUNTIF(CC$3, $BY$3:$BY$810), ROW($BX$3:$BX$810)-MIN(ROW($BX$3:$BX$810))+1), $CB83), 0),"")</f>
        <v/>
      </c>
      <c r="CS83" s="252">
        <f t="shared" si="85"/>
        <v>80</v>
      </c>
      <c r="CT83" s="252">
        <f t="shared" si="86"/>
        <v>2</v>
      </c>
      <c r="CU83" s="252" t="s">
        <v>915</v>
      </c>
      <c r="CV83" s="252" t="str">
        <f t="shared" ca="1" si="87"/>
        <v/>
      </c>
      <c r="CW83" s="252">
        <f t="shared" ca="1" si="193"/>
        <v>0</v>
      </c>
      <c r="CZ83" s="252">
        <v>80</v>
      </c>
      <c r="DA83" s="252" t="str">
        <f t="shared" ca="1" si="194"/>
        <v/>
      </c>
      <c r="DB83" s="252" t="str">
        <f t="shared" ca="1" si="189"/>
        <v/>
      </c>
      <c r="DC83" s="252" t="str">
        <f t="shared" ca="1" si="190"/>
        <v/>
      </c>
      <c r="DD83" s="252" t="str">
        <f t="shared" ca="1" si="191"/>
        <v/>
      </c>
    </row>
    <row r="84" spans="1:108" x14ac:dyDescent="0.2">
      <c r="A84" s="252">
        <f t="shared" si="208"/>
        <v>2</v>
      </c>
      <c r="B84" s="252" t="str">
        <f t="shared" si="209"/>
        <v>Ádám Lang (og)</v>
      </c>
      <c r="C84" s="252" t="str">
        <f t="shared" si="210"/>
        <v>Ádám Lang (og)</v>
      </c>
      <c r="D84" s="252" t="str">
        <f t="shared" si="211"/>
        <v>Anthony Ralston (og)</v>
      </c>
      <c r="E84" s="252" t="str">
        <f t="shared" si="212"/>
        <v>Anthony Ralston (og)</v>
      </c>
      <c r="F84" s="252" t="str">
        <f t="shared" si="213"/>
        <v>Dani Carvajal (og)</v>
      </c>
      <c r="G84" s="252" t="str">
        <f t="shared" si="214"/>
        <v>Dani Carvajal (og)</v>
      </c>
      <c r="H84" s="252" t="str">
        <f t="shared" si="215"/>
        <v>Iván Balliu (og)</v>
      </c>
      <c r="I84" s="252" t="str">
        <f t="shared" si="216"/>
        <v>Iván Balliu (og)</v>
      </c>
      <c r="J84" s="252" t="str">
        <f t="shared" si="217"/>
        <v>Žan Karničnik (og)</v>
      </c>
      <c r="K84" s="252" t="str">
        <f t="shared" si="218"/>
        <v>Žan Karničnik (og)</v>
      </c>
      <c r="L84" s="252" t="str">
        <f t="shared" si="219"/>
        <v>Kyle Walker (og)</v>
      </c>
      <c r="M84" s="252" t="str">
        <f t="shared" si="220"/>
        <v>Kyle Walker (og)</v>
      </c>
      <c r="N84" s="252" t="str">
        <f t="shared" si="221"/>
        <v>Maximilian Wöber (og)</v>
      </c>
      <c r="O84" s="252" t="str">
        <f t="shared" si="222"/>
        <v>Maximilian Wöber (og)</v>
      </c>
      <c r="P84" s="252" t="str">
        <f t="shared" si="223"/>
        <v>Lutsharel Geertruida (og)</v>
      </c>
      <c r="Q84" s="252" t="str">
        <f t="shared" si="224"/>
        <v>Lutsharel Geertruida (og)</v>
      </c>
      <c r="R84" s="252" t="str">
        <f t="shared" si="225"/>
        <v>Andrei Rațiu (og)</v>
      </c>
      <c r="S84" s="252" t="str">
        <f t="shared" si="226"/>
        <v>Andrei Rațiu (og)</v>
      </c>
      <c r="T84" s="252" t="str">
        <f t="shared" si="227"/>
        <v>Peter Pekarík (og)</v>
      </c>
      <c r="U84" s="252" t="str">
        <f t="shared" si="228"/>
        <v>Peter Pekarík (og)</v>
      </c>
      <c r="V84" s="252" t="str">
        <f t="shared" si="229"/>
        <v>Zeki Çelik (og)</v>
      </c>
      <c r="W84" s="252" t="str">
        <f t="shared" si="230"/>
        <v>Zeki Çelik (og)</v>
      </c>
      <c r="X84" s="252" t="str">
        <f t="shared" si="231"/>
        <v>David Zima (og)</v>
      </c>
      <c r="Y84" s="252" t="str">
        <f t="shared" si="232"/>
        <v>David Zima (og)</v>
      </c>
      <c r="BT84" s="253" t="str">
        <f t="shared" ca="1" si="78"/>
        <v>Switzerland</v>
      </c>
      <c r="BU84" s="253">
        <f t="shared" si="201"/>
        <v>82</v>
      </c>
      <c r="BV84" s="253" t="str">
        <f t="shared" si="172"/>
        <v>A6</v>
      </c>
      <c r="BW84" s="253">
        <f t="shared" si="173"/>
        <v>4</v>
      </c>
      <c r="BX84" s="253" t="str">
        <f t="shared" ca="1" si="174"/>
        <v>Nico Elvedi</v>
      </c>
      <c r="BY84" s="253">
        <f ca="1">COUNTIF('Group Stages'!$J$8:$Q$80,BX84)+COUNTIF('Knock Out Stages'!$K$7:$R$45,BX84)</f>
        <v>0</v>
      </c>
      <c r="BZ84" s="253" t="str">
        <f t="shared" si="175"/>
        <v>'Player Database'!b9</v>
      </c>
      <c r="CA84" s="253" t="str">
        <f t="shared" ca="1" si="176"/>
        <v>Nico Elvedi</v>
      </c>
      <c r="CB84" s="252">
        <v>81</v>
      </c>
      <c r="CC84" s="252" t="str">
        <f t="array" aca="1" ref="CC84" ca="1">IFERROR(INDEX($BX$3:$BX$810, SMALL(IF(COUNTIF(CC$3, $BY$3:$BY$810), ROW($BX$3:$BX$810)-MIN(ROW($BX$3:$BX$810))+1), $CB84), 0),"")</f>
        <v/>
      </c>
      <c r="CS84" s="252">
        <f t="shared" si="85"/>
        <v>81</v>
      </c>
      <c r="CT84" s="252">
        <f t="shared" si="86"/>
        <v>2</v>
      </c>
      <c r="CU84" s="252" t="s">
        <v>916</v>
      </c>
      <c r="CV84" s="252" t="str">
        <f t="shared" ca="1" si="87"/>
        <v/>
      </c>
      <c r="CW84" s="252">
        <f t="shared" ca="1" si="193"/>
        <v>0</v>
      </c>
      <c r="CZ84" s="252">
        <v>81</v>
      </c>
      <c r="DA84" s="252" t="str">
        <f t="shared" ca="1" si="194"/>
        <v/>
      </c>
      <c r="DB84" s="252" t="str">
        <f t="shared" ca="1" si="189"/>
        <v/>
      </c>
      <c r="DC84" s="252" t="str">
        <f t="shared" ca="1" si="190"/>
        <v/>
      </c>
      <c r="DD84" s="252" t="str">
        <f t="shared" ca="1" si="191"/>
        <v/>
      </c>
    </row>
    <row r="85" spans="1:108" x14ac:dyDescent="0.2">
      <c r="A85" s="252">
        <f t="shared" si="208"/>
        <v>3</v>
      </c>
      <c r="B85" s="252" t="str">
        <f t="shared" si="209"/>
        <v>Botond Balogh (og)</v>
      </c>
      <c r="C85" s="252" t="str">
        <f t="shared" si="210"/>
        <v>Botond Balogh (og)</v>
      </c>
      <c r="D85" s="252" t="str">
        <f t="shared" si="211"/>
        <v>Andrew Robertson (og)</v>
      </c>
      <c r="E85" s="252" t="str">
        <f t="shared" si="212"/>
        <v>Andrew Robertson (og)</v>
      </c>
      <c r="F85" s="252" t="str">
        <f t="shared" si="213"/>
        <v>Robin Le Normand (og)</v>
      </c>
      <c r="G85" s="252" t="str">
        <f t="shared" si="214"/>
        <v>Robin Le Normand (og)</v>
      </c>
      <c r="H85" s="252" t="str">
        <f t="shared" si="215"/>
        <v>Mario Mitaj (og)</v>
      </c>
      <c r="I85" s="252" t="str">
        <f t="shared" si="216"/>
        <v>Mario Mitaj (og)</v>
      </c>
      <c r="J85" s="252" t="str">
        <f t="shared" si="217"/>
        <v>Jure Balkovec (og)</v>
      </c>
      <c r="K85" s="252" t="str">
        <f t="shared" si="218"/>
        <v>Jure Balkovec (og)</v>
      </c>
      <c r="L85" s="252" t="str">
        <f t="shared" si="219"/>
        <v>Luke Shaw (og)</v>
      </c>
      <c r="M85" s="252" t="str">
        <f t="shared" si="220"/>
        <v>Luke Shaw (og)</v>
      </c>
      <c r="N85" s="252" t="str">
        <f t="shared" si="221"/>
        <v>Gernot Trauner (og)</v>
      </c>
      <c r="O85" s="252" t="str">
        <f t="shared" si="222"/>
        <v>Gernot Trauner (og)</v>
      </c>
      <c r="P85" s="252" t="str">
        <f t="shared" si="223"/>
        <v>Matthijs de Ligt (og)</v>
      </c>
      <c r="Q85" s="252" t="str">
        <f t="shared" si="224"/>
        <v>Matthijs de Ligt (og)</v>
      </c>
      <c r="R85" s="252" t="str">
        <f t="shared" si="225"/>
        <v>Radu Drăgușin (og)</v>
      </c>
      <c r="S85" s="252" t="str">
        <f t="shared" si="226"/>
        <v>Radu Drăgușin (og)</v>
      </c>
      <c r="T85" s="252" t="str">
        <f t="shared" si="227"/>
        <v>Denis Vavro (og)</v>
      </c>
      <c r="U85" s="252" t="str">
        <f t="shared" si="228"/>
        <v>Denis Vavro (og)</v>
      </c>
      <c r="V85" s="252" t="str">
        <f t="shared" si="229"/>
        <v>Merih Demiral (og)</v>
      </c>
      <c r="W85" s="252" t="str">
        <f t="shared" si="230"/>
        <v>Merih Demiral (og)</v>
      </c>
      <c r="X85" s="252" t="str">
        <f t="shared" si="231"/>
        <v>Tomáš Holeš (og)</v>
      </c>
      <c r="Y85" s="252" t="str">
        <f t="shared" si="232"/>
        <v>Tomáš Holeš (og)</v>
      </c>
      <c r="BT85" s="253" t="str">
        <f t="shared" ca="1" si="78"/>
        <v>Switzerland</v>
      </c>
      <c r="BU85" s="253">
        <f t="shared" si="201"/>
        <v>83</v>
      </c>
      <c r="BV85" s="253" t="str">
        <f t="shared" si="172"/>
        <v>A7</v>
      </c>
      <c r="BW85" s="253">
        <f t="shared" si="173"/>
        <v>4</v>
      </c>
      <c r="BX85" s="253" t="str">
        <f t="shared" ca="1" si="174"/>
        <v>Manuel Akanji</v>
      </c>
      <c r="BY85" s="253">
        <f ca="1">COUNTIF('Group Stages'!$J$8:$Q$80,BX85)+COUNTIF('Knock Out Stages'!$K$7:$R$45,BX85)</f>
        <v>0</v>
      </c>
      <c r="BZ85" s="253" t="str">
        <f t="shared" si="175"/>
        <v>'Player Database'!b10</v>
      </c>
      <c r="CA85" s="253" t="str">
        <f t="shared" ca="1" si="176"/>
        <v>Manuel Akanji</v>
      </c>
      <c r="CB85" s="252">
        <v>82</v>
      </c>
      <c r="CC85" s="252" t="str">
        <f t="array" aca="1" ref="CC85" ca="1">IFERROR(INDEX($BX$3:$BX$810, SMALL(IF(COUNTIF(CC$3, $BY$3:$BY$810), ROW($BX$3:$BX$810)-MIN(ROW($BX$3:$BX$810))+1), $CB85), 0),"")</f>
        <v/>
      </c>
      <c r="CS85" s="252">
        <f t="shared" si="85"/>
        <v>82</v>
      </c>
      <c r="CT85" s="252">
        <f t="shared" si="86"/>
        <v>2</v>
      </c>
      <c r="CU85" s="252" t="s">
        <v>917</v>
      </c>
      <c r="CV85" s="252" t="str">
        <f t="shared" ca="1" si="87"/>
        <v/>
      </c>
      <c r="CW85" s="252">
        <f t="shared" ca="1" si="193"/>
        <v>0</v>
      </c>
      <c r="CZ85" s="252">
        <v>82</v>
      </c>
      <c r="DA85" s="252" t="str">
        <f t="shared" ca="1" si="194"/>
        <v/>
      </c>
      <c r="DB85" s="252" t="str">
        <f t="shared" ca="1" si="189"/>
        <v/>
      </c>
      <c r="DC85" s="252" t="str">
        <f t="shared" ca="1" si="190"/>
        <v/>
      </c>
      <c r="DD85" s="252" t="str">
        <f t="shared" ca="1" si="191"/>
        <v/>
      </c>
    </row>
    <row r="86" spans="1:108" x14ac:dyDescent="0.2">
      <c r="A86" s="252">
        <f t="shared" si="208"/>
        <v>4</v>
      </c>
      <c r="B86" s="252" t="str">
        <f t="shared" si="209"/>
        <v>Attila Szalai (og)</v>
      </c>
      <c r="C86" s="252" t="str">
        <f t="shared" si="210"/>
        <v>Attila Szalai (og)</v>
      </c>
      <c r="D86" s="252" t="str">
        <f t="shared" si="211"/>
        <v>Scott McTominay (og)</v>
      </c>
      <c r="E86" s="252" t="str">
        <f t="shared" si="212"/>
        <v>Scott McTominay (og)</v>
      </c>
      <c r="F86" s="252" t="str">
        <f t="shared" si="213"/>
        <v>Nacho (og)</v>
      </c>
      <c r="G86" s="252" t="str">
        <f t="shared" si="214"/>
        <v>Nacho (og)</v>
      </c>
      <c r="H86" s="252" t="str">
        <f t="shared" si="215"/>
        <v>Elseid Hysaj (og)</v>
      </c>
      <c r="I86" s="252" t="str">
        <f t="shared" si="216"/>
        <v>Elseid Hysaj (og)</v>
      </c>
      <c r="J86" s="252" t="str">
        <f t="shared" si="217"/>
        <v>Miha Blažič (og)</v>
      </c>
      <c r="K86" s="252" t="str">
        <f t="shared" si="218"/>
        <v>Miha Blažič (og)</v>
      </c>
      <c r="L86" s="252" t="str">
        <f t="shared" si="219"/>
        <v>Declan Rice (og)</v>
      </c>
      <c r="M86" s="252" t="str">
        <f t="shared" si="220"/>
        <v>Declan Rice (og)</v>
      </c>
      <c r="N86" s="252" t="str">
        <f t="shared" si="221"/>
        <v>Kevin Danso (og)</v>
      </c>
      <c r="O86" s="252" t="str">
        <f t="shared" si="222"/>
        <v>Kevin Danso (og)</v>
      </c>
      <c r="P86" s="252" t="str">
        <f t="shared" si="223"/>
        <v>Virgil van Dijk (og)</v>
      </c>
      <c r="Q86" s="252" t="str">
        <f t="shared" si="224"/>
        <v>Virgil van Dijk (og)</v>
      </c>
      <c r="R86" s="252" t="str">
        <f t="shared" si="225"/>
        <v>Adrian Rus (og)</v>
      </c>
      <c r="S86" s="252" t="str">
        <f t="shared" si="226"/>
        <v>Adrian Rus (og)</v>
      </c>
      <c r="T86" s="252" t="str">
        <f t="shared" si="227"/>
        <v>Adam Obert (og)</v>
      </c>
      <c r="U86" s="252" t="str">
        <f t="shared" si="228"/>
        <v>Adam Obert (og)</v>
      </c>
      <c r="V86" s="252" t="str">
        <f t="shared" si="229"/>
        <v>Samet Akaydin (og)</v>
      </c>
      <c r="W86" s="252" t="str">
        <f t="shared" si="230"/>
        <v>Samet Akaydin (og)</v>
      </c>
      <c r="X86" s="252" t="str">
        <f t="shared" si="231"/>
        <v>Robin Hranáč (og)</v>
      </c>
      <c r="Y86" s="252" t="str">
        <f t="shared" si="232"/>
        <v>Robin Hranáč (og)</v>
      </c>
      <c r="BT86" s="253" t="str">
        <f t="shared" ca="1" si="78"/>
        <v>Switzerland</v>
      </c>
      <c r="BU86" s="253">
        <f t="shared" si="201"/>
        <v>84</v>
      </c>
      <c r="BV86" s="253" t="str">
        <f t="shared" si="172"/>
        <v>A8</v>
      </c>
      <c r="BW86" s="253">
        <f t="shared" si="173"/>
        <v>4</v>
      </c>
      <c r="BX86" s="253" t="str">
        <f t="shared" ca="1" si="174"/>
        <v>Denis Zakaria</v>
      </c>
      <c r="BY86" s="253">
        <f ca="1">COUNTIF('Group Stages'!$J$8:$Q$80,BX86)+COUNTIF('Knock Out Stages'!$K$7:$R$45,BX86)</f>
        <v>0</v>
      </c>
      <c r="BZ86" s="253" t="str">
        <f t="shared" si="175"/>
        <v>'Player Database'!b11</v>
      </c>
      <c r="CA86" s="253" t="str">
        <f t="shared" ca="1" si="176"/>
        <v>Denis Zakaria</v>
      </c>
      <c r="CB86" s="252">
        <v>83</v>
      </c>
      <c r="CC86" s="252" t="str">
        <f t="array" aca="1" ref="CC86" ca="1">IFERROR(INDEX($BX$3:$BX$810, SMALL(IF(COUNTIF(CC$3, $BY$3:$BY$810), ROW($BX$3:$BX$810)-MIN(ROW($BX$3:$BX$810))+1), $CB86), 0),"")</f>
        <v/>
      </c>
      <c r="CS86" s="252">
        <f t="shared" si="85"/>
        <v>83</v>
      </c>
      <c r="CT86" s="252">
        <f t="shared" si="86"/>
        <v>2</v>
      </c>
      <c r="CU86" s="252" t="s">
        <v>918</v>
      </c>
      <c r="CV86" s="252" t="str">
        <f t="shared" ca="1" si="87"/>
        <v/>
      </c>
      <c r="CW86" s="252">
        <f t="shared" ca="1" si="193"/>
        <v>0</v>
      </c>
      <c r="CZ86" s="252">
        <v>83</v>
      </c>
      <c r="DA86" s="252" t="str">
        <f t="shared" ca="1" si="194"/>
        <v/>
      </c>
      <c r="DB86" s="252" t="str">
        <f t="shared" ca="1" si="189"/>
        <v/>
      </c>
      <c r="DC86" s="252" t="str">
        <f t="shared" ca="1" si="190"/>
        <v/>
      </c>
      <c r="DD86" s="252" t="str">
        <f t="shared" ca="1" si="191"/>
        <v/>
      </c>
    </row>
    <row r="87" spans="1:108" x14ac:dyDescent="0.2">
      <c r="A87" s="252">
        <f t="shared" si="208"/>
        <v>5</v>
      </c>
      <c r="B87" s="252" t="str">
        <f t="shared" si="209"/>
        <v>Attila Fiola (og)</v>
      </c>
      <c r="C87" s="252" t="str">
        <f t="shared" si="210"/>
        <v>Attila Fiola (og)</v>
      </c>
      <c r="D87" s="252" t="str">
        <f t="shared" si="211"/>
        <v>Grant Hanley (og)</v>
      </c>
      <c r="E87" s="252" t="str">
        <f t="shared" si="212"/>
        <v>Grant Hanley (og)</v>
      </c>
      <c r="F87" s="252" t="str">
        <f t="shared" si="213"/>
        <v>Daniel Vivian (og)</v>
      </c>
      <c r="G87" s="252" t="str">
        <f t="shared" si="214"/>
        <v>Daniel Vivian (og)</v>
      </c>
      <c r="H87" s="252" t="str">
        <f t="shared" si="215"/>
        <v>Arlind Ajeti (og)</v>
      </c>
      <c r="I87" s="252" t="str">
        <f t="shared" si="216"/>
        <v>Arlind Ajeti (og)</v>
      </c>
      <c r="J87" s="252" t="str">
        <f t="shared" si="217"/>
        <v>Jon Gorenc Stanković (og)</v>
      </c>
      <c r="K87" s="252" t="str">
        <f t="shared" si="218"/>
        <v>Jon Gorenc Stanković (og)</v>
      </c>
      <c r="L87" s="252" t="str">
        <f t="shared" si="219"/>
        <v>John Stones (og)</v>
      </c>
      <c r="M87" s="252" t="str">
        <f t="shared" si="220"/>
        <v>John Stones (og)</v>
      </c>
      <c r="N87" s="252" t="str">
        <f t="shared" si="221"/>
        <v>Stefan Posch (og)</v>
      </c>
      <c r="O87" s="252" t="str">
        <f t="shared" si="222"/>
        <v>Stefan Posch (og)</v>
      </c>
      <c r="P87" s="252" t="str">
        <f t="shared" si="223"/>
        <v>Nathan Aké (og)</v>
      </c>
      <c r="Q87" s="252" t="str">
        <f t="shared" si="224"/>
        <v>Nathan Aké (og)</v>
      </c>
      <c r="R87" s="252" t="str">
        <f t="shared" si="225"/>
        <v>Ionuț Nedelcearu (og)</v>
      </c>
      <c r="S87" s="252" t="str">
        <f t="shared" si="226"/>
        <v>Ionuț Nedelcearu (og)</v>
      </c>
      <c r="T87" s="252" t="str">
        <f t="shared" si="227"/>
        <v>Tomáš Rigo (og)</v>
      </c>
      <c r="U87" s="252" t="str">
        <f t="shared" si="228"/>
        <v>Tomáš Rigo (og)</v>
      </c>
      <c r="V87" s="252" t="str">
        <f t="shared" si="229"/>
        <v>Okay Yokuşlu (og)</v>
      </c>
      <c r="W87" s="252" t="str">
        <f t="shared" si="230"/>
        <v>Okay Yokuşlu (og)</v>
      </c>
      <c r="X87" s="252" t="str">
        <f t="shared" si="231"/>
        <v>Vladimír Coufal (og)</v>
      </c>
      <c r="Y87" s="252" t="str">
        <f t="shared" si="232"/>
        <v>Vladimír Coufal (og)</v>
      </c>
      <c r="BT87" s="253" t="str">
        <f t="shared" ca="1" si="78"/>
        <v>Switzerland</v>
      </c>
      <c r="BU87" s="253">
        <f t="shared" si="201"/>
        <v>85</v>
      </c>
      <c r="BV87" s="253" t="str">
        <f t="shared" si="172"/>
        <v>A9</v>
      </c>
      <c r="BW87" s="253">
        <f t="shared" si="173"/>
        <v>4</v>
      </c>
      <c r="BX87" s="253" t="str">
        <f t="shared" ca="1" si="174"/>
        <v>Breel Embolo</v>
      </c>
      <c r="BY87" s="253">
        <f ca="1">COUNTIF('Group Stages'!$J$8:$Q$80,BX87)+COUNTIF('Knock Out Stages'!$K$7:$R$45,BX87)</f>
        <v>1</v>
      </c>
      <c r="BZ87" s="253" t="str">
        <f t="shared" si="175"/>
        <v>'Player Database'!b12</v>
      </c>
      <c r="CA87" s="253" t="str">
        <f t="shared" ca="1" si="176"/>
        <v>Breel Embolo</v>
      </c>
      <c r="CB87" s="252">
        <v>84</v>
      </c>
      <c r="CC87" s="252" t="str">
        <f t="array" aca="1" ref="CC87" ca="1">IFERROR(INDEX($BX$3:$BX$810, SMALL(IF(COUNTIF(CC$3, $BY$3:$BY$810), ROW($BX$3:$BX$810)-MIN(ROW($BX$3:$BX$810))+1), $CB87), 0),"")</f>
        <v/>
      </c>
      <c r="CS87" s="252">
        <f t="shared" si="85"/>
        <v>84</v>
      </c>
      <c r="CT87" s="252">
        <f t="shared" si="86"/>
        <v>2</v>
      </c>
      <c r="CU87" s="252" t="s">
        <v>919</v>
      </c>
      <c r="CV87" s="252" t="str">
        <f t="shared" ca="1" si="87"/>
        <v/>
      </c>
      <c r="CW87" s="252">
        <f t="shared" ca="1" si="193"/>
        <v>0</v>
      </c>
      <c r="CZ87" s="252">
        <v>84</v>
      </c>
      <c r="DA87" s="252" t="str">
        <f t="shared" ca="1" si="194"/>
        <v/>
      </c>
      <c r="DB87" s="252" t="str">
        <f t="shared" ca="1" si="189"/>
        <v/>
      </c>
      <c r="DC87" s="252" t="str">
        <f t="shared" ca="1" si="190"/>
        <v/>
      </c>
      <c r="DD87" s="252" t="str">
        <f t="shared" ca="1" si="191"/>
        <v/>
      </c>
    </row>
    <row r="88" spans="1:108" x14ac:dyDescent="0.2">
      <c r="A88" s="252">
        <f t="shared" si="208"/>
        <v>6</v>
      </c>
      <c r="B88" s="252" t="str">
        <f t="shared" si="209"/>
        <v>Willi Orbán (og)</v>
      </c>
      <c r="C88" s="252" t="str">
        <f t="shared" si="210"/>
        <v>Willi Orbán (og)</v>
      </c>
      <c r="D88" s="252" t="str">
        <f t="shared" si="211"/>
        <v>Kieran Tierney (og)</v>
      </c>
      <c r="E88" s="252" t="str">
        <f t="shared" si="212"/>
        <v>Kieran Tierney (og)</v>
      </c>
      <c r="F88" s="252" t="str">
        <f t="shared" si="213"/>
        <v>Mikel Merino (og)</v>
      </c>
      <c r="G88" s="252" t="str">
        <f t="shared" si="214"/>
        <v>Mikel Merino (og)</v>
      </c>
      <c r="H88" s="252" t="str">
        <f t="shared" si="215"/>
        <v>Berat Djimsiti (og)</v>
      </c>
      <c r="I88" s="252" t="str">
        <f t="shared" si="216"/>
        <v>Berat Djimsiti (og)</v>
      </c>
      <c r="J88" s="252" t="str">
        <f t="shared" si="217"/>
        <v>Jaka Bijol (og)</v>
      </c>
      <c r="K88" s="252" t="str">
        <f t="shared" si="218"/>
        <v>Jaka Bijol (og)</v>
      </c>
      <c r="L88" s="252" t="str">
        <f t="shared" si="219"/>
        <v>Marc Guéhi (og)</v>
      </c>
      <c r="M88" s="252" t="str">
        <f t="shared" si="220"/>
        <v>Marc Guéhi (og)</v>
      </c>
      <c r="N88" s="252" t="str">
        <f t="shared" si="221"/>
        <v>Nicolas Seiwald (og)</v>
      </c>
      <c r="O88" s="252" t="str">
        <f t="shared" si="222"/>
        <v>Nicolas Seiwald (og)</v>
      </c>
      <c r="P88" s="252" t="str">
        <f t="shared" si="223"/>
        <v>Stefan de Vrij (og)</v>
      </c>
      <c r="Q88" s="252" t="str">
        <f t="shared" si="224"/>
        <v>Stefan de Vrij (og)</v>
      </c>
      <c r="R88" s="252" t="str">
        <f t="shared" si="225"/>
        <v>Marius Marin (og)</v>
      </c>
      <c r="S88" s="252" t="str">
        <f t="shared" si="226"/>
        <v>Marius Marin (og)</v>
      </c>
      <c r="T88" s="252" t="str">
        <f t="shared" si="227"/>
        <v>Norbert Gyömbér (og)</v>
      </c>
      <c r="U88" s="252" t="str">
        <f t="shared" si="228"/>
        <v>Norbert Gyömbér (og)</v>
      </c>
      <c r="V88" s="252" t="str">
        <f t="shared" si="229"/>
        <v>Orkun Kökçü (og)</v>
      </c>
      <c r="W88" s="252" t="str">
        <f t="shared" si="230"/>
        <v>Orkun Kökçü (og)</v>
      </c>
      <c r="X88" s="252" t="str">
        <f t="shared" si="231"/>
        <v>Martin Vitík (og)</v>
      </c>
      <c r="Y88" s="252" t="str">
        <f t="shared" si="232"/>
        <v>Martin Vitík (og)</v>
      </c>
      <c r="BT88" s="253" t="str">
        <f t="shared" ca="1" si="78"/>
        <v>Switzerland</v>
      </c>
      <c r="BU88" s="253">
        <f t="shared" si="201"/>
        <v>86</v>
      </c>
      <c r="BV88" s="253" t="str">
        <f t="shared" si="172"/>
        <v>A10</v>
      </c>
      <c r="BW88" s="253">
        <f t="shared" si="173"/>
        <v>4</v>
      </c>
      <c r="BX88" s="253" t="str">
        <f t="shared" ca="1" si="174"/>
        <v>Remo Freuler</v>
      </c>
      <c r="BY88" s="253">
        <f ca="1">COUNTIF('Group Stages'!$J$8:$Q$80,BX88)+COUNTIF('Knock Out Stages'!$K$7:$R$45,BX88)</f>
        <v>0</v>
      </c>
      <c r="BZ88" s="253" t="str">
        <f t="shared" si="175"/>
        <v>'Player Database'!b13</v>
      </c>
      <c r="CA88" s="253" t="str">
        <f t="shared" ca="1" si="176"/>
        <v>Remo Freuler</v>
      </c>
      <c r="CB88" s="252">
        <v>85</v>
      </c>
      <c r="CC88" s="252" t="str">
        <f t="array" aca="1" ref="CC88" ca="1">IFERROR(INDEX($BX$3:$BX$810, SMALL(IF(COUNTIF(CC$3, $BY$3:$BY$810), ROW($BX$3:$BX$810)-MIN(ROW($BX$3:$BX$810))+1), $CB88), 0),"")</f>
        <v/>
      </c>
      <c r="CS88" s="252">
        <f t="shared" si="85"/>
        <v>85</v>
      </c>
      <c r="CT88" s="252">
        <f t="shared" si="86"/>
        <v>3</v>
      </c>
      <c r="CU88" s="252" t="str">
        <f>CU46</f>
        <v>CR4</v>
      </c>
      <c r="CV88" s="252" t="str">
        <f t="shared" ca="1" si="87"/>
        <v/>
      </c>
      <c r="CW88" s="252">
        <f t="shared" ca="1" si="193"/>
        <v>0</v>
      </c>
      <c r="CZ88" s="252">
        <v>85</v>
      </c>
      <c r="DA88" s="252" t="str">
        <f t="shared" ca="1" si="194"/>
        <v/>
      </c>
      <c r="DB88" s="252" t="str">
        <f t="shared" ca="1" si="189"/>
        <v/>
      </c>
      <c r="DC88" s="252" t="str">
        <f t="shared" ca="1" si="190"/>
        <v/>
      </c>
      <c r="DD88" s="252" t="str">
        <f t="shared" ca="1" si="191"/>
        <v/>
      </c>
    </row>
    <row r="89" spans="1:108" x14ac:dyDescent="0.2">
      <c r="A89" s="252">
        <f t="shared" si="208"/>
        <v>7</v>
      </c>
      <c r="B89" s="252" t="str">
        <f t="shared" si="209"/>
        <v>Loïc Négo (og)</v>
      </c>
      <c r="C89" s="252" t="str">
        <f t="shared" si="210"/>
        <v>Loïc Négo (og)</v>
      </c>
      <c r="D89" s="252" t="str">
        <f t="shared" si="211"/>
        <v>John McGinn (og)</v>
      </c>
      <c r="E89" s="252" t="str">
        <f t="shared" si="212"/>
        <v>John McGinn (og)</v>
      </c>
      <c r="F89" s="252" t="str">
        <f t="shared" si="213"/>
        <v>Álvaro Morata (og)</v>
      </c>
      <c r="G89" s="252" t="str">
        <f t="shared" si="214"/>
        <v>Álvaro Morata (og)</v>
      </c>
      <c r="H89" s="252" t="str">
        <f t="shared" si="215"/>
        <v>Rey Manaj (og)</v>
      </c>
      <c r="I89" s="252" t="str">
        <f t="shared" si="216"/>
        <v>Rey Manaj (og)</v>
      </c>
      <c r="J89" s="252" t="str">
        <f t="shared" si="217"/>
        <v>Benjamin Verbič (og)</v>
      </c>
      <c r="K89" s="252" t="str">
        <f t="shared" si="218"/>
        <v>Benjamin Verbič (og)</v>
      </c>
      <c r="L89" s="252" t="str">
        <f t="shared" si="219"/>
        <v>Bukayo Saka (og)</v>
      </c>
      <c r="M89" s="252" t="str">
        <f t="shared" si="220"/>
        <v>Bukayo Saka (og)</v>
      </c>
      <c r="N89" s="252" t="str">
        <f t="shared" si="221"/>
        <v>Marko Arnautović (og)</v>
      </c>
      <c r="O89" s="252" t="str">
        <f t="shared" si="222"/>
        <v>Marko Arnautović (og)</v>
      </c>
      <c r="P89" s="252" t="str">
        <f t="shared" si="223"/>
        <v>Xavi Simons (og)</v>
      </c>
      <c r="Q89" s="252" t="str">
        <f t="shared" si="224"/>
        <v>Xavi Simons (og)</v>
      </c>
      <c r="R89" s="252" t="str">
        <f t="shared" si="225"/>
        <v>Denis Alibec (og)</v>
      </c>
      <c r="S89" s="252" t="str">
        <f t="shared" si="226"/>
        <v>Denis Alibec (og)</v>
      </c>
      <c r="T89" s="252" t="str">
        <f t="shared" si="227"/>
        <v>Tomáš Suslov (og)</v>
      </c>
      <c r="U89" s="252" t="str">
        <f t="shared" si="228"/>
        <v>Tomáš Suslov (og)</v>
      </c>
      <c r="V89" s="252" t="str">
        <f t="shared" si="229"/>
        <v>Kerem Aktürkoğlu (og)</v>
      </c>
      <c r="W89" s="252" t="str">
        <f t="shared" si="230"/>
        <v>Kerem Aktürkoğlu (og)</v>
      </c>
      <c r="X89" s="252" t="str">
        <f t="shared" si="231"/>
        <v>Antonín Barák (og)</v>
      </c>
      <c r="Y89" s="252" t="str">
        <f t="shared" si="232"/>
        <v>Antonín Barák (og)</v>
      </c>
      <c r="BT89" s="253" t="str">
        <f t="shared" ca="1" si="78"/>
        <v>Switzerland</v>
      </c>
      <c r="BU89" s="253">
        <f t="shared" si="201"/>
        <v>87</v>
      </c>
      <c r="BV89" s="253" t="str">
        <f t="shared" si="172"/>
        <v>A11</v>
      </c>
      <c r="BW89" s="253">
        <f t="shared" si="173"/>
        <v>4</v>
      </c>
      <c r="BX89" s="253" t="str">
        <f t="shared" ca="1" si="174"/>
        <v>Noah Okafor</v>
      </c>
      <c r="BY89" s="253">
        <f ca="1">COUNTIF('Group Stages'!$J$8:$Q$80,BX89)+COUNTIF('Knock Out Stages'!$K$7:$R$45,BX89)</f>
        <v>0</v>
      </c>
      <c r="BZ89" s="253" t="str">
        <f t="shared" si="175"/>
        <v>'Player Database'!b14</v>
      </c>
      <c r="CA89" s="253" t="str">
        <f t="shared" ca="1" si="176"/>
        <v>Noah Okafor</v>
      </c>
      <c r="CB89" s="252">
        <v>86</v>
      </c>
      <c r="CC89" s="252" t="str">
        <f t="array" aca="1" ref="CC89" ca="1">IFERROR(INDEX($BX$3:$BX$810, SMALL(IF(COUNTIF(CC$3, $BY$3:$BY$810), ROW($BX$3:$BX$810)-MIN(ROW($BX$3:$BX$810))+1), $CB89), 0),"")</f>
        <v/>
      </c>
      <c r="CS89" s="252">
        <f t="shared" si="85"/>
        <v>86</v>
      </c>
      <c r="CT89" s="252">
        <f t="shared" si="86"/>
        <v>3</v>
      </c>
      <c r="CU89" s="252" t="str">
        <f t="shared" ref="CU89:CU152" si="233">CU47</f>
        <v>CR5</v>
      </c>
      <c r="CV89" s="252" t="str">
        <f t="shared" ca="1" si="87"/>
        <v/>
      </c>
      <c r="CW89" s="252">
        <f t="shared" ca="1" si="193"/>
        <v>0</v>
      </c>
      <c r="CZ89" s="252">
        <v>86</v>
      </c>
      <c r="DA89" s="252" t="str">
        <f t="shared" ca="1" si="194"/>
        <v/>
      </c>
      <c r="DB89" s="252" t="str">
        <f t="shared" ca="1" si="189"/>
        <v/>
      </c>
      <c r="DC89" s="252" t="str">
        <f t="shared" ca="1" si="190"/>
        <v/>
      </c>
      <c r="DD89" s="252" t="str">
        <f t="shared" ca="1" si="191"/>
        <v/>
      </c>
    </row>
    <row r="90" spans="1:108" x14ac:dyDescent="0.2">
      <c r="A90" s="252">
        <f t="shared" si="208"/>
        <v>8</v>
      </c>
      <c r="B90" s="252" t="str">
        <f t="shared" si="209"/>
        <v>Ádám Nagy (og)</v>
      </c>
      <c r="C90" s="252" t="str">
        <f t="shared" si="210"/>
        <v>Ádám Nagy (og)</v>
      </c>
      <c r="D90" s="252" t="str">
        <f t="shared" si="211"/>
        <v>Callum McGregor (og)</v>
      </c>
      <c r="E90" s="252" t="str">
        <f t="shared" si="212"/>
        <v>Callum McGregor (og)</v>
      </c>
      <c r="F90" s="252" t="str">
        <f t="shared" si="213"/>
        <v>Fabián Ruiz (og)</v>
      </c>
      <c r="G90" s="252" t="str">
        <f t="shared" si="214"/>
        <v>Fabián Ruiz (og)</v>
      </c>
      <c r="H90" s="252" t="str">
        <f t="shared" si="215"/>
        <v>Klaus Gjasula (og)</v>
      </c>
      <c r="I90" s="252" t="str">
        <f t="shared" si="216"/>
        <v>Klaus Gjasula (og)</v>
      </c>
      <c r="J90" s="252" t="str">
        <f t="shared" si="217"/>
        <v>Sandi Lovrić (og)</v>
      </c>
      <c r="K90" s="252" t="str">
        <f t="shared" si="218"/>
        <v>Sandi Lovrić (og)</v>
      </c>
      <c r="L90" s="252" t="str">
        <f t="shared" si="219"/>
        <v>Trent Alexander-Arnold (og)</v>
      </c>
      <c r="M90" s="252" t="str">
        <f t="shared" si="220"/>
        <v>Trent Alexander-Arnold (og)</v>
      </c>
      <c r="N90" s="252" t="str">
        <f t="shared" si="221"/>
        <v>Alexander Prass (og)</v>
      </c>
      <c r="O90" s="252" t="str">
        <f t="shared" si="222"/>
        <v>Alexander Prass (og)</v>
      </c>
      <c r="P90" s="252" t="str">
        <f t="shared" si="223"/>
        <v>Georginio Wijnaldum (og)</v>
      </c>
      <c r="Q90" s="252" t="str">
        <f t="shared" si="224"/>
        <v>Georginio Wijnaldum (og)</v>
      </c>
      <c r="R90" s="252" t="str">
        <f t="shared" si="225"/>
        <v>Alexandru Cicâldău (og)</v>
      </c>
      <c r="S90" s="252" t="str">
        <f t="shared" si="226"/>
        <v>Alexandru Cicâldău (og)</v>
      </c>
      <c r="T90" s="252" t="str">
        <f t="shared" si="227"/>
        <v>Ondrej Duda (og)</v>
      </c>
      <c r="U90" s="252" t="str">
        <f t="shared" si="228"/>
        <v>Ondrej Duda (og)</v>
      </c>
      <c r="V90" s="252" t="str">
        <f t="shared" si="229"/>
        <v>Arda Güler (og)</v>
      </c>
      <c r="W90" s="252" t="str">
        <f t="shared" si="230"/>
        <v>Arda Güler (og)</v>
      </c>
      <c r="X90" s="252" t="str">
        <f t="shared" si="231"/>
        <v>Petr Ševčík (og)</v>
      </c>
      <c r="Y90" s="252" t="str">
        <f t="shared" si="232"/>
        <v>Petr Ševčík (og)</v>
      </c>
      <c r="BT90" s="253" t="str">
        <f t="shared" ca="1" si="78"/>
        <v>Switzerland</v>
      </c>
      <c r="BU90" s="253">
        <f t="shared" si="201"/>
        <v>88</v>
      </c>
      <c r="BV90" s="253" t="str">
        <f t="shared" si="172"/>
        <v>A12</v>
      </c>
      <c r="BW90" s="253">
        <f t="shared" si="173"/>
        <v>4</v>
      </c>
      <c r="BX90" s="253" t="str">
        <f t="shared" ca="1" si="174"/>
        <v>Granit Xhaka</v>
      </c>
      <c r="BY90" s="253">
        <f ca="1">COUNTIF('Group Stages'!$J$8:$Q$80,BX90)+COUNTIF('Knock Out Stages'!$K$7:$R$45,BX90)</f>
        <v>0</v>
      </c>
      <c r="BZ90" s="253" t="str">
        <f t="shared" si="175"/>
        <v>'Player Database'!b15</v>
      </c>
      <c r="CA90" s="253" t="str">
        <f t="shared" ca="1" si="176"/>
        <v>Granit Xhaka</v>
      </c>
      <c r="CB90" s="252">
        <v>87</v>
      </c>
      <c r="CC90" s="252" t="str">
        <f t="array" aca="1" ref="CC90" ca="1">IFERROR(INDEX($BX$3:$BX$810, SMALL(IF(COUNTIF(CC$3, $BY$3:$BY$810), ROW($BX$3:$BX$810)-MIN(ROW($BX$3:$BX$810))+1), $CB90), 0),"")</f>
        <v/>
      </c>
      <c r="CS90" s="252">
        <f t="shared" si="85"/>
        <v>87</v>
      </c>
      <c r="CT90" s="252">
        <f t="shared" si="86"/>
        <v>3</v>
      </c>
      <c r="CU90" s="252" t="str">
        <f t="shared" si="233"/>
        <v>CR6</v>
      </c>
      <c r="CV90" s="252" t="str">
        <f t="shared" ca="1" si="87"/>
        <v/>
      </c>
      <c r="CW90" s="252">
        <f t="shared" ca="1" si="193"/>
        <v>0</v>
      </c>
      <c r="CZ90" s="252">
        <v>87</v>
      </c>
      <c r="DA90" s="252" t="str">
        <f t="shared" ca="1" si="194"/>
        <v/>
      </c>
      <c r="DB90" s="252" t="str">
        <f t="shared" ca="1" si="189"/>
        <v/>
      </c>
      <c r="DC90" s="252" t="str">
        <f t="shared" ca="1" si="190"/>
        <v/>
      </c>
      <c r="DD90" s="252" t="str">
        <f t="shared" ca="1" si="191"/>
        <v/>
      </c>
    </row>
    <row r="91" spans="1:108" x14ac:dyDescent="0.2">
      <c r="A91" s="252">
        <f t="shared" si="208"/>
        <v>9</v>
      </c>
      <c r="B91" s="252" t="str">
        <f t="shared" si="209"/>
        <v>Martin Ádám (og)</v>
      </c>
      <c r="C91" s="252" t="str">
        <f t="shared" si="210"/>
        <v>Martin Ádám (og)</v>
      </c>
      <c r="D91" s="252" t="str">
        <f t="shared" si="211"/>
        <v>Lawrence Shankland (og)</v>
      </c>
      <c r="E91" s="252" t="str">
        <f t="shared" si="212"/>
        <v>Lawrence Shankland (og)</v>
      </c>
      <c r="F91" s="252" t="str">
        <f t="shared" si="213"/>
        <v>Joselu (og)</v>
      </c>
      <c r="G91" s="252" t="str">
        <f t="shared" si="214"/>
        <v>Joselu (og)</v>
      </c>
      <c r="H91" s="252" t="str">
        <f t="shared" si="215"/>
        <v>Jasir Asani (og)</v>
      </c>
      <c r="I91" s="252" t="str">
        <f t="shared" si="216"/>
        <v>Jasir Asani (og)</v>
      </c>
      <c r="J91" s="252" t="str">
        <f t="shared" si="217"/>
        <v>Andraž Šporar (og)</v>
      </c>
      <c r="K91" s="252" t="str">
        <f t="shared" si="218"/>
        <v>Andraž Šporar (og)</v>
      </c>
      <c r="L91" s="252" t="str">
        <f t="shared" si="219"/>
        <v>Harry Kane (og)</v>
      </c>
      <c r="M91" s="252" t="str">
        <f t="shared" si="220"/>
        <v>Harry Kane (og)</v>
      </c>
      <c r="N91" s="252" t="str">
        <f t="shared" si="221"/>
        <v>Marcel Sabitzer (og)</v>
      </c>
      <c r="O91" s="252" t="str">
        <f t="shared" si="222"/>
        <v>Marcel Sabitzer (og)</v>
      </c>
      <c r="P91" s="252" t="str">
        <f t="shared" si="223"/>
        <v>Wout Weghorst (og)</v>
      </c>
      <c r="Q91" s="252" t="str">
        <f t="shared" si="224"/>
        <v>Wout Weghorst (og)</v>
      </c>
      <c r="R91" s="252" t="str">
        <f t="shared" si="225"/>
        <v>George Pușcaș (og)</v>
      </c>
      <c r="S91" s="252" t="str">
        <f t="shared" si="226"/>
        <v>George Pușcaș (og)</v>
      </c>
      <c r="T91" s="252" t="str">
        <f t="shared" si="227"/>
        <v>Róbert Boženík (og)</v>
      </c>
      <c r="U91" s="252" t="str">
        <f t="shared" si="228"/>
        <v>Róbert Boženík (og)</v>
      </c>
      <c r="V91" s="252" t="str">
        <f t="shared" si="229"/>
        <v>Cenk Tosun (og)</v>
      </c>
      <c r="W91" s="252" t="str">
        <f t="shared" si="230"/>
        <v>Cenk Tosun (og)</v>
      </c>
      <c r="X91" s="252" t="str">
        <f t="shared" si="231"/>
        <v>Adam Hložek (og)</v>
      </c>
      <c r="Y91" s="252" t="str">
        <f t="shared" si="232"/>
        <v>Adam Hložek (og)</v>
      </c>
      <c r="BT91" s="253" t="str">
        <f t="shared" ca="1" si="78"/>
        <v>Switzerland</v>
      </c>
      <c r="BU91" s="253">
        <f t="shared" si="201"/>
        <v>89</v>
      </c>
      <c r="BV91" s="253" t="str">
        <f t="shared" si="172"/>
        <v>A13</v>
      </c>
      <c r="BW91" s="253">
        <f t="shared" si="173"/>
        <v>4</v>
      </c>
      <c r="BX91" s="253" t="str">
        <f t="shared" ca="1" si="174"/>
        <v>Renato Steffen</v>
      </c>
      <c r="BY91" s="253">
        <f ca="1">COUNTIF('Group Stages'!$J$8:$Q$80,BX91)+COUNTIF('Knock Out Stages'!$K$7:$R$45,BX91)</f>
        <v>0</v>
      </c>
      <c r="BZ91" s="253" t="str">
        <f t="shared" si="175"/>
        <v>'Player Database'!b16</v>
      </c>
      <c r="CA91" s="253" t="str">
        <f t="shared" ca="1" si="176"/>
        <v>Renato Steffen</v>
      </c>
      <c r="CB91" s="252">
        <v>88</v>
      </c>
      <c r="CC91" s="252" t="str">
        <f t="array" aca="1" ref="CC91" ca="1">IFERROR(INDEX($BX$3:$BX$810, SMALL(IF(COUNTIF(CC$3, $BY$3:$BY$810), ROW($BX$3:$BX$810)-MIN(ROW($BX$3:$BX$810))+1), $CB91), 0),"")</f>
        <v/>
      </c>
      <c r="CS91" s="252">
        <f t="shared" si="85"/>
        <v>88</v>
      </c>
      <c r="CT91" s="252">
        <f t="shared" si="86"/>
        <v>3</v>
      </c>
      <c r="CU91" s="252" t="str">
        <f t="shared" si="233"/>
        <v>CR7</v>
      </c>
      <c r="CV91" s="252" t="str">
        <f t="shared" ca="1" si="87"/>
        <v/>
      </c>
      <c r="CW91" s="252">
        <f t="shared" ca="1" si="193"/>
        <v>0</v>
      </c>
      <c r="CZ91" s="252">
        <v>88</v>
      </c>
      <c r="DA91" s="252" t="str">
        <f t="shared" ca="1" si="194"/>
        <v/>
      </c>
      <c r="DB91" s="252" t="str">
        <f t="shared" ca="1" si="189"/>
        <v/>
      </c>
      <c r="DC91" s="252" t="str">
        <f t="shared" ca="1" si="190"/>
        <v/>
      </c>
      <c r="DD91" s="252" t="str">
        <f t="shared" ca="1" si="191"/>
        <v/>
      </c>
    </row>
    <row r="92" spans="1:108" x14ac:dyDescent="0.2">
      <c r="A92" s="252">
        <f t="shared" si="208"/>
        <v>10</v>
      </c>
      <c r="B92" s="252" t="str">
        <f t="shared" si="209"/>
        <v>Dominik Szoboszlai (og)</v>
      </c>
      <c r="C92" s="252" t="str">
        <f t="shared" si="210"/>
        <v>Dominik Szoboszlai (og)</v>
      </c>
      <c r="D92" s="252" t="str">
        <f t="shared" si="211"/>
        <v>Ché Adams (og)</v>
      </c>
      <c r="E92" s="252" t="str">
        <f t="shared" si="212"/>
        <v>Ché Adams (og)</v>
      </c>
      <c r="F92" s="252" t="str">
        <f t="shared" si="213"/>
        <v>Dani Olmo (og)</v>
      </c>
      <c r="G92" s="252" t="str">
        <f t="shared" si="214"/>
        <v>Dani Olmo (og)</v>
      </c>
      <c r="H92" s="252" t="str">
        <f t="shared" si="215"/>
        <v>Nedim Bajrami (og)</v>
      </c>
      <c r="I92" s="252" t="str">
        <f t="shared" si="216"/>
        <v>Nedim Bajrami (og)</v>
      </c>
      <c r="J92" s="252" t="str">
        <f t="shared" si="217"/>
        <v>Timi Max Elšnik (og)</v>
      </c>
      <c r="K92" s="252" t="str">
        <f t="shared" si="218"/>
        <v>Timi Max Elšnik (og)</v>
      </c>
      <c r="L92" s="252" t="str">
        <f t="shared" si="219"/>
        <v>Jude Bellingham (og)</v>
      </c>
      <c r="M92" s="252" t="str">
        <f t="shared" si="220"/>
        <v>Jude Bellingham (og)</v>
      </c>
      <c r="N92" s="252" t="str">
        <f t="shared" si="221"/>
        <v>Florian Grillitsch (og)</v>
      </c>
      <c r="O92" s="252" t="str">
        <f t="shared" si="222"/>
        <v>Florian Grillitsch (og)</v>
      </c>
      <c r="P92" s="252" t="str">
        <f t="shared" si="223"/>
        <v>Memphis Depay (og)</v>
      </c>
      <c r="Q92" s="252" t="str">
        <f t="shared" si="224"/>
        <v>Memphis Depay (og)</v>
      </c>
      <c r="R92" s="252" t="str">
        <f t="shared" si="225"/>
        <v>Ianis Hagi (og)</v>
      </c>
      <c r="S92" s="252" t="str">
        <f t="shared" si="226"/>
        <v>Ianis Hagi (og)</v>
      </c>
      <c r="T92" s="252" t="str">
        <f t="shared" si="227"/>
        <v>Ľubomír Tupta (og)</v>
      </c>
      <c r="U92" s="252" t="str">
        <f t="shared" si="228"/>
        <v>Ľubomír Tupta (og)</v>
      </c>
      <c r="V92" s="252" t="str">
        <f t="shared" si="229"/>
        <v>Hakan Çalhanoğlu (og)</v>
      </c>
      <c r="W92" s="252" t="str">
        <f t="shared" si="230"/>
        <v>Hakan Çalhanoğlu (og)</v>
      </c>
      <c r="X92" s="252" t="str">
        <f t="shared" si="231"/>
        <v>Patrik Schick (og)</v>
      </c>
      <c r="Y92" s="252" t="str">
        <f t="shared" si="232"/>
        <v>Patrik Schick (og)</v>
      </c>
      <c r="BT92" s="253" t="str">
        <f t="shared" ca="1" si="78"/>
        <v>Switzerland</v>
      </c>
      <c r="BU92" s="253">
        <f t="shared" si="201"/>
        <v>90</v>
      </c>
      <c r="BV92" s="253" t="str">
        <f t="shared" si="172"/>
        <v>A14</v>
      </c>
      <c r="BW92" s="253">
        <f t="shared" si="173"/>
        <v>4</v>
      </c>
      <c r="BX92" s="253" t="str">
        <f t="shared" ca="1" si="174"/>
        <v>Yvon Mvogo</v>
      </c>
      <c r="BY92" s="253">
        <f ca="1">COUNTIF('Group Stages'!$J$8:$Q$80,BX92)+COUNTIF('Knock Out Stages'!$K$7:$R$45,BX92)</f>
        <v>0</v>
      </c>
      <c r="BZ92" s="253" t="str">
        <f t="shared" si="175"/>
        <v>'Player Database'!b17</v>
      </c>
      <c r="CA92" s="253" t="str">
        <f t="shared" ca="1" si="176"/>
        <v>Yvon Mvogo</v>
      </c>
      <c r="CB92" s="252">
        <v>89</v>
      </c>
      <c r="CC92" s="252" t="str">
        <f t="array" aca="1" ref="CC92" ca="1">IFERROR(INDEX($BX$3:$BX$810, SMALL(IF(COUNTIF(CC$3, $BY$3:$BY$810), ROW($BX$3:$BX$810)-MIN(ROW($BX$3:$BX$810))+1), $CB92), 0),"")</f>
        <v/>
      </c>
      <c r="CS92" s="252">
        <f t="shared" si="85"/>
        <v>89</v>
      </c>
      <c r="CT92" s="252">
        <f t="shared" si="86"/>
        <v>3</v>
      </c>
      <c r="CU92" s="252" t="str">
        <f t="shared" si="233"/>
        <v>CR8</v>
      </c>
      <c r="CV92" s="252" t="str">
        <f t="shared" ca="1" si="87"/>
        <v/>
      </c>
      <c r="CW92" s="252">
        <f t="shared" ca="1" si="193"/>
        <v>0</v>
      </c>
      <c r="CZ92" s="252">
        <v>89</v>
      </c>
      <c r="DA92" s="252" t="str">
        <f t="shared" ca="1" si="194"/>
        <v/>
      </c>
      <c r="DB92" s="252" t="str">
        <f t="shared" ca="1" si="189"/>
        <v/>
      </c>
      <c r="DC92" s="252" t="str">
        <f t="shared" ca="1" si="190"/>
        <v/>
      </c>
      <c r="DD92" s="252" t="str">
        <f t="shared" ca="1" si="191"/>
        <v/>
      </c>
    </row>
    <row r="93" spans="1:108" x14ac:dyDescent="0.2">
      <c r="A93" s="252">
        <f t="shared" si="208"/>
        <v>11</v>
      </c>
      <c r="B93" s="252" t="str">
        <f t="shared" si="209"/>
        <v>Milos Kerkez (og)</v>
      </c>
      <c r="C93" s="252" t="str">
        <f t="shared" si="210"/>
        <v>Milos Kerkez (og)</v>
      </c>
      <c r="D93" s="252" t="str">
        <f t="shared" si="211"/>
        <v>Ryan Christie (og)</v>
      </c>
      <c r="E93" s="252" t="str">
        <f t="shared" si="212"/>
        <v>Ryan Christie (og)</v>
      </c>
      <c r="F93" s="252" t="str">
        <f t="shared" si="213"/>
        <v>Ferran Torres (og)</v>
      </c>
      <c r="G93" s="252" t="str">
        <f t="shared" si="214"/>
        <v>Ferran Torres (og)</v>
      </c>
      <c r="H93" s="252" t="str">
        <f t="shared" si="215"/>
        <v>Armando Broja (og)</v>
      </c>
      <c r="I93" s="252" t="str">
        <f t="shared" si="216"/>
        <v>Armando Broja (og)</v>
      </c>
      <c r="J93" s="252" t="str">
        <f t="shared" si="217"/>
        <v>Benjamin Šeško (og)</v>
      </c>
      <c r="K93" s="252" t="str">
        <f t="shared" si="218"/>
        <v>Benjamin Šeško (og)</v>
      </c>
      <c r="L93" s="252" t="str">
        <f t="shared" si="219"/>
        <v>Phil Foden (og)</v>
      </c>
      <c r="M93" s="252" t="str">
        <f t="shared" si="220"/>
        <v>Phil Foden (og)</v>
      </c>
      <c r="N93" s="252" t="str">
        <f t="shared" si="221"/>
        <v>Michael Gregoritsch (og)</v>
      </c>
      <c r="O93" s="252" t="str">
        <f t="shared" si="222"/>
        <v>Michael Gregoritsch (og)</v>
      </c>
      <c r="P93" s="252" t="str">
        <f t="shared" si="223"/>
        <v>Cody Gakpo (og)</v>
      </c>
      <c r="Q93" s="252" t="str">
        <f t="shared" si="224"/>
        <v>Cody Gakpo (og)</v>
      </c>
      <c r="R93" s="252" t="str">
        <f t="shared" si="225"/>
        <v>Nicușor Bancu (og)</v>
      </c>
      <c r="S93" s="252" t="str">
        <f t="shared" si="226"/>
        <v>Nicușor Bancu (og)</v>
      </c>
      <c r="T93" s="252" t="str">
        <f t="shared" si="227"/>
        <v>László Bénes (og)</v>
      </c>
      <c r="U93" s="252" t="str">
        <f t="shared" si="228"/>
        <v>László Bénes (og)</v>
      </c>
      <c r="V93" s="252" t="str">
        <f t="shared" si="229"/>
        <v>Yusuf Yazıcı (og)</v>
      </c>
      <c r="W93" s="252" t="str">
        <f t="shared" si="230"/>
        <v>Yusuf Yazıcı (og)</v>
      </c>
      <c r="X93" s="252" t="str">
        <f t="shared" si="231"/>
        <v>Jan Kuchta (og)</v>
      </c>
      <c r="Y93" s="252" t="str">
        <f t="shared" si="232"/>
        <v>Jan Kuchta (og)</v>
      </c>
      <c r="BT93" s="253" t="str">
        <f t="shared" ca="1" si="78"/>
        <v>Switzerland</v>
      </c>
      <c r="BU93" s="253">
        <f t="shared" si="201"/>
        <v>91</v>
      </c>
      <c r="BV93" s="253" t="str">
        <f t="shared" si="172"/>
        <v>A15</v>
      </c>
      <c r="BW93" s="253">
        <f t="shared" si="173"/>
        <v>4</v>
      </c>
      <c r="BX93" s="253" t="str">
        <f t="shared" ca="1" si="174"/>
        <v>Ricardo Rodriguez</v>
      </c>
      <c r="BY93" s="253">
        <f ca="1">COUNTIF('Group Stages'!$J$8:$Q$80,BX93)+COUNTIF('Knock Out Stages'!$K$7:$R$45,BX93)</f>
        <v>0</v>
      </c>
      <c r="BZ93" s="253" t="str">
        <f t="shared" si="175"/>
        <v>'Player Database'!b18</v>
      </c>
      <c r="CA93" s="253" t="str">
        <f t="shared" ca="1" si="176"/>
        <v>Ricardo Rodriguez</v>
      </c>
      <c r="CB93" s="252">
        <v>90</v>
      </c>
      <c r="CC93" s="252" t="str">
        <f t="array" aca="1" ref="CC93" ca="1">IFERROR(INDEX($BX$3:$BX$810, SMALL(IF(COUNTIF(CC$3, $BY$3:$BY$810), ROW($BX$3:$BX$810)-MIN(ROW($BX$3:$BX$810))+1), $CB93), 0),"")</f>
        <v/>
      </c>
      <c r="CS93" s="252">
        <f t="shared" si="85"/>
        <v>90</v>
      </c>
      <c r="CT93" s="252">
        <f t="shared" si="86"/>
        <v>3</v>
      </c>
      <c r="CU93" s="252" t="str">
        <f t="shared" si="233"/>
        <v>CR9</v>
      </c>
      <c r="CV93" s="252" t="str">
        <f t="shared" ca="1" si="87"/>
        <v/>
      </c>
      <c r="CW93" s="252">
        <f t="shared" ca="1" si="193"/>
        <v>0</v>
      </c>
      <c r="CZ93" s="252">
        <v>90</v>
      </c>
      <c r="DA93" s="252" t="str">
        <f t="shared" ca="1" si="194"/>
        <v/>
      </c>
      <c r="DB93" s="252" t="str">
        <f t="shared" ca="1" si="189"/>
        <v/>
      </c>
      <c r="DC93" s="252" t="str">
        <f t="shared" ca="1" si="190"/>
        <v/>
      </c>
      <c r="DD93" s="252" t="str">
        <f t="shared" ca="1" si="191"/>
        <v/>
      </c>
    </row>
    <row r="94" spans="1:108" x14ac:dyDescent="0.2">
      <c r="A94" s="252">
        <f t="shared" si="208"/>
        <v>12</v>
      </c>
      <c r="B94" s="252" t="str">
        <f t="shared" si="209"/>
        <v>Dénes Dibusz (og)</v>
      </c>
      <c r="C94" s="252" t="str">
        <f t="shared" si="210"/>
        <v>Dénes Dibusz (og)</v>
      </c>
      <c r="D94" s="252" t="str">
        <f t="shared" si="211"/>
        <v>Liam Kelly (og)</v>
      </c>
      <c r="E94" s="252" t="str">
        <f t="shared" si="212"/>
        <v>Liam Kelly (og)</v>
      </c>
      <c r="F94" s="252" t="str">
        <f t="shared" si="213"/>
        <v>Álex Grimaldo (og)</v>
      </c>
      <c r="G94" s="252" t="str">
        <f t="shared" si="214"/>
        <v>Álex Grimaldo (og)</v>
      </c>
      <c r="H94" s="252" t="str">
        <f t="shared" si="215"/>
        <v>Elhan Kastrati (og)</v>
      </c>
      <c r="I94" s="252" t="str">
        <f t="shared" si="216"/>
        <v>Elhan Kastrati (og)</v>
      </c>
      <c r="J94" s="252" t="str">
        <f t="shared" si="217"/>
        <v>Vid Belec (og)</v>
      </c>
      <c r="K94" s="252" t="str">
        <f t="shared" si="218"/>
        <v>Vid Belec (og)</v>
      </c>
      <c r="L94" s="252" t="str">
        <f t="shared" si="219"/>
        <v>Kieran Trippier (og)</v>
      </c>
      <c r="M94" s="252" t="str">
        <f t="shared" si="220"/>
        <v>Kieran Trippier (og)</v>
      </c>
      <c r="N94" s="252" t="str">
        <f t="shared" si="221"/>
        <v>Niklas Hedl (og)</v>
      </c>
      <c r="O94" s="252" t="str">
        <f t="shared" si="222"/>
        <v>Niklas Hedl (og)</v>
      </c>
      <c r="P94" s="252" t="str">
        <f t="shared" si="223"/>
        <v>Jeremie Frimpong (og)</v>
      </c>
      <c r="Q94" s="252" t="str">
        <f t="shared" si="224"/>
        <v>Jeremie Frimpong (og)</v>
      </c>
      <c r="R94" s="252" t="str">
        <f t="shared" si="225"/>
        <v>Horațiu Moldovan (og)</v>
      </c>
      <c r="S94" s="252" t="str">
        <f t="shared" si="226"/>
        <v>Horațiu Moldovan (og)</v>
      </c>
      <c r="T94" s="252" t="str">
        <f t="shared" si="227"/>
        <v>Marek Rodák (og)</v>
      </c>
      <c r="U94" s="252" t="str">
        <f t="shared" si="228"/>
        <v>Marek Rodák (og)</v>
      </c>
      <c r="V94" s="252" t="str">
        <f t="shared" si="229"/>
        <v>Altay Bayındır (og)</v>
      </c>
      <c r="W94" s="252" t="str">
        <f t="shared" si="230"/>
        <v>Altay Bayındır (og)</v>
      </c>
      <c r="X94" s="252" t="str">
        <f t="shared" si="231"/>
        <v>David Douděra (og)</v>
      </c>
      <c r="Y94" s="252" t="str">
        <f t="shared" si="232"/>
        <v>David Douděra (og)</v>
      </c>
      <c r="BT94" s="253" t="str">
        <f t="shared" ca="1" si="78"/>
        <v>Switzerland</v>
      </c>
      <c r="BU94" s="253">
        <f t="shared" si="201"/>
        <v>92</v>
      </c>
      <c r="BV94" s="253" t="str">
        <f t="shared" si="172"/>
        <v>A16</v>
      </c>
      <c r="BW94" s="253">
        <f t="shared" si="173"/>
        <v>4</v>
      </c>
      <c r="BX94" s="253" t="str">
        <f t="shared" ca="1" si="174"/>
        <v>Steven Zuber</v>
      </c>
      <c r="BY94" s="253">
        <f ca="1">COUNTIF('Group Stages'!$J$8:$Q$80,BX94)+COUNTIF('Knock Out Stages'!$K$7:$R$45,BX94)</f>
        <v>0</v>
      </c>
      <c r="BZ94" s="253" t="str">
        <f t="shared" si="175"/>
        <v>'Player Database'!b19</v>
      </c>
      <c r="CA94" s="253" t="str">
        <f t="shared" ca="1" si="176"/>
        <v>Steven Zuber</v>
      </c>
      <c r="CB94" s="252">
        <v>91</v>
      </c>
      <c r="CC94" s="252" t="str">
        <f t="array" aca="1" ref="CC94" ca="1">IFERROR(INDEX($BX$3:$BX$810, SMALL(IF(COUNTIF(CC$3, $BY$3:$BY$810), ROW($BX$3:$BX$810)-MIN(ROW($BX$3:$BX$810))+1), $CB94), 0),"")</f>
        <v/>
      </c>
      <c r="CS94" s="252">
        <f t="shared" si="85"/>
        <v>91</v>
      </c>
      <c r="CT94" s="252">
        <f t="shared" si="86"/>
        <v>3</v>
      </c>
      <c r="CU94" s="252" t="str">
        <f t="shared" si="233"/>
        <v>CR10</v>
      </c>
      <c r="CV94" s="252" t="str">
        <f t="shared" ca="1" si="87"/>
        <v/>
      </c>
      <c r="CW94" s="252">
        <f t="shared" ca="1" si="193"/>
        <v>0</v>
      </c>
      <c r="CZ94" s="252">
        <v>91</v>
      </c>
      <c r="DA94" s="252" t="str">
        <f t="shared" ca="1" si="194"/>
        <v/>
      </c>
      <c r="DB94" s="252" t="str">
        <f t="shared" ca="1" si="189"/>
        <v/>
      </c>
      <c r="DC94" s="252" t="str">
        <f t="shared" ca="1" si="190"/>
        <v/>
      </c>
      <c r="DD94" s="252" t="str">
        <f t="shared" ca="1" si="191"/>
        <v/>
      </c>
    </row>
    <row r="95" spans="1:108" x14ac:dyDescent="0.2">
      <c r="A95" s="252">
        <f t="shared" si="208"/>
        <v>13</v>
      </c>
      <c r="B95" s="252" t="str">
        <f t="shared" si="209"/>
        <v>András Schäfer (og)</v>
      </c>
      <c r="C95" s="252" t="str">
        <f t="shared" si="210"/>
        <v>András Schäfer (og)</v>
      </c>
      <c r="D95" s="252" t="str">
        <f t="shared" si="211"/>
        <v>Jack Hendry (og)</v>
      </c>
      <c r="E95" s="252" t="str">
        <f t="shared" si="212"/>
        <v>Jack Hendry (og)</v>
      </c>
      <c r="F95" s="252" t="str">
        <f t="shared" si="213"/>
        <v>Álex Remiro (og)</v>
      </c>
      <c r="G95" s="252" t="str">
        <f t="shared" si="214"/>
        <v>Álex Remiro (og)</v>
      </c>
      <c r="H95" s="252" t="str">
        <f t="shared" si="215"/>
        <v>Enea Mihaj (og)</v>
      </c>
      <c r="I95" s="252" t="str">
        <f t="shared" si="216"/>
        <v>Enea Mihaj (og)</v>
      </c>
      <c r="J95" s="252" t="str">
        <f t="shared" si="217"/>
        <v>Erik Janža (og)</v>
      </c>
      <c r="K95" s="252" t="str">
        <f t="shared" si="218"/>
        <v>Erik Janža (og)</v>
      </c>
      <c r="L95" s="252" t="str">
        <f t="shared" si="219"/>
        <v>Aaron Ramsdale (og)</v>
      </c>
      <c r="M95" s="252" t="str">
        <f t="shared" si="220"/>
        <v>Aaron Ramsdale (og)</v>
      </c>
      <c r="N95" s="252" t="str">
        <f t="shared" si="221"/>
        <v>Patrick Pentz (og)</v>
      </c>
      <c r="O95" s="252" t="str">
        <f t="shared" si="222"/>
        <v>Patrick Pentz (og)</v>
      </c>
      <c r="P95" s="252" t="str">
        <f t="shared" si="223"/>
        <v>Justin Bijlow (og)</v>
      </c>
      <c r="Q95" s="252" t="str">
        <f t="shared" si="224"/>
        <v>Justin Bijlow (og)</v>
      </c>
      <c r="R95" s="252" t="str">
        <f t="shared" si="225"/>
        <v>Valentin Mihăilă (og)</v>
      </c>
      <c r="S95" s="252" t="str">
        <f t="shared" si="226"/>
        <v>Valentin Mihăilă (og)</v>
      </c>
      <c r="T95" s="252" t="str">
        <f t="shared" si="227"/>
        <v>Patrik Hrošovský (og)</v>
      </c>
      <c r="U95" s="252" t="str">
        <f t="shared" si="228"/>
        <v>Patrik Hrošovský (og)</v>
      </c>
      <c r="V95" s="252" t="str">
        <f t="shared" si="229"/>
        <v>Ahmetcan Kaplan (og)</v>
      </c>
      <c r="W95" s="252" t="str">
        <f t="shared" si="230"/>
        <v>Ahmetcan Kaplan (og)</v>
      </c>
      <c r="X95" s="252" t="str">
        <f t="shared" si="231"/>
        <v>Mojmír Chytil (og)</v>
      </c>
      <c r="Y95" s="252" t="str">
        <f t="shared" si="232"/>
        <v>Mojmír Chytil (og)</v>
      </c>
      <c r="BT95" s="253" t="str">
        <f t="shared" ca="1" si="78"/>
        <v>Switzerland</v>
      </c>
      <c r="BU95" s="253">
        <f t="shared" si="201"/>
        <v>93</v>
      </c>
      <c r="BV95" s="253" t="str">
        <f t="shared" si="172"/>
        <v>A17</v>
      </c>
      <c r="BW95" s="253">
        <f t="shared" si="173"/>
        <v>4</v>
      </c>
      <c r="BX95" s="253" t="str">
        <f t="shared" ca="1" si="174"/>
        <v>Cédric Zesiger</v>
      </c>
      <c r="BY95" s="253">
        <f ca="1">COUNTIF('Group Stages'!$J$8:$Q$80,BX95)+COUNTIF('Knock Out Stages'!$K$7:$R$45,BX95)</f>
        <v>0</v>
      </c>
      <c r="BZ95" s="253" t="str">
        <f t="shared" si="175"/>
        <v>'Player Database'!b20</v>
      </c>
      <c r="CA95" s="253" t="str">
        <f t="shared" ca="1" si="176"/>
        <v>Cédric Zesiger</v>
      </c>
      <c r="CB95" s="252">
        <v>92</v>
      </c>
      <c r="CC95" s="252" t="str">
        <f t="array" aca="1" ref="CC95" ca="1">IFERROR(INDEX($BX$3:$BX$810, SMALL(IF(COUNTIF(CC$3, $BY$3:$BY$810), ROW($BX$3:$BX$810)-MIN(ROW($BX$3:$BX$810))+1), $CB95), 0),"")</f>
        <v/>
      </c>
      <c r="CS95" s="252">
        <f t="shared" si="85"/>
        <v>92</v>
      </c>
      <c r="CT95" s="252">
        <f t="shared" si="86"/>
        <v>3</v>
      </c>
      <c r="CU95" s="252" t="str">
        <f t="shared" si="233"/>
        <v>CR11</v>
      </c>
      <c r="CV95" s="252" t="str">
        <f t="shared" ca="1" si="87"/>
        <v/>
      </c>
      <c r="CW95" s="252">
        <f t="shared" ca="1" si="193"/>
        <v>0</v>
      </c>
      <c r="CZ95" s="252">
        <v>92</v>
      </c>
      <c r="DA95" s="252" t="str">
        <f t="shared" ca="1" si="194"/>
        <v/>
      </c>
      <c r="DB95" s="252" t="str">
        <f t="shared" ca="1" si="189"/>
        <v/>
      </c>
      <c r="DC95" s="252" t="str">
        <f t="shared" ca="1" si="190"/>
        <v/>
      </c>
      <c r="DD95" s="252" t="str">
        <f t="shared" ca="1" si="191"/>
        <v/>
      </c>
    </row>
    <row r="96" spans="1:108" x14ac:dyDescent="0.2">
      <c r="A96" s="252">
        <f t="shared" si="208"/>
        <v>14</v>
      </c>
      <c r="B96" s="252" t="str">
        <f t="shared" si="209"/>
        <v>Bendegúz Bolla (og)</v>
      </c>
      <c r="C96" s="252" t="str">
        <f t="shared" si="210"/>
        <v>Bendegúz Bolla (og)</v>
      </c>
      <c r="D96" s="252" t="str">
        <f t="shared" si="211"/>
        <v>Billy Gilmour (og)</v>
      </c>
      <c r="E96" s="252" t="str">
        <f t="shared" si="212"/>
        <v>Billy Gilmour (og)</v>
      </c>
      <c r="F96" s="252" t="str">
        <f t="shared" si="213"/>
        <v>Aymeric Laporte (og)</v>
      </c>
      <c r="G96" s="252" t="str">
        <f t="shared" si="214"/>
        <v>Aymeric Laporte (og)</v>
      </c>
      <c r="H96" s="252" t="str">
        <f t="shared" si="215"/>
        <v>Qazim Laçi (og)</v>
      </c>
      <c r="I96" s="252" t="str">
        <f t="shared" si="216"/>
        <v>Qazim Laçi (og)</v>
      </c>
      <c r="J96" s="252" t="str">
        <f t="shared" si="217"/>
        <v>Jasmin Kurtić (og)</v>
      </c>
      <c r="K96" s="252" t="str">
        <f t="shared" si="218"/>
        <v>Jasmin Kurtić (og)</v>
      </c>
      <c r="L96" s="252" t="str">
        <f t="shared" si="219"/>
        <v>Ezri Konsa (og)</v>
      </c>
      <c r="M96" s="252" t="str">
        <f t="shared" si="220"/>
        <v>Ezri Konsa (og)</v>
      </c>
      <c r="N96" s="252" t="str">
        <f t="shared" si="221"/>
        <v>Leopold Querfeld (og)</v>
      </c>
      <c r="O96" s="252" t="str">
        <f t="shared" si="222"/>
        <v>Leopold Querfeld (og)</v>
      </c>
      <c r="P96" s="252" t="str">
        <f t="shared" si="223"/>
        <v>Tijjani Reijnders (og)</v>
      </c>
      <c r="Q96" s="252" t="str">
        <f t="shared" si="224"/>
        <v>Tijjani Reijnders (og)</v>
      </c>
      <c r="R96" s="252" t="str">
        <f t="shared" si="225"/>
        <v>Darius Olaru (og)</v>
      </c>
      <c r="S96" s="252" t="str">
        <f t="shared" si="226"/>
        <v>Darius Olaru (og)</v>
      </c>
      <c r="T96" s="252" t="str">
        <f t="shared" si="227"/>
        <v>Milan Škriniar (og)</v>
      </c>
      <c r="U96" s="252" t="str">
        <f t="shared" si="228"/>
        <v>Milan Škriniar (og)</v>
      </c>
      <c r="V96" s="252" t="str">
        <f t="shared" si="229"/>
        <v>Abdülkerim Bardakcı (og)</v>
      </c>
      <c r="W96" s="252" t="str">
        <f t="shared" si="230"/>
        <v>Abdülkerim Bardakcı (og)</v>
      </c>
      <c r="X96" s="252" t="str">
        <f t="shared" si="231"/>
        <v>Lukáš Provod (og)</v>
      </c>
      <c r="Y96" s="252" t="str">
        <f t="shared" si="232"/>
        <v>Lukáš Provod (og)</v>
      </c>
      <c r="BT96" s="253" t="str">
        <f t="shared" ca="1" si="78"/>
        <v>Switzerland</v>
      </c>
      <c r="BU96" s="253">
        <f t="shared" si="201"/>
        <v>94</v>
      </c>
      <c r="BV96" s="253" t="str">
        <f t="shared" si="172"/>
        <v>A18</v>
      </c>
      <c r="BW96" s="253">
        <f t="shared" si="173"/>
        <v>4</v>
      </c>
      <c r="BX96" s="253" t="str">
        <f t="shared" ca="1" si="174"/>
        <v>Vincent Sierro</v>
      </c>
      <c r="BY96" s="253">
        <f ca="1">COUNTIF('Group Stages'!$J$8:$Q$80,BX96)+COUNTIF('Knock Out Stages'!$K$7:$R$45,BX96)</f>
        <v>0</v>
      </c>
      <c r="BZ96" s="253" t="str">
        <f t="shared" si="175"/>
        <v>'Player Database'!b21</v>
      </c>
      <c r="CA96" s="253" t="str">
        <f t="shared" ca="1" si="176"/>
        <v>Vincent Sierro</v>
      </c>
      <c r="CB96" s="252">
        <v>93</v>
      </c>
      <c r="CC96" s="252" t="str">
        <f t="array" aca="1" ref="CC96" ca="1">IFERROR(INDEX($BX$3:$BX$810, SMALL(IF(COUNTIF(CC$3, $BY$3:$BY$810), ROW($BX$3:$BX$810)-MIN(ROW($BX$3:$BX$810))+1), $CB96), 0),"")</f>
        <v/>
      </c>
      <c r="CS96" s="252">
        <f t="shared" si="85"/>
        <v>93</v>
      </c>
      <c r="CT96" s="252">
        <f t="shared" si="86"/>
        <v>3</v>
      </c>
      <c r="CU96" s="252" t="str">
        <f t="shared" si="233"/>
        <v>CR12</v>
      </c>
      <c r="CV96" s="252" t="str">
        <f t="shared" ca="1" si="87"/>
        <v/>
      </c>
      <c r="CW96" s="252">
        <f t="shared" ca="1" si="193"/>
        <v>0</v>
      </c>
      <c r="CZ96" s="252">
        <v>93</v>
      </c>
      <c r="DA96" s="252" t="str">
        <f t="shared" ca="1" si="194"/>
        <v/>
      </c>
      <c r="DB96" s="252" t="str">
        <f t="shared" ca="1" si="189"/>
        <v/>
      </c>
      <c r="DC96" s="252" t="str">
        <f t="shared" ca="1" si="190"/>
        <v/>
      </c>
      <c r="DD96" s="252" t="str">
        <f t="shared" ca="1" si="191"/>
        <v/>
      </c>
    </row>
    <row r="97" spans="1:108" x14ac:dyDescent="0.2">
      <c r="A97" s="252">
        <f t="shared" si="208"/>
        <v>15</v>
      </c>
      <c r="B97" s="252" t="str">
        <f t="shared" si="209"/>
        <v>László Kleinheisler (og)</v>
      </c>
      <c r="C97" s="252" t="str">
        <f t="shared" si="210"/>
        <v>László Kleinheisler (og)</v>
      </c>
      <c r="D97" s="252" t="str">
        <f t="shared" si="211"/>
        <v>Ryan Porteous (og)</v>
      </c>
      <c r="E97" s="252" t="str">
        <f t="shared" si="212"/>
        <v>Ryan Porteous (og)</v>
      </c>
      <c r="F97" s="252" t="str">
        <f t="shared" si="213"/>
        <v>Álex Baena (og)</v>
      </c>
      <c r="G97" s="252" t="str">
        <f t="shared" si="214"/>
        <v>Álex Baena (og)</v>
      </c>
      <c r="H97" s="252" t="str">
        <f t="shared" si="215"/>
        <v>Taulant Seferi (og)</v>
      </c>
      <c r="I97" s="252" t="str">
        <f t="shared" si="216"/>
        <v>Taulant Seferi (og)</v>
      </c>
      <c r="J97" s="252" t="str">
        <f t="shared" si="217"/>
        <v>Tomi Horvat (og)</v>
      </c>
      <c r="K97" s="252" t="str">
        <f t="shared" si="218"/>
        <v>Tomi Horvat (og)</v>
      </c>
      <c r="L97" s="252" t="str">
        <f t="shared" si="219"/>
        <v>Lewis Dunk (og)</v>
      </c>
      <c r="M97" s="252" t="str">
        <f t="shared" si="220"/>
        <v>Lewis Dunk (og)</v>
      </c>
      <c r="N97" s="252" t="str">
        <f t="shared" si="221"/>
        <v>Philipp Lienhart (og)</v>
      </c>
      <c r="O97" s="252" t="str">
        <f t="shared" si="222"/>
        <v>Philipp Lienhart (og)</v>
      </c>
      <c r="P97" s="252" t="str">
        <f t="shared" si="223"/>
        <v>Micky van de Ven (og)</v>
      </c>
      <c r="Q97" s="252" t="str">
        <f t="shared" si="224"/>
        <v>Micky van de Ven (og)</v>
      </c>
      <c r="R97" s="252" t="str">
        <f t="shared" si="225"/>
        <v>Andrei Burcă (og)</v>
      </c>
      <c r="S97" s="252" t="str">
        <f t="shared" si="226"/>
        <v>Andrei Burcă (og)</v>
      </c>
      <c r="T97" s="252" t="str">
        <f t="shared" si="227"/>
        <v>Vernon De Marco (og)</v>
      </c>
      <c r="U97" s="252" t="str">
        <f t="shared" si="228"/>
        <v>Vernon De Marco (og)</v>
      </c>
      <c r="V97" s="252" t="str">
        <f t="shared" si="229"/>
        <v>Salih Özcan (og)</v>
      </c>
      <c r="W97" s="252" t="str">
        <f t="shared" si="230"/>
        <v>Salih Özcan (og)</v>
      </c>
      <c r="X97" s="252" t="str">
        <f t="shared" si="231"/>
        <v>David Jurásek (og)</v>
      </c>
      <c r="Y97" s="252" t="str">
        <f t="shared" si="232"/>
        <v>David Jurásek (og)</v>
      </c>
      <c r="BT97" s="253" t="str">
        <f t="shared" ca="1" si="78"/>
        <v>Switzerland</v>
      </c>
      <c r="BU97" s="253">
        <f t="shared" si="201"/>
        <v>95</v>
      </c>
      <c r="BV97" s="253" t="str">
        <f t="shared" si="172"/>
        <v>A19</v>
      </c>
      <c r="BW97" s="253">
        <f t="shared" si="173"/>
        <v>4</v>
      </c>
      <c r="BX97" s="253" t="str">
        <f t="shared" ca="1" si="174"/>
        <v>Ruben Vargas</v>
      </c>
      <c r="BY97" s="253">
        <f ca="1">COUNTIF('Group Stages'!$J$8:$Q$80,BX97)+COUNTIF('Knock Out Stages'!$K$7:$R$45,BX97)</f>
        <v>0</v>
      </c>
      <c r="BZ97" s="253" t="str">
        <f t="shared" si="175"/>
        <v>'Player Database'!b22</v>
      </c>
      <c r="CA97" s="253" t="str">
        <f t="shared" ca="1" si="176"/>
        <v>Ruben Vargas</v>
      </c>
      <c r="CB97" s="252">
        <v>94</v>
      </c>
      <c r="CC97" s="252" t="str">
        <f t="array" aca="1" ref="CC97" ca="1">IFERROR(INDEX($BX$3:$BX$810, SMALL(IF(COUNTIF(CC$3, $BY$3:$BY$810), ROW($BX$3:$BX$810)-MIN(ROW($BX$3:$BX$810))+1), $CB97), 0),"")</f>
        <v/>
      </c>
      <c r="CS97" s="252">
        <f t="shared" si="85"/>
        <v>94</v>
      </c>
      <c r="CT97" s="252">
        <f t="shared" si="86"/>
        <v>3</v>
      </c>
      <c r="CU97" s="252" t="str">
        <f t="shared" si="233"/>
        <v>CR13</v>
      </c>
      <c r="CV97" s="252" t="str">
        <f t="shared" ca="1" si="87"/>
        <v/>
      </c>
      <c r="CW97" s="252">
        <f t="shared" ca="1" si="193"/>
        <v>0</v>
      </c>
      <c r="CZ97" s="252">
        <v>94</v>
      </c>
      <c r="DA97" s="252" t="str">
        <f t="shared" ca="1" si="194"/>
        <v/>
      </c>
      <c r="DB97" s="252" t="str">
        <f t="shared" ca="1" si="189"/>
        <v/>
      </c>
      <c r="DC97" s="252" t="str">
        <f t="shared" ca="1" si="190"/>
        <v/>
      </c>
      <c r="DD97" s="252" t="str">
        <f t="shared" ca="1" si="191"/>
        <v/>
      </c>
    </row>
    <row r="98" spans="1:108" x14ac:dyDescent="0.2">
      <c r="A98" s="252">
        <f t="shared" si="208"/>
        <v>16</v>
      </c>
      <c r="B98" s="252" t="str">
        <f t="shared" si="209"/>
        <v>Dániel Gazdag (og)</v>
      </c>
      <c r="C98" s="252" t="str">
        <f t="shared" si="210"/>
        <v>Dániel Gazdag (og)</v>
      </c>
      <c r="D98" s="252" t="str">
        <f t="shared" si="211"/>
        <v>Liam Cooper (og)</v>
      </c>
      <c r="E98" s="252" t="str">
        <f t="shared" si="212"/>
        <v>Liam Cooper (og)</v>
      </c>
      <c r="F98" s="252" t="str">
        <f t="shared" si="213"/>
        <v>Rodri (og)</v>
      </c>
      <c r="G98" s="252" t="str">
        <f t="shared" si="214"/>
        <v>Rodri (og)</v>
      </c>
      <c r="H98" s="252" t="str">
        <f t="shared" si="215"/>
        <v>Medon Berisha (og)</v>
      </c>
      <c r="I98" s="252" t="str">
        <f t="shared" si="216"/>
        <v>Medon Berisha (og)</v>
      </c>
      <c r="J98" s="252" t="str">
        <f t="shared" si="217"/>
        <v>Igor Vekić (og)</v>
      </c>
      <c r="K98" s="252" t="str">
        <f t="shared" si="218"/>
        <v>Igor Vekić (og)</v>
      </c>
      <c r="L98" s="252" t="str">
        <f t="shared" si="219"/>
        <v>Conor Gallagher (og)</v>
      </c>
      <c r="M98" s="252" t="str">
        <f t="shared" si="220"/>
        <v>Conor Gallagher (og)</v>
      </c>
      <c r="N98" s="252" t="str">
        <f t="shared" si="221"/>
        <v>Phillipp Mwene (og)</v>
      </c>
      <c r="O98" s="252" t="str">
        <f t="shared" si="222"/>
        <v>Phillipp Mwene (og)</v>
      </c>
      <c r="P98" s="252" t="str">
        <f t="shared" si="223"/>
        <v>Joey Veerman (og)</v>
      </c>
      <c r="Q98" s="252" t="str">
        <f t="shared" si="224"/>
        <v>Joey Veerman (og)</v>
      </c>
      <c r="R98" s="252" t="str">
        <f t="shared" si="225"/>
        <v>Ștefan Târnovanu (og)</v>
      </c>
      <c r="S98" s="252" t="str">
        <f t="shared" si="226"/>
        <v>Ștefan Târnovanu (og)</v>
      </c>
      <c r="T98" s="252" t="str">
        <f t="shared" si="227"/>
        <v>Dávid Hancko (og)</v>
      </c>
      <c r="U98" s="252" t="str">
        <f t="shared" si="228"/>
        <v>Dávid Hancko (og)</v>
      </c>
      <c r="V98" s="252" t="str">
        <f t="shared" si="229"/>
        <v>İsmail Yüksek (og)</v>
      </c>
      <c r="W98" s="252" t="str">
        <f t="shared" si="230"/>
        <v>İsmail Yüksek (og)</v>
      </c>
      <c r="X98" s="252" t="str">
        <f t="shared" si="231"/>
        <v>Matěj Kovář (og)</v>
      </c>
      <c r="Y98" s="252" t="str">
        <f t="shared" si="232"/>
        <v>Matěj Kovář (og)</v>
      </c>
      <c r="BT98" s="253" t="str">
        <f t="shared" ca="1" si="78"/>
        <v>Switzerland</v>
      </c>
      <c r="BU98" s="253">
        <f t="shared" si="201"/>
        <v>96</v>
      </c>
      <c r="BV98" s="253" t="str">
        <f t="shared" si="172"/>
        <v>A20</v>
      </c>
      <c r="BW98" s="253">
        <f t="shared" si="173"/>
        <v>4</v>
      </c>
      <c r="BX98" s="253" t="str">
        <f t="shared" ca="1" si="174"/>
        <v>Kwadwo Duah</v>
      </c>
      <c r="BY98" s="253">
        <f ca="1">COUNTIF('Group Stages'!$J$8:$Q$80,BX98)+COUNTIF('Knock Out Stages'!$K$7:$R$45,BX98)</f>
        <v>1</v>
      </c>
      <c r="BZ98" s="253" t="str">
        <f t="shared" si="175"/>
        <v>'Player Database'!b23</v>
      </c>
      <c r="CA98" s="253" t="str">
        <f t="shared" ca="1" si="176"/>
        <v>Kwadwo Duah</v>
      </c>
      <c r="CB98" s="252">
        <v>95</v>
      </c>
      <c r="CC98" s="252" t="str">
        <f t="array" aca="1" ref="CC98" ca="1">IFERROR(INDEX($BX$3:$BX$810, SMALL(IF(COUNTIF(CC$3, $BY$3:$BY$810), ROW($BX$3:$BX$810)-MIN(ROW($BX$3:$BX$810))+1), $CB98), 0),"")</f>
        <v/>
      </c>
      <c r="CS98" s="252">
        <f t="shared" si="85"/>
        <v>95</v>
      </c>
      <c r="CT98" s="252">
        <f t="shared" si="86"/>
        <v>3</v>
      </c>
      <c r="CU98" s="252" t="str">
        <f t="shared" si="233"/>
        <v>CR14</v>
      </c>
      <c r="CV98" s="252" t="str">
        <f t="shared" ca="1" si="87"/>
        <v/>
      </c>
      <c r="CW98" s="252">
        <f t="shared" ca="1" si="193"/>
        <v>0</v>
      </c>
      <c r="CZ98" s="252">
        <v>95</v>
      </c>
      <c r="DA98" s="252" t="str">
        <f t="shared" ca="1" si="194"/>
        <v/>
      </c>
      <c r="DB98" s="252" t="str">
        <f t="shared" ca="1" si="189"/>
        <v/>
      </c>
      <c r="DC98" s="252" t="str">
        <f t="shared" ca="1" si="190"/>
        <v/>
      </c>
      <c r="DD98" s="252" t="str">
        <f t="shared" ca="1" si="191"/>
        <v/>
      </c>
    </row>
    <row r="99" spans="1:108" x14ac:dyDescent="0.2">
      <c r="A99" s="252">
        <f t="shared" si="208"/>
        <v>17</v>
      </c>
      <c r="B99" s="252" t="str">
        <f t="shared" si="209"/>
        <v>Callum Styles (og)</v>
      </c>
      <c r="C99" s="252" t="str">
        <f t="shared" si="210"/>
        <v>Callum Styles (og)</v>
      </c>
      <c r="D99" s="252" t="str">
        <f t="shared" si="211"/>
        <v>Stuart Armstrong (og)</v>
      </c>
      <c r="E99" s="252" t="str">
        <f t="shared" si="212"/>
        <v>Stuart Armstrong (og)</v>
      </c>
      <c r="F99" s="252" t="str">
        <f t="shared" si="213"/>
        <v>Nico Williams (og)</v>
      </c>
      <c r="G99" s="252" t="str">
        <f t="shared" si="214"/>
        <v>Nico Williams (og)</v>
      </c>
      <c r="H99" s="252" t="str">
        <f t="shared" si="215"/>
        <v>Ernest Muçi (og)</v>
      </c>
      <c r="I99" s="252" t="str">
        <f t="shared" si="216"/>
        <v>Ernest Muçi (og)</v>
      </c>
      <c r="J99" s="252" t="str">
        <f t="shared" si="217"/>
        <v>Jan Mlakar (og)</v>
      </c>
      <c r="K99" s="252" t="str">
        <f t="shared" si="218"/>
        <v>Jan Mlakar (og)</v>
      </c>
      <c r="L99" s="252" t="str">
        <f t="shared" si="219"/>
        <v>Ivan Toney (og)</v>
      </c>
      <c r="M99" s="252" t="str">
        <f t="shared" si="220"/>
        <v>Ivan Toney (og)</v>
      </c>
      <c r="N99" s="252" t="str">
        <f t="shared" si="221"/>
        <v>Florian Kainz (og)</v>
      </c>
      <c r="O99" s="252" t="str">
        <f t="shared" si="222"/>
        <v>Florian Kainz (og)</v>
      </c>
      <c r="P99" s="252" t="str">
        <f t="shared" si="223"/>
        <v>Daley Blind (og)</v>
      </c>
      <c r="Q99" s="252" t="str">
        <f t="shared" si="224"/>
        <v>Daley Blind (og)</v>
      </c>
      <c r="R99" s="252" t="str">
        <f t="shared" si="225"/>
        <v>Florinel Coman (og)</v>
      </c>
      <c r="S99" s="252" t="str">
        <f t="shared" si="226"/>
        <v>Florinel Coman (og)</v>
      </c>
      <c r="T99" s="252" t="str">
        <f t="shared" si="227"/>
        <v>Lukáš Haraslín (og)</v>
      </c>
      <c r="U99" s="252" t="str">
        <f t="shared" si="228"/>
        <v>Lukáš Haraslín (og)</v>
      </c>
      <c r="V99" s="252" t="str">
        <f t="shared" si="229"/>
        <v>İrfan Kahveci (og)</v>
      </c>
      <c r="W99" s="252" t="str">
        <f t="shared" si="230"/>
        <v>İrfan Kahveci (og)</v>
      </c>
      <c r="X99" s="252" t="str">
        <f t="shared" si="231"/>
        <v>Václav Černý (og)</v>
      </c>
      <c r="Y99" s="252" t="str">
        <f t="shared" si="232"/>
        <v>Václav Černý (og)</v>
      </c>
      <c r="BT99" s="253" t="str">
        <f t="shared" ca="1" si="78"/>
        <v>Switzerland</v>
      </c>
      <c r="BU99" s="253">
        <f t="shared" si="201"/>
        <v>97</v>
      </c>
      <c r="BV99" s="253" t="str">
        <f t="shared" si="172"/>
        <v>A21</v>
      </c>
      <c r="BW99" s="253">
        <f t="shared" si="173"/>
        <v>4</v>
      </c>
      <c r="BX99" s="253" t="str">
        <f t="shared" ca="1" si="174"/>
        <v>Dan Ndoye</v>
      </c>
      <c r="BY99" s="253">
        <f ca="1">COUNTIF('Group Stages'!$J$8:$Q$80,BX99)+COUNTIF('Knock Out Stages'!$K$7:$R$45,BX99)</f>
        <v>0</v>
      </c>
      <c r="BZ99" s="253" t="str">
        <f t="shared" si="175"/>
        <v>'Player Database'!b24</v>
      </c>
      <c r="CA99" s="253" t="str">
        <f t="shared" ca="1" si="176"/>
        <v>Dan Ndoye</v>
      </c>
      <c r="CB99" s="252">
        <v>96</v>
      </c>
      <c r="CC99" s="252" t="str">
        <f t="array" aca="1" ref="CC99" ca="1">IFERROR(INDEX($BX$3:$BX$810, SMALL(IF(COUNTIF(CC$3, $BY$3:$BY$810), ROW($BX$3:$BX$810)-MIN(ROW($BX$3:$BX$810))+1), $CB99), 0),"")</f>
        <v/>
      </c>
      <c r="CS99" s="252">
        <f t="shared" si="85"/>
        <v>96</v>
      </c>
      <c r="CT99" s="252">
        <f t="shared" si="86"/>
        <v>3</v>
      </c>
      <c r="CU99" s="252" t="str">
        <f t="shared" si="233"/>
        <v>CR15</v>
      </c>
      <c r="CV99" s="252" t="str">
        <f t="shared" ca="1" si="87"/>
        <v/>
      </c>
      <c r="CW99" s="252">
        <f t="shared" ca="1" si="193"/>
        <v>0</v>
      </c>
      <c r="CZ99" s="252">
        <v>96</v>
      </c>
      <c r="DA99" s="252" t="str">
        <f t="shared" ca="1" si="194"/>
        <v/>
      </c>
      <c r="DB99" s="252" t="str">
        <f t="shared" ca="1" si="189"/>
        <v/>
      </c>
      <c r="DC99" s="252" t="str">
        <f t="shared" ca="1" si="190"/>
        <v/>
      </c>
      <c r="DD99" s="252" t="str">
        <f t="shared" ca="1" si="191"/>
        <v/>
      </c>
    </row>
    <row r="100" spans="1:108" x14ac:dyDescent="0.2">
      <c r="A100" s="252">
        <f t="shared" si="208"/>
        <v>18</v>
      </c>
      <c r="B100" s="252" t="str">
        <f t="shared" si="209"/>
        <v>Zsolt Nagy (og)</v>
      </c>
      <c r="C100" s="252" t="str">
        <f t="shared" si="210"/>
        <v>Zsolt Nagy (og)</v>
      </c>
      <c r="D100" s="252" t="str">
        <f t="shared" si="211"/>
        <v>Lewis Morgan (og)</v>
      </c>
      <c r="E100" s="252" t="str">
        <f t="shared" si="212"/>
        <v>Lewis Morgan (og)</v>
      </c>
      <c r="F100" s="252" t="str">
        <f t="shared" si="213"/>
        <v>Martín Zubimendi (og)</v>
      </c>
      <c r="G100" s="252" t="str">
        <f t="shared" si="214"/>
        <v>Martín Zubimendi (og)</v>
      </c>
      <c r="I100" s="252" t="str">
        <f t="shared" si="216"/>
        <v>Ardian Ismajli (og)</v>
      </c>
      <c r="J100" s="252" t="str">
        <f t="shared" si="217"/>
        <v>Žan Vipotnik (og)</v>
      </c>
      <c r="K100" s="252" t="str">
        <f t="shared" si="218"/>
        <v>Žan Vipotnik (og)</v>
      </c>
      <c r="L100" s="252" t="str">
        <f t="shared" si="219"/>
        <v>Anthony Gordon (og)</v>
      </c>
      <c r="M100" s="252" t="str">
        <f t="shared" si="220"/>
        <v>Anthony Gordon (og)</v>
      </c>
      <c r="N100" s="252" t="str">
        <f t="shared" si="221"/>
        <v>Romano Schmid (og)</v>
      </c>
      <c r="O100" s="252" t="str">
        <f t="shared" si="222"/>
        <v>Romano Schmid (og)</v>
      </c>
      <c r="P100" s="252" t="str">
        <f t="shared" si="223"/>
        <v>Donyell Malen (og)</v>
      </c>
      <c r="Q100" s="252" t="str">
        <f t="shared" si="224"/>
        <v>Donyell Malen (og)</v>
      </c>
      <c r="R100" s="252" t="str">
        <f t="shared" si="225"/>
        <v>Răzvan Marin (og)</v>
      </c>
      <c r="S100" s="252" t="str">
        <f t="shared" si="226"/>
        <v>Răzvan Marin (og)</v>
      </c>
      <c r="T100" s="252" t="str">
        <f t="shared" si="227"/>
        <v>David Strelec (og)</v>
      </c>
      <c r="U100" s="252" t="str">
        <f t="shared" si="228"/>
        <v>David Strelec (og)</v>
      </c>
      <c r="V100" s="252" t="str">
        <f t="shared" si="229"/>
        <v>Mert Müldür (og)</v>
      </c>
      <c r="W100" s="252" t="str">
        <f t="shared" si="230"/>
        <v>Mert Müldür (og)</v>
      </c>
      <c r="X100" s="252" t="str">
        <f t="shared" si="231"/>
        <v>Ladislav Krejčí (og)</v>
      </c>
      <c r="Y100" s="252" t="str">
        <f t="shared" si="232"/>
        <v>Ladislav Krejčí (og)</v>
      </c>
      <c r="BT100" s="253" t="str">
        <f t="shared" ref="BT100:BT163" ca="1" si="234">OFFSET($A$2,0,BW100)</f>
        <v>Switzerland</v>
      </c>
      <c r="BU100" s="253">
        <f t="shared" si="201"/>
        <v>98</v>
      </c>
      <c r="BV100" s="253" t="str">
        <f t="shared" si="172"/>
        <v>A22</v>
      </c>
      <c r="BW100" s="253">
        <f t="shared" si="173"/>
        <v>4</v>
      </c>
      <c r="BX100" s="253" t="str">
        <f t="shared" ca="1" si="174"/>
        <v>Michel Aebischer</v>
      </c>
      <c r="BY100" s="253">
        <f ca="1">COUNTIF('Group Stages'!$J$8:$Q$80,BX100)+COUNTIF('Knock Out Stages'!$K$7:$R$45,BX100)</f>
        <v>1</v>
      </c>
      <c r="BZ100" s="253" t="str">
        <f t="shared" si="175"/>
        <v>'Player Database'!b25</v>
      </c>
      <c r="CA100" s="253" t="str">
        <f t="shared" ca="1" si="176"/>
        <v>Michel Aebischer</v>
      </c>
      <c r="CB100" s="252">
        <v>97</v>
      </c>
      <c r="CC100" s="252" t="str">
        <f t="array" aca="1" ref="CC100" ca="1">IFERROR(INDEX($BX$3:$BX$810, SMALL(IF(COUNTIF(CC$3, $BY$3:$BY$810), ROW($BX$3:$BX$810)-MIN(ROW($BX$3:$BX$810))+1), $CB100), 0),"")</f>
        <v/>
      </c>
      <c r="CS100" s="252">
        <f t="shared" si="85"/>
        <v>97</v>
      </c>
      <c r="CT100" s="252">
        <f t="shared" si="86"/>
        <v>3</v>
      </c>
      <c r="CU100" s="252" t="str">
        <f t="shared" si="233"/>
        <v>CR16</v>
      </c>
      <c r="CV100" s="252" t="str">
        <f t="shared" ca="1" si="87"/>
        <v/>
      </c>
      <c r="CW100" s="252">
        <f t="shared" ca="1" si="193"/>
        <v>0</v>
      </c>
      <c r="CZ100" s="252">
        <v>97</v>
      </c>
      <c r="DA100" s="252" t="str">
        <f t="shared" ca="1" si="194"/>
        <v/>
      </c>
      <c r="DB100" s="252" t="str">
        <f t="shared" ref="DB100:DB131" ca="1" si="235">IFERROR(VLOOKUP(DA100,$BX$3:$BY$810,2,FALSE),"")</f>
        <v/>
      </c>
      <c r="DC100" s="252" t="str">
        <f t="shared" ref="DC100:DC131" ca="1" si="236">IFERROR(VLOOKUP(DA100,$BX$3:$CA$810,4,FALSE),"")</f>
        <v/>
      </c>
      <c r="DD100" s="252" t="str">
        <f t="shared" ref="DD100:DD131" ca="1" si="237">IFERROR(INDEX($BT$3:$BT$810,MATCH(DA100,$BX$3:$BX$810,0),0),"")</f>
        <v/>
      </c>
    </row>
    <row r="101" spans="1:108" x14ac:dyDescent="0.2">
      <c r="A101" s="252">
        <f t="shared" si="208"/>
        <v>19</v>
      </c>
      <c r="B101" s="252" t="str">
        <f t="shared" si="209"/>
        <v>Barnabás Varga (og)</v>
      </c>
      <c r="C101" s="252" t="str">
        <f t="shared" si="210"/>
        <v>Barnabás Varga (og)</v>
      </c>
      <c r="D101" s="252" t="str">
        <f t="shared" si="211"/>
        <v>Tommy Conway (og)</v>
      </c>
      <c r="E101" s="252" t="str">
        <f t="shared" si="212"/>
        <v>Tommy Conway (og)</v>
      </c>
      <c r="F101" s="252" t="str">
        <f t="shared" si="213"/>
        <v>Lamine Yamal (og)</v>
      </c>
      <c r="G101" s="252" t="str">
        <f t="shared" si="214"/>
        <v>Lamine Yamal (og)</v>
      </c>
      <c r="H101" s="252" t="str">
        <f>G20&amp;" (og)"</f>
        <v>Ardian Ismajli (og)</v>
      </c>
      <c r="I101" s="252" t="str">
        <f t="shared" si="216"/>
        <v>Mirlind Daku (og)</v>
      </c>
      <c r="J101" s="252" t="str">
        <f t="shared" si="217"/>
        <v>Žan Celar (og)</v>
      </c>
      <c r="K101" s="252" t="str">
        <f t="shared" si="218"/>
        <v>Žan Celar (og)</v>
      </c>
      <c r="L101" s="252" t="str">
        <f t="shared" si="219"/>
        <v>Ollie Watkins (og)</v>
      </c>
      <c r="M101" s="252" t="str">
        <f t="shared" si="220"/>
        <v>Ollie Watkins (og)</v>
      </c>
      <c r="N101" s="252" t="str">
        <f t="shared" si="221"/>
        <v>Christoph Baumgartner (og)</v>
      </c>
      <c r="O101" s="252" t="str">
        <f t="shared" si="222"/>
        <v>Christoph Baumgartner (og)</v>
      </c>
      <c r="P101" s="252" t="str">
        <f t="shared" si="223"/>
        <v>Brian Brobbey (og)</v>
      </c>
      <c r="Q101" s="252" t="str">
        <f t="shared" si="224"/>
        <v>Brian Brobbey (og)</v>
      </c>
      <c r="R101" s="252" t="str">
        <f t="shared" si="225"/>
        <v>Denis Drăguș (og)</v>
      </c>
      <c r="S101" s="252" t="str">
        <f t="shared" si="226"/>
        <v>Denis Drăguș (og)</v>
      </c>
      <c r="T101" s="252" t="str">
        <f t="shared" si="227"/>
        <v>Juraj Kucka (og)</v>
      </c>
      <c r="U101" s="252" t="str">
        <f t="shared" si="228"/>
        <v>Juraj Kucka (og)</v>
      </c>
      <c r="V101" s="252" t="str">
        <f t="shared" si="229"/>
        <v>Kenan Yıldız (og)</v>
      </c>
      <c r="W101" s="252" t="str">
        <f t="shared" si="230"/>
        <v>Kenan Yıldız (og)</v>
      </c>
      <c r="X101" s="252" t="str">
        <f t="shared" si="231"/>
        <v>Tomáš Chorý (og)</v>
      </c>
      <c r="Y101" s="252" t="str">
        <f t="shared" si="232"/>
        <v>Tomáš Chorý (og)</v>
      </c>
      <c r="BT101" s="253" t="str">
        <f t="shared" ca="1" si="234"/>
        <v>Switzerland</v>
      </c>
      <c r="BU101" s="253">
        <f t="shared" si="201"/>
        <v>99</v>
      </c>
      <c r="BV101" s="253" t="str">
        <f t="shared" si="172"/>
        <v>A23</v>
      </c>
      <c r="BW101" s="253">
        <f t="shared" si="173"/>
        <v>4</v>
      </c>
      <c r="BX101" s="253" t="str">
        <f t="shared" ca="1" si="174"/>
        <v>Gregor Kobel</v>
      </c>
      <c r="BY101" s="253">
        <f ca="1">COUNTIF('Group Stages'!$J$8:$Q$80,BX101)+COUNTIF('Knock Out Stages'!$K$7:$R$45,BX101)</f>
        <v>0</v>
      </c>
      <c r="BZ101" s="253" t="str">
        <f t="shared" si="175"/>
        <v>'Player Database'!b26</v>
      </c>
      <c r="CA101" s="253" t="str">
        <f t="shared" ca="1" si="176"/>
        <v>Gregor Kobel</v>
      </c>
      <c r="CB101" s="252">
        <v>98</v>
      </c>
      <c r="CC101" s="252" t="str">
        <f t="array" aca="1" ref="CC101" ca="1">IFERROR(INDEX($BX$3:$BX$810, SMALL(IF(COUNTIF(CC$3, $BY$3:$BY$810), ROW($BX$3:$BX$810)-MIN(ROW($BX$3:$BX$810))+1), $CB101), 0),"")</f>
        <v/>
      </c>
      <c r="CS101" s="252">
        <f t="shared" si="85"/>
        <v>98</v>
      </c>
      <c r="CT101" s="252">
        <f t="shared" si="86"/>
        <v>3</v>
      </c>
      <c r="CU101" s="252" t="str">
        <f t="shared" si="233"/>
        <v>CR17</v>
      </c>
      <c r="CV101" s="252" t="str">
        <f t="shared" ca="1" si="87"/>
        <v/>
      </c>
      <c r="CW101" s="252">
        <f t="shared" ca="1" si="193"/>
        <v>0</v>
      </c>
      <c r="CZ101" s="252">
        <v>98</v>
      </c>
      <c r="DA101" s="252" t="str">
        <f t="shared" ca="1" si="194"/>
        <v/>
      </c>
      <c r="DB101" s="252" t="str">
        <f t="shared" ca="1" si="235"/>
        <v/>
      </c>
      <c r="DC101" s="252" t="str">
        <f t="shared" ca="1" si="236"/>
        <v/>
      </c>
      <c r="DD101" s="252" t="str">
        <f t="shared" ca="1" si="237"/>
        <v/>
      </c>
    </row>
    <row r="102" spans="1:108" x14ac:dyDescent="0.2">
      <c r="A102" s="252">
        <f t="shared" si="208"/>
        <v>20</v>
      </c>
      <c r="B102" s="252" t="str">
        <f t="shared" si="209"/>
        <v>Roland Sallai (og)</v>
      </c>
      <c r="C102" s="252" t="str">
        <f t="shared" si="210"/>
        <v>Roland Sallai (og)</v>
      </c>
      <c r="D102" s="252" t="str">
        <f t="shared" si="211"/>
        <v>Ryan Jack (og)</v>
      </c>
      <c r="E102" s="252" t="str">
        <f t="shared" si="212"/>
        <v>Ryan Jack (og)</v>
      </c>
      <c r="F102" s="252" t="str">
        <f t="shared" si="213"/>
        <v>Pedri (og)</v>
      </c>
      <c r="G102" s="252" t="str">
        <f t="shared" si="214"/>
        <v>Pedri (og)</v>
      </c>
      <c r="H102" s="252" t="str">
        <f>G21&amp;" (og)"</f>
        <v>Mirlind Daku (og)</v>
      </c>
      <c r="I102" s="252" t="str">
        <f t="shared" si="216"/>
        <v>Ylber Ramadani (og)</v>
      </c>
      <c r="J102" s="252" t="str">
        <f t="shared" si="217"/>
        <v>Petar Stojanović (og)</v>
      </c>
      <c r="K102" s="252" t="str">
        <f t="shared" si="218"/>
        <v>Petar Stojanović (og)</v>
      </c>
      <c r="L102" s="252" t="str">
        <f t="shared" si="219"/>
        <v>Jarrod Bowen (og)</v>
      </c>
      <c r="M102" s="252" t="str">
        <f t="shared" si="220"/>
        <v>Jarrod Bowen (og)</v>
      </c>
      <c r="N102" s="252" t="str">
        <f t="shared" si="221"/>
        <v>Konrad Laimer (og)</v>
      </c>
      <c r="O102" s="252" t="str">
        <f t="shared" si="222"/>
        <v>Konrad Laimer (og)</v>
      </c>
      <c r="P102" s="252" t="str">
        <f t="shared" si="223"/>
        <v>Ian Maatsen (og)</v>
      </c>
      <c r="Q102" s="252" t="str">
        <f t="shared" si="224"/>
        <v>Ian Maatsen (og)</v>
      </c>
      <c r="R102" s="252" t="str">
        <f t="shared" si="225"/>
        <v>Dennis Man (og)</v>
      </c>
      <c r="S102" s="252" t="str">
        <f t="shared" si="226"/>
        <v>Dennis Man (og)</v>
      </c>
      <c r="T102" s="252" t="str">
        <f t="shared" si="227"/>
        <v>Dávid Ďuriš (og)</v>
      </c>
      <c r="U102" s="252" t="str">
        <f t="shared" si="228"/>
        <v>Dávid Ďuriš (og)</v>
      </c>
      <c r="V102" s="252" t="str">
        <f t="shared" si="229"/>
        <v>Ferdi Kadıoğlu (og)</v>
      </c>
      <c r="W102" s="252" t="str">
        <f t="shared" si="230"/>
        <v>Ferdi Kadıoğlu (og)</v>
      </c>
      <c r="X102" s="252" t="str">
        <f t="shared" si="231"/>
        <v>Ondřej Lingr (og)</v>
      </c>
      <c r="Y102" s="252" t="str">
        <f t="shared" si="232"/>
        <v>Ondřej Lingr (og)</v>
      </c>
      <c r="BT102" s="253" t="str">
        <f t="shared" ca="1" si="234"/>
        <v>Switzerland</v>
      </c>
      <c r="BU102" s="253">
        <f t="shared" si="201"/>
        <v>100</v>
      </c>
      <c r="BV102" s="253" t="str">
        <f t="shared" si="172"/>
        <v>A24</v>
      </c>
      <c r="BW102" s="253">
        <f t="shared" si="173"/>
        <v>4</v>
      </c>
      <c r="BX102" s="253" t="str">
        <f t="shared" ca="1" si="174"/>
        <v>Fabian Schär</v>
      </c>
      <c r="BY102" s="253">
        <f ca="1">COUNTIF('Group Stages'!$J$8:$Q$80,BX102)+COUNTIF('Knock Out Stages'!$K$7:$R$45,BX102)</f>
        <v>0</v>
      </c>
      <c r="BZ102" s="253" t="str">
        <f t="shared" si="175"/>
        <v>'Player Database'!b27</v>
      </c>
      <c r="CA102" s="253" t="str">
        <f t="shared" ca="1" si="176"/>
        <v>Fabian Schär</v>
      </c>
      <c r="CB102" s="252">
        <v>99</v>
      </c>
      <c r="CC102" s="252" t="str">
        <f t="array" aca="1" ref="CC102" ca="1">IFERROR(INDEX($BX$3:$BX$810, SMALL(IF(COUNTIF(CC$3, $BY$3:$BY$810), ROW($BX$3:$BX$810)-MIN(ROW($BX$3:$BX$810))+1), $CB102), 0),"")</f>
        <v/>
      </c>
      <c r="CS102" s="252">
        <f t="shared" si="85"/>
        <v>99</v>
      </c>
      <c r="CT102" s="252">
        <f t="shared" si="86"/>
        <v>3</v>
      </c>
      <c r="CU102" s="252" t="str">
        <f t="shared" si="233"/>
        <v>CR18</v>
      </c>
      <c r="CV102" s="252" t="str">
        <f t="shared" ca="1" si="87"/>
        <v/>
      </c>
      <c r="CW102" s="252">
        <f t="shared" ca="1" si="193"/>
        <v>0</v>
      </c>
      <c r="CZ102" s="252">
        <v>99</v>
      </c>
      <c r="DA102" s="252" t="str">
        <f t="shared" ca="1" si="194"/>
        <v/>
      </c>
      <c r="DB102" s="252" t="str">
        <f t="shared" ca="1" si="235"/>
        <v/>
      </c>
      <c r="DC102" s="252" t="str">
        <f t="shared" ca="1" si="236"/>
        <v/>
      </c>
      <c r="DD102" s="252" t="str">
        <f t="shared" ca="1" si="237"/>
        <v/>
      </c>
    </row>
    <row r="103" spans="1:108" x14ac:dyDescent="0.2">
      <c r="A103" s="252">
        <f t="shared" ref="A103:A108" si="238">A77</f>
        <v>21</v>
      </c>
      <c r="B103" s="252" t="str">
        <f t="shared" ref="B103:B105" si="239">D23&amp;" (og)"</f>
        <v>Endre Botka (og)</v>
      </c>
      <c r="C103" s="252" t="str">
        <f t="shared" ref="C103:C105" si="240">D23&amp;" (og)"</f>
        <v>Endre Botka (og)</v>
      </c>
      <c r="D103" s="252" t="str">
        <f t="shared" ref="D103:D105" si="241">C23&amp;" (og)"</f>
        <v>Zander Clark (og)</v>
      </c>
      <c r="E103" s="252" t="str">
        <f t="shared" ref="E103:E105" si="242">C23&amp;" (og)"</f>
        <v>Zander Clark (og)</v>
      </c>
      <c r="F103" s="252" t="str">
        <f t="shared" ref="F103:F105" si="243">H23&amp;" (og)"</f>
        <v>Mikel Oyarzabal (og)</v>
      </c>
      <c r="G103" s="252" t="str">
        <f t="shared" ref="G103:G105" si="244">H23&amp;" (og)"</f>
        <v>Mikel Oyarzabal (og)</v>
      </c>
      <c r="H103" s="252" t="str">
        <f t="shared" ref="H103:H105" si="245">G22&amp;" (og)"</f>
        <v>Ylber Ramadani (og)</v>
      </c>
      <c r="I103" s="252" t="str">
        <f t="shared" ref="I103:I105" si="246">G23&amp;" (og)"</f>
        <v>Kristjan Asllani (og)</v>
      </c>
      <c r="J103" s="252" t="str">
        <f t="shared" ref="J103:J105" si="247">L23&amp;" (og)"</f>
        <v>Vanja Drkušić (og)</v>
      </c>
      <c r="K103" s="252" t="str">
        <f t="shared" ref="K103:K105" si="248">L23&amp;" (og)"</f>
        <v>Vanja Drkušić (og)</v>
      </c>
      <c r="L103" s="252" t="str">
        <f t="shared" ref="L103:L105" si="249">K23&amp;" (og)"</f>
        <v>Eberechi Eze (og)</v>
      </c>
      <c r="M103" s="252" t="str">
        <f t="shared" ref="M103:M105" si="250">K23&amp;" (og)"</f>
        <v>Eberechi Eze (og)</v>
      </c>
      <c r="N103" s="252" t="str">
        <f t="shared" ref="N103:N105" si="251">P23&amp;" (og)"</f>
        <v>Flavius Daniliuc (og)</v>
      </c>
      <c r="O103" s="252" t="str">
        <f t="shared" ref="O103:O105" si="252">P23&amp;" (og)"</f>
        <v>Flavius Daniliuc (og)</v>
      </c>
      <c r="P103" s="252" t="str">
        <f t="shared" ref="P103:P105" si="253">O23&amp;" (og)"</f>
        <v>Joshua Zirkzee (og)</v>
      </c>
      <c r="Q103" s="252" t="str">
        <f t="shared" ref="Q103:Q105" si="254">O23&amp;" (og)"</f>
        <v>Joshua Zirkzee (og)</v>
      </c>
      <c r="R103" s="252" t="str">
        <f t="shared" ref="R103:R105" si="255">T23&amp;" (og)"</f>
        <v>Nicolae Stanciu (og)</v>
      </c>
      <c r="S103" s="252" t="str">
        <f t="shared" ref="S103:S105" si="256">T23&amp;" (og)"</f>
        <v>Nicolae Stanciu (og)</v>
      </c>
      <c r="T103" s="252" t="str">
        <f t="shared" ref="T103:T105" si="257">S23&amp;" (og)"</f>
        <v>Matúš Bero (og)</v>
      </c>
      <c r="U103" s="252" t="str">
        <f t="shared" ref="U103:U105" si="258">S23&amp;" (og)"</f>
        <v>Matúš Bero (og)</v>
      </c>
      <c r="V103" s="252" t="str">
        <f t="shared" ref="V103:V105" si="259">X23&amp;" (og)"</f>
        <v>Barış Alper Yılmaz (og)</v>
      </c>
      <c r="W103" s="252" t="str">
        <f t="shared" ref="W103:W105" si="260">X23&amp;" (og)"</f>
        <v>Barış Alper Yılmaz (og)</v>
      </c>
      <c r="X103" s="252" t="str">
        <f t="shared" ref="X103:X105" si="261">W23&amp;" (og)"</f>
        <v>Lukáš Červ (og)</v>
      </c>
      <c r="Y103" s="252" t="str">
        <f t="shared" ref="Y103:Y105" si="262">W23&amp;" (og)"</f>
        <v>Lukáš Červ (og)</v>
      </c>
      <c r="BT103" s="253" t="str">
        <f t="shared" ca="1" si="234"/>
        <v>Switzerland</v>
      </c>
      <c r="BU103" s="253">
        <f t="shared" si="201"/>
        <v>101</v>
      </c>
      <c r="BV103" s="253" t="str">
        <f t="shared" si="172"/>
        <v>A25</v>
      </c>
      <c r="BW103" s="253">
        <f t="shared" si="173"/>
        <v>4</v>
      </c>
      <c r="BX103" s="253" t="str">
        <f t="shared" ca="1" si="174"/>
        <v>Xherdan Shaqiri</v>
      </c>
      <c r="BY103" s="253">
        <f ca="1">COUNTIF('Group Stages'!$J$8:$Q$80,BX103)+COUNTIF('Knock Out Stages'!$K$7:$R$45,BX103)</f>
        <v>0</v>
      </c>
      <c r="BZ103" s="253" t="str">
        <f t="shared" si="175"/>
        <v>'Player Database'!b28</v>
      </c>
      <c r="CA103" s="253" t="str">
        <f t="shared" ca="1" si="176"/>
        <v>Xherdan Shaqiri</v>
      </c>
      <c r="CB103" s="252">
        <v>100</v>
      </c>
      <c r="CC103" s="252" t="str">
        <f t="array" aca="1" ref="CC103" ca="1">IFERROR(INDEX($BX$3:$BX$810, SMALL(IF(COUNTIF(CC$3, $BY$3:$BY$810), ROW($BX$3:$BX$810)-MIN(ROW($BX$3:$BX$810))+1), $CB103), 0),"")</f>
        <v/>
      </c>
      <c r="CS103" s="252">
        <f t="shared" si="85"/>
        <v>100</v>
      </c>
      <c r="CT103" s="252">
        <f t="shared" si="86"/>
        <v>3</v>
      </c>
      <c r="CU103" s="252" t="str">
        <f t="shared" si="233"/>
        <v>CR19</v>
      </c>
      <c r="CV103" s="252" t="str">
        <f t="shared" ca="1" si="87"/>
        <v/>
      </c>
      <c r="CW103" s="252">
        <f t="shared" ca="1" si="193"/>
        <v>0</v>
      </c>
      <c r="CZ103" s="252">
        <v>100</v>
      </c>
      <c r="DA103" s="252" t="str">
        <f t="shared" ca="1" si="194"/>
        <v/>
      </c>
      <c r="DB103" s="252" t="str">
        <f t="shared" ca="1" si="235"/>
        <v/>
      </c>
      <c r="DC103" s="252" t="str">
        <f t="shared" ca="1" si="236"/>
        <v/>
      </c>
      <c r="DD103" s="252" t="str">
        <f t="shared" ca="1" si="237"/>
        <v/>
      </c>
    </row>
    <row r="104" spans="1:108" x14ac:dyDescent="0.2">
      <c r="A104" s="252">
        <f t="shared" si="238"/>
        <v>22</v>
      </c>
      <c r="B104" s="252" t="str">
        <f t="shared" si="239"/>
        <v>Péter Szappanos (og)</v>
      </c>
      <c r="C104" s="252" t="str">
        <f t="shared" si="240"/>
        <v>Péter Szappanos (og)</v>
      </c>
      <c r="D104" s="252" t="str">
        <f t="shared" si="241"/>
        <v>Ross McCrorie (og)</v>
      </c>
      <c r="E104" s="252" t="str">
        <f t="shared" si="242"/>
        <v>Ross McCrorie (og)</v>
      </c>
      <c r="F104" s="252" t="str">
        <f t="shared" si="243"/>
        <v>Jesús Navas (og)</v>
      </c>
      <c r="G104" s="252" t="str">
        <f t="shared" si="244"/>
        <v>Jesús Navas (og)</v>
      </c>
      <c r="H104" s="252" t="str">
        <f t="shared" si="245"/>
        <v>Kristjan Asllani (og)</v>
      </c>
      <c r="I104" s="252" t="str">
        <f t="shared" si="246"/>
        <v>Amir Abrashi (og)</v>
      </c>
      <c r="J104" s="252" t="str">
        <f t="shared" si="247"/>
        <v>Adam Gnezda Čerin (og)</v>
      </c>
      <c r="K104" s="252" t="str">
        <f t="shared" si="248"/>
        <v>Adam Gnezda Čerin (og)</v>
      </c>
      <c r="L104" s="252" t="str">
        <f t="shared" si="249"/>
        <v>Joe Gomez (og)</v>
      </c>
      <c r="M104" s="252" t="str">
        <f t="shared" si="250"/>
        <v>Joe Gomez (og)</v>
      </c>
      <c r="N104" s="252" t="str">
        <f t="shared" si="251"/>
        <v>Matthias Seidl (og)</v>
      </c>
      <c r="O104" s="252" t="str">
        <f t="shared" si="252"/>
        <v>Matthias Seidl (og)</v>
      </c>
      <c r="P104" s="252" t="str">
        <f t="shared" si="253"/>
        <v>Denzel Dumfries (og)</v>
      </c>
      <c r="Q104" s="252" t="str">
        <f t="shared" si="254"/>
        <v>Denzel Dumfries (og)</v>
      </c>
      <c r="R104" s="252" t="str">
        <f t="shared" si="255"/>
        <v>Vasile Mogoș (og)</v>
      </c>
      <c r="S104" s="252" t="str">
        <f t="shared" si="256"/>
        <v>Vasile Mogoș (og)</v>
      </c>
      <c r="T104" s="252" t="str">
        <f t="shared" si="257"/>
        <v>Stanislav Lobotka (og)</v>
      </c>
      <c r="U104" s="252" t="str">
        <f t="shared" si="258"/>
        <v>Stanislav Lobotka (og)</v>
      </c>
      <c r="V104" s="252" t="str">
        <f t="shared" si="259"/>
        <v>Kaan Ayhan (og)</v>
      </c>
      <c r="W104" s="252" t="str">
        <f t="shared" si="260"/>
        <v>Kaan Ayhan (og)</v>
      </c>
      <c r="X104" s="252" t="str">
        <f t="shared" si="261"/>
        <v>Tomáš Souček (og)</v>
      </c>
      <c r="Y104" s="252" t="str">
        <f t="shared" si="262"/>
        <v>Tomáš Souček (og)</v>
      </c>
      <c r="BT104" s="253" t="str">
        <f t="shared" ca="1" si="234"/>
        <v>Switzerland</v>
      </c>
      <c r="BU104" s="253">
        <f t="shared" si="201"/>
        <v>102</v>
      </c>
      <c r="BV104" s="253" t="str">
        <f t="shared" si="172"/>
        <v>A26</v>
      </c>
      <c r="BW104" s="253">
        <f t="shared" si="173"/>
        <v>4</v>
      </c>
      <c r="BX104" s="253" t="str">
        <f t="shared" ca="1" si="174"/>
        <v>Ardon Jashari</v>
      </c>
      <c r="BY104" s="253">
        <f ca="1">COUNTIF('Group Stages'!$J$8:$Q$80,BX104)+COUNTIF('Knock Out Stages'!$K$7:$R$45,BX104)</f>
        <v>0</v>
      </c>
      <c r="BZ104" s="253" t="str">
        <f t="shared" si="175"/>
        <v>'Player Database'!b29</v>
      </c>
      <c r="CA104" s="253" t="str">
        <f t="shared" ca="1" si="176"/>
        <v>Ardon Jashari</v>
      </c>
      <c r="CB104" s="252">
        <v>101</v>
      </c>
      <c r="CC104" s="252" t="str">
        <f t="array" aca="1" ref="CC104" ca="1">IFERROR(INDEX($BX$3:$BX$810, SMALL(IF(COUNTIF(CC$3, $BY$3:$BY$810), ROW($BX$3:$BX$810)-MIN(ROW($BX$3:$BX$810))+1), $CB104), 0),"")</f>
        <v/>
      </c>
      <c r="CS104" s="252">
        <f t="shared" si="85"/>
        <v>101</v>
      </c>
      <c r="CT104" s="252">
        <f t="shared" si="86"/>
        <v>3</v>
      </c>
      <c r="CU104" s="252" t="str">
        <f t="shared" si="233"/>
        <v>CR20</v>
      </c>
      <c r="CV104" s="252" t="str">
        <f t="shared" ca="1" si="87"/>
        <v/>
      </c>
      <c r="CW104" s="252">
        <f t="shared" ca="1" si="193"/>
        <v>0</v>
      </c>
      <c r="CZ104" s="252">
        <v>101</v>
      </c>
      <c r="DA104" s="252" t="str">
        <f t="shared" ca="1" si="194"/>
        <v/>
      </c>
      <c r="DB104" s="252" t="str">
        <f t="shared" ca="1" si="235"/>
        <v/>
      </c>
      <c r="DC104" s="252" t="str">
        <f t="shared" ca="1" si="236"/>
        <v/>
      </c>
      <c r="DD104" s="252" t="str">
        <f t="shared" ca="1" si="237"/>
        <v/>
      </c>
    </row>
    <row r="105" spans="1:108" x14ac:dyDescent="0.2">
      <c r="A105" s="252">
        <f t="shared" si="238"/>
        <v>23</v>
      </c>
      <c r="B105" s="252" t="str">
        <f t="shared" si="239"/>
        <v>Kevin Csoboth (og)</v>
      </c>
      <c r="C105" s="252" t="str">
        <f t="shared" si="240"/>
        <v>Kevin Csoboth (og)</v>
      </c>
      <c r="D105" s="252" t="str">
        <f t="shared" si="241"/>
        <v>Kenny McLean (og)</v>
      </c>
      <c r="E105" s="252" t="str">
        <f t="shared" si="242"/>
        <v>Kenny McLean (og)</v>
      </c>
      <c r="F105" s="252" t="str">
        <f t="shared" si="243"/>
        <v>Unai Simón (og)</v>
      </c>
      <c r="G105" s="252" t="str">
        <f t="shared" si="244"/>
        <v>Unai Simón (og)</v>
      </c>
      <c r="H105" s="252" t="str">
        <f t="shared" si="245"/>
        <v>Amir Abrashi (og)</v>
      </c>
      <c r="I105" s="252" t="str">
        <f t="shared" si="246"/>
        <v>Thomas Strakosha (og)</v>
      </c>
      <c r="J105" s="252" t="str">
        <f t="shared" si="247"/>
        <v>David Brekalo (og)</v>
      </c>
      <c r="K105" s="252" t="str">
        <f t="shared" si="248"/>
        <v>David Brekalo (og)</v>
      </c>
      <c r="L105" s="252" t="str">
        <f t="shared" si="249"/>
        <v>Dean Henderson (og)</v>
      </c>
      <c r="M105" s="252" t="str">
        <f t="shared" si="250"/>
        <v>Dean Henderson (og)</v>
      </c>
      <c r="N105" s="252" t="str">
        <f t="shared" si="251"/>
        <v>Patrick Wimmer (og)</v>
      </c>
      <c r="O105" s="252" t="str">
        <f t="shared" si="252"/>
        <v>Patrick Wimmer (og)</v>
      </c>
      <c r="P105" s="252" t="str">
        <f t="shared" si="253"/>
        <v>Mark Flekken (og)</v>
      </c>
      <c r="Q105" s="252" t="str">
        <f t="shared" si="254"/>
        <v>Mark Flekken (og)</v>
      </c>
      <c r="R105" s="252" t="str">
        <f t="shared" si="255"/>
        <v>Deian Sorescu (og)</v>
      </c>
      <c r="S105" s="252" t="str">
        <f t="shared" si="256"/>
        <v>Deian Sorescu (og)</v>
      </c>
      <c r="T105" s="252" t="str">
        <f t="shared" si="257"/>
        <v>Henrich Ravas (og)</v>
      </c>
      <c r="U105" s="252" t="str">
        <f t="shared" si="258"/>
        <v>Henrich Ravas (og)</v>
      </c>
      <c r="V105" s="252" t="str">
        <f t="shared" si="259"/>
        <v>Uğurcan Çakır (og)</v>
      </c>
      <c r="W105" s="252" t="str">
        <f t="shared" si="260"/>
        <v>Uğurcan Çakır (og)</v>
      </c>
      <c r="X105" s="252" t="str">
        <f t="shared" si="261"/>
        <v>Vítězslav Jaroš (og)</v>
      </c>
      <c r="Y105" s="252" t="str">
        <f t="shared" si="262"/>
        <v>Vítězslav Jaroš (og)</v>
      </c>
      <c r="BT105" s="253" t="str">
        <f t="shared" ca="1" si="234"/>
        <v>Switzerland</v>
      </c>
      <c r="BU105" s="253">
        <f t="shared" si="201"/>
        <v>103</v>
      </c>
      <c r="BV105" s="253" t="str">
        <f t="shared" si="172"/>
        <v>A27</v>
      </c>
      <c r="BW105" s="253">
        <f t="shared" si="173"/>
        <v>4</v>
      </c>
      <c r="BX105" s="253" t="str">
        <f t="shared" ca="1" si="174"/>
        <v>Zeki Amdouni</v>
      </c>
      <c r="BY105" s="253">
        <f ca="1">COUNTIF('Group Stages'!$J$8:$Q$80,BX105)+COUNTIF('Knock Out Stages'!$K$7:$R$45,BX105)</f>
        <v>0</v>
      </c>
      <c r="BZ105" s="253" t="str">
        <f t="shared" si="175"/>
        <v>'Player Database'!b30</v>
      </c>
      <c r="CA105" s="253" t="str">
        <f t="shared" ca="1" si="176"/>
        <v>Zeki Amdouni</v>
      </c>
      <c r="CB105" s="252">
        <v>102</v>
      </c>
      <c r="CC105" s="252" t="str">
        <f t="array" aca="1" ref="CC105" ca="1">IFERROR(INDEX($BX$3:$BX$810, SMALL(IF(COUNTIF(CC$3, $BY$3:$BY$810), ROW($BX$3:$BX$810)-MIN(ROW($BX$3:$BX$810))+1), $CB105), 0),"")</f>
        <v/>
      </c>
      <c r="CS105" s="252">
        <f t="shared" si="85"/>
        <v>102</v>
      </c>
      <c r="CT105" s="252">
        <f t="shared" si="86"/>
        <v>3</v>
      </c>
      <c r="CU105" s="252" t="str">
        <f t="shared" si="233"/>
        <v>CR21</v>
      </c>
      <c r="CV105" s="252" t="str">
        <f t="shared" ca="1" si="87"/>
        <v/>
      </c>
      <c r="CW105" s="252">
        <f t="shared" ca="1" si="193"/>
        <v>0</v>
      </c>
      <c r="CZ105" s="252">
        <v>102</v>
      </c>
      <c r="DA105" s="252" t="str">
        <f t="shared" ca="1" si="194"/>
        <v/>
      </c>
      <c r="DB105" s="252" t="str">
        <f t="shared" ca="1" si="235"/>
        <v/>
      </c>
      <c r="DC105" s="252" t="str">
        <f t="shared" ca="1" si="236"/>
        <v/>
      </c>
      <c r="DD105" s="252" t="str">
        <f t="shared" ca="1" si="237"/>
        <v/>
      </c>
    </row>
    <row r="106" spans="1:108" x14ac:dyDescent="0.2">
      <c r="A106" s="252">
        <f t="shared" si="238"/>
        <v>24</v>
      </c>
      <c r="B106" s="252" t="str">
        <f t="shared" ref="B106:B108" si="263">D26&amp;" (og)"</f>
        <v>Márton Dárdai (og)</v>
      </c>
      <c r="C106" s="252" t="str">
        <f t="shared" ref="C106:C108" si="264">D26&amp;" (og)"</f>
        <v>Márton Dárdai (og)</v>
      </c>
      <c r="D106" s="252" t="str">
        <f t="shared" ref="D106:D108" si="265">C26&amp;" (og)"</f>
        <v>Greg Taylor (og)</v>
      </c>
      <c r="E106" s="252" t="str">
        <f t="shared" ref="E106:E108" si="266">C26&amp;" (og)"</f>
        <v>Greg Taylor (og)</v>
      </c>
      <c r="F106" s="252" t="str">
        <f t="shared" ref="F106:F108" si="267">H26&amp;" (og)"</f>
        <v>Marc Cucurella (og)</v>
      </c>
      <c r="G106" s="252" t="str">
        <f t="shared" ref="G106:G108" si="268">H26&amp;" (og)"</f>
        <v>Marc Cucurella (og)</v>
      </c>
      <c r="H106" s="252" t="str">
        <f t="shared" ref="H106:H108" si="269">G25&amp;" (og)"</f>
        <v>Thomas Strakosha (og)</v>
      </c>
      <c r="I106" s="252" t="str">
        <f t="shared" ref="I106:I108" si="270">G26&amp;" (og)"</f>
        <v>Marash Kumbulla (og)</v>
      </c>
      <c r="J106" s="252" t="str">
        <f t="shared" ref="J106:J108" si="271">L26&amp;" (og)"</f>
        <v>Nino Žugelj (og)</v>
      </c>
      <c r="K106" s="252" t="str">
        <f t="shared" ref="K106:K108" si="272">L26&amp;" (og)"</f>
        <v>Nino Žugelj (og)</v>
      </c>
      <c r="L106" s="252" t="str">
        <f t="shared" ref="L106:L108" si="273">K26&amp;" (og)"</f>
        <v>Cole Palmer (og)</v>
      </c>
      <c r="M106" s="252" t="str">
        <f t="shared" ref="M106:M108" si="274">K26&amp;" (og)"</f>
        <v>Cole Palmer (og)</v>
      </c>
      <c r="N106" s="252" t="str">
        <f t="shared" ref="N106:N108" si="275">P26&amp;" (og)"</f>
        <v>Andreas Weimann (og)</v>
      </c>
      <c r="O106" s="252" t="str">
        <f t="shared" ref="O106:O108" si="276">P26&amp;" (og)"</f>
        <v>Andreas Weimann (og)</v>
      </c>
      <c r="P106" s="252" t="str">
        <f t="shared" ref="P106:P108" si="277">O26&amp;" (og)"</f>
        <v>Jerdy Schouten (og)</v>
      </c>
      <c r="Q106" s="252" t="str">
        <f t="shared" ref="Q106:Q108" si="278">O26&amp;" (og)"</f>
        <v>Jerdy Schouten (og)</v>
      </c>
      <c r="R106" s="252" t="str">
        <f t="shared" ref="R106:R108" si="279">T26&amp;" (og)"</f>
        <v>Bogdan Racovițan (og)</v>
      </c>
      <c r="S106" s="252" t="str">
        <f t="shared" ref="S106:S108" si="280">T26&amp;" (og)"</f>
        <v>Bogdan Racovițan (og)</v>
      </c>
      <c r="T106" s="252" t="str">
        <f t="shared" ref="T106:T108" si="281">S26&amp;" (og)"</f>
        <v>Leo Sauer (og)</v>
      </c>
      <c r="U106" s="252" t="str">
        <f t="shared" ref="U106:U108" si="282">S26&amp;" (og)"</f>
        <v>Leo Sauer (og)</v>
      </c>
      <c r="V106" s="252" t="str">
        <f t="shared" ref="V106:V108" si="283">X26&amp;" (og)"</f>
        <v>Semih Kılıçsoy (og)</v>
      </c>
      <c r="W106" s="252" t="str">
        <f t="shared" ref="W106:W108" si="284">X26&amp;" (og)"</f>
        <v>Semih Kılıçsoy (og)</v>
      </c>
      <c r="X106" s="252" t="str">
        <f t="shared" ref="X106:X108" si="285">W26&amp;" (og)"</f>
        <v>Tomáš Vlček (og)</v>
      </c>
      <c r="Y106" s="252" t="str">
        <f t="shared" ref="Y106:Y108" si="286">W26&amp;" (og)"</f>
        <v>Tomáš Vlček (og)</v>
      </c>
      <c r="BT106" s="253" t="str">
        <f t="shared" ca="1" si="234"/>
        <v>Switzerland</v>
      </c>
      <c r="BU106" s="253">
        <f t="shared" si="201"/>
        <v>104</v>
      </c>
      <c r="BV106" s="253" t="str">
        <f t="shared" si="172"/>
        <v>A28</v>
      </c>
      <c r="BW106" s="253">
        <f t="shared" si="173"/>
        <v>4</v>
      </c>
      <c r="BX106" s="253" t="str">
        <f t="shared" ca="1" si="174"/>
        <v>Fabian Rieder</v>
      </c>
      <c r="BY106" s="253">
        <f ca="1">COUNTIF('Group Stages'!$J$8:$Q$80,BX106)+COUNTIF('Knock Out Stages'!$K$7:$R$45,BX106)</f>
        <v>0</v>
      </c>
      <c r="BZ106" s="253" t="str">
        <f t="shared" si="175"/>
        <v>'Player Database'!b31</v>
      </c>
      <c r="CA106" s="253" t="str">
        <f t="shared" ca="1" si="176"/>
        <v>Fabian Rieder</v>
      </c>
      <c r="CB106" s="252">
        <v>103</v>
      </c>
      <c r="CC106" s="252" t="str">
        <f t="array" aca="1" ref="CC106" ca="1">IFERROR(INDEX($BX$3:$BX$810, SMALL(IF(COUNTIF(CC$3, $BY$3:$BY$810), ROW($BX$3:$BX$810)-MIN(ROW($BX$3:$BX$810))+1), $CB106), 0),"")</f>
        <v/>
      </c>
      <c r="CS106" s="252">
        <f t="shared" si="85"/>
        <v>103</v>
      </c>
      <c r="CT106" s="252">
        <f t="shared" si="86"/>
        <v>3</v>
      </c>
      <c r="CU106" s="252" t="str">
        <f t="shared" si="233"/>
        <v>CR22</v>
      </c>
      <c r="CV106" s="252" t="str">
        <f t="shared" ca="1" si="87"/>
        <v/>
      </c>
      <c r="CW106" s="252">
        <f t="shared" ca="1" si="193"/>
        <v>0</v>
      </c>
      <c r="CZ106" s="252">
        <v>103</v>
      </c>
      <c r="DA106" s="252" t="str">
        <f t="shared" ca="1" si="194"/>
        <v/>
      </c>
      <c r="DB106" s="252" t="str">
        <f t="shared" ca="1" si="235"/>
        <v/>
      </c>
      <c r="DC106" s="252" t="str">
        <f t="shared" ca="1" si="236"/>
        <v/>
      </c>
      <c r="DD106" s="252" t="str">
        <f t="shared" ca="1" si="237"/>
        <v/>
      </c>
    </row>
    <row r="107" spans="1:108" x14ac:dyDescent="0.2">
      <c r="A107" s="252">
        <f t="shared" si="238"/>
        <v>25</v>
      </c>
      <c r="B107" s="252" t="str">
        <f t="shared" si="263"/>
        <v>Krisztofer Horváth (og)</v>
      </c>
      <c r="C107" s="252" t="str">
        <f t="shared" si="264"/>
        <v>Krisztofer Horváth (og)</v>
      </c>
      <c r="D107" s="252" t="str">
        <f t="shared" si="265"/>
        <v>James Forrest (og)</v>
      </c>
      <c r="E107" s="252" t="str">
        <f t="shared" si="266"/>
        <v>James Forrest (og)</v>
      </c>
      <c r="F107" s="252" t="str">
        <f t="shared" si="267"/>
        <v>Fermín López (og)</v>
      </c>
      <c r="G107" s="252" t="str">
        <f t="shared" si="268"/>
        <v>Fermín López (og)</v>
      </c>
      <c r="H107" s="252" t="str">
        <f t="shared" si="269"/>
        <v>Marash Kumbulla (og)</v>
      </c>
      <c r="I107" s="252" t="str">
        <f t="shared" si="270"/>
        <v>Naser Aliji (og)</v>
      </c>
      <c r="J107" s="252" t="str">
        <f t="shared" si="271"/>
        <v>Adrian Zeljković (og)</v>
      </c>
      <c r="K107" s="252" t="str">
        <f t="shared" si="272"/>
        <v>Adrian Zeljković (og)</v>
      </c>
      <c r="L107" s="252" t="str">
        <f t="shared" si="273"/>
        <v>Adam Wharton (og)</v>
      </c>
      <c r="M107" s="252" t="str">
        <f t="shared" si="274"/>
        <v>Adam Wharton (og)</v>
      </c>
      <c r="N107" s="252" t="str">
        <f t="shared" si="275"/>
        <v>Maximilian Entrup (og)</v>
      </c>
      <c r="O107" s="252" t="str">
        <f t="shared" si="276"/>
        <v>Maximilian Entrup (og)</v>
      </c>
      <c r="P107" s="252" t="str">
        <f t="shared" si="277"/>
        <v>Steven Bergwijn (og)</v>
      </c>
      <c r="Q107" s="252" t="str">
        <f t="shared" si="278"/>
        <v>Steven Bergwijn (og)</v>
      </c>
      <c r="R107" s="252" t="str">
        <f t="shared" si="279"/>
        <v>Daniel Bîrligea (og)</v>
      </c>
      <c r="S107" s="252" t="str">
        <f t="shared" si="280"/>
        <v>Daniel Bîrligea (og)</v>
      </c>
      <c r="T107" s="252" t="str">
        <f t="shared" si="281"/>
        <v>Sebastian Kóša (og)</v>
      </c>
      <c r="U107" s="252" t="str">
        <f t="shared" si="282"/>
        <v>Sebastian Kóša (og)</v>
      </c>
      <c r="V107" s="252" t="str">
        <f t="shared" si="283"/>
        <v>Yunus Akgün (og)</v>
      </c>
      <c r="W107" s="252" t="str">
        <f t="shared" si="284"/>
        <v>Yunus Akgün (og)</v>
      </c>
      <c r="X107" s="252" t="str">
        <f t="shared" si="285"/>
        <v>Pavel Šulc (og)</v>
      </c>
      <c r="Y107" s="252" t="str">
        <f t="shared" si="286"/>
        <v>Pavel Šulc (og)</v>
      </c>
      <c r="BT107" s="253" t="str">
        <f t="shared" ca="1" si="234"/>
        <v>Italy</v>
      </c>
      <c r="BU107" s="253">
        <f t="shared" si="201"/>
        <v>105</v>
      </c>
      <c r="BV107" s="253" t="str">
        <f t="shared" si="172"/>
        <v>A3</v>
      </c>
      <c r="BW107" s="253">
        <f t="shared" si="173"/>
        <v>5</v>
      </c>
      <c r="BX107" s="253" t="str">
        <f t="shared" ca="1" si="174"/>
        <v>Gianluigi Donnarumma</v>
      </c>
      <c r="BY107" s="253">
        <f ca="1">COUNTIF('Group Stages'!$J$8:$Q$80,BX107)+COUNTIF('Knock Out Stages'!$K$7:$R$45,BX107)</f>
        <v>0</v>
      </c>
      <c r="BZ107" s="253" t="str">
        <f t="shared" si="175"/>
        <v>'Player Database'!b6</v>
      </c>
      <c r="CA107" s="253" t="str">
        <f t="shared" ca="1" si="176"/>
        <v>Gianluigi Donnarumma</v>
      </c>
      <c r="CB107" s="252">
        <v>104</v>
      </c>
      <c r="CC107" s="252" t="str">
        <f t="array" aca="1" ref="CC107" ca="1">IFERROR(INDEX($BX$3:$BX$810, SMALL(IF(COUNTIF(CC$3, $BY$3:$BY$810), ROW($BX$3:$BX$810)-MIN(ROW($BX$3:$BX$810))+1), $CB107), 0),"")</f>
        <v/>
      </c>
      <c r="CS107" s="252">
        <f t="shared" si="85"/>
        <v>104</v>
      </c>
      <c r="CT107" s="252">
        <f t="shared" si="86"/>
        <v>3</v>
      </c>
      <c r="CU107" s="252" t="str">
        <f t="shared" si="233"/>
        <v>CR23</v>
      </c>
      <c r="CV107" s="252" t="str">
        <f t="shared" ca="1" si="87"/>
        <v/>
      </c>
      <c r="CW107" s="252">
        <f t="shared" ca="1" si="193"/>
        <v>0</v>
      </c>
      <c r="CZ107" s="252">
        <v>104</v>
      </c>
      <c r="DA107" s="252" t="str">
        <f t="shared" ca="1" si="194"/>
        <v/>
      </c>
      <c r="DB107" s="252" t="str">
        <f t="shared" ca="1" si="235"/>
        <v/>
      </c>
      <c r="DC107" s="252" t="str">
        <f t="shared" ca="1" si="236"/>
        <v/>
      </c>
      <c r="DD107" s="252" t="str">
        <f t="shared" ca="1" si="237"/>
        <v/>
      </c>
    </row>
    <row r="108" spans="1:108" x14ac:dyDescent="0.2">
      <c r="A108" s="252">
        <f t="shared" si="238"/>
        <v>26</v>
      </c>
      <c r="B108" s="252" t="str">
        <f t="shared" si="263"/>
        <v>Mihály Kata (og)</v>
      </c>
      <c r="C108" s="252" t="str">
        <f t="shared" si="264"/>
        <v>Mihály Kata (og)</v>
      </c>
      <c r="D108" s="252" t="str">
        <f t="shared" si="265"/>
        <v>Scott McKenna (og)</v>
      </c>
      <c r="E108" s="252" t="str">
        <f t="shared" si="266"/>
        <v>Scott McKenna (og)</v>
      </c>
      <c r="F108" s="252" t="str">
        <f t="shared" si="267"/>
        <v>Ayoze Pérez (og)</v>
      </c>
      <c r="G108" s="252" t="str">
        <f t="shared" si="268"/>
        <v>Ayoze Pérez (og)</v>
      </c>
      <c r="H108" s="252" t="str">
        <f t="shared" si="269"/>
        <v>Naser Aliji (og)</v>
      </c>
      <c r="I108" s="252" t="str">
        <f t="shared" si="270"/>
        <v>Arbër Hoxha (og)</v>
      </c>
      <c r="J108" s="252" t="str">
        <f t="shared" si="271"/>
        <v>Josip Iličić (og)</v>
      </c>
      <c r="K108" s="252" t="str">
        <f t="shared" si="272"/>
        <v>Josip Iličić (og)</v>
      </c>
      <c r="L108" s="252" t="str">
        <f t="shared" si="273"/>
        <v>Kobbie Mainoo (og)</v>
      </c>
      <c r="M108" s="252" t="str">
        <f t="shared" si="274"/>
        <v>Kobbie Mainoo (og)</v>
      </c>
      <c r="N108" s="252" t="str">
        <f t="shared" si="275"/>
        <v>Marco Grüll (og)</v>
      </c>
      <c r="O108" s="252" t="str">
        <f t="shared" si="276"/>
        <v>Marco Grüll (og)</v>
      </c>
      <c r="P108" s="252" t="str">
        <f t="shared" si="277"/>
        <v>Ryan Gravenberch (og)</v>
      </c>
      <c r="Q108" s="252" t="str">
        <f t="shared" si="278"/>
        <v>Ryan Gravenberch (og)</v>
      </c>
      <c r="R108" s="252" t="str">
        <f t="shared" si="279"/>
        <v>Adrian Șut (og)</v>
      </c>
      <c r="S108" s="252" t="str">
        <f t="shared" si="280"/>
        <v>Adrian Șut (og)</v>
      </c>
      <c r="T108" s="252" t="str">
        <f t="shared" si="281"/>
        <v>Ivan Schranz (og)</v>
      </c>
      <c r="U108" s="252" t="str">
        <f t="shared" si="282"/>
        <v>Ivan Schranz (og)</v>
      </c>
      <c r="V108" s="252" t="str">
        <f t="shared" si="283"/>
        <v>Bertuğ Yıldırım (og)</v>
      </c>
      <c r="W108" s="252" t="str">
        <f t="shared" si="284"/>
        <v>Bertuğ Yıldırım (og)</v>
      </c>
      <c r="X108" s="252" t="str">
        <f t="shared" si="285"/>
        <v>Matěj Jurásek (og)</v>
      </c>
      <c r="Y108" s="252" t="str">
        <f t="shared" si="286"/>
        <v>Matěj Jurásek (og)</v>
      </c>
      <c r="BT108" s="253" t="str">
        <f t="shared" ca="1" si="234"/>
        <v>Italy</v>
      </c>
      <c r="BU108" s="253">
        <f t="shared" si="201"/>
        <v>106</v>
      </c>
      <c r="BV108" s="253" t="str">
        <f t="shared" si="172"/>
        <v>A4</v>
      </c>
      <c r="BW108" s="253">
        <f t="shared" si="173"/>
        <v>5</v>
      </c>
      <c r="BX108" s="253" t="str">
        <f t="shared" ca="1" si="174"/>
        <v>Giovanni Di Lorenzo</v>
      </c>
      <c r="BY108" s="253">
        <f ca="1">COUNTIF('Group Stages'!$J$8:$Q$80,BX108)+COUNTIF('Knock Out Stages'!$K$7:$R$45,BX108)</f>
        <v>0</v>
      </c>
      <c r="BZ108" s="253" t="str">
        <f t="shared" si="175"/>
        <v>'Player Database'!b7</v>
      </c>
      <c r="CA108" s="253" t="str">
        <f t="shared" ca="1" si="176"/>
        <v>Giovanni Di Lorenzo</v>
      </c>
      <c r="CB108" s="252">
        <v>105</v>
      </c>
      <c r="CC108" s="252" t="str">
        <f t="array" aca="1" ref="CC108" ca="1">IFERROR(INDEX($BX$3:$BX$810, SMALL(IF(COUNTIF(CC$3, $BY$3:$BY$810), ROW($BX$3:$BX$810)-MIN(ROW($BX$3:$BX$810))+1), $CB108), 0),"")</f>
        <v/>
      </c>
      <c r="CS108" s="252">
        <f t="shared" si="85"/>
        <v>105</v>
      </c>
      <c r="CT108" s="252">
        <f t="shared" si="86"/>
        <v>3</v>
      </c>
      <c r="CU108" s="252" t="str">
        <f t="shared" si="233"/>
        <v>CR24</v>
      </c>
      <c r="CV108" s="252" t="str">
        <f t="shared" ca="1" si="87"/>
        <v/>
      </c>
      <c r="CW108" s="252">
        <f t="shared" ca="1" si="193"/>
        <v>0</v>
      </c>
      <c r="CZ108" s="252">
        <v>105</v>
      </c>
      <c r="DA108" s="252" t="str">
        <f t="shared" ca="1" si="194"/>
        <v/>
      </c>
      <c r="DB108" s="252" t="str">
        <f t="shared" ca="1" si="235"/>
        <v/>
      </c>
      <c r="DC108" s="252" t="str">
        <f t="shared" ca="1" si="236"/>
        <v/>
      </c>
      <c r="DD108" s="252" t="str">
        <f t="shared" ca="1" si="237"/>
        <v/>
      </c>
    </row>
    <row r="109" spans="1:108" x14ac:dyDescent="0.2">
      <c r="BT109" s="253" t="str">
        <f t="shared" ca="1" si="234"/>
        <v>Italy</v>
      </c>
      <c r="BU109" s="253">
        <f t="shared" si="201"/>
        <v>107</v>
      </c>
      <c r="BV109" s="253" t="str">
        <f t="shared" si="172"/>
        <v>A5</v>
      </c>
      <c r="BW109" s="253">
        <f t="shared" si="173"/>
        <v>5</v>
      </c>
      <c r="BX109" s="253" t="str">
        <f t="shared" ca="1" si="174"/>
        <v>Federico Dimarco</v>
      </c>
      <c r="BY109" s="253">
        <f ca="1">COUNTIF('Group Stages'!$J$8:$Q$80,BX109)+COUNTIF('Knock Out Stages'!$K$7:$R$45,BX109)</f>
        <v>0</v>
      </c>
      <c r="BZ109" s="253" t="str">
        <f t="shared" si="175"/>
        <v>'Player Database'!b8</v>
      </c>
      <c r="CA109" s="253" t="str">
        <f t="shared" ca="1" si="176"/>
        <v>Federico Dimarco</v>
      </c>
      <c r="CB109" s="252">
        <v>106</v>
      </c>
      <c r="CC109" s="252" t="str">
        <f t="array" aca="1" ref="CC109" ca="1">IFERROR(INDEX($BX$3:$BX$810, SMALL(IF(COUNTIF(CC$3, $BY$3:$BY$810), ROW($BX$3:$BX$810)-MIN(ROW($BX$3:$BX$810))+1), $CB109), 0),"")</f>
        <v/>
      </c>
      <c r="CS109" s="252">
        <f t="shared" si="85"/>
        <v>106</v>
      </c>
      <c r="CT109" s="252">
        <f t="shared" si="86"/>
        <v>3</v>
      </c>
      <c r="CU109" s="252" t="str">
        <f t="shared" si="233"/>
        <v>CR25</v>
      </c>
      <c r="CV109" s="252" t="str">
        <f t="shared" ca="1" si="87"/>
        <v/>
      </c>
      <c r="CW109" s="252">
        <f t="shared" ca="1" si="193"/>
        <v>0</v>
      </c>
      <c r="CZ109" s="252">
        <v>106</v>
      </c>
      <c r="DA109" s="252" t="str">
        <f t="shared" ca="1" si="194"/>
        <v/>
      </c>
      <c r="DB109" s="252" t="str">
        <f t="shared" ca="1" si="235"/>
        <v/>
      </c>
      <c r="DC109" s="252" t="str">
        <f t="shared" ca="1" si="236"/>
        <v/>
      </c>
      <c r="DD109" s="252" t="str">
        <f t="shared" ca="1" si="237"/>
        <v/>
      </c>
    </row>
    <row r="110" spans="1:108" x14ac:dyDescent="0.2">
      <c r="A110" s="252">
        <v>3</v>
      </c>
      <c r="BT110" s="253" t="str">
        <f t="shared" ca="1" si="234"/>
        <v>Italy</v>
      </c>
      <c r="BU110" s="253">
        <f t="shared" si="201"/>
        <v>108</v>
      </c>
      <c r="BV110" s="253" t="str">
        <f t="shared" si="172"/>
        <v>A6</v>
      </c>
      <c r="BW110" s="253">
        <f t="shared" si="173"/>
        <v>5</v>
      </c>
      <c r="BX110" s="253" t="str">
        <f t="shared" ca="1" si="174"/>
        <v>Alessandro Buongiorno</v>
      </c>
      <c r="BY110" s="253">
        <f ca="1">COUNTIF('Group Stages'!$J$8:$Q$80,BX110)+COUNTIF('Knock Out Stages'!$K$7:$R$45,BX110)</f>
        <v>0</v>
      </c>
      <c r="BZ110" s="253" t="str">
        <f t="shared" si="175"/>
        <v>'Player Database'!b9</v>
      </c>
      <c r="CA110" s="253" t="str">
        <f t="shared" ca="1" si="176"/>
        <v>Alessandro Buongiorno</v>
      </c>
      <c r="CB110" s="252">
        <v>107</v>
      </c>
      <c r="CC110" s="252" t="str">
        <f t="array" aca="1" ref="CC110" ca="1">IFERROR(INDEX($BX$3:$BX$810, SMALL(IF(COUNTIF(CC$3, $BY$3:$BY$810), ROW($BX$3:$BX$810)-MIN(ROW($BX$3:$BX$810))+1), $CB110), 0),"")</f>
        <v/>
      </c>
      <c r="CS110" s="252">
        <f t="shared" si="85"/>
        <v>107</v>
      </c>
      <c r="CT110" s="252">
        <f t="shared" si="86"/>
        <v>3</v>
      </c>
      <c r="CU110" s="252" t="str">
        <f t="shared" si="233"/>
        <v>CR26</v>
      </c>
      <c r="CV110" s="252" t="str">
        <f t="shared" ca="1" si="87"/>
        <v/>
      </c>
      <c r="CW110" s="252">
        <f t="shared" ca="1" si="193"/>
        <v>0</v>
      </c>
      <c r="CZ110" s="252">
        <v>107</v>
      </c>
      <c r="DA110" s="252" t="str">
        <f t="shared" ca="1" si="194"/>
        <v/>
      </c>
      <c r="DB110" s="252" t="str">
        <f t="shared" ca="1" si="235"/>
        <v/>
      </c>
      <c r="DC110" s="252" t="str">
        <f t="shared" ca="1" si="236"/>
        <v/>
      </c>
      <c r="DD110" s="252" t="str">
        <f t="shared" ca="1" si="237"/>
        <v/>
      </c>
    </row>
    <row r="111" spans="1:108" x14ac:dyDescent="0.2">
      <c r="A111" s="252">
        <v>1</v>
      </c>
      <c r="B111" s="252" t="str">
        <f t="shared" ref="B111:B136" si="287">B57</f>
        <v>Manuel Neuer</v>
      </c>
      <c r="C111" s="252" t="str">
        <f t="shared" ref="C111:E133" si="288">C3</f>
        <v>Angus Gunn</v>
      </c>
      <c r="D111" s="252" t="str">
        <f t="shared" si="288"/>
        <v>Péter Gulácsi</v>
      </c>
      <c r="E111" s="252" t="str">
        <f t="shared" si="288"/>
        <v>Yann Sommer</v>
      </c>
      <c r="F111" s="252" t="str">
        <f t="shared" ref="F111:F136" si="289">F57</f>
        <v>Gianluigi Donnarumma</v>
      </c>
      <c r="G111" s="252" t="str">
        <f t="shared" ref="G111:G136" si="290">G3</f>
        <v>Etrit Berisha</v>
      </c>
      <c r="I111" s="252" t="str">
        <f t="shared" ref="I111:I136" si="291">I3</f>
        <v>Dominik Livaković</v>
      </c>
      <c r="J111" s="252" t="str">
        <f t="shared" ref="J111:J136" si="292">J57</f>
        <v>Predrag Rajković</v>
      </c>
      <c r="K111" s="252" t="str">
        <f t="shared" ref="K111:M133" si="293">K3</f>
        <v>Jordan Pickford</v>
      </c>
      <c r="L111" s="252" t="str">
        <f t="shared" si="293"/>
        <v>Jan Oblak</v>
      </c>
      <c r="M111" s="252" t="str">
        <f t="shared" si="293"/>
        <v>Kasper Schmeichel</v>
      </c>
      <c r="N111" s="252" t="str">
        <f t="shared" ref="N111:N136" si="294">N57</f>
        <v>Wojciech Szczęsny</v>
      </c>
      <c r="O111" s="252" t="str">
        <f t="shared" ref="O111:Q133" si="295">O3</f>
        <v>Bart Verbruggen</v>
      </c>
      <c r="P111" s="252" t="str">
        <f t="shared" si="295"/>
        <v>Heinz Lindner</v>
      </c>
      <c r="Q111" s="252" t="str">
        <f t="shared" si="295"/>
        <v>Brice Samba</v>
      </c>
      <c r="R111" s="252" t="str">
        <f t="shared" ref="R111:R136" si="296">R57</f>
        <v>Koen Casteels</v>
      </c>
      <c r="S111" s="252" t="str">
        <f t="shared" ref="S111:U133" si="297">S3</f>
        <v>Martin Dúbravka</v>
      </c>
      <c r="T111" s="252" t="str">
        <f t="shared" si="297"/>
        <v>Florin Niță</v>
      </c>
      <c r="U111" s="252" t="str">
        <f t="shared" si="297"/>
        <v>Heorhiy Bushchan</v>
      </c>
      <c r="V111" s="252" t="str">
        <f t="shared" ref="V111:V136" si="298">V57</f>
        <v>Rui Patrício</v>
      </c>
      <c r="W111" s="252" t="str">
        <f t="shared" ref="W111:Y133" si="299">W3</f>
        <v>Jindřich Staněk</v>
      </c>
      <c r="X111" s="252" t="str">
        <f t="shared" si="299"/>
        <v>Mert Günok</v>
      </c>
      <c r="Y111" s="252" t="str">
        <f t="shared" si="299"/>
        <v>Giorgi Loria</v>
      </c>
      <c r="BT111" s="253" t="str">
        <f t="shared" ca="1" si="234"/>
        <v>Italy</v>
      </c>
      <c r="BU111" s="253">
        <f t="shared" si="201"/>
        <v>109</v>
      </c>
      <c r="BV111" s="253" t="str">
        <f t="shared" si="172"/>
        <v>A7</v>
      </c>
      <c r="BW111" s="253">
        <f t="shared" si="173"/>
        <v>5</v>
      </c>
      <c r="BX111" s="253" t="str">
        <f t="shared" ca="1" si="174"/>
        <v>Riccardo Calafiori</v>
      </c>
      <c r="BY111" s="253">
        <f ca="1">COUNTIF('Group Stages'!$J$8:$Q$80,BX111)+COUNTIF('Knock Out Stages'!$K$7:$R$45,BX111)</f>
        <v>0</v>
      </c>
      <c r="BZ111" s="253" t="str">
        <f t="shared" si="175"/>
        <v>'Player Database'!b10</v>
      </c>
      <c r="CA111" s="253" t="str">
        <f t="shared" ca="1" si="176"/>
        <v>Riccardo Calafiori</v>
      </c>
      <c r="CB111" s="252">
        <v>108</v>
      </c>
      <c r="CC111" s="252" t="str">
        <f t="array" aca="1" ref="CC111" ca="1">IFERROR(INDEX($BX$3:$BX$810, SMALL(IF(COUNTIF(CC$3, $BY$3:$BY$810), ROW($BX$3:$BX$810)-MIN(ROW($BX$3:$BX$810))+1), $CB111), 0),"")</f>
        <v/>
      </c>
      <c r="CS111" s="252">
        <f t="shared" si="85"/>
        <v>108</v>
      </c>
      <c r="CT111" s="252">
        <f t="shared" si="86"/>
        <v>3</v>
      </c>
      <c r="CU111" s="252" t="str">
        <f t="shared" si="233"/>
        <v>CR27</v>
      </c>
      <c r="CV111" s="252" t="str">
        <f t="shared" ca="1" si="87"/>
        <v/>
      </c>
      <c r="CW111" s="252">
        <f t="shared" ca="1" si="193"/>
        <v>0</v>
      </c>
      <c r="CZ111" s="252">
        <v>108</v>
      </c>
      <c r="DA111" s="252" t="str">
        <f t="shared" ca="1" si="194"/>
        <v/>
      </c>
      <c r="DB111" s="252" t="str">
        <f t="shared" ca="1" si="235"/>
        <v/>
      </c>
      <c r="DC111" s="252" t="str">
        <f t="shared" ca="1" si="236"/>
        <v/>
      </c>
      <c r="DD111" s="252" t="str">
        <f t="shared" ca="1" si="237"/>
        <v/>
      </c>
    </row>
    <row r="112" spans="1:108" x14ac:dyDescent="0.2">
      <c r="A112" s="252">
        <v>2</v>
      </c>
      <c r="B112" s="252" t="str">
        <f t="shared" si="287"/>
        <v>Antonio Rüdiger</v>
      </c>
      <c r="C112" s="252" t="str">
        <f t="shared" si="288"/>
        <v>Anthony Ralston</v>
      </c>
      <c r="D112" s="252" t="str">
        <f t="shared" si="288"/>
        <v>Ádám Lang</v>
      </c>
      <c r="E112" s="252" t="str">
        <f t="shared" si="288"/>
        <v>Leonidas Stergiou</v>
      </c>
      <c r="F112" s="252" t="str">
        <f t="shared" si="289"/>
        <v>Giovanni Di Lorenzo</v>
      </c>
      <c r="G112" s="252" t="str">
        <f t="shared" si="290"/>
        <v>Iván Balliu</v>
      </c>
      <c r="H112" s="252" t="str">
        <f t="shared" ref="H112:H136" si="300">H3</f>
        <v>David Raya</v>
      </c>
      <c r="I112" s="252" t="str">
        <f t="shared" si="291"/>
        <v>Josip Stanišić</v>
      </c>
      <c r="J112" s="252" t="str">
        <f t="shared" si="292"/>
        <v>Strahinja Pavlović</v>
      </c>
      <c r="K112" s="252" t="str">
        <f t="shared" si="293"/>
        <v>Kyle Walker</v>
      </c>
      <c r="L112" s="252" t="str">
        <f t="shared" si="293"/>
        <v>Žan Karničnik</v>
      </c>
      <c r="M112" s="252" t="str">
        <f t="shared" si="293"/>
        <v>Joachim Andersen</v>
      </c>
      <c r="N112" s="252" t="str">
        <f t="shared" si="294"/>
        <v>Bartosz Salamon</v>
      </c>
      <c r="O112" s="252" t="str">
        <f t="shared" si="295"/>
        <v>Lutsharel Geertruida</v>
      </c>
      <c r="P112" s="252" t="str">
        <f t="shared" si="295"/>
        <v>Maximilian Wöber</v>
      </c>
      <c r="Q112" s="252" t="str">
        <f t="shared" si="295"/>
        <v>Benjamin Pavard</v>
      </c>
      <c r="R112" s="252" t="str">
        <f t="shared" si="296"/>
        <v>Zeno Debast</v>
      </c>
      <c r="S112" s="252" t="str">
        <f t="shared" si="297"/>
        <v>Peter Pekarík</v>
      </c>
      <c r="T112" s="252" t="str">
        <f t="shared" si="297"/>
        <v>Andrei Rațiu</v>
      </c>
      <c r="U112" s="252" t="str">
        <f t="shared" si="297"/>
        <v>Yukhym Konoplya</v>
      </c>
      <c r="V112" s="252" t="str">
        <f t="shared" si="298"/>
        <v>Nélson Semedo</v>
      </c>
      <c r="W112" s="252" t="str">
        <f t="shared" si="299"/>
        <v>David Zima</v>
      </c>
      <c r="X112" s="252" t="str">
        <f t="shared" si="299"/>
        <v>Zeki Çelik</v>
      </c>
      <c r="Y112" s="252" t="str">
        <f t="shared" si="299"/>
        <v>Otar Kakabadze</v>
      </c>
      <c r="BT112" s="253" t="str">
        <f t="shared" ca="1" si="234"/>
        <v>Italy</v>
      </c>
      <c r="BU112" s="253">
        <f t="shared" si="201"/>
        <v>110</v>
      </c>
      <c r="BV112" s="253" t="str">
        <f t="shared" si="172"/>
        <v>A8</v>
      </c>
      <c r="BW112" s="253">
        <f t="shared" si="173"/>
        <v>5</v>
      </c>
      <c r="BX112" s="253" t="str">
        <f t="shared" ca="1" si="174"/>
        <v>Federico Gatti</v>
      </c>
      <c r="BY112" s="253">
        <f ca="1">COUNTIF('Group Stages'!$J$8:$Q$80,BX112)+COUNTIF('Knock Out Stages'!$K$7:$R$45,BX112)</f>
        <v>0</v>
      </c>
      <c r="BZ112" s="253" t="str">
        <f t="shared" si="175"/>
        <v>'Player Database'!b11</v>
      </c>
      <c r="CA112" s="253" t="str">
        <f t="shared" ca="1" si="176"/>
        <v>Federico Gatti</v>
      </c>
      <c r="CB112" s="252">
        <v>109</v>
      </c>
      <c r="CC112" s="252" t="str">
        <f t="array" aca="1" ref="CC112" ca="1">IFERROR(INDEX($BX$3:$BX$810, SMALL(IF(COUNTIF(CC$3, $BY$3:$BY$810), ROW($BX$3:$BX$810)-MIN(ROW($BX$3:$BX$810))+1), $CB112), 0),"")</f>
        <v/>
      </c>
      <c r="CS112" s="252">
        <f t="shared" ref="CS112:CS175" si="301">CS111+1</f>
        <v>109</v>
      </c>
      <c r="CT112" s="252">
        <f t="shared" ref="CT112:CT175" si="302">CT70+1</f>
        <v>3</v>
      </c>
      <c r="CU112" s="252" t="str">
        <f t="shared" si="233"/>
        <v>CR28</v>
      </c>
      <c r="CV112" s="252" t="str">
        <f t="shared" ref="CV112:CV175" ca="1" si="303">OFFSET(INDIRECT(CU112),0,-CT112)</f>
        <v/>
      </c>
      <c r="CW112" s="252">
        <f t="shared" ca="1" si="193"/>
        <v>0</v>
      </c>
      <c r="CZ112" s="252">
        <v>109</v>
      </c>
      <c r="DA112" s="252" t="str">
        <f t="shared" ca="1" si="194"/>
        <v/>
      </c>
      <c r="DB112" s="252" t="str">
        <f t="shared" ca="1" si="235"/>
        <v/>
      </c>
      <c r="DC112" s="252" t="str">
        <f t="shared" ca="1" si="236"/>
        <v/>
      </c>
      <c r="DD112" s="252" t="str">
        <f t="shared" ca="1" si="237"/>
        <v/>
      </c>
    </row>
    <row r="113" spans="1:108" x14ac:dyDescent="0.2">
      <c r="A113" s="252">
        <v>3</v>
      </c>
      <c r="B113" s="252" t="str">
        <f t="shared" si="287"/>
        <v>David Raum</v>
      </c>
      <c r="C113" s="252" t="str">
        <f t="shared" si="288"/>
        <v>Andrew Robertson</v>
      </c>
      <c r="D113" s="252" t="str">
        <f t="shared" si="288"/>
        <v>Botond Balogh</v>
      </c>
      <c r="E113" s="252" t="str">
        <f t="shared" si="288"/>
        <v>Silvan Widmer</v>
      </c>
      <c r="F113" s="252" t="str">
        <f t="shared" si="289"/>
        <v>Federico Dimarco</v>
      </c>
      <c r="G113" s="252" t="str">
        <f t="shared" si="290"/>
        <v>Mario Mitaj</v>
      </c>
      <c r="H113" s="252" t="str">
        <f t="shared" si="300"/>
        <v>Dani Carvajal</v>
      </c>
      <c r="I113" s="252" t="str">
        <f t="shared" si="291"/>
        <v>Marin Pongračić</v>
      </c>
      <c r="J113" s="252" t="str">
        <f t="shared" si="292"/>
        <v>Nemanja Stojić</v>
      </c>
      <c r="K113" s="252" t="str">
        <f t="shared" si="293"/>
        <v>Luke Shaw</v>
      </c>
      <c r="L113" s="252" t="str">
        <f t="shared" si="293"/>
        <v>Jure Balkovec</v>
      </c>
      <c r="M113" s="252" t="str">
        <f t="shared" si="293"/>
        <v>Jannik Vestergaard</v>
      </c>
      <c r="N113" s="252" t="str">
        <f t="shared" si="294"/>
        <v>Paweł Dawidowicz</v>
      </c>
      <c r="O113" s="252" t="str">
        <f t="shared" si="295"/>
        <v>Matthijs de Ligt</v>
      </c>
      <c r="P113" s="252" t="str">
        <f t="shared" si="295"/>
        <v>Gernot Trauner</v>
      </c>
      <c r="Q113" s="252" t="str">
        <f t="shared" si="295"/>
        <v>Ferland Mendy</v>
      </c>
      <c r="R113" s="252" t="str">
        <f t="shared" si="296"/>
        <v>Arthur Theate</v>
      </c>
      <c r="S113" s="252" t="str">
        <f t="shared" si="297"/>
        <v>Denis Vavro</v>
      </c>
      <c r="T113" s="252" t="str">
        <f t="shared" si="297"/>
        <v>Radu Drăgușin</v>
      </c>
      <c r="U113" s="252" t="str">
        <f t="shared" si="297"/>
        <v>Oleksandr Svatok</v>
      </c>
      <c r="V113" s="252" t="str">
        <f t="shared" si="298"/>
        <v>Pepe</v>
      </c>
      <c r="W113" s="252" t="str">
        <f t="shared" si="299"/>
        <v>Tomáš Holeš</v>
      </c>
      <c r="X113" s="252" t="str">
        <f t="shared" si="299"/>
        <v>Merih Demiral</v>
      </c>
      <c r="Y113" s="252" t="str">
        <f t="shared" si="299"/>
        <v>Lasha Dvali</v>
      </c>
      <c r="BT113" s="253" t="str">
        <f t="shared" ca="1" si="234"/>
        <v>Italy</v>
      </c>
      <c r="BU113" s="253">
        <f t="shared" si="201"/>
        <v>111</v>
      </c>
      <c r="BV113" s="253" t="str">
        <f t="shared" si="172"/>
        <v>A9</v>
      </c>
      <c r="BW113" s="253">
        <f t="shared" si="173"/>
        <v>5</v>
      </c>
      <c r="BX113" s="253" t="str">
        <f t="shared" ca="1" si="174"/>
        <v>Davide Frattesi</v>
      </c>
      <c r="BY113" s="253">
        <f ca="1">COUNTIF('Group Stages'!$J$8:$Q$80,BX113)+COUNTIF('Knock Out Stages'!$K$7:$R$45,BX113)</f>
        <v>0</v>
      </c>
      <c r="BZ113" s="253" t="str">
        <f t="shared" si="175"/>
        <v>'Player Database'!b12</v>
      </c>
      <c r="CA113" s="253" t="str">
        <f t="shared" ca="1" si="176"/>
        <v>Davide Frattesi</v>
      </c>
      <c r="CB113" s="252">
        <v>110</v>
      </c>
      <c r="CC113" s="252" t="str">
        <f t="array" aca="1" ref="CC113" ca="1">IFERROR(INDEX($BX$3:$BX$810, SMALL(IF(COUNTIF(CC$3, $BY$3:$BY$810), ROW($BX$3:$BX$810)-MIN(ROW($BX$3:$BX$810))+1), $CB113), 0),"")</f>
        <v/>
      </c>
      <c r="CS113" s="252">
        <f t="shared" si="301"/>
        <v>110</v>
      </c>
      <c r="CT113" s="252">
        <f t="shared" si="302"/>
        <v>3</v>
      </c>
      <c r="CU113" s="252" t="str">
        <f t="shared" si="233"/>
        <v>CR29</v>
      </c>
      <c r="CV113" s="252" t="str">
        <f t="shared" ca="1" si="303"/>
        <v/>
      </c>
      <c r="CW113" s="252">
        <f t="shared" ca="1" si="193"/>
        <v>0</v>
      </c>
      <c r="CZ113" s="252">
        <v>110</v>
      </c>
      <c r="DA113" s="252" t="str">
        <f t="shared" ca="1" si="194"/>
        <v/>
      </c>
      <c r="DB113" s="252" t="str">
        <f t="shared" ca="1" si="235"/>
        <v/>
      </c>
      <c r="DC113" s="252" t="str">
        <f t="shared" ca="1" si="236"/>
        <v/>
      </c>
      <c r="DD113" s="252" t="str">
        <f t="shared" ca="1" si="237"/>
        <v/>
      </c>
    </row>
    <row r="114" spans="1:108" x14ac:dyDescent="0.2">
      <c r="A114" s="252">
        <v>4</v>
      </c>
      <c r="B114" s="252" t="str">
        <f t="shared" si="287"/>
        <v>Jonathan Tah</v>
      </c>
      <c r="C114" s="252" t="str">
        <f t="shared" si="288"/>
        <v>Scott McTominay</v>
      </c>
      <c r="D114" s="252" t="str">
        <f t="shared" si="288"/>
        <v>Attila Szalai</v>
      </c>
      <c r="E114" s="252" t="str">
        <f t="shared" si="288"/>
        <v>Nico Elvedi</v>
      </c>
      <c r="F114" s="252" t="str">
        <f t="shared" si="289"/>
        <v>Alessandro Buongiorno</v>
      </c>
      <c r="G114" s="252" t="str">
        <f t="shared" si="290"/>
        <v>Elseid Hysaj</v>
      </c>
      <c r="H114" s="252" t="str">
        <f t="shared" si="300"/>
        <v>Robin Le Normand</v>
      </c>
      <c r="I114" s="252" t="str">
        <f t="shared" si="291"/>
        <v>Joško Gvardiol</v>
      </c>
      <c r="J114" s="252" t="str">
        <f t="shared" si="292"/>
        <v>Nikola Milenković</v>
      </c>
      <c r="K114" s="252" t="str">
        <f t="shared" si="293"/>
        <v>Declan Rice</v>
      </c>
      <c r="L114" s="252" t="str">
        <f t="shared" si="293"/>
        <v>Miha Blažič</v>
      </c>
      <c r="M114" s="252" t="str">
        <f t="shared" si="293"/>
        <v>Simon Kjær</v>
      </c>
      <c r="N114" s="252" t="str">
        <f t="shared" si="294"/>
        <v>Sebastian Walukiewicz</v>
      </c>
      <c r="O114" s="252" t="str">
        <f t="shared" si="295"/>
        <v>Virgil van Dijk</v>
      </c>
      <c r="P114" s="252" t="str">
        <f t="shared" si="295"/>
        <v>Kevin Danso</v>
      </c>
      <c r="Q114" s="252" t="str">
        <f t="shared" si="295"/>
        <v>Dayot Upamecano</v>
      </c>
      <c r="R114" s="252" t="str">
        <f t="shared" si="296"/>
        <v>Wout Faes</v>
      </c>
      <c r="S114" s="252" t="str">
        <f t="shared" si="297"/>
        <v>Adam Obert</v>
      </c>
      <c r="T114" s="252" t="str">
        <f t="shared" si="297"/>
        <v>Adrian Rus</v>
      </c>
      <c r="U114" s="252" t="str">
        <f t="shared" si="297"/>
        <v>Maksym Taloverov</v>
      </c>
      <c r="V114" s="252" t="str">
        <f t="shared" si="298"/>
        <v>Rúben Dias</v>
      </c>
      <c r="W114" s="252" t="str">
        <f t="shared" si="299"/>
        <v>Robin Hranáč</v>
      </c>
      <c r="X114" s="252" t="str">
        <f t="shared" si="299"/>
        <v>Samet Akaydin</v>
      </c>
      <c r="Y114" s="252" t="str">
        <f t="shared" si="299"/>
        <v>Guram Kashia</v>
      </c>
      <c r="BT114" s="253" t="str">
        <f t="shared" ca="1" si="234"/>
        <v>Italy</v>
      </c>
      <c r="BU114" s="253">
        <f t="shared" si="201"/>
        <v>112</v>
      </c>
      <c r="BV114" s="253" t="str">
        <f t="shared" si="172"/>
        <v>A10</v>
      </c>
      <c r="BW114" s="253">
        <f t="shared" si="173"/>
        <v>5</v>
      </c>
      <c r="BX114" s="253" t="str">
        <f t="shared" ca="1" si="174"/>
        <v>Jorginho</v>
      </c>
      <c r="BY114" s="253">
        <f ca="1">COUNTIF('Group Stages'!$J$8:$Q$80,BX114)+COUNTIF('Knock Out Stages'!$K$7:$R$45,BX114)</f>
        <v>0</v>
      </c>
      <c r="BZ114" s="253" t="str">
        <f t="shared" si="175"/>
        <v>'Player Database'!b13</v>
      </c>
      <c r="CA114" s="253" t="str">
        <f t="shared" ca="1" si="176"/>
        <v>Jorginho</v>
      </c>
      <c r="CB114" s="252">
        <v>111</v>
      </c>
      <c r="CC114" s="252" t="str">
        <f t="array" aca="1" ref="CC114" ca="1">IFERROR(INDEX($BX$3:$BX$810, SMALL(IF(COUNTIF(CC$3, $BY$3:$BY$810), ROW($BX$3:$BX$810)-MIN(ROW($BX$3:$BX$810))+1), $CB114), 0),"")</f>
        <v/>
      </c>
      <c r="CS114" s="252">
        <f t="shared" si="301"/>
        <v>111</v>
      </c>
      <c r="CT114" s="252">
        <f t="shared" si="302"/>
        <v>3</v>
      </c>
      <c r="CU114" s="252" t="str">
        <f t="shared" si="233"/>
        <v>CR30</v>
      </c>
      <c r="CV114" s="252" t="str">
        <f t="shared" ca="1" si="303"/>
        <v/>
      </c>
      <c r="CW114" s="252">
        <f t="shared" ca="1" si="193"/>
        <v>0</v>
      </c>
      <c r="CZ114" s="252">
        <v>111</v>
      </c>
      <c r="DA114" s="252" t="str">
        <f t="shared" ca="1" si="194"/>
        <v/>
      </c>
      <c r="DB114" s="252" t="str">
        <f t="shared" ca="1" si="235"/>
        <v/>
      </c>
      <c r="DC114" s="252" t="str">
        <f t="shared" ca="1" si="236"/>
        <v/>
      </c>
      <c r="DD114" s="252" t="str">
        <f t="shared" ca="1" si="237"/>
        <v/>
      </c>
    </row>
    <row r="115" spans="1:108" x14ac:dyDescent="0.2">
      <c r="A115" s="252">
        <v>5</v>
      </c>
      <c r="B115" s="252" t="str">
        <f t="shared" si="287"/>
        <v>Pascal Groß</v>
      </c>
      <c r="C115" s="252" t="str">
        <f t="shared" si="288"/>
        <v>Grant Hanley</v>
      </c>
      <c r="D115" s="252" t="str">
        <f t="shared" si="288"/>
        <v>Attila Fiola</v>
      </c>
      <c r="E115" s="252" t="str">
        <f t="shared" si="288"/>
        <v>Manuel Akanji</v>
      </c>
      <c r="F115" s="252" t="str">
        <f t="shared" si="289"/>
        <v>Riccardo Calafiori</v>
      </c>
      <c r="G115" s="252" t="str">
        <f t="shared" si="290"/>
        <v>Arlind Ajeti</v>
      </c>
      <c r="H115" s="252" t="str">
        <f t="shared" si="300"/>
        <v>Nacho</v>
      </c>
      <c r="I115" s="252" t="str">
        <f t="shared" si="291"/>
        <v>Martin Erlić</v>
      </c>
      <c r="J115" s="252" t="str">
        <f t="shared" si="292"/>
        <v>Nemanja Maksimović</v>
      </c>
      <c r="K115" s="252" t="str">
        <f t="shared" si="293"/>
        <v>John Stones</v>
      </c>
      <c r="L115" s="252" t="str">
        <f t="shared" si="293"/>
        <v>Jon Gorenc Stanković</v>
      </c>
      <c r="M115" s="252" t="str">
        <f t="shared" si="293"/>
        <v>Joakim Mæhle</v>
      </c>
      <c r="N115" s="252" t="str">
        <f t="shared" si="294"/>
        <v>Jan Bednarek</v>
      </c>
      <c r="O115" s="252" t="str">
        <f t="shared" si="295"/>
        <v>Nathan Aké</v>
      </c>
      <c r="P115" s="252" t="str">
        <f t="shared" si="295"/>
        <v>Stefan Posch</v>
      </c>
      <c r="Q115" s="252" t="str">
        <f t="shared" si="295"/>
        <v>Jules Koundé</v>
      </c>
      <c r="R115" s="252" t="str">
        <f t="shared" si="296"/>
        <v>Jan Vertonghen</v>
      </c>
      <c r="S115" s="252" t="str">
        <f t="shared" si="297"/>
        <v>Tomáš Rigo</v>
      </c>
      <c r="T115" s="252" t="str">
        <f t="shared" si="297"/>
        <v>Ionuț Nedelcearu</v>
      </c>
      <c r="U115" s="252" t="str">
        <f t="shared" si="297"/>
        <v>Serhiy Sydorchuk</v>
      </c>
      <c r="V115" s="252" t="str">
        <f t="shared" si="298"/>
        <v>Diogo Dalot</v>
      </c>
      <c r="W115" s="252" t="str">
        <f t="shared" si="299"/>
        <v>Vladimír Coufal</v>
      </c>
      <c r="X115" s="252" t="str">
        <f t="shared" si="299"/>
        <v>Okay Yokuşlu</v>
      </c>
      <c r="Y115" s="252" t="str">
        <f t="shared" si="299"/>
        <v>Solomon Kvirkvelia</v>
      </c>
      <c r="BT115" s="253" t="str">
        <f t="shared" ca="1" si="234"/>
        <v>Italy</v>
      </c>
      <c r="BU115" s="253">
        <f t="shared" si="201"/>
        <v>113</v>
      </c>
      <c r="BV115" s="253" t="str">
        <f t="shared" si="172"/>
        <v>A11</v>
      </c>
      <c r="BW115" s="253">
        <f t="shared" si="173"/>
        <v>5</v>
      </c>
      <c r="BX115" s="253" t="str">
        <f t="shared" ca="1" si="174"/>
        <v>Gianluca Scamacca</v>
      </c>
      <c r="BY115" s="253">
        <f ca="1">COUNTIF('Group Stages'!$J$8:$Q$80,BX115)+COUNTIF('Knock Out Stages'!$K$7:$R$45,BX115)</f>
        <v>0</v>
      </c>
      <c r="BZ115" s="253" t="str">
        <f t="shared" si="175"/>
        <v>'Player Database'!b14</v>
      </c>
      <c r="CA115" s="253" t="str">
        <f t="shared" ca="1" si="176"/>
        <v>Gianluca Scamacca</v>
      </c>
      <c r="CB115" s="252">
        <v>112</v>
      </c>
      <c r="CC115" s="252" t="str">
        <f t="array" aca="1" ref="CC115" ca="1">IFERROR(INDEX($BX$3:$BX$810, SMALL(IF(COUNTIF(CC$3, $BY$3:$BY$810), ROW($BX$3:$BX$810)-MIN(ROW($BX$3:$BX$810))+1), $CB115), 0),"")</f>
        <v/>
      </c>
      <c r="CS115" s="252">
        <f t="shared" si="301"/>
        <v>112</v>
      </c>
      <c r="CT115" s="252">
        <f t="shared" si="302"/>
        <v>3</v>
      </c>
      <c r="CU115" s="252" t="str">
        <f t="shared" si="233"/>
        <v>CR31</v>
      </c>
      <c r="CV115" s="252" t="str">
        <f t="shared" ca="1" si="303"/>
        <v/>
      </c>
      <c r="CW115" s="252">
        <f t="shared" ca="1" si="193"/>
        <v>0</v>
      </c>
      <c r="CZ115" s="252">
        <v>112</v>
      </c>
      <c r="DA115" s="252" t="str">
        <f t="shared" ca="1" si="194"/>
        <v/>
      </c>
      <c r="DB115" s="252" t="str">
        <f t="shared" ca="1" si="235"/>
        <v/>
      </c>
      <c r="DC115" s="252" t="str">
        <f t="shared" ca="1" si="236"/>
        <v/>
      </c>
      <c r="DD115" s="252" t="str">
        <f t="shared" ca="1" si="237"/>
        <v/>
      </c>
    </row>
    <row r="116" spans="1:108" x14ac:dyDescent="0.2">
      <c r="A116" s="252">
        <v>6</v>
      </c>
      <c r="B116" s="252" t="str">
        <f t="shared" si="287"/>
        <v>Joshua Kimmich</v>
      </c>
      <c r="C116" s="252" t="str">
        <f t="shared" si="288"/>
        <v>Kieran Tierney</v>
      </c>
      <c r="D116" s="252" t="str">
        <f t="shared" si="288"/>
        <v>Willi Orbán</v>
      </c>
      <c r="E116" s="252" t="str">
        <f t="shared" si="288"/>
        <v>Denis Zakaria</v>
      </c>
      <c r="F116" s="252" t="str">
        <f t="shared" si="289"/>
        <v>Federico Gatti</v>
      </c>
      <c r="G116" s="252" t="str">
        <f t="shared" si="290"/>
        <v>Berat Djimsiti</v>
      </c>
      <c r="H116" s="252" t="str">
        <f t="shared" si="300"/>
        <v>Daniel Vivian</v>
      </c>
      <c r="I116" s="252" t="str">
        <f t="shared" si="291"/>
        <v>Josip Šutalo</v>
      </c>
      <c r="J116" s="252" t="str">
        <f t="shared" si="292"/>
        <v>Nemanja Gudelj</v>
      </c>
      <c r="K116" s="252" t="str">
        <f t="shared" si="293"/>
        <v>Marc Guéhi</v>
      </c>
      <c r="L116" s="252" t="str">
        <f t="shared" si="293"/>
        <v>Jaka Bijol</v>
      </c>
      <c r="M116" s="252" t="str">
        <f t="shared" si="293"/>
        <v>Andreas Christensen</v>
      </c>
      <c r="N116" s="252" t="str">
        <f t="shared" si="294"/>
        <v>Jakub Piotrowski</v>
      </c>
      <c r="O116" s="252" t="str">
        <f t="shared" si="295"/>
        <v>Stefan de Vrij</v>
      </c>
      <c r="P116" s="252" t="str">
        <f t="shared" si="295"/>
        <v>Nicolas Seiwald</v>
      </c>
      <c r="Q116" s="252" t="str">
        <f t="shared" si="295"/>
        <v>Eduardo Camavinga</v>
      </c>
      <c r="R116" s="252" t="str">
        <f t="shared" si="296"/>
        <v>Axel Witsel</v>
      </c>
      <c r="S116" s="252" t="str">
        <f t="shared" si="297"/>
        <v>Norbert Gyömbér</v>
      </c>
      <c r="T116" s="252" t="str">
        <f t="shared" si="297"/>
        <v>Marius Marin</v>
      </c>
      <c r="U116" s="252" t="str">
        <f t="shared" si="297"/>
        <v>Taras Stepanenko</v>
      </c>
      <c r="V116" s="252" t="str">
        <f t="shared" si="298"/>
        <v>João Palhinha</v>
      </c>
      <c r="W116" s="252" t="str">
        <f t="shared" si="299"/>
        <v>Martin Vitík</v>
      </c>
      <c r="X116" s="252" t="str">
        <f t="shared" si="299"/>
        <v>Orkun Kökçü</v>
      </c>
      <c r="Y116" s="252" t="str">
        <f t="shared" si="299"/>
        <v>Giorgi Kochorashvili</v>
      </c>
      <c r="BT116" s="253" t="str">
        <f t="shared" ca="1" si="234"/>
        <v>Italy</v>
      </c>
      <c r="BU116" s="253">
        <f t="shared" si="201"/>
        <v>114</v>
      </c>
      <c r="BV116" s="253" t="str">
        <f t="shared" si="172"/>
        <v>A12</v>
      </c>
      <c r="BW116" s="253">
        <f t="shared" si="173"/>
        <v>5</v>
      </c>
      <c r="BX116" s="253" t="str">
        <f t="shared" ca="1" si="174"/>
        <v>Lorenzo Pellegrini</v>
      </c>
      <c r="BY116" s="253">
        <f ca="1">COUNTIF('Group Stages'!$J$8:$Q$80,BX116)+COUNTIF('Knock Out Stages'!$K$7:$R$45,BX116)</f>
        <v>0</v>
      </c>
      <c r="BZ116" s="253" t="str">
        <f t="shared" si="175"/>
        <v>'Player Database'!b15</v>
      </c>
      <c r="CA116" s="253" t="str">
        <f t="shared" ca="1" si="176"/>
        <v>Lorenzo Pellegrini</v>
      </c>
      <c r="CB116" s="252">
        <v>113</v>
      </c>
      <c r="CC116" s="252" t="str">
        <f t="array" aca="1" ref="CC116" ca="1">IFERROR(INDEX($BX$3:$BX$810, SMALL(IF(COUNTIF(CC$3, $BY$3:$BY$810), ROW($BX$3:$BX$810)-MIN(ROW($BX$3:$BX$810))+1), $CB116), 0),"")</f>
        <v/>
      </c>
      <c r="CS116" s="252">
        <f t="shared" si="301"/>
        <v>113</v>
      </c>
      <c r="CT116" s="252">
        <f t="shared" si="302"/>
        <v>3</v>
      </c>
      <c r="CU116" s="252" t="str">
        <f t="shared" si="233"/>
        <v>CR32</v>
      </c>
      <c r="CV116" s="252" t="str">
        <f t="shared" ca="1" si="303"/>
        <v/>
      </c>
      <c r="CW116" s="252">
        <f t="shared" ca="1" si="193"/>
        <v>0</v>
      </c>
      <c r="CZ116" s="252">
        <v>113</v>
      </c>
      <c r="DA116" s="252" t="str">
        <f t="shared" ca="1" si="194"/>
        <v/>
      </c>
      <c r="DB116" s="252" t="str">
        <f t="shared" ca="1" si="235"/>
        <v/>
      </c>
      <c r="DC116" s="252" t="str">
        <f t="shared" ca="1" si="236"/>
        <v/>
      </c>
      <c r="DD116" s="252" t="str">
        <f t="shared" ca="1" si="237"/>
        <v/>
      </c>
    </row>
    <row r="117" spans="1:108" x14ac:dyDescent="0.2">
      <c r="A117" s="252">
        <v>7</v>
      </c>
      <c r="B117" s="252" t="str">
        <f t="shared" si="287"/>
        <v>Kai Havertz</v>
      </c>
      <c r="C117" s="252" t="str">
        <f t="shared" si="288"/>
        <v>John McGinn</v>
      </c>
      <c r="D117" s="252" t="str">
        <f t="shared" si="288"/>
        <v>Loïc Négo</v>
      </c>
      <c r="E117" s="252" t="str">
        <f t="shared" si="288"/>
        <v>Breel Embolo</v>
      </c>
      <c r="F117" s="252" t="str">
        <f t="shared" si="289"/>
        <v>Davide Frattesi</v>
      </c>
      <c r="G117" s="252" t="str">
        <f t="shared" si="290"/>
        <v>Rey Manaj</v>
      </c>
      <c r="H117" s="252" t="str">
        <f t="shared" si="300"/>
        <v>Mikel Merino</v>
      </c>
      <c r="I117" s="252" t="str">
        <f t="shared" si="291"/>
        <v>Lovro Majer</v>
      </c>
      <c r="J117" s="252" t="str">
        <f t="shared" si="292"/>
        <v>Dušan Vlahović</v>
      </c>
      <c r="K117" s="252" t="str">
        <f t="shared" si="293"/>
        <v>Bukayo Saka</v>
      </c>
      <c r="L117" s="252" t="str">
        <f t="shared" si="293"/>
        <v>Benjamin Verbič</v>
      </c>
      <c r="M117" s="252" t="str">
        <f t="shared" si="293"/>
        <v>Mathias Jensen</v>
      </c>
      <c r="N117" s="252" t="str">
        <f t="shared" si="294"/>
        <v>Karol Świderski</v>
      </c>
      <c r="O117" s="252" t="str">
        <f t="shared" si="295"/>
        <v>Xavi Simons</v>
      </c>
      <c r="P117" s="252" t="str">
        <f t="shared" si="295"/>
        <v>Marko Arnautović</v>
      </c>
      <c r="Q117" s="252" t="str">
        <f t="shared" si="295"/>
        <v>Antoine Griezmann</v>
      </c>
      <c r="R117" s="252" t="str">
        <f t="shared" si="296"/>
        <v>Kevin De Bruyne</v>
      </c>
      <c r="S117" s="252" t="str">
        <f t="shared" si="297"/>
        <v>Tomáš Suslov</v>
      </c>
      <c r="T117" s="252" t="str">
        <f t="shared" si="297"/>
        <v>Denis Alibec</v>
      </c>
      <c r="U117" s="252" t="str">
        <f t="shared" si="297"/>
        <v>Andriy Yarmolenko</v>
      </c>
      <c r="V117" s="252" t="str">
        <f t="shared" si="298"/>
        <v>Cristiano Ronaldo</v>
      </c>
      <c r="W117" s="252" t="str">
        <f t="shared" si="299"/>
        <v>Antonín Barák</v>
      </c>
      <c r="X117" s="252" t="str">
        <f t="shared" si="299"/>
        <v>Kerem Aktürkoğlu</v>
      </c>
      <c r="Y117" s="252" t="str">
        <f t="shared" si="299"/>
        <v>Khvicha Kvaratskhelia</v>
      </c>
      <c r="BT117" s="253" t="str">
        <f t="shared" ca="1" si="234"/>
        <v>Italy</v>
      </c>
      <c r="BU117" s="253">
        <f t="shared" si="201"/>
        <v>115</v>
      </c>
      <c r="BV117" s="253" t="str">
        <f t="shared" si="172"/>
        <v>A13</v>
      </c>
      <c r="BW117" s="253">
        <f t="shared" si="173"/>
        <v>5</v>
      </c>
      <c r="BX117" s="253" t="str">
        <f t="shared" ca="1" si="174"/>
        <v>Giacomo Raspadori</v>
      </c>
      <c r="BY117" s="253">
        <f ca="1">COUNTIF('Group Stages'!$J$8:$Q$80,BX117)+COUNTIF('Knock Out Stages'!$K$7:$R$45,BX117)</f>
        <v>0</v>
      </c>
      <c r="BZ117" s="253" t="str">
        <f t="shared" si="175"/>
        <v>'Player Database'!b16</v>
      </c>
      <c r="CA117" s="253" t="str">
        <f t="shared" ca="1" si="176"/>
        <v>Giacomo Raspadori</v>
      </c>
      <c r="CB117" s="252">
        <v>114</v>
      </c>
      <c r="CC117" s="252" t="str">
        <f t="array" aca="1" ref="CC117" ca="1">IFERROR(INDEX($BX$3:$BX$810, SMALL(IF(COUNTIF(CC$3, $BY$3:$BY$810), ROW($BX$3:$BX$810)-MIN(ROW($BX$3:$BX$810))+1), $CB117), 0),"")</f>
        <v/>
      </c>
      <c r="CS117" s="252">
        <f t="shared" si="301"/>
        <v>114</v>
      </c>
      <c r="CT117" s="252">
        <f t="shared" si="302"/>
        <v>3</v>
      </c>
      <c r="CU117" s="252" t="str">
        <f t="shared" si="233"/>
        <v>CR33</v>
      </c>
      <c r="CV117" s="252" t="str">
        <f t="shared" ca="1" si="303"/>
        <v/>
      </c>
      <c r="CW117" s="252">
        <f t="shared" ca="1" si="193"/>
        <v>0</v>
      </c>
      <c r="CZ117" s="252">
        <v>114</v>
      </c>
      <c r="DA117" s="252" t="str">
        <f t="shared" ca="1" si="194"/>
        <v/>
      </c>
      <c r="DB117" s="252" t="str">
        <f t="shared" ca="1" si="235"/>
        <v/>
      </c>
      <c r="DC117" s="252" t="str">
        <f t="shared" ca="1" si="236"/>
        <v/>
      </c>
      <c r="DD117" s="252" t="str">
        <f t="shared" ca="1" si="237"/>
        <v/>
      </c>
    </row>
    <row r="118" spans="1:108" x14ac:dyDescent="0.2">
      <c r="A118" s="252">
        <v>8</v>
      </c>
      <c r="B118" s="252" t="str">
        <f t="shared" si="287"/>
        <v>Toni Kroos</v>
      </c>
      <c r="C118" s="252" t="str">
        <f t="shared" si="288"/>
        <v>Callum McGregor</v>
      </c>
      <c r="D118" s="252" t="str">
        <f t="shared" si="288"/>
        <v>Ádám Nagy</v>
      </c>
      <c r="E118" s="252" t="str">
        <f t="shared" si="288"/>
        <v>Remo Freuler</v>
      </c>
      <c r="F118" s="252" t="str">
        <f t="shared" si="289"/>
        <v>Jorginho</v>
      </c>
      <c r="G118" s="252" t="str">
        <f t="shared" si="290"/>
        <v>Klaus Gjasula</v>
      </c>
      <c r="H118" s="252" t="str">
        <f t="shared" si="300"/>
        <v>Álvaro Morata</v>
      </c>
      <c r="I118" s="252" t="str">
        <f t="shared" si="291"/>
        <v>Mateo Kovačić</v>
      </c>
      <c r="J118" s="252" t="str">
        <f t="shared" si="292"/>
        <v>Luka Jović</v>
      </c>
      <c r="K118" s="252" t="str">
        <f t="shared" si="293"/>
        <v>Trent Alexander-Arnold</v>
      </c>
      <c r="L118" s="252" t="str">
        <f t="shared" si="293"/>
        <v>Sandi Lovrić</v>
      </c>
      <c r="M118" s="252" t="str">
        <f t="shared" si="293"/>
        <v>Thomas Delaney</v>
      </c>
      <c r="N118" s="252" t="str">
        <f t="shared" si="294"/>
        <v>Jakub Moder</v>
      </c>
      <c r="O118" s="252" t="str">
        <f t="shared" si="295"/>
        <v>Georginio Wijnaldum</v>
      </c>
      <c r="P118" s="252" t="str">
        <f t="shared" si="295"/>
        <v>Alexander Prass</v>
      </c>
      <c r="Q118" s="252" t="str">
        <f t="shared" si="295"/>
        <v>Aurélien Tchouaméni</v>
      </c>
      <c r="R118" s="252" t="str">
        <f t="shared" si="296"/>
        <v>Youri Tielemans</v>
      </c>
      <c r="S118" s="252" t="str">
        <f t="shared" si="297"/>
        <v>Ondrej Duda</v>
      </c>
      <c r="T118" s="252" t="str">
        <f t="shared" si="297"/>
        <v>Alexandru Cicâldău</v>
      </c>
      <c r="U118" s="252" t="str">
        <f t="shared" si="297"/>
        <v>Ruslan Malinovskyi</v>
      </c>
      <c r="V118" s="252" t="str">
        <f t="shared" si="298"/>
        <v>Bruno Fernandes</v>
      </c>
      <c r="W118" s="252" t="str">
        <f t="shared" si="299"/>
        <v>Petr Ševčík</v>
      </c>
      <c r="X118" s="252" t="str">
        <f t="shared" si="299"/>
        <v>Arda Güler</v>
      </c>
      <c r="Y118" s="252" t="str">
        <f t="shared" si="299"/>
        <v>Budu Zivzivadze</v>
      </c>
      <c r="BT118" s="253" t="str">
        <f t="shared" ca="1" si="234"/>
        <v>Italy</v>
      </c>
      <c r="BU118" s="253">
        <f t="shared" si="201"/>
        <v>116</v>
      </c>
      <c r="BV118" s="253" t="str">
        <f t="shared" si="172"/>
        <v>A14</v>
      </c>
      <c r="BW118" s="253">
        <f t="shared" si="173"/>
        <v>5</v>
      </c>
      <c r="BX118" s="253" t="str">
        <f t="shared" ca="1" si="174"/>
        <v>Guglielmo Vicario</v>
      </c>
      <c r="BY118" s="253">
        <f ca="1">COUNTIF('Group Stages'!$J$8:$Q$80,BX118)+COUNTIF('Knock Out Stages'!$K$7:$R$45,BX118)</f>
        <v>0</v>
      </c>
      <c r="BZ118" s="253" t="str">
        <f t="shared" si="175"/>
        <v>'Player Database'!b17</v>
      </c>
      <c r="CA118" s="253" t="str">
        <f t="shared" ca="1" si="176"/>
        <v>Guglielmo Vicario</v>
      </c>
      <c r="CB118" s="252">
        <v>115</v>
      </c>
      <c r="CC118" s="252" t="str">
        <f t="array" aca="1" ref="CC118" ca="1">IFERROR(INDEX($BX$3:$BX$810, SMALL(IF(COUNTIF(CC$3, $BY$3:$BY$810), ROW($BX$3:$BX$810)-MIN(ROW($BX$3:$BX$810))+1), $CB118), 0),"")</f>
        <v/>
      </c>
      <c r="CS118" s="252">
        <f t="shared" si="301"/>
        <v>115</v>
      </c>
      <c r="CT118" s="252">
        <f t="shared" si="302"/>
        <v>3</v>
      </c>
      <c r="CU118" s="252" t="str">
        <f t="shared" si="233"/>
        <v>CR34</v>
      </c>
      <c r="CV118" s="252" t="str">
        <f t="shared" ca="1" si="303"/>
        <v/>
      </c>
      <c r="CW118" s="252">
        <f t="shared" ca="1" si="193"/>
        <v>0</v>
      </c>
      <c r="CZ118" s="252">
        <v>115</v>
      </c>
      <c r="DA118" s="252" t="str">
        <f t="shared" ca="1" si="194"/>
        <v/>
      </c>
      <c r="DB118" s="252" t="str">
        <f t="shared" ca="1" si="235"/>
        <v/>
      </c>
      <c r="DC118" s="252" t="str">
        <f t="shared" ca="1" si="236"/>
        <v/>
      </c>
      <c r="DD118" s="252" t="str">
        <f t="shared" ca="1" si="237"/>
        <v/>
      </c>
    </row>
    <row r="119" spans="1:108" x14ac:dyDescent="0.2">
      <c r="A119" s="252">
        <v>9</v>
      </c>
      <c r="B119" s="252" t="str">
        <f t="shared" si="287"/>
        <v>Niclas Füllkrug</v>
      </c>
      <c r="C119" s="252" t="str">
        <f t="shared" si="288"/>
        <v>Lawrence Shankland</v>
      </c>
      <c r="D119" s="252" t="str">
        <f t="shared" si="288"/>
        <v>Martin Ádám</v>
      </c>
      <c r="E119" s="252" t="str">
        <f t="shared" si="288"/>
        <v>Noah Okafor</v>
      </c>
      <c r="F119" s="252" t="str">
        <f t="shared" si="289"/>
        <v>Gianluca Scamacca</v>
      </c>
      <c r="G119" s="252" t="str">
        <f t="shared" si="290"/>
        <v>Jasir Asani</v>
      </c>
      <c r="H119" s="252" t="str">
        <f t="shared" si="300"/>
        <v>Fabián Ruiz</v>
      </c>
      <c r="I119" s="252" t="str">
        <f t="shared" si="291"/>
        <v>Andrej Kramarić</v>
      </c>
      <c r="J119" s="252" t="str">
        <f t="shared" si="292"/>
        <v>Aleksandar Mitrović</v>
      </c>
      <c r="K119" s="252" t="str">
        <f t="shared" si="293"/>
        <v>Harry Kane</v>
      </c>
      <c r="L119" s="252" t="str">
        <f t="shared" si="293"/>
        <v>Andraž Šporar</v>
      </c>
      <c r="M119" s="252" t="str">
        <f t="shared" si="293"/>
        <v>Rasmus Højlund</v>
      </c>
      <c r="N119" s="252" t="str">
        <f t="shared" si="294"/>
        <v>Robert Lewandowski</v>
      </c>
      <c r="O119" s="252" t="str">
        <f t="shared" si="295"/>
        <v>Wout Weghorst</v>
      </c>
      <c r="P119" s="252" t="str">
        <f t="shared" si="295"/>
        <v>Marcel Sabitzer</v>
      </c>
      <c r="Q119" s="252" t="str">
        <f t="shared" si="295"/>
        <v>Olivier Giroud</v>
      </c>
      <c r="R119" s="252" t="str">
        <f t="shared" si="296"/>
        <v>Leandro Trossard</v>
      </c>
      <c r="S119" s="252" t="str">
        <f t="shared" si="297"/>
        <v>Róbert Boženík</v>
      </c>
      <c r="T119" s="252" t="str">
        <f t="shared" si="297"/>
        <v>George Pușcaș</v>
      </c>
      <c r="U119" s="252" t="str">
        <f t="shared" si="297"/>
        <v>Roman Yaremchuk</v>
      </c>
      <c r="V119" s="252" t="str">
        <f t="shared" si="298"/>
        <v>Gonçalo Ramos</v>
      </c>
      <c r="W119" s="252" t="str">
        <f t="shared" si="299"/>
        <v>Adam Hložek</v>
      </c>
      <c r="X119" s="252" t="str">
        <f t="shared" si="299"/>
        <v>Cenk Tosun</v>
      </c>
      <c r="Y119" s="252" t="str">
        <f t="shared" si="299"/>
        <v>Zuriko Davitashvili</v>
      </c>
      <c r="BT119" s="253" t="str">
        <f t="shared" ca="1" si="234"/>
        <v>Italy</v>
      </c>
      <c r="BU119" s="253">
        <f t="shared" si="201"/>
        <v>117</v>
      </c>
      <c r="BV119" s="253" t="str">
        <f t="shared" si="172"/>
        <v>A15</v>
      </c>
      <c r="BW119" s="253">
        <f t="shared" si="173"/>
        <v>5</v>
      </c>
      <c r="BX119" s="253" t="str">
        <f t="shared" ca="1" si="174"/>
        <v>Matteo Darmian</v>
      </c>
      <c r="BY119" s="253">
        <f ca="1">COUNTIF('Group Stages'!$J$8:$Q$80,BX119)+COUNTIF('Knock Out Stages'!$K$7:$R$45,BX119)</f>
        <v>0</v>
      </c>
      <c r="BZ119" s="253" t="str">
        <f t="shared" si="175"/>
        <v>'Player Database'!b18</v>
      </c>
      <c r="CA119" s="253" t="str">
        <f t="shared" ca="1" si="176"/>
        <v>Matteo Darmian</v>
      </c>
      <c r="CB119" s="252">
        <v>116</v>
      </c>
      <c r="CC119" s="252" t="str">
        <f t="array" aca="1" ref="CC119" ca="1">IFERROR(INDEX($BX$3:$BX$810, SMALL(IF(COUNTIF(CC$3, $BY$3:$BY$810), ROW($BX$3:$BX$810)-MIN(ROW($BX$3:$BX$810))+1), $CB119), 0),"")</f>
        <v/>
      </c>
      <c r="CS119" s="252">
        <f t="shared" si="301"/>
        <v>116</v>
      </c>
      <c r="CT119" s="252">
        <f t="shared" si="302"/>
        <v>3</v>
      </c>
      <c r="CU119" s="252" t="str">
        <f t="shared" si="233"/>
        <v>CR35</v>
      </c>
      <c r="CV119" s="252" t="str">
        <f t="shared" ca="1" si="303"/>
        <v/>
      </c>
      <c r="CW119" s="252">
        <f t="shared" ca="1" si="193"/>
        <v>0</v>
      </c>
      <c r="CZ119" s="252">
        <v>116</v>
      </c>
      <c r="DA119" s="252" t="str">
        <f t="shared" ca="1" si="194"/>
        <v/>
      </c>
      <c r="DB119" s="252" t="str">
        <f t="shared" ca="1" si="235"/>
        <v/>
      </c>
      <c r="DC119" s="252" t="str">
        <f t="shared" ca="1" si="236"/>
        <v/>
      </c>
      <c r="DD119" s="252" t="str">
        <f t="shared" ca="1" si="237"/>
        <v/>
      </c>
    </row>
    <row r="120" spans="1:108" x14ac:dyDescent="0.2">
      <c r="A120" s="252">
        <v>10</v>
      </c>
      <c r="B120" s="252" t="str">
        <f t="shared" si="287"/>
        <v>Jamal Musiala</v>
      </c>
      <c r="C120" s="252" t="str">
        <f t="shared" si="288"/>
        <v>Ché Adams</v>
      </c>
      <c r="D120" s="252" t="str">
        <f t="shared" si="288"/>
        <v>Dominik Szoboszlai</v>
      </c>
      <c r="E120" s="252" t="str">
        <f t="shared" si="288"/>
        <v>Granit Xhaka</v>
      </c>
      <c r="F120" s="252" t="str">
        <f t="shared" si="289"/>
        <v>Lorenzo Pellegrini</v>
      </c>
      <c r="G120" s="252" t="str">
        <f t="shared" si="290"/>
        <v>Nedim Bajrami</v>
      </c>
      <c r="H120" s="252" t="str">
        <f t="shared" si="300"/>
        <v>Joselu</v>
      </c>
      <c r="I120" s="252" t="str">
        <f t="shared" si="291"/>
        <v>Luka Modrić</v>
      </c>
      <c r="J120" s="252" t="str">
        <f t="shared" si="292"/>
        <v>Dušan Tadić</v>
      </c>
      <c r="K120" s="252" t="str">
        <f t="shared" si="293"/>
        <v>Jude Bellingham</v>
      </c>
      <c r="L120" s="252" t="str">
        <f t="shared" si="293"/>
        <v>Timi Max Elšnik</v>
      </c>
      <c r="M120" s="252" t="str">
        <f t="shared" si="293"/>
        <v>Christian Eriksen</v>
      </c>
      <c r="N120" s="252" t="str">
        <f t="shared" si="294"/>
        <v>Piotr Zieliński</v>
      </c>
      <c r="O120" s="252" t="str">
        <f t="shared" si="295"/>
        <v>Memphis Depay</v>
      </c>
      <c r="P120" s="252" t="str">
        <f t="shared" si="295"/>
        <v>Florian Grillitsch</v>
      </c>
      <c r="Q120" s="252" t="str">
        <f t="shared" si="295"/>
        <v>Kylian Mbappé</v>
      </c>
      <c r="R120" s="252" t="str">
        <f t="shared" si="296"/>
        <v>Romelu Lukaku</v>
      </c>
      <c r="S120" s="252" t="str">
        <f t="shared" si="297"/>
        <v>Ľubomír Tupta</v>
      </c>
      <c r="T120" s="252" t="str">
        <f t="shared" si="297"/>
        <v>Ianis Hagi</v>
      </c>
      <c r="U120" s="252" t="str">
        <f t="shared" si="297"/>
        <v>Mykhaylo Mudryk</v>
      </c>
      <c r="V120" s="252" t="str">
        <f t="shared" si="298"/>
        <v>Bernardo Silva</v>
      </c>
      <c r="W120" s="252" t="str">
        <f t="shared" si="299"/>
        <v>Patrik Schick</v>
      </c>
      <c r="X120" s="252" t="str">
        <f t="shared" si="299"/>
        <v>Hakan Çalhanoğlu</v>
      </c>
      <c r="Y120" s="252" t="str">
        <f t="shared" si="299"/>
        <v>Giorgi Chakvetadze</v>
      </c>
      <c r="BT120" s="253" t="str">
        <f t="shared" ca="1" si="234"/>
        <v>Italy</v>
      </c>
      <c r="BU120" s="253">
        <f t="shared" si="201"/>
        <v>118</v>
      </c>
      <c r="BV120" s="253" t="str">
        <f t="shared" ref="BV120:BV183" si="304">BV94</f>
        <v>A16</v>
      </c>
      <c r="BW120" s="253">
        <f t="shared" ref="BW120:BW183" si="305">BW94+1</f>
        <v>5</v>
      </c>
      <c r="BX120" s="253" t="str">
        <f t="shared" ref="BX120:BX183" ca="1" si="306">OFFSET(INDIRECT(BV120),0,BW120)</f>
        <v>Federico Chiesa</v>
      </c>
      <c r="BY120" s="253">
        <f ca="1">COUNTIF('Group Stages'!$J$8:$Q$80,BX120)+COUNTIF('Knock Out Stages'!$K$7:$R$45,BX120)</f>
        <v>0</v>
      </c>
      <c r="BZ120" s="253" t="str">
        <f t="shared" ref="BZ120:BZ183" si="307">BZ94</f>
        <v>'Player Database'!b19</v>
      </c>
      <c r="CA120" s="253" t="str">
        <f t="shared" ref="CA120:CA183" ca="1" si="308">OFFSET(INDIRECT(BZ120),0,BW120)</f>
        <v>Federico Chiesa</v>
      </c>
      <c r="CB120" s="252">
        <v>117</v>
      </c>
      <c r="CC120" s="252" t="str">
        <f t="array" aca="1" ref="CC120" ca="1">IFERROR(INDEX($BX$3:$BX$810, SMALL(IF(COUNTIF(CC$3, $BY$3:$BY$810), ROW($BX$3:$BX$810)-MIN(ROW($BX$3:$BX$810))+1), $CB120), 0),"")</f>
        <v/>
      </c>
      <c r="CS120" s="252">
        <f t="shared" si="301"/>
        <v>117</v>
      </c>
      <c r="CT120" s="252">
        <f t="shared" si="302"/>
        <v>3</v>
      </c>
      <c r="CU120" s="252" t="str">
        <f t="shared" si="233"/>
        <v>CR36</v>
      </c>
      <c r="CV120" s="252" t="str">
        <f t="shared" ca="1" si="303"/>
        <v/>
      </c>
      <c r="CW120" s="252">
        <f t="shared" ca="1" si="193"/>
        <v>0</v>
      </c>
      <c r="CZ120" s="252">
        <v>117</v>
      </c>
      <c r="DA120" s="252" t="str">
        <f t="shared" ca="1" si="194"/>
        <v/>
      </c>
      <c r="DB120" s="252" t="str">
        <f t="shared" ca="1" si="235"/>
        <v/>
      </c>
      <c r="DC120" s="252" t="str">
        <f t="shared" ca="1" si="236"/>
        <v/>
      </c>
      <c r="DD120" s="252" t="str">
        <f t="shared" ca="1" si="237"/>
        <v/>
      </c>
    </row>
    <row r="121" spans="1:108" x14ac:dyDescent="0.2">
      <c r="A121" s="252">
        <v>11</v>
      </c>
      <c r="B121" s="252" t="str">
        <f t="shared" si="287"/>
        <v>Chris Führich</v>
      </c>
      <c r="C121" s="252" t="str">
        <f t="shared" si="288"/>
        <v>Ryan Christie</v>
      </c>
      <c r="D121" s="252" t="str">
        <f t="shared" si="288"/>
        <v>Milos Kerkez</v>
      </c>
      <c r="E121" s="252" t="str">
        <f t="shared" si="288"/>
        <v>Renato Steffen</v>
      </c>
      <c r="F121" s="252" t="str">
        <f t="shared" si="289"/>
        <v>Giacomo Raspadori</v>
      </c>
      <c r="G121" s="252" t="str">
        <f t="shared" si="290"/>
        <v>Armando Broja</v>
      </c>
      <c r="H121" s="252" t="str">
        <f t="shared" si="300"/>
        <v>Dani Olmo</v>
      </c>
      <c r="I121" s="252" t="str">
        <f t="shared" si="291"/>
        <v>Marcelo Brozović</v>
      </c>
      <c r="J121" s="252" t="str">
        <f t="shared" si="292"/>
        <v>Filip Kostić</v>
      </c>
      <c r="K121" s="252" t="str">
        <f t="shared" si="293"/>
        <v>Phil Foden</v>
      </c>
      <c r="L121" s="252" t="str">
        <f t="shared" si="293"/>
        <v>Benjamin Šeško</v>
      </c>
      <c r="M121" s="252" t="str">
        <f t="shared" si="293"/>
        <v>Andreas Skov Olsen</v>
      </c>
      <c r="N121" s="252" t="str">
        <f t="shared" si="294"/>
        <v>Kamil Grosicki</v>
      </c>
      <c r="O121" s="252" t="str">
        <f t="shared" si="295"/>
        <v>Cody Gakpo</v>
      </c>
      <c r="P121" s="252" t="str">
        <f t="shared" si="295"/>
        <v>Michael Gregoritsch</v>
      </c>
      <c r="Q121" s="252" t="str">
        <f t="shared" si="295"/>
        <v>Ousmane Dembélé</v>
      </c>
      <c r="R121" s="252" t="str">
        <f t="shared" si="296"/>
        <v>Yannick Carrasco</v>
      </c>
      <c r="S121" s="252" t="str">
        <f t="shared" si="297"/>
        <v>László Bénes</v>
      </c>
      <c r="T121" s="252" t="str">
        <f t="shared" si="297"/>
        <v>Nicușor Bancu</v>
      </c>
      <c r="U121" s="252" t="str">
        <f t="shared" si="297"/>
        <v>Artem Dovbyk</v>
      </c>
      <c r="V121" s="252" t="str">
        <f t="shared" si="298"/>
        <v>João Félix</v>
      </c>
      <c r="W121" s="252" t="str">
        <f t="shared" si="299"/>
        <v>Jan Kuchta</v>
      </c>
      <c r="X121" s="252" t="str">
        <f t="shared" si="299"/>
        <v>Yusuf Yazıcı</v>
      </c>
      <c r="Y121" s="252" t="str">
        <f t="shared" si="299"/>
        <v>Giorgi Kvilitaia</v>
      </c>
      <c r="BT121" s="253" t="str">
        <f t="shared" ca="1" si="234"/>
        <v>Italy</v>
      </c>
      <c r="BU121" s="253">
        <f t="shared" si="201"/>
        <v>119</v>
      </c>
      <c r="BV121" s="253" t="str">
        <f t="shared" si="304"/>
        <v>A17</v>
      </c>
      <c r="BW121" s="253">
        <f t="shared" si="305"/>
        <v>5</v>
      </c>
      <c r="BX121" s="253" t="str">
        <f t="shared" ca="1" si="306"/>
        <v>Raoul Bellanova</v>
      </c>
      <c r="BY121" s="253">
        <f ca="1">COUNTIF('Group Stages'!$J$8:$Q$80,BX121)+COUNTIF('Knock Out Stages'!$K$7:$R$45,BX121)</f>
        <v>0</v>
      </c>
      <c r="BZ121" s="253" t="str">
        <f t="shared" si="307"/>
        <v>'Player Database'!b20</v>
      </c>
      <c r="CA121" s="253" t="str">
        <f t="shared" ca="1" si="308"/>
        <v>Raoul Bellanova</v>
      </c>
      <c r="CB121" s="252">
        <v>118</v>
      </c>
      <c r="CC121" s="252" t="str">
        <f t="array" aca="1" ref="CC121" ca="1">IFERROR(INDEX($BX$3:$BX$810, SMALL(IF(COUNTIF(CC$3, $BY$3:$BY$810), ROW($BX$3:$BX$810)-MIN(ROW($BX$3:$BX$810))+1), $CB121), 0),"")</f>
        <v/>
      </c>
      <c r="CS121" s="252">
        <f t="shared" si="301"/>
        <v>118</v>
      </c>
      <c r="CT121" s="252">
        <f t="shared" si="302"/>
        <v>3</v>
      </c>
      <c r="CU121" s="252" t="str">
        <f t="shared" si="233"/>
        <v>CR37</v>
      </c>
      <c r="CV121" s="252" t="str">
        <f t="shared" ca="1" si="303"/>
        <v/>
      </c>
      <c r="CW121" s="252">
        <f t="shared" ca="1" si="193"/>
        <v>0</v>
      </c>
      <c r="CZ121" s="252">
        <v>118</v>
      </c>
      <c r="DA121" s="252" t="str">
        <f t="shared" ca="1" si="194"/>
        <v/>
      </c>
      <c r="DB121" s="252" t="str">
        <f t="shared" ca="1" si="235"/>
        <v/>
      </c>
      <c r="DC121" s="252" t="str">
        <f t="shared" ca="1" si="236"/>
        <v/>
      </c>
      <c r="DD121" s="252" t="str">
        <f t="shared" ca="1" si="237"/>
        <v/>
      </c>
    </row>
    <row r="122" spans="1:108" x14ac:dyDescent="0.2">
      <c r="A122" s="252">
        <v>12</v>
      </c>
      <c r="B122" s="252" t="str">
        <f t="shared" si="287"/>
        <v>Oliver Baumann</v>
      </c>
      <c r="C122" s="252" t="str">
        <f t="shared" si="288"/>
        <v>Liam Kelly</v>
      </c>
      <c r="D122" s="252" t="str">
        <f t="shared" si="288"/>
        <v>Dénes Dibusz</v>
      </c>
      <c r="E122" s="252" t="str">
        <f t="shared" si="288"/>
        <v>Yvon Mvogo</v>
      </c>
      <c r="F122" s="252" t="str">
        <f t="shared" si="289"/>
        <v>Guglielmo Vicario</v>
      </c>
      <c r="G122" s="252" t="str">
        <f t="shared" si="290"/>
        <v>Elhan Kastrati</v>
      </c>
      <c r="H122" s="252" t="str">
        <f t="shared" si="300"/>
        <v>Ferran Torres</v>
      </c>
      <c r="I122" s="252" t="str">
        <f t="shared" si="291"/>
        <v>Nediljko Labrović</v>
      </c>
      <c r="J122" s="252" t="str">
        <f t="shared" si="292"/>
        <v>Đorđe Petrović</v>
      </c>
      <c r="K122" s="252" t="str">
        <f t="shared" si="293"/>
        <v>Kieran Trippier</v>
      </c>
      <c r="L122" s="252" t="str">
        <f t="shared" si="293"/>
        <v>Vid Belec</v>
      </c>
      <c r="M122" s="252" t="str">
        <f t="shared" si="293"/>
        <v>Kasper Dolberg</v>
      </c>
      <c r="N122" s="252" t="str">
        <f t="shared" si="294"/>
        <v>Łukasz Skorupski</v>
      </c>
      <c r="O122" s="252" t="str">
        <f t="shared" si="295"/>
        <v>Jeremie Frimpong</v>
      </c>
      <c r="P122" s="252" t="str">
        <f t="shared" si="295"/>
        <v>Niklas Hedl</v>
      </c>
      <c r="Q122" s="252" t="str">
        <f t="shared" si="295"/>
        <v>Randal Kolo Muani</v>
      </c>
      <c r="R122" s="252" t="str">
        <f t="shared" si="296"/>
        <v>Thomas Kaminski</v>
      </c>
      <c r="S122" s="252" t="str">
        <f t="shared" si="297"/>
        <v>Marek Rodák</v>
      </c>
      <c r="T122" s="252" t="str">
        <f t="shared" si="297"/>
        <v>Horațiu Moldovan</v>
      </c>
      <c r="U122" s="252" t="str">
        <f t="shared" si="297"/>
        <v>Anatoliy Trubin</v>
      </c>
      <c r="V122" s="252" t="str">
        <f t="shared" si="298"/>
        <v>José Sá</v>
      </c>
      <c r="W122" s="252" t="str">
        <f t="shared" si="299"/>
        <v>David Douděra</v>
      </c>
      <c r="X122" s="252" t="str">
        <f t="shared" si="299"/>
        <v>Altay Bayındır</v>
      </c>
      <c r="Y122" s="252" t="str">
        <f t="shared" si="299"/>
        <v>Luka Gugeshashvili</v>
      </c>
      <c r="BT122" s="253" t="str">
        <f t="shared" ca="1" si="234"/>
        <v>Italy</v>
      </c>
      <c r="BU122" s="253">
        <f t="shared" si="201"/>
        <v>120</v>
      </c>
      <c r="BV122" s="253" t="str">
        <f t="shared" si="304"/>
        <v>A18</v>
      </c>
      <c r="BW122" s="253">
        <f t="shared" si="305"/>
        <v>5</v>
      </c>
      <c r="BX122" s="253" t="str">
        <f t="shared" ca="1" si="306"/>
        <v>Bryan Cristante</v>
      </c>
      <c r="BY122" s="253">
        <f ca="1">COUNTIF('Group Stages'!$J$8:$Q$80,BX122)+COUNTIF('Knock Out Stages'!$K$7:$R$45,BX122)</f>
        <v>0</v>
      </c>
      <c r="BZ122" s="253" t="str">
        <f t="shared" si="307"/>
        <v>'Player Database'!b21</v>
      </c>
      <c r="CA122" s="253" t="str">
        <f t="shared" ca="1" si="308"/>
        <v>Bryan Cristante</v>
      </c>
      <c r="CB122" s="252">
        <v>119</v>
      </c>
      <c r="CC122" s="252" t="str">
        <f t="array" aca="1" ref="CC122" ca="1">IFERROR(INDEX($BX$3:$BX$810, SMALL(IF(COUNTIF(CC$3, $BY$3:$BY$810), ROW($BX$3:$BX$810)-MIN(ROW($BX$3:$BX$810))+1), $CB122), 0),"")</f>
        <v/>
      </c>
      <c r="CS122" s="252">
        <f t="shared" si="301"/>
        <v>119</v>
      </c>
      <c r="CT122" s="252">
        <f t="shared" si="302"/>
        <v>3</v>
      </c>
      <c r="CU122" s="252" t="str">
        <f t="shared" si="233"/>
        <v>CR38</v>
      </c>
      <c r="CV122" s="252" t="str">
        <f t="shared" ca="1" si="303"/>
        <v/>
      </c>
      <c r="CW122" s="252">
        <f t="shared" ca="1" si="193"/>
        <v>0</v>
      </c>
      <c r="CZ122" s="252">
        <v>119</v>
      </c>
      <c r="DA122" s="252" t="str">
        <f t="shared" ca="1" si="194"/>
        <v/>
      </c>
      <c r="DB122" s="252" t="str">
        <f t="shared" ca="1" si="235"/>
        <v/>
      </c>
      <c r="DC122" s="252" t="str">
        <f t="shared" ca="1" si="236"/>
        <v/>
      </c>
      <c r="DD122" s="252" t="str">
        <f t="shared" ca="1" si="237"/>
        <v/>
      </c>
    </row>
    <row r="123" spans="1:108" x14ac:dyDescent="0.2">
      <c r="A123" s="252">
        <v>13</v>
      </c>
      <c r="B123" s="252" t="str">
        <f t="shared" si="287"/>
        <v>Thomas Müller</v>
      </c>
      <c r="C123" s="252" t="str">
        <f t="shared" si="288"/>
        <v>Jack Hendry</v>
      </c>
      <c r="D123" s="252" t="str">
        <f t="shared" si="288"/>
        <v>András Schäfer</v>
      </c>
      <c r="E123" s="252" t="str">
        <f t="shared" si="288"/>
        <v>Ricardo Rodriguez</v>
      </c>
      <c r="F123" s="252" t="str">
        <f t="shared" si="289"/>
        <v>Matteo Darmian</v>
      </c>
      <c r="G123" s="252" t="str">
        <f t="shared" si="290"/>
        <v>Enea Mihaj</v>
      </c>
      <c r="H123" s="252" t="str">
        <f t="shared" si="300"/>
        <v>Álex Grimaldo</v>
      </c>
      <c r="I123" s="252" t="str">
        <f t="shared" si="291"/>
        <v>Nikola Vlašić</v>
      </c>
      <c r="J123" s="252" t="str">
        <f t="shared" si="292"/>
        <v>Miloš Veljković</v>
      </c>
      <c r="K123" s="252" t="str">
        <f t="shared" si="293"/>
        <v>Aaron Ramsdale</v>
      </c>
      <c r="L123" s="252" t="str">
        <f t="shared" si="293"/>
        <v>Erik Janža</v>
      </c>
      <c r="M123" s="252" t="str">
        <f t="shared" si="293"/>
        <v>Mathias Jørgensen</v>
      </c>
      <c r="N123" s="252" t="str">
        <f t="shared" si="294"/>
        <v>Taras Romanczuk</v>
      </c>
      <c r="O123" s="252" t="str">
        <f t="shared" si="295"/>
        <v>Justin Bijlow</v>
      </c>
      <c r="P123" s="252" t="str">
        <f t="shared" si="295"/>
        <v>Patrick Pentz</v>
      </c>
      <c r="Q123" s="252" t="str">
        <f t="shared" si="295"/>
        <v>N'Golo Kanté</v>
      </c>
      <c r="R123" s="252" t="str">
        <f t="shared" si="296"/>
        <v>Matz Sels</v>
      </c>
      <c r="S123" s="252" t="str">
        <f t="shared" si="297"/>
        <v>Patrik Hrošovský</v>
      </c>
      <c r="T123" s="252" t="str">
        <f t="shared" si="297"/>
        <v>Valentin Mihăilă</v>
      </c>
      <c r="U123" s="252" t="str">
        <f t="shared" si="297"/>
        <v>Illya Zabarnyi</v>
      </c>
      <c r="V123" s="252" t="str">
        <f t="shared" si="298"/>
        <v>Danilo Pereira</v>
      </c>
      <c r="W123" s="252" t="str">
        <f t="shared" si="299"/>
        <v>Mojmír Chytil</v>
      </c>
      <c r="X123" s="252" t="str">
        <f t="shared" si="299"/>
        <v>Ahmetcan Kaplan</v>
      </c>
      <c r="Y123" s="252" t="str">
        <f t="shared" si="299"/>
        <v>Giorgi Gocholeishvili</v>
      </c>
      <c r="BT123" s="253" t="str">
        <f t="shared" ca="1" si="234"/>
        <v>Italy</v>
      </c>
      <c r="BU123" s="253">
        <f t="shared" si="201"/>
        <v>121</v>
      </c>
      <c r="BV123" s="253" t="str">
        <f t="shared" si="304"/>
        <v>A19</v>
      </c>
      <c r="BW123" s="253">
        <f t="shared" si="305"/>
        <v>5</v>
      </c>
      <c r="BX123" s="253" t="str">
        <f t="shared" ca="1" si="306"/>
        <v>Gianluca Mancini</v>
      </c>
      <c r="BY123" s="253">
        <f ca="1">COUNTIF('Group Stages'!$J$8:$Q$80,BX123)+COUNTIF('Knock Out Stages'!$K$7:$R$45,BX123)</f>
        <v>0</v>
      </c>
      <c r="BZ123" s="253" t="str">
        <f t="shared" si="307"/>
        <v>'Player Database'!b22</v>
      </c>
      <c r="CA123" s="253" t="str">
        <f t="shared" ca="1" si="308"/>
        <v>Gianluca Mancini</v>
      </c>
      <c r="CB123" s="252">
        <v>120</v>
      </c>
      <c r="CC123" s="252" t="str">
        <f t="array" aca="1" ref="CC123" ca="1">IFERROR(INDEX($BX$3:$BX$810, SMALL(IF(COUNTIF(CC$3, $BY$3:$BY$810), ROW($BX$3:$BX$810)-MIN(ROW($BX$3:$BX$810))+1), $CB123), 0),"")</f>
        <v/>
      </c>
      <c r="CS123" s="252">
        <f t="shared" si="301"/>
        <v>120</v>
      </c>
      <c r="CT123" s="252">
        <f t="shared" si="302"/>
        <v>3</v>
      </c>
      <c r="CU123" s="252" t="str">
        <f t="shared" si="233"/>
        <v>CR39</v>
      </c>
      <c r="CV123" s="252" t="str">
        <f t="shared" ca="1" si="303"/>
        <v/>
      </c>
      <c r="CW123" s="252">
        <f t="shared" ca="1" si="193"/>
        <v>0</v>
      </c>
      <c r="CZ123" s="252">
        <v>120</v>
      </c>
      <c r="DA123" s="252" t="str">
        <f t="shared" ca="1" si="194"/>
        <v/>
      </c>
      <c r="DB123" s="252" t="str">
        <f t="shared" ca="1" si="235"/>
        <v/>
      </c>
      <c r="DC123" s="252" t="str">
        <f t="shared" ca="1" si="236"/>
        <v/>
      </c>
      <c r="DD123" s="252" t="str">
        <f t="shared" ca="1" si="237"/>
        <v/>
      </c>
    </row>
    <row r="124" spans="1:108" x14ac:dyDescent="0.2">
      <c r="A124" s="252">
        <v>14</v>
      </c>
      <c r="B124" s="252" t="str">
        <f t="shared" si="287"/>
        <v>Maximilian Beier</v>
      </c>
      <c r="C124" s="252" t="str">
        <f t="shared" si="288"/>
        <v>Billy Gilmour</v>
      </c>
      <c r="D124" s="252" t="str">
        <f t="shared" si="288"/>
        <v>Bendegúz Bolla</v>
      </c>
      <c r="E124" s="252" t="str">
        <f t="shared" si="288"/>
        <v>Steven Zuber</v>
      </c>
      <c r="F124" s="252" t="str">
        <f t="shared" si="289"/>
        <v>Federico Chiesa</v>
      </c>
      <c r="G124" s="252" t="str">
        <f t="shared" si="290"/>
        <v>Qazim Laçi</v>
      </c>
      <c r="H124" s="252" t="str">
        <f t="shared" si="300"/>
        <v>Álex Remiro</v>
      </c>
      <c r="I124" s="252" t="str">
        <f t="shared" si="291"/>
        <v>Ivan Perišić</v>
      </c>
      <c r="J124" s="252" t="str">
        <f t="shared" si="292"/>
        <v>Andrija Živković</v>
      </c>
      <c r="K124" s="252" t="str">
        <f t="shared" si="293"/>
        <v>Ezri Konsa</v>
      </c>
      <c r="L124" s="252" t="str">
        <f t="shared" si="293"/>
        <v>Jasmin Kurtić</v>
      </c>
      <c r="M124" s="252" t="str">
        <f t="shared" si="293"/>
        <v>Mikkel Damsgaard</v>
      </c>
      <c r="N124" s="252" t="str">
        <f t="shared" si="294"/>
        <v>Jakub Kiwior</v>
      </c>
      <c r="O124" s="252" t="str">
        <f t="shared" si="295"/>
        <v>Tijjani Reijnders</v>
      </c>
      <c r="P124" s="252" t="str">
        <f t="shared" si="295"/>
        <v>Leopold Querfeld</v>
      </c>
      <c r="Q124" s="252" t="str">
        <f t="shared" si="295"/>
        <v>Adrien Rabiot</v>
      </c>
      <c r="R124" s="252" t="str">
        <f t="shared" si="296"/>
        <v>Dodi Lukebakio</v>
      </c>
      <c r="S124" s="252" t="str">
        <f t="shared" si="297"/>
        <v>Milan Škriniar</v>
      </c>
      <c r="T124" s="252" t="str">
        <f t="shared" si="297"/>
        <v>Darius Olaru</v>
      </c>
      <c r="U124" s="252" t="str">
        <f t="shared" si="297"/>
        <v>Heorhiy Sudakov</v>
      </c>
      <c r="V124" s="252" t="str">
        <f t="shared" si="298"/>
        <v>Gonçalo Inácio</v>
      </c>
      <c r="W124" s="252" t="str">
        <f t="shared" si="299"/>
        <v>Lukáš Provod</v>
      </c>
      <c r="X124" s="252" t="str">
        <f t="shared" si="299"/>
        <v>Abdülkerim Bardakcı</v>
      </c>
      <c r="Y124" s="252" t="str">
        <f t="shared" si="299"/>
        <v>Luka Lochoshvili</v>
      </c>
      <c r="BT124" s="253" t="str">
        <f t="shared" ca="1" si="234"/>
        <v>Italy</v>
      </c>
      <c r="BU124" s="253">
        <f t="shared" si="201"/>
        <v>122</v>
      </c>
      <c r="BV124" s="253" t="str">
        <f t="shared" si="304"/>
        <v>A20</v>
      </c>
      <c r="BW124" s="253">
        <f t="shared" si="305"/>
        <v>5</v>
      </c>
      <c r="BX124" s="253" t="str">
        <f t="shared" ca="1" si="306"/>
        <v>Nicolò Barella</v>
      </c>
      <c r="BY124" s="253">
        <f ca="1">COUNTIF('Group Stages'!$J$8:$Q$80,BX124)+COUNTIF('Knock Out Stages'!$K$7:$R$45,BX124)</f>
        <v>1</v>
      </c>
      <c r="BZ124" s="253" t="str">
        <f t="shared" si="307"/>
        <v>'Player Database'!b23</v>
      </c>
      <c r="CA124" s="253" t="str">
        <f t="shared" ca="1" si="308"/>
        <v>Nicolò Barella</v>
      </c>
      <c r="CB124" s="252">
        <v>121</v>
      </c>
      <c r="CC124" s="252" t="str">
        <f t="array" aca="1" ref="CC124" ca="1">IFERROR(INDEX($BX$3:$BX$810, SMALL(IF(COUNTIF(CC$3, $BY$3:$BY$810), ROW($BX$3:$BX$810)-MIN(ROW($BX$3:$BX$810))+1), $CB124), 0),"")</f>
        <v/>
      </c>
      <c r="CS124" s="252">
        <f t="shared" si="301"/>
        <v>121</v>
      </c>
      <c r="CT124" s="252">
        <f t="shared" si="302"/>
        <v>3</v>
      </c>
      <c r="CU124" s="252" t="str">
        <f t="shared" si="233"/>
        <v>CR40</v>
      </c>
      <c r="CV124" s="252" t="str">
        <f t="shared" ca="1" si="303"/>
        <v/>
      </c>
      <c r="CW124" s="252">
        <f t="shared" ca="1" si="193"/>
        <v>0</v>
      </c>
      <c r="CZ124" s="252">
        <v>121</v>
      </c>
      <c r="DA124" s="252" t="str">
        <f t="shared" ca="1" si="194"/>
        <v/>
      </c>
      <c r="DB124" s="252" t="str">
        <f t="shared" ca="1" si="235"/>
        <v/>
      </c>
      <c r="DC124" s="252" t="str">
        <f t="shared" ca="1" si="236"/>
        <v/>
      </c>
      <c r="DD124" s="252" t="str">
        <f t="shared" ca="1" si="237"/>
        <v/>
      </c>
    </row>
    <row r="125" spans="1:108" x14ac:dyDescent="0.2">
      <c r="A125" s="252">
        <v>15</v>
      </c>
      <c r="B125" s="252" t="str">
        <f t="shared" si="287"/>
        <v>Nico Schlotterbeck</v>
      </c>
      <c r="C125" s="252" t="str">
        <f t="shared" si="288"/>
        <v>Ryan Porteous</v>
      </c>
      <c r="D125" s="252" t="str">
        <f t="shared" si="288"/>
        <v>László Kleinheisler</v>
      </c>
      <c r="E125" s="252" t="str">
        <f t="shared" si="288"/>
        <v>Cédric Zesiger</v>
      </c>
      <c r="F125" s="252" t="str">
        <f t="shared" si="289"/>
        <v>Raoul Bellanova</v>
      </c>
      <c r="G125" s="252" t="str">
        <f t="shared" si="290"/>
        <v>Taulant Seferi</v>
      </c>
      <c r="H125" s="252" t="str">
        <f t="shared" si="300"/>
        <v>Aymeric Laporte</v>
      </c>
      <c r="I125" s="252" t="str">
        <f t="shared" si="291"/>
        <v>Mario Pašalić</v>
      </c>
      <c r="J125" s="252" t="str">
        <f t="shared" si="292"/>
        <v>Srđan Babić</v>
      </c>
      <c r="K125" s="252" t="str">
        <f t="shared" si="293"/>
        <v>Lewis Dunk</v>
      </c>
      <c r="L125" s="252" t="str">
        <f t="shared" si="293"/>
        <v>Tomi Horvat</v>
      </c>
      <c r="M125" s="252" t="str">
        <f t="shared" si="293"/>
        <v>Christian Nørgaard</v>
      </c>
      <c r="N125" s="252" t="str">
        <f t="shared" si="294"/>
        <v>Tymoteusz Puchacz</v>
      </c>
      <c r="O125" s="252" t="str">
        <f t="shared" si="295"/>
        <v>Micky van de Ven</v>
      </c>
      <c r="P125" s="252" t="str">
        <f t="shared" si="295"/>
        <v>Philipp Lienhart</v>
      </c>
      <c r="Q125" s="252" t="str">
        <f t="shared" si="295"/>
        <v>Marcus Thuram</v>
      </c>
      <c r="R125" s="252" t="str">
        <f t="shared" si="296"/>
        <v>Thomas Meunier</v>
      </c>
      <c r="S125" s="252" t="str">
        <f t="shared" si="297"/>
        <v>Vernon De Marco</v>
      </c>
      <c r="T125" s="252" t="str">
        <f t="shared" si="297"/>
        <v>Andrei Burcă</v>
      </c>
      <c r="U125" s="252" t="str">
        <f t="shared" si="297"/>
        <v>Viktor Tsyhankov</v>
      </c>
      <c r="V125" s="252" t="str">
        <f t="shared" si="298"/>
        <v>João Neves</v>
      </c>
      <c r="W125" s="252" t="str">
        <f t="shared" si="299"/>
        <v>David Jurásek</v>
      </c>
      <c r="X125" s="252" t="str">
        <f t="shared" si="299"/>
        <v>Salih Özcan</v>
      </c>
      <c r="Y125" s="252" t="str">
        <f t="shared" si="299"/>
        <v>Giorgi Gvelesiani</v>
      </c>
      <c r="BT125" s="253" t="str">
        <f t="shared" ca="1" si="234"/>
        <v>Italy</v>
      </c>
      <c r="BU125" s="253">
        <f t="shared" si="201"/>
        <v>123</v>
      </c>
      <c r="BV125" s="253" t="str">
        <f t="shared" si="304"/>
        <v>A21</v>
      </c>
      <c r="BW125" s="253">
        <f t="shared" si="305"/>
        <v>5</v>
      </c>
      <c r="BX125" s="253" t="str">
        <f t="shared" ca="1" si="306"/>
        <v>Mateo Retegui</v>
      </c>
      <c r="BY125" s="253">
        <f ca="1">COUNTIF('Group Stages'!$J$8:$Q$80,BX125)+COUNTIF('Knock Out Stages'!$K$7:$R$45,BX125)</f>
        <v>0</v>
      </c>
      <c r="BZ125" s="253" t="str">
        <f t="shared" si="307"/>
        <v>'Player Database'!b24</v>
      </c>
      <c r="CA125" s="253" t="str">
        <f t="shared" ca="1" si="308"/>
        <v>Mateo Retegui</v>
      </c>
      <c r="CB125" s="252">
        <v>122</v>
      </c>
      <c r="CC125" s="252" t="str">
        <f t="array" aca="1" ref="CC125" ca="1">IFERROR(INDEX($BX$3:$BX$810, SMALL(IF(COUNTIF(CC$3, $BY$3:$BY$810), ROW($BX$3:$BX$810)-MIN(ROW($BX$3:$BX$810))+1), $CB125), 0),"")</f>
        <v/>
      </c>
      <c r="CS125" s="252">
        <f t="shared" si="301"/>
        <v>122</v>
      </c>
      <c r="CT125" s="252">
        <f t="shared" si="302"/>
        <v>3</v>
      </c>
      <c r="CU125" s="252" t="str">
        <f t="shared" si="233"/>
        <v>CR41</v>
      </c>
      <c r="CV125" s="252" t="str">
        <f t="shared" ca="1" si="303"/>
        <v/>
      </c>
      <c r="CW125" s="252">
        <f t="shared" ca="1" si="193"/>
        <v>0</v>
      </c>
      <c r="CZ125" s="252">
        <v>122</v>
      </c>
      <c r="DA125" s="252" t="str">
        <f t="shared" ca="1" si="194"/>
        <v/>
      </c>
      <c r="DB125" s="252" t="str">
        <f t="shared" ca="1" si="235"/>
        <v/>
      </c>
      <c r="DC125" s="252" t="str">
        <f t="shared" ca="1" si="236"/>
        <v/>
      </c>
      <c r="DD125" s="252" t="str">
        <f t="shared" ca="1" si="237"/>
        <v/>
      </c>
    </row>
    <row r="126" spans="1:108" x14ac:dyDescent="0.2">
      <c r="A126" s="252">
        <v>16</v>
      </c>
      <c r="B126" s="252" t="str">
        <f t="shared" si="287"/>
        <v>Waldemar Anton</v>
      </c>
      <c r="C126" s="252" t="str">
        <f t="shared" si="288"/>
        <v>Liam Cooper</v>
      </c>
      <c r="D126" s="252" t="str">
        <f t="shared" si="288"/>
        <v>Dániel Gazdag</v>
      </c>
      <c r="E126" s="252" t="str">
        <f t="shared" si="288"/>
        <v>Vincent Sierro</v>
      </c>
      <c r="F126" s="252" t="str">
        <f t="shared" si="289"/>
        <v>Bryan Cristante</v>
      </c>
      <c r="G126" s="252" t="str">
        <f t="shared" si="290"/>
        <v>Medon Berisha</v>
      </c>
      <c r="H126" s="252" t="str">
        <f t="shared" si="300"/>
        <v>Álex Baena</v>
      </c>
      <c r="I126" s="252" t="str">
        <f t="shared" si="291"/>
        <v>Ante Budimir</v>
      </c>
      <c r="J126" s="252" t="str">
        <f t="shared" si="292"/>
        <v>Srđan Mijailović</v>
      </c>
      <c r="K126" s="252" t="str">
        <f t="shared" si="293"/>
        <v>Conor Gallagher</v>
      </c>
      <c r="L126" s="252" t="str">
        <f t="shared" si="293"/>
        <v>Igor Vekić</v>
      </c>
      <c r="M126" s="252" t="str">
        <f t="shared" si="293"/>
        <v>Mads Hermansen</v>
      </c>
      <c r="N126" s="252" t="str">
        <f t="shared" si="294"/>
        <v>Adam Buksa</v>
      </c>
      <c r="O126" s="252" t="str">
        <f t="shared" si="295"/>
        <v>Joey Veerman</v>
      </c>
      <c r="P126" s="252" t="str">
        <f t="shared" si="295"/>
        <v>Phillipp Mwene</v>
      </c>
      <c r="Q126" s="252" t="str">
        <f t="shared" si="295"/>
        <v>Mike Maignan</v>
      </c>
      <c r="R126" s="252" t="str">
        <f t="shared" si="296"/>
        <v>Aster Vranckx</v>
      </c>
      <c r="S126" s="252" t="str">
        <f t="shared" si="297"/>
        <v>Dávid Hancko</v>
      </c>
      <c r="T126" s="252" t="str">
        <f t="shared" si="297"/>
        <v>Ștefan Târnovanu</v>
      </c>
      <c r="U126" s="252" t="str">
        <f t="shared" si="297"/>
        <v>Vitaliy Mykolenko</v>
      </c>
      <c r="V126" s="252" t="str">
        <f t="shared" si="298"/>
        <v>Matheus Nunes</v>
      </c>
      <c r="W126" s="252" t="str">
        <f t="shared" si="299"/>
        <v>Matěj Kovář</v>
      </c>
      <c r="X126" s="252" t="str">
        <f t="shared" si="299"/>
        <v>İsmail Yüksek</v>
      </c>
      <c r="Y126" s="252" t="str">
        <f t="shared" si="299"/>
        <v>Nika Kvekveskiri</v>
      </c>
      <c r="BT126" s="253" t="str">
        <f t="shared" ca="1" si="234"/>
        <v>Italy</v>
      </c>
      <c r="BU126" s="253">
        <f t="shared" si="201"/>
        <v>124</v>
      </c>
      <c r="BV126" s="253" t="str">
        <f t="shared" si="304"/>
        <v>A22</v>
      </c>
      <c r="BW126" s="253">
        <f t="shared" si="305"/>
        <v>5</v>
      </c>
      <c r="BX126" s="253" t="str">
        <f t="shared" ca="1" si="306"/>
        <v>Mattia Zaccagni</v>
      </c>
      <c r="BY126" s="253">
        <f ca="1">COUNTIF('Group Stages'!$J$8:$Q$80,BX126)+COUNTIF('Knock Out Stages'!$K$7:$R$45,BX126)</f>
        <v>0</v>
      </c>
      <c r="BZ126" s="253" t="str">
        <f t="shared" si="307"/>
        <v>'Player Database'!b25</v>
      </c>
      <c r="CA126" s="253" t="str">
        <f t="shared" ca="1" si="308"/>
        <v>Mattia Zaccagni</v>
      </c>
      <c r="CB126" s="252">
        <v>123</v>
      </c>
      <c r="CC126" s="252" t="str">
        <f t="array" aca="1" ref="CC126" ca="1">IFERROR(INDEX($BX$3:$BX$810, SMALL(IF(COUNTIF(CC$3, $BY$3:$BY$810), ROW($BX$3:$BX$810)-MIN(ROW($BX$3:$BX$810))+1), $CB126), 0),"")</f>
        <v/>
      </c>
      <c r="CS126" s="252">
        <f t="shared" si="301"/>
        <v>123</v>
      </c>
      <c r="CT126" s="252">
        <f t="shared" si="302"/>
        <v>3</v>
      </c>
      <c r="CU126" s="252" t="str">
        <f t="shared" si="233"/>
        <v>CR42</v>
      </c>
      <c r="CV126" s="252" t="str">
        <f t="shared" ca="1" si="303"/>
        <v/>
      </c>
      <c r="CW126" s="252">
        <f t="shared" ca="1" si="193"/>
        <v>0</v>
      </c>
      <c r="CZ126" s="252">
        <v>123</v>
      </c>
      <c r="DA126" s="252" t="str">
        <f t="shared" ca="1" si="194"/>
        <v/>
      </c>
      <c r="DB126" s="252" t="str">
        <f t="shared" ca="1" si="235"/>
        <v/>
      </c>
      <c r="DC126" s="252" t="str">
        <f t="shared" ca="1" si="236"/>
        <v/>
      </c>
      <c r="DD126" s="252" t="str">
        <f t="shared" ca="1" si="237"/>
        <v/>
      </c>
    </row>
    <row r="127" spans="1:108" x14ac:dyDescent="0.2">
      <c r="A127" s="252">
        <v>17</v>
      </c>
      <c r="B127" s="252" t="str">
        <f t="shared" si="287"/>
        <v>Florian Wirtz</v>
      </c>
      <c r="C127" s="252" t="str">
        <f t="shared" si="288"/>
        <v>Stuart Armstrong</v>
      </c>
      <c r="D127" s="252" t="str">
        <f t="shared" si="288"/>
        <v>Callum Styles</v>
      </c>
      <c r="E127" s="252" t="str">
        <f t="shared" si="288"/>
        <v>Ruben Vargas</v>
      </c>
      <c r="F127" s="252" t="str">
        <f t="shared" si="289"/>
        <v>Gianluca Mancini</v>
      </c>
      <c r="G127" s="252" t="str">
        <f t="shared" si="290"/>
        <v>Ernest Muçi</v>
      </c>
      <c r="H127" s="252" t="str">
        <f t="shared" si="300"/>
        <v>Rodri</v>
      </c>
      <c r="I127" s="252" t="str">
        <f t="shared" si="291"/>
        <v>Bruno Petković</v>
      </c>
      <c r="J127" s="252" t="str">
        <f t="shared" si="292"/>
        <v>Ivan Ilić</v>
      </c>
      <c r="K127" s="252" t="str">
        <f t="shared" si="293"/>
        <v>Ivan Toney</v>
      </c>
      <c r="L127" s="252" t="str">
        <f t="shared" si="293"/>
        <v>Jan Mlakar</v>
      </c>
      <c r="M127" s="252" t="str">
        <f t="shared" si="293"/>
        <v>Victor Kristiansen</v>
      </c>
      <c r="N127" s="252" t="str">
        <f t="shared" si="294"/>
        <v>Damian Szymański</v>
      </c>
      <c r="O127" s="252" t="str">
        <f t="shared" si="295"/>
        <v>Daley Blind</v>
      </c>
      <c r="P127" s="252" t="str">
        <f t="shared" si="295"/>
        <v>Florian Kainz</v>
      </c>
      <c r="Q127" s="252" t="str">
        <f t="shared" si="295"/>
        <v>William Saliba</v>
      </c>
      <c r="R127" s="252" t="str">
        <f t="shared" si="296"/>
        <v>Charles De Ketelaere</v>
      </c>
      <c r="S127" s="252" t="str">
        <f t="shared" si="297"/>
        <v>Lukáš Haraslín</v>
      </c>
      <c r="T127" s="252" t="str">
        <f t="shared" si="297"/>
        <v>Florinel Coman</v>
      </c>
      <c r="U127" s="252" t="str">
        <f t="shared" si="297"/>
        <v>Oleksandr Zinchenko</v>
      </c>
      <c r="V127" s="252" t="str">
        <f t="shared" si="298"/>
        <v>Rafael Leão</v>
      </c>
      <c r="W127" s="252" t="str">
        <f t="shared" si="299"/>
        <v>Václav Černý</v>
      </c>
      <c r="X127" s="252" t="str">
        <f t="shared" si="299"/>
        <v>İrfan Kahveci</v>
      </c>
      <c r="Y127" s="252" t="str">
        <f t="shared" si="299"/>
        <v>Otar Kiteishvili</v>
      </c>
      <c r="BT127" s="253" t="str">
        <f t="shared" ca="1" si="234"/>
        <v>Italy</v>
      </c>
      <c r="BU127" s="253">
        <f t="shared" si="201"/>
        <v>125</v>
      </c>
      <c r="BV127" s="253" t="str">
        <f t="shared" si="304"/>
        <v>A23</v>
      </c>
      <c r="BW127" s="253">
        <f t="shared" si="305"/>
        <v>5</v>
      </c>
      <c r="BX127" s="253" t="str">
        <f t="shared" ca="1" si="306"/>
        <v>Nicolò Fagioli</v>
      </c>
      <c r="BY127" s="253">
        <f ca="1">COUNTIF('Group Stages'!$J$8:$Q$80,BX127)+COUNTIF('Knock Out Stages'!$K$7:$R$45,BX127)</f>
        <v>0</v>
      </c>
      <c r="BZ127" s="253" t="str">
        <f t="shared" si="307"/>
        <v>'Player Database'!b26</v>
      </c>
      <c r="CA127" s="253" t="str">
        <f t="shared" ca="1" si="308"/>
        <v>Nicolò Fagioli</v>
      </c>
      <c r="CB127" s="252">
        <v>124</v>
      </c>
      <c r="CC127" s="252" t="str">
        <f t="array" aca="1" ref="CC127" ca="1">IFERROR(INDEX($BX$3:$BX$810, SMALL(IF(COUNTIF(CC$3, $BY$3:$BY$810), ROW($BX$3:$BX$810)-MIN(ROW($BX$3:$BX$810))+1), $CB127), 0),"")</f>
        <v/>
      </c>
      <c r="CS127" s="252">
        <f t="shared" si="301"/>
        <v>124</v>
      </c>
      <c r="CT127" s="252">
        <f t="shared" si="302"/>
        <v>3</v>
      </c>
      <c r="CU127" s="252" t="str">
        <f t="shared" si="233"/>
        <v>CR43</v>
      </c>
      <c r="CV127" s="252" t="str">
        <f t="shared" ca="1" si="303"/>
        <v/>
      </c>
      <c r="CW127" s="252">
        <f t="shared" ca="1" si="193"/>
        <v>0</v>
      </c>
      <c r="CZ127" s="252">
        <v>124</v>
      </c>
      <c r="DA127" s="252" t="str">
        <f t="shared" ca="1" si="194"/>
        <v/>
      </c>
      <c r="DB127" s="252" t="str">
        <f t="shared" ca="1" si="235"/>
        <v/>
      </c>
      <c r="DC127" s="252" t="str">
        <f t="shared" ca="1" si="236"/>
        <v/>
      </c>
      <c r="DD127" s="252" t="str">
        <f t="shared" ca="1" si="237"/>
        <v/>
      </c>
    </row>
    <row r="128" spans="1:108" x14ac:dyDescent="0.2">
      <c r="A128" s="252">
        <v>18</v>
      </c>
      <c r="B128" s="252" t="str">
        <f t="shared" si="287"/>
        <v>Maximilian Mittelstädt</v>
      </c>
      <c r="C128" s="252" t="str">
        <f t="shared" si="288"/>
        <v>Lewis Morgan</v>
      </c>
      <c r="D128" s="252" t="str">
        <f t="shared" si="288"/>
        <v>Zsolt Nagy</v>
      </c>
      <c r="E128" s="252" t="str">
        <f t="shared" si="288"/>
        <v>Kwadwo Duah</v>
      </c>
      <c r="F128" s="252" t="str">
        <f t="shared" si="289"/>
        <v>Nicolò Barella</v>
      </c>
      <c r="G128" s="252" t="str">
        <f t="shared" si="290"/>
        <v>Ardian Ismajli</v>
      </c>
      <c r="H128" s="252" t="str">
        <f t="shared" si="300"/>
        <v>Nico Williams</v>
      </c>
      <c r="I128" s="252" t="str">
        <f t="shared" si="291"/>
        <v>Luka Ivanušec</v>
      </c>
      <c r="J128" s="252" t="str">
        <f t="shared" si="292"/>
        <v>Petar Ratkov</v>
      </c>
      <c r="K128" s="252" t="str">
        <f t="shared" si="293"/>
        <v>Anthony Gordon</v>
      </c>
      <c r="L128" s="252" t="str">
        <f t="shared" si="293"/>
        <v>Žan Vipotnik</v>
      </c>
      <c r="M128" s="252" t="str">
        <f t="shared" si="293"/>
        <v>Alexander Bah</v>
      </c>
      <c r="N128" s="252" t="str">
        <f t="shared" si="294"/>
        <v>Bartosz Bereszyński</v>
      </c>
      <c r="O128" s="252" t="str">
        <f t="shared" si="295"/>
        <v>Donyell Malen</v>
      </c>
      <c r="P128" s="252" t="str">
        <f t="shared" si="295"/>
        <v>Romano Schmid</v>
      </c>
      <c r="Q128" s="252" t="str">
        <f t="shared" si="295"/>
        <v>Warren Zaïre-Emery</v>
      </c>
      <c r="R128" s="252" t="str">
        <f t="shared" si="296"/>
        <v>Orel Mangala</v>
      </c>
      <c r="S128" s="252" t="str">
        <f t="shared" si="297"/>
        <v>David Strelec</v>
      </c>
      <c r="T128" s="252" t="str">
        <f t="shared" si="297"/>
        <v>Răzvan Marin</v>
      </c>
      <c r="U128" s="252" t="str">
        <f t="shared" si="297"/>
        <v>Volodymyr Brazhko</v>
      </c>
      <c r="V128" s="252" t="str">
        <f t="shared" si="298"/>
        <v>Rúben Neves</v>
      </c>
      <c r="W128" s="252" t="str">
        <f t="shared" si="299"/>
        <v>Ladislav Krejčí</v>
      </c>
      <c r="X128" s="252" t="str">
        <f t="shared" si="299"/>
        <v>Mert Müldür</v>
      </c>
      <c r="Y128" s="252" t="str">
        <f t="shared" si="299"/>
        <v>Sandro Altunashvili</v>
      </c>
      <c r="BT128" s="253" t="str">
        <f t="shared" ca="1" si="234"/>
        <v>Italy</v>
      </c>
      <c r="BU128" s="253">
        <f t="shared" si="201"/>
        <v>126</v>
      </c>
      <c r="BV128" s="253" t="str">
        <f t="shared" si="304"/>
        <v>A24</v>
      </c>
      <c r="BW128" s="253">
        <f t="shared" si="305"/>
        <v>5</v>
      </c>
      <c r="BX128" s="253" t="str">
        <f t="shared" ca="1" si="306"/>
        <v>Stephan El Shaarawy</v>
      </c>
      <c r="BY128" s="253">
        <f ca="1">COUNTIF('Group Stages'!$J$8:$Q$80,BX128)+COUNTIF('Knock Out Stages'!$K$7:$R$45,BX128)</f>
        <v>0</v>
      </c>
      <c r="BZ128" s="253" t="str">
        <f t="shared" si="307"/>
        <v>'Player Database'!b27</v>
      </c>
      <c r="CA128" s="253" t="str">
        <f t="shared" ca="1" si="308"/>
        <v>Stephan El Shaarawy</v>
      </c>
      <c r="CB128" s="252">
        <v>125</v>
      </c>
      <c r="CC128" s="252" t="str">
        <f t="array" aca="1" ref="CC128" ca="1">IFERROR(INDEX($BX$3:$BX$810, SMALL(IF(COUNTIF(CC$3, $BY$3:$BY$810), ROW($BX$3:$BX$810)-MIN(ROW($BX$3:$BX$810))+1), $CB128), 0),"")</f>
        <v/>
      </c>
      <c r="CS128" s="252">
        <f t="shared" si="301"/>
        <v>125</v>
      </c>
      <c r="CT128" s="252">
        <f t="shared" si="302"/>
        <v>3</v>
      </c>
      <c r="CU128" s="252" t="str">
        <f t="shared" si="233"/>
        <v>CR44</v>
      </c>
      <c r="CV128" s="252" t="str">
        <f t="shared" ca="1" si="303"/>
        <v/>
      </c>
      <c r="CW128" s="252">
        <f t="shared" ca="1" si="193"/>
        <v>0</v>
      </c>
      <c r="CZ128" s="252">
        <v>125</v>
      </c>
      <c r="DA128" s="252" t="str">
        <f t="shared" ca="1" si="194"/>
        <v/>
      </c>
      <c r="DB128" s="252" t="str">
        <f t="shared" ca="1" si="235"/>
        <v/>
      </c>
      <c r="DC128" s="252" t="str">
        <f t="shared" ca="1" si="236"/>
        <v/>
      </c>
      <c r="DD128" s="252" t="str">
        <f t="shared" ca="1" si="237"/>
        <v/>
      </c>
    </row>
    <row r="129" spans="1:108" x14ac:dyDescent="0.2">
      <c r="A129" s="252">
        <v>19</v>
      </c>
      <c r="B129" s="252" t="str">
        <f t="shared" si="287"/>
        <v>Leroy Sané</v>
      </c>
      <c r="C129" s="252" t="str">
        <f t="shared" si="288"/>
        <v>Tommy Conway</v>
      </c>
      <c r="D129" s="252" t="str">
        <f t="shared" si="288"/>
        <v>Barnabás Varga</v>
      </c>
      <c r="E129" s="252" t="str">
        <f t="shared" si="288"/>
        <v>Dan Ndoye</v>
      </c>
      <c r="F129" s="252" t="str">
        <f t="shared" si="289"/>
        <v>Mateo Retegui</v>
      </c>
      <c r="G129" s="252" t="str">
        <f t="shared" si="290"/>
        <v>Mirlind Daku</v>
      </c>
      <c r="H129" s="252" t="str">
        <f t="shared" si="300"/>
        <v>Martín Zubimendi</v>
      </c>
      <c r="I129" s="252" t="str">
        <f t="shared" si="291"/>
        <v>Borna Sosa</v>
      </c>
      <c r="J129" s="252" t="str">
        <f t="shared" si="292"/>
        <v>Lazar Samardžić</v>
      </c>
      <c r="K129" s="252" t="str">
        <f t="shared" si="293"/>
        <v>Ollie Watkins</v>
      </c>
      <c r="L129" s="252" t="str">
        <f t="shared" si="293"/>
        <v>Žan Celar</v>
      </c>
      <c r="M129" s="252" t="str">
        <f t="shared" si="293"/>
        <v>Jonas Wind</v>
      </c>
      <c r="N129" s="252" t="str">
        <f t="shared" si="294"/>
        <v>Przemysław Frankowski</v>
      </c>
      <c r="O129" s="252" t="str">
        <f t="shared" si="295"/>
        <v>Brian Brobbey</v>
      </c>
      <c r="P129" s="252" t="str">
        <f t="shared" si="295"/>
        <v>Christoph Baumgartner</v>
      </c>
      <c r="Q129" s="252" t="str">
        <f t="shared" si="295"/>
        <v>Youssouf Fofana</v>
      </c>
      <c r="R129" s="252" t="str">
        <f t="shared" si="296"/>
        <v>Johan Bakayoko</v>
      </c>
      <c r="S129" s="252" t="str">
        <f t="shared" si="297"/>
        <v>Juraj Kucka</v>
      </c>
      <c r="T129" s="252" t="str">
        <f t="shared" si="297"/>
        <v>Denis Drăguș</v>
      </c>
      <c r="U129" s="252" t="str">
        <f t="shared" si="297"/>
        <v>Mykola Shaparenko</v>
      </c>
      <c r="V129" s="252" t="str">
        <f t="shared" si="298"/>
        <v>Nuno Mendes</v>
      </c>
      <c r="W129" s="252" t="str">
        <f t="shared" si="299"/>
        <v>Tomáš Chorý</v>
      </c>
      <c r="X129" s="252" t="str">
        <f t="shared" si="299"/>
        <v>Kenan Yıldız</v>
      </c>
      <c r="Y129" s="252" t="str">
        <f t="shared" si="299"/>
        <v>Levan Shengelia</v>
      </c>
      <c r="BT129" s="253" t="str">
        <f t="shared" ca="1" si="234"/>
        <v>Italy</v>
      </c>
      <c r="BU129" s="253">
        <f t="shared" si="201"/>
        <v>127</v>
      </c>
      <c r="BV129" s="253" t="str">
        <f t="shared" si="304"/>
        <v>A25</v>
      </c>
      <c r="BW129" s="253">
        <f t="shared" si="305"/>
        <v>5</v>
      </c>
      <c r="BX129" s="253" t="str">
        <f t="shared" ca="1" si="306"/>
        <v>Alessandro Bastoni</v>
      </c>
      <c r="BY129" s="253">
        <f ca="1">COUNTIF('Group Stages'!$J$8:$Q$80,BX129)+COUNTIF('Knock Out Stages'!$K$7:$R$45,BX129)</f>
        <v>1</v>
      </c>
      <c r="BZ129" s="253" t="str">
        <f t="shared" si="307"/>
        <v>'Player Database'!b28</v>
      </c>
      <c r="CA129" s="253" t="str">
        <f t="shared" ca="1" si="308"/>
        <v>Alessandro Bastoni</v>
      </c>
      <c r="CS129" s="252">
        <f t="shared" si="301"/>
        <v>126</v>
      </c>
      <c r="CT129" s="252">
        <f t="shared" si="302"/>
        <v>3</v>
      </c>
      <c r="CU129" s="252" t="str">
        <f t="shared" si="233"/>
        <v>CR45</v>
      </c>
      <c r="CV129" s="252" t="str">
        <f t="shared" ca="1" si="303"/>
        <v/>
      </c>
      <c r="CW129" s="252">
        <f t="shared" ca="1" si="193"/>
        <v>0</v>
      </c>
      <c r="CZ129" s="252">
        <v>126</v>
      </c>
      <c r="DA129" s="252" t="str">
        <f t="shared" ca="1" si="194"/>
        <v/>
      </c>
      <c r="DB129" s="252" t="str">
        <f t="shared" ca="1" si="235"/>
        <v/>
      </c>
      <c r="DC129" s="252" t="str">
        <f t="shared" ca="1" si="236"/>
        <v/>
      </c>
      <c r="DD129" s="252" t="str">
        <f t="shared" ca="1" si="237"/>
        <v/>
      </c>
    </row>
    <row r="130" spans="1:108" x14ac:dyDescent="0.2">
      <c r="A130" s="252">
        <v>20</v>
      </c>
      <c r="B130" s="252" t="str">
        <f t="shared" si="287"/>
        <v>Benjamin Henrichs</v>
      </c>
      <c r="C130" s="252" t="str">
        <f t="shared" si="288"/>
        <v>Ryan Jack</v>
      </c>
      <c r="D130" s="252" t="str">
        <f t="shared" si="288"/>
        <v>Roland Sallai</v>
      </c>
      <c r="E130" s="252" t="str">
        <f t="shared" si="288"/>
        <v>Michel Aebischer</v>
      </c>
      <c r="F130" s="252" t="str">
        <f t="shared" si="289"/>
        <v>Mattia Zaccagni</v>
      </c>
      <c r="G130" s="252" t="str">
        <f t="shared" si="290"/>
        <v>Ylber Ramadani</v>
      </c>
      <c r="H130" s="252" t="str">
        <f t="shared" si="300"/>
        <v>Lamine Yamal</v>
      </c>
      <c r="I130" s="252" t="str">
        <f t="shared" si="291"/>
        <v>Marko Pjaca</v>
      </c>
      <c r="J130" s="252" t="str">
        <f t="shared" si="292"/>
        <v>Sergej Milinković-Savić</v>
      </c>
      <c r="K130" s="252" t="str">
        <f t="shared" si="293"/>
        <v>Jarrod Bowen</v>
      </c>
      <c r="L130" s="252" t="str">
        <f t="shared" si="293"/>
        <v>Petar Stojanović</v>
      </c>
      <c r="M130" s="252" t="str">
        <f t="shared" si="293"/>
        <v>Yussuf Poulsen</v>
      </c>
      <c r="N130" s="252" t="str">
        <f t="shared" si="294"/>
        <v>Sebastian Szymański</v>
      </c>
      <c r="O130" s="252" t="str">
        <f t="shared" si="295"/>
        <v>Ian Maatsen</v>
      </c>
      <c r="P130" s="252" t="str">
        <f t="shared" si="295"/>
        <v>Konrad Laimer</v>
      </c>
      <c r="Q130" s="252" t="str">
        <f t="shared" si="295"/>
        <v>Kingsley Coman</v>
      </c>
      <c r="R130" s="252" t="str">
        <f t="shared" si="296"/>
        <v>Loïs Openda</v>
      </c>
      <c r="S130" s="252" t="str">
        <f t="shared" si="297"/>
        <v>Dávid Ďuriš</v>
      </c>
      <c r="T130" s="252" t="str">
        <f t="shared" si="297"/>
        <v>Dennis Man</v>
      </c>
      <c r="U130" s="252" t="str">
        <f t="shared" si="297"/>
        <v>Oleksandr Zubkov</v>
      </c>
      <c r="V130" s="252" t="str">
        <f t="shared" si="298"/>
        <v>João Cancelo</v>
      </c>
      <c r="W130" s="252" t="str">
        <f t="shared" si="299"/>
        <v>Ondřej Lingr</v>
      </c>
      <c r="X130" s="252" t="str">
        <f t="shared" si="299"/>
        <v>Ferdi Kadıoğlu</v>
      </c>
      <c r="Y130" s="252" t="str">
        <f t="shared" si="299"/>
        <v>Anzor Mekvabishvili</v>
      </c>
      <c r="BT130" s="253" t="str">
        <f t="shared" ca="1" si="234"/>
        <v>Italy</v>
      </c>
      <c r="BU130" s="253">
        <f t="shared" si="201"/>
        <v>128</v>
      </c>
      <c r="BV130" s="253" t="str">
        <f t="shared" si="304"/>
        <v>A26</v>
      </c>
      <c r="BW130" s="253">
        <f t="shared" si="305"/>
        <v>5</v>
      </c>
      <c r="BX130" s="253" t="str">
        <f t="shared" ca="1" si="306"/>
        <v>Andrea Cambiaso</v>
      </c>
      <c r="BY130" s="253">
        <f ca="1">COUNTIF('Group Stages'!$J$8:$Q$80,BX130)+COUNTIF('Knock Out Stages'!$K$7:$R$45,BX130)</f>
        <v>0</v>
      </c>
      <c r="BZ130" s="253" t="str">
        <f t="shared" si="307"/>
        <v>'Player Database'!b29</v>
      </c>
      <c r="CA130" s="253" t="str">
        <f t="shared" ca="1" si="308"/>
        <v>Andrea Cambiaso</v>
      </c>
      <c r="CS130" s="252">
        <f t="shared" si="301"/>
        <v>127</v>
      </c>
      <c r="CT130" s="252">
        <f t="shared" si="302"/>
        <v>4</v>
      </c>
      <c r="CU130" s="252" t="str">
        <f t="shared" si="233"/>
        <v>CR4</v>
      </c>
      <c r="CV130" s="252" t="str">
        <f t="shared" ca="1" si="303"/>
        <v/>
      </c>
      <c r="CW130" s="252">
        <f t="shared" ca="1" si="193"/>
        <v>0</v>
      </c>
      <c r="CZ130" s="252">
        <v>127</v>
      </c>
      <c r="DA130" s="252" t="str">
        <f t="shared" ca="1" si="194"/>
        <v/>
      </c>
      <c r="DB130" s="252" t="str">
        <f t="shared" ca="1" si="235"/>
        <v/>
      </c>
      <c r="DC130" s="252" t="str">
        <f t="shared" ca="1" si="236"/>
        <v/>
      </c>
      <c r="DD130" s="252" t="str">
        <f t="shared" ca="1" si="237"/>
        <v/>
      </c>
    </row>
    <row r="131" spans="1:108" x14ac:dyDescent="0.2">
      <c r="A131" s="252">
        <v>21</v>
      </c>
      <c r="B131" s="252" t="str">
        <f t="shared" si="287"/>
        <v>İlkay Gündoğan</v>
      </c>
      <c r="C131" s="252" t="str">
        <f t="shared" si="288"/>
        <v>Zander Clark</v>
      </c>
      <c r="D131" s="252" t="str">
        <f t="shared" si="288"/>
        <v>Endre Botka</v>
      </c>
      <c r="E131" s="252" t="str">
        <f t="shared" si="288"/>
        <v>Gregor Kobel</v>
      </c>
      <c r="F131" s="252" t="str">
        <f t="shared" si="289"/>
        <v>Nicolò Fagioli</v>
      </c>
      <c r="G131" s="252" t="str">
        <f t="shared" si="290"/>
        <v>Kristjan Asllani</v>
      </c>
      <c r="H131" s="252" t="str">
        <f t="shared" si="300"/>
        <v>Pedri</v>
      </c>
      <c r="I131" s="252" t="str">
        <f t="shared" si="291"/>
        <v>Domagoj Vida</v>
      </c>
      <c r="J131" s="252" t="str">
        <f t="shared" si="292"/>
        <v>Mijat Gaćinović</v>
      </c>
      <c r="K131" s="252" t="str">
        <f t="shared" si="293"/>
        <v>Eberechi Eze</v>
      </c>
      <c r="L131" s="252" t="str">
        <f t="shared" si="293"/>
        <v>Vanja Drkušić</v>
      </c>
      <c r="M131" s="252" t="str">
        <f t="shared" si="293"/>
        <v>Morten Hjulmand</v>
      </c>
      <c r="N131" s="252" t="str">
        <f t="shared" si="294"/>
        <v>Nicola Zalewski</v>
      </c>
      <c r="O131" s="252" t="str">
        <f t="shared" si="295"/>
        <v>Joshua Zirkzee</v>
      </c>
      <c r="P131" s="252" t="str">
        <f t="shared" si="295"/>
        <v>Flavius Daniliuc</v>
      </c>
      <c r="Q131" s="252" t="str">
        <f t="shared" si="295"/>
        <v>Jonathan Clauss</v>
      </c>
      <c r="R131" s="252" t="str">
        <f t="shared" si="296"/>
        <v>Timothy Castagne</v>
      </c>
      <c r="S131" s="252" t="str">
        <f t="shared" si="297"/>
        <v>Matúš Bero</v>
      </c>
      <c r="T131" s="252" t="str">
        <f t="shared" si="297"/>
        <v>Nicolae Stanciu</v>
      </c>
      <c r="U131" s="252" t="str">
        <f t="shared" si="297"/>
        <v>Valeriy Bondar</v>
      </c>
      <c r="V131" s="252" t="str">
        <f t="shared" si="298"/>
        <v>Diogo Jota</v>
      </c>
      <c r="W131" s="252" t="str">
        <f t="shared" si="299"/>
        <v>Lukáš Červ</v>
      </c>
      <c r="X131" s="252" t="str">
        <f t="shared" si="299"/>
        <v>Barış Alper Yılmaz</v>
      </c>
      <c r="Y131" s="252" t="str">
        <f t="shared" si="299"/>
        <v>Giorgi Tsitaishvili</v>
      </c>
      <c r="BT131" s="253" t="str">
        <f t="shared" ca="1" si="234"/>
        <v>Italy</v>
      </c>
      <c r="BU131" s="253">
        <f t="shared" si="201"/>
        <v>129</v>
      </c>
      <c r="BV131" s="253" t="str">
        <f t="shared" si="304"/>
        <v>A27</v>
      </c>
      <c r="BW131" s="253">
        <f t="shared" si="305"/>
        <v>5</v>
      </c>
      <c r="BX131" s="253" t="str">
        <f t="shared" ca="1" si="306"/>
        <v>Michael Folorunsho</v>
      </c>
      <c r="BY131" s="253">
        <f ca="1">COUNTIF('Group Stages'!$J$8:$Q$80,BX131)+COUNTIF('Knock Out Stages'!$K$7:$R$45,BX131)</f>
        <v>0</v>
      </c>
      <c r="BZ131" s="253" t="str">
        <f t="shared" si="307"/>
        <v>'Player Database'!b30</v>
      </c>
      <c r="CA131" s="253" t="str">
        <f t="shared" ca="1" si="308"/>
        <v>Michael Folorunsho</v>
      </c>
      <c r="CS131" s="252">
        <f t="shared" si="301"/>
        <v>128</v>
      </c>
      <c r="CT131" s="252">
        <f t="shared" si="302"/>
        <v>4</v>
      </c>
      <c r="CU131" s="252" t="str">
        <f t="shared" si="233"/>
        <v>CR5</v>
      </c>
      <c r="CV131" s="252" t="str">
        <f t="shared" ca="1" si="303"/>
        <v/>
      </c>
      <c r="CW131" s="252">
        <f t="shared" ca="1" si="193"/>
        <v>0</v>
      </c>
      <c r="CZ131" s="252">
        <v>128</v>
      </c>
      <c r="DA131" s="252" t="str">
        <f t="shared" ca="1" si="194"/>
        <v/>
      </c>
      <c r="DB131" s="252" t="str">
        <f t="shared" ca="1" si="235"/>
        <v/>
      </c>
      <c r="DC131" s="252" t="str">
        <f t="shared" ca="1" si="236"/>
        <v/>
      </c>
      <c r="DD131" s="252" t="str">
        <f t="shared" ca="1" si="237"/>
        <v/>
      </c>
    </row>
    <row r="132" spans="1:108" x14ac:dyDescent="0.2">
      <c r="A132" s="252">
        <v>22</v>
      </c>
      <c r="B132" s="252" t="str">
        <f t="shared" si="287"/>
        <v>Marc-André ter Stegen</v>
      </c>
      <c r="C132" s="252" t="str">
        <f t="shared" si="288"/>
        <v>Ross McCrorie</v>
      </c>
      <c r="D132" s="252" t="str">
        <f t="shared" si="288"/>
        <v>Péter Szappanos</v>
      </c>
      <c r="E132" s="252" t="str">
        <f t="shared" si="288"/>
        <v>Fabian Schär</v>
      </c>
      <c r="F132" s="252" t="str">
        <f t="shared" si="289"/>
        <v>Stephan El Shaarawy</v>
      </c>
      <c r="G132" s="252" t="str">
        <f t="shared" si="290"/>
        <v>Amir Abrashi</v>
      </c>
      <c r="H132" s="252" t="str">
        <f t="shared" si="300"/>
        <v>Mikel Oyarzabal</v>
      </c>
      <c r="I132" s="252" t="str">
        <f t="shared" si="291"/>
        <v>Josip Juranović</v>
      </c>
      <c r="J132" s="252" t="str">
        <f t="shared" si="292"/>
        <v>Saša Lukić</v>
      </c>
      <c r="K132" s="252" t="str">
        <f t="shared" si="293"/>
        <v>Joe Gomez</v>
      </c>
      <c r="L132" s="252" t="str">
        <f t="shared" si="293"/>
        <v>Adam Gnezda Čerin</v>
      </c>
      <c r="M132" s="252" t="str">
        <f t="shared" si="293"/>
        <v>Frederik Rønnow</v>
      </c>
      <c r="N132" s="252" t="str">
        <f t="shared" si="294"/>
        <v>Marcin Bułka</v>
      </c>
      <c r="O132" s="252" t="str">
        <f t="shared" si="295"/>
        <v>Denzel Dumfries</v>
      </c>
      <c r="P132" s="252" t="str">
        <f t="shared" si="295"/>
        <v>Matthias Seidl</v>
      </c>
      <c r="Q132" s="252" t="str">
        <f t="shared" si="295"/>
        <v>Théo Hernandez</v>
      </c>
      <c r="R132" s="252" t="str">
        <f t="shared" si="296"/>
        <v>Jérémy Doku</v>
      </c>
      <c r="S132" s="252" t="str">
        <f t="shared" si="297"/>
        <v>Stanislav Lobotka</v>
      </c>
      <c r="T132" s="252" t="str">
        <f t="shared" si="297"/>
        <v>Vasile Mogoș</v>
      </c>
      <c r="U132" s="252" t="str">
        <f t="shared" si="297"/>
        <v>Mykola Matviyenko</v>
      </c>
      <c r="V132" s="252" t="str">
        <f t="shared" si="298"/>
        <v>Diogo Costa</v>
      </c>
      <c r="W132" s="252" t="str">
        <f t="shared" si="299"/>
        <v>Tomáš Souček</v>
      </c>
      <c r="X132" s="252" t="str">
        <f t="shared" si="299"/>
        <v>Kaan Ayhan</v>
      </c>
      <c r="Y132" s="252" t="str">
        <f t="shared" si="299"/>
        <v>Georges Mikautadze</v>
      </c>
      <c r="BT132" s="253" t="str">
        <f t="shared" ca="1" si="234"/>
        <v>Italy</v>
      </c>
      <c r="BU132" s="253">
        <f t="shared" si="201"/>
        <v>130</v>
      </c>
      <c r="BV132" s="253" t="str">
        <f t="shared" si="304"/>
        <v>A28</v>
      </c>
      <c r="BW132" s="253">
        <f t="shared" si="305"/>
        <v>5</v>
      </c>
      <c r="BX132" s="253" t="str">
        <f t="shared" ca="1" si="306"/>
        <v>Alex Meret</v>
      </c>
      <c r="BY132" s="253">
        <f ca="1">COUNTIF('Group Stages'!$J$8:$Q$80,BX132)+COUNTIF('Knock Out Stages'!$K$7:$R$45,BX132)</f>
        <v>0</v>
      </c>
      <c r="BZ132" s="253" t="str">
        <f t="shared" si="307"/>
        <v>'Player Database'!b31</v>
      </c>
      <c r="CA132" s="253" t="str">
        <f t="shared" ca="1" si="308"/>
        <v>Alex Meret</v>
      </c>
      <c r="CS132" s="252">
        <f t="shared" si="301"/>
        <v>129</v>
      </c>
      <c r="CT132" s="252">
        <f t="shared" si="302"/>
        <v>4</v>
      </c>
      <c r="CU132" s="252" t="str">
        <f t="shared" si="233"/>
        <v>CR6</v>
      </c>
      <c r="CV132" s="252" t="str">
        <f t="shared" ca="1" si="303"/>
        <v/>
      </c>
      <c r="CW132" s="252">
        <f t="shared" ca="1" si="193"/>
        <v>0</v>
      </c>
      <c r="CZ132" s="252">
        <v>129</v>
      </c>
      <c r="DA132" s="252" t="str">
        <f t="shared" ca="1" si="194"/>
        <v/>
      </c>
      <c r="DB132" s="252" t="str">
        <f t="shared" ref="DB132:DB163" ca="1" si="309">IFERROR(VLOOKUP(DA132,$BX$3:$BY$810,2,FALSE),"")</f>
        <v/>
      </c>
      <c r="DC132" s="252" t="str">
        <f t="shared" ref="DC132:DC163" ca="1" si="310">IFERROR(VLOOKUP(DA132,$BX$3:$CA$810,4,FALSE),"")</f>
        <v/>
      </c>
      <c r="DD132" s="252" t="str">
        <f t="shared" ref="DD132:DD163" ca="1" si="311">IFERROR(INDEX($BT$3:$BT$810,MATCH(DA132,$BX$3:$BX$810,0),0),"")</f>
        <v/>
      </c>
    </row>
    <row r="133" spans="1:108" x14ac:dyDescent="0.2">
      <c r="A133" s="252">
        <v>23</v>
      </c>
      <c r="B133" s="252" t="str">
        <f t="shared" si="287"/>
        <v>Robert Andrich</v>
      </c>
      <c r="C133" s="252" t="str">
        <f t="shared" si="288"/>
        <v>Kenny McLean</v>
      </c>
      <c r="D133" s="252" t="str">
        <f t="shared" si="288"/>
        <v>Kevin Csoboth</v>
      </c>
      <c r="E133" s="252" t="str">
        <f t="shared" si="288"/>
        <v>Xherdan Shaqiri</v>
      </c>
      <c r="F133" s="252" t="str">
        <f t="shared" si="289"/>
        <v>Alessandro Bastoni</v>
      </c>
      <c r="G133" s="252" t="str">
        <f t="shared" si="290"/>
        <v>Thomas Strakosha</v>
      </c>
      <c r="H133" s="252" t="str">
        <f t="shared" si="300"/>
        <v>Jesús Navas</v>
      </c>
      <c r="I133" s="252" t="str">
        <f t="shared" si="291"/>
        <v>Ivica Ivušić</v>
      </c>
      <c r="J133" s="252" t="str">
        <f t="shared" si="292"/>
        <v>Vanja Milinković-Savić</v>
      </c>
      <c r="K133" s="252" t="str">
        <f t="shared" si="293"/>
        <v>Dean Henderson</v>
      </c>
      <c r="L133" s="252" t="str">
        <f t="shared" si="293"/>
        <v>David Brekalo</v>
      </c>
      <c r="M133" s="252" t="str">
        <f t="shared" si="293"/>
        <v>Pierre-Emile Højbjerg</v>
      </c>
      <c r="N133" s="252" t="str">
        <f t="shared" si="294"/>
        <v>Krzysztof Piątek</v>
      </c>
      <c r="O133" s="252" t="str">
        <f t="shared" si="295"/>
        <v>Mark Flekken</v>
      </c>
      <c r="P133" s="252" t="str">
        <f t="shared" si="295"/>
        <v>Patrick Wimmer</v>
      </c>
      <c r="Q133" s="252" t="str">
        <f t="shared" si="295"/>
        <v>Alphonse Areola</v>
      </c>
      <c r="R133" s="252" t="str">
        <f t="shared" si="296"/>
        <v>Arthur Vermeeren</v>
      </c>
      <c r="S133" s="252" t="str">
        <f t="shared" si="297"/>
        <v>Henrich Ravas</v>
      </c>
      <c r="T133" s="252" t="str">
        <f t="shared" si="297"/>
        <v>Deian Sorescu</v>
      </c>
      <c r="U133" s="252" t="str">
        <f t="shared" si="297"/>
        <v>Andriy Lunin</v>
      </c>
      <c r="V133" s="252" t="str">
        <f t="shared" si="298"/>
        <v>Vitinha</v>
      </c>
      <c r="W133" s="252" t="str">
        <f t="shared" si="299"/>
        <v>Vítězslav Jaroš</v>
      </c>
      <c r="X133" s="252" t="str">
        <f t="shared" si="299"/>
        <v>Uğurcan Çakır</v>
      </c>
      <c r="Y133" s="252" t="str">
        <f t="shared" si="299"/>
        <v>Saba Lobzhanidze</v>
      </c>
      <c r="BT133" s="253" t="str">
        <f t="shared" ca="1" si="234"/>
        <v>Albania</v>
      </c>
      <c r="BU133" s="253">
        <f t="shared" si="201"/>
        <v>131</v>
      </c>
      <c r="BV133" s="253" t="str">
        <f t="shared" si="304"/>
        <v>A3</v>
      </c>
      <c r="BW133" s="253">
        <f t="shared" si="305"/>
        <v>6</v>
      </c>
      <c r="BX133" s="253" t="str">
        <f t="shared" ca="1" si="306"/>
        <v>Etrit Berisha</v>
      </c>
      <c r="BY133" s="253">
        <f ca="1">COUNTIF('Group Stages'!$J$8:$Q$80,BX133)+COUNTIF('Knock Out Stages'!$K$7:$R$45,BX133)</f>
        <v>0</v>
      </c>
      <c r="BZ133" s="253" t="str">
        <f t="shared" si="307"/>
        <v>'Player Database'!b6</v>
      </c>
      <c r="CA133" s="253" t="str">
        <f t="shared" ca="1" si="308"/>
        <v>Etrit Berisha</v>
      </c>
      <c r="CS133" s="252">
        <f t="shared" si="301"/>
        <v>130</v>
      </c>
      <c r="CT133" s="252">
        <f t="shared" si="302"/>
        <v>4</v>
      </c>
      <c r="CU133" s="252" t="str">
        <f t="shared" si="233"/>
        <v>CR7</v>
      </c>
      <c r="CV133" s="252" t="str">
        <f t="shared" ca="1" si="303"/>
        <v/>
      </c>
      <c r="CW133" s="252">
        <f t="shared" ref="CW133:CW196" ca="1" si="312">IF(CV133&lt;&gt;"",CW132+1,CW132)</f>
        <v>0</v>
      </c>
      <c r="CZ133" s="252">
        <v>130</v>
      </c>
      <c r="DA133" s="252" t="str">
        <f t="shared" ref="DA133:DA196" ca="1" si="313">IFERROR(INDEX($CV$4:$CV$633,MATCH(CZ133,$CW$4:$CW$633,0),0),"")</f>
        <v/>
      </c>
      <c r="DB133" s="252" t="str">
        <f t="shared" ca="1" si="309"/>
        <v/>
      </c>
      <c r="DC133" s="252" t="str">
        <f t="shared" ca="1" si="310"/>
        <v/>
      </c>
      <c r="DD133" s="252" t="str">
        <f t="shared" ca="1" si="311"/>
        <v/>
      </c>
    </row>
    <row r="134" spans="1:108" x14ac:dyDescent="0.2">
      <c r="A134" s="252">
        <v>24</v>
      </c>
      <c r="B134" s="252" t="str">
        <f t="shared" si="287"/>
        <v>Robin Koch</v>
      </c>
      <c r="C134" s="252" t="str">
        <f t="shared" ref="C134:E134" si="314">C26</f>
        <v>Greg Taylor</v>
      </c>
      <c r="D134" s="252" t="str">
        <f t="shared" si="314"/>
        <v>Márton Dárdai</v>
      </c>
      <c r="E134" s="252" t="str">
        <f t="shared" si="314"/>
        <v>Ardon Jashari</v>
      </c>
      <c r="F134" s="252" t="str">
        <f t="shared" si="289"/>
        <v>Andrea Cambiaso</v>
      </c>
      <c r="G134" s="252" t="str">
        <f t="shared" si="290"/>
        <v>Marash Kumbulla</v>
      </c>
      <c r="H134" s="252" t="str">
        <f t="shared" si="300"/>
        <v>Unai Simón</v>
      </c>
      <c r="I134" s="252" t="str">
        <f t="shared" si="291"/>
        <v>Marco Pašalić</v>
      </c>
      <c r="J134" s="252" t="str">
        <f t="shared" si="292"/>
        <v>Uroš Spajić</v>
      </c>
      <c r="K134" s="252" t="str">
        <f t="shared" ref="K134:M134" si="315">K26</f>
        <v>Cole Palmer</v>
      </c>
      <c r="L134" s="252" t="str">
        <f t="shared" si="315"/>
        <v>Nino Žugelj</v>
      </c>
      <c r="M134" s="252" t="str">
        <f t="shared" si="315"/>
        <v>Anders Dreyer</v>
      </c>
      <c r="N134" s="252" t="str">
        <f t="shared" si="294"/>
        <v>Bartosz Slisz</v>
      </c>
      <c r="O134" s="252" t="str">
        <f t="shared" ref="O134:Q134" si="316">O26</f>
        <v>Jerdy Schouten</v>
      </c>
      <c r="P134" s="252" t="str">
        <f t="shared" si="316"/>
        <v>Andreas Weimann</v>
      </c>
      <c r="Q134" s="252" t="str">
        <f t="shared" si="316"/>
        <v>Ibrahima Konaté</v>
      </c>
      <c r="R134" s="252" t="str">
        <f t="shared" si="296"/>
        <v>Amadou Onana</v>
      </c>
      <c r="S134" s="252" t="str">
        <f t="shared" ref="S134:U134" si="317">S26</f>
        <v>Leo Sauer</v>
      </c>
      <c r="T134" s="252" t="str">
        <f t="shared" si="317"/>
        <v>Bogdan Racovițan</v>
      </c>
      <c r="U134" s="252" t="str">
        <f t="shared" si="317"/>
        <v>Oleksandr Tymchyk</v>
      </c>
      <c r="V134" s="252" t="str">
        <f t="shared" si="298"/>
        <v>António Silva</v>
      </c>
      <c r="W134" s="252" t="str">
        <f t="shared" ref="W134:Y134" si="318">W26</f>
        <v>Tomáš Vlček</v>
      </c>
      <c r="X134" s="252" t="str">
        <f t="shared" si="318"/>
        <v>Semih Kılıçsoy</v>
      </c>
      <c r="Y134" s="252" t="str">
        <f t="shared" si="318"/>
        <v>Jemal Tabidze</v>
      </c>
      <c r="BT134" s="253" t="str">
        <f t="shared" ca="1" si="234"/>
        <v>Albania</v>
      </c>
      <c r="BU134" s="253">
        <f t="shared" si="201"/>
        <v>132</v>
      </c>
      <c r="BV134" s="253" t="str">
        <f t="shared" si="304"/>
        <v>A4</v>
      </c>
      <c r="BW134" s="253">
        <f t="shared" si="305"/>
        <v>6</v>
      </c>
      <c r="BX134" s="253" t="str">
        <f t="shared" ca="1" si="306"/>
        <v>Iván Balliu</v>
      </c>
      <c r="BY134" s="253">
        <f ca="1">COUNTIF('Group Stages'!$J$8:$Q$80,BX134)+COUNTIF('Knock Out Stages'!$K$7:$R$45,BX134)</f>
        <v>0</v>
      </c>
      <c r="BZ134" s="253" t="str">
        <f t="shared" si="307"/>
        <v>'Player Database'!b7</v>
      </c>
      <c r="CA134" s="253" t="str">
        <f t="shared" ca="1" si="308"/>
        <v>Iván Balliu</v>
      </c>
      <c r="CS134" s="252">
        <f t="shared" si="301"/>
        <v>131</v>
      </c>
      <c r="CT134" s="252">
        <f t="shared" si="302"/>
        <v>4</v>
      </c>
      <c r="CU134" s="252" t="str">
        <f t="shared" si="233"/>
        <v>CR8</v>
      </c>
      <c r="CV134" s="252" t="str">
        <f t="shared" ca="1" si="303"/>
        <v/>
      </c>
      <c r="CW134" s="252">
        <f t="shared" ca="1" si="312"/>
        <v>0</v>
      </c>
      <c r="CZ134" s="252">
        <v>131</v>
      </c>
      <c r="DA134" s="252" t="str">
        <f t="shared" ca="1" si="313"/>
        <v/>
      </c>
      <c r="DB134" s="252" t="str">
        <f t="shared" ca="1" si="309"/>
        <v/>
      </c>
      <c r="DC134" s="252" t="str">
        <f t="shared" ca="1" si="310"/>
        <v/>
      </c>
      <c r="DD134" s="252" t="str">
        <f t="shared" ca="1" si="311"/>
        <v/>
      </c>
    </row>
    <row r="135" spans="1:108" x14ac:dyDescent="0.2">
      <c r="A135" s="252">
        <v>25</v>
      </c>
      <c r="B135" s="252" t="str">
        <f t="shared" si="287"/>
        <v>Emre Can</v>
      </c>
      <c r="C135" s="252" t="str">
        <f t="shared" ref="C135:E135" si="319">C27</f>
        <v>James Forrest</v>
      </c>
      <c r="D135" s="252" t="str">
        <f t="shared" si="319"/>
        <v>Krisztofer Horváth</v>
      </c>
      <c r="E135" s="252" t="str">
        <f t="shared" si="319"/>
        <v>Zeki Amdouni</v>
      </c>
      <c r="F135" s="252" t="str">
        <f t="shared" si="289"/>
        <v>Michael Folorunsho</v>
      </c>
      <c r="G135" s="252" t="str">
        <f t="shared" si="290"/>
        <v>Naser Aliji</v>
      </c>
      <c r="H135" s="252" t="str">
        <f t="shared" si="300"/>
        <v>Marc Cucurella</v>
      </c>
      <c r="I135" s="252" t="str">
        <f t="shared" si="291"/>
        <v>Luka Sučić</v>
      </c>
      <c r="J135" s="252" t="str">
        <f t="shared" si="292"/>
        <v>Filip Mladenović</v>
      </c>
      <c r="K135" s="252" t="str">
        <f t="shared" ref="K135:M135" si="320">K27</f>
        <v>Adam Wharton</v>
      </c>
      <c r="L135" s="252" t="str">
        <f t="shared" si="320"/>
        <v>Adrian Zeljković</v>
      </c>
      <c r="M135" s="252" t="str">
        <f t="shared" si="320"/>
        <v>Rasmus Kristensen</v>
      </c>
      <c r="N135" s="252" t="str">
        <f t="shared" si="294"/>
        <v>Michał Skóraś</v>
      </c>
      <c r="O135" s="252" t="str">
        <f t="shared" ref="O135:Q135" si="321">O27</f>
        <v>Steven Bergwijn</v>
      </c>
      <c r="P135" s="252" t="str">
        <f t="shared" si="321"/>
        <v>Maximilian Entrup</v>
      </c>
      <c r="Q135" s="252" t="str">
        <f t="shared" si="321"/>
        <v>Bradley Barcola</v>
      </c>
      <c r="R135" s="252" t="str">
        <f t="shared" si="296"/>
        <v>Maxim De Cuyper</v>
      </c>
      <c r="S135" s="252" t="str">
        <f t="shared" ref="S135:U135" si="322">S27</f>
        <v>Sebastian Kóša</v>
      </c>
      <c r="T135" s="252" t="str">
        <f t="shared" si="322"/>
        <v>Daniel Bîrligea</v>
      </c>
      <c r="U135" s="252" t="str">
        <f t="shared" si="322"/>
        <v>Vladyslav Vanat</v>
      </c>
      <c r="V135" s="252" t="str">
        <f t="shared" si="298"/>
        <v>Pedro Neto</v>
      </c>
      <c r="W135" s="252" t="str">
        <f t="shared" ref="W135:Y135" si="323">W27</f>
        <v>Pavel Šulc</v>
      </c>
      <c r="X135" s="252" t="str">
        <f t="shared" si="323"/>
        <v>Yunus Akgün</v>
      </c>
      <c r="Y135" s="252" t="str">
        <f t="shared" si="323"/>
        <v>Giorgi Mamardashvili</v>
      </c>
      <c r="BT135" s="253" t="str">
        <f t="shared" ca="1" si="234"/>
        <v>Albania</v>
      </c>
      <c r="BU135" s="253">
        <f t="shared" si="201"/>
        <v>133</v>
      </c>
      <c r="BV135" s="253" t="str">
        <f t="shared" si="304"/>
        <v>A5</v>
      </c>
      <c r="BW135" s="253">
        <f t="shared" si="305"/>
        <v>6</v>
      </c>
      <c r="BX135" s="253" t="str">
        <f t="shared" ca="1" si="306"/>
        <v>Mario Mitaj</v>
      </c>
      <c r="BY135" s="253">
        <f ca="1">COUNTIF('Group Stages'!$J$8:$Q$80,BX135)+COUNTIF('Knock Out Stages'!$K$7:$R$45,BX135)</f>
        <v>0</v>
      </c>
      <c r="BZ135" s="253" t="str">
        <f t="shared" si="307"/>
        <v>'Player Database'!b8</v>
      </c>
      <c r="CA135" s="253" t="str">
        <f t="shared" ca="1" si="308"/>
        <v>Mario Mitaj</v>
      </c>
      <c r="CS135" s="252">
        <f t="shared" si="301"/>
        <v>132</v>
      </c>
      <c r="CT135" s="252">
        <f t="shared" si="302"/>
        <v>4</v>
      </c>
      <c r="CU135" s="252" t="str">
        <f t="shared" si="233"/>
        <v>CR9</v>
      </c>
      <c r="CV135" s="252" t="str">
        <f t="shared" ca="1" si="303"/>
        <v/>
      </c>
      <c r="CW135" s="252">
        <f t="shared" ca="1" si="312"/>
        <v>0</v>
      </c>
      <c r="CZ135" s="252">
        <v>132</v>
      </c>
      <c r="DA135" s="252" t="str">
        <f t="shared" ca="1" si="313"/>
        <v/>
      </c>
      <c r="DB135" s="252" t="str">
        <f t="shared" ca="1" si="309"/>
        <v/>
      </c>
      <c r="DC135" s="252" t="str">
        <f t="shared" ca="1" si="310"/>
        <v/>
      </c>
      <c r="DD135" s="252" t="str">
        <f t="shared" ca="1" si="311"/>
        <v/>
      </c>
    </row>
    <row r="136" spans="1:108" x14ac:dyDescent="0.2">
      <c r="A136" s="252">
        <v>26</v>
      </c>
      <c r="B136" s="252" t="str">
        <f t="shared" si="287"/>
        <v>Deniz Undav</v>
      </c>
      <c r="C136" s="252" t="str">
        <f t="shared" ref="C136:E136" si="324">C28</f>
        <v>Scott McKenna</v>
      </c>
      <c r="D136" s="252" t="str">
        <f t="shared" si="324"/>
        <v>Mihály Kata</v>
      </c>
      <c r="E136" s="252" t="str">
        <f t="shared" si="324"/>
        <v>Fabian Rieder</v>
      </c>
      <c r="F136" s="252" t="str">
        <f t="shared" si="289"/>
        <v>Alex Meret</v>
      </c>
      <c r="G136" s="252" t="str">
        <f t="shared" si="290"/>
        <v>Arbër Hoxha</v>
      </c>
      <c r="H136" s="252" t="str">
        <f t="shared" si="300"/>
        <v>Fermín López</v>
      </c>
      <c r="I136" s="252" t="str">
        <f t="shared" si="291"/>
        <v>Martin Baturina</v>
      </c>
      <c r="J136" s="252" t="str">
        <f t="shared" si="292"/>
        <v>Veljko Birmančević</v>
      </c>
      <c r="K136" s="252" t="str">
        <f t="shared" ref="K136:M136" si="325">K28</f>
        <v>Kobbie Mainoo</v>
      </c>
      <c r="L136" s="252" t="str">
        <f t="shared" si="325"/>
        <v>Josip Iličić</v>
      </c>
      <c r="M136" s="252" t="str">
        <f t="shared" si="325"/>
        <v>Jacob Bruun Larsen</v>
      </c>
      <c r="N136" s="252" t="str">
        <f t="shared" si="294"/>
        <v>Kacper Urbański</v>
      </c>
      <c r="O136" s="252" t="str">
        <f t="shared" ref="O136:Q136" si="326">O28</f>
        <v>Ryan Gravenberch</v>
      </c>
      <c r="P136" s="252" t="str">
        <f t="shared" si="326"/>
        <v>Marco Grüll</v>
      </c>
      <c r="Q136" s="252">
        <f t="shared" si="326"/>
        <v>0</v>
      </c>
      <c r="R136" s="252">
        <f t="shared" si="296"/>
        <v>0</v>
      </c>
      <c r="S136" s="252" t="str">
        <f t="shared" ref="S136:U136" si="327">S28</f>
        <v>Ivan Schranz</v>
      </c>
      <c r="T136" s="252" t="str">
        <f t="shared" si="327"/>
        <v>Adrian Șut</v>
      </c>
      <c r="U136" s="252" t="str">
        <f t="shared" si="327"/>
        <v>Bohdan Mykhaylichenko</v>
      </c>
      <c r="V136" s="252" t="str">
        <f t="shared" si="298"/>
        <v>Francisco Conceição</v>
      </c>
      <c r="W136" s="252" t="str">
        <f t="shared" ref="W136:Y136" si="328">W28</f>
        <v>Matěj Jurásek</v>
      </c>
      <c r="X136" s="252" t="str">
        <f t="shared" si="328"/>
        <v>Bertuğ Yıldırım</v>
      </c>
      <c r="Y136" s="252" t="str">
        <f t="shared" si="328"/>
        <v>Gabriel Sigua</v>
      </c>
      <c r="BT136" s="253" t="str">
        <f t="shared" ca="1" si="234"/>
        <v>Albania</v>
      </c>
      <c r="BU136" s="253">
        <f t="shared" si="201"/>
        <v>134</v>
      </c>
      <c r="BV136" s="253" t="str">
        <f t="shared" si="304"/>
        <v>A6</v>
      </c>
      <c r="BW136" s="253">
        <f t="shared" si="305"/>
        <v>6</v>
      </c>
      <c r="BX136" s="253" t="str">
        <f t="shared" ca="1" si="306"/>
        <v>Elseid Hysaj</v>
      </c>
      <c r="BY136" s="253">
        <f ca="1">COUNTIF('Group Stages'!$J$8:$Q$80,BX136)+COUNTIF('Knock Out Stages'!$K$7:$R$45,BX136)</f>
        <v>0</v>
      </c>
      <c r="BZ136" s="253" t="str">
        <f t="shared" si="307"/>
        <v>'Player Database'!b9</v>
      </c>
      <c r="CA136" s="253" t="str">
        <f t="shared" ca="1" si="308"/>
        <v>Elseid Hysaj</v>
      </c>
      <c r="CS136" s="252">
        <f t="shared" si="301"/>
        <v>133</v>
      </c>
      <c r="CT136" s="252">
        <f t="shared" si="302"/>
        <v>4</v>
      </c>
      <c r="CU136" s="252" t="str">
        <f t="shared" si="233"/>
        <v>CR10</v>
      </c>
      <c r="CV136" s="252" t="str">
        <f t="shared" ca="1" si="303"/>
        <v/>
      </c>
      <c r="CW136" s="252">
        <f t="shared" ca="1" si="312"/>
        <v>0</v>
      </c>
      <c r="CZ136" s="252">
        <v>133</v>
      </c>
      <c r="DA136" s="252" t="str">
        <f t="shared" ca="1" si="313"/>
        <v/>
      </c>
      <c r="DB136" s="252" t="str">
        <f t="shared" ca="1" si="309"/>
        <v/>
      </c>
      <c r="DC136" s="252" t="str">
        <f t="shared" ca="1" si="310"/>
        <v/>
      </c>
      <c r="DD136" s="252" t="str">
        <f t="shared" ca="1" si="311"/>
        <v/>
      </c>
    </row>
    <row r="137" spans="1:108" x14ac:dyDescent="0.2">
      <c r="A137" s="252">
        <f t="shared" ref="A137:A156" si="329">A111</f>
        <v>1</v>
      </c>
      <c r="B137" s="252" t="str">
        <f t="shared" ref="B137:B156" si="330">E3&amp;" (og)"</f>
        <v>Yann Sommer (og)</v>
      </c>
      <c r="C137" s="252" t="str">
        <f t="shared" ref="C137:C156" si="331">E3&amp;" (og)"</f>
        <v>Yann Sommer (og)</v>
      </c>
      <c r="D137" s="252" t="str">
        <f t="shared" ref="D137:D156" si="332">E3&amp;" (og)"</f>
        <v>Yann Sommer (og)</v>
      </c>
      <c r="E137" s="252" t="str">
        <f t="shared" ref="E137:E156" si="333">D3&amp;" (og)"</f>
        <v>Péter Gulácsi (og)</v>
      </c>
      <c r="F137" s="252" t="str">
        <f t="shared" ref="F137:F156" si="334">I3&amp;" (og)"</f>
        <v>Dominik Livaković (og)</v>
      </c>
      <c r="G137" s="252" t="str">
        <f t="shared" ref="G137:G156" si="335">I3&amp;" (og)"</f>
        <v>Dominik Livaković (og)</v>
      </c>
      <c r="H137" s="252" t="str">
        <f>H25</f>
        <v>Unai Simón</v>
      </c>
      <c r="I137" s="252" t="str">
        <f t="shared" ref="I137:I156" si="336">H3&amp;" (og)"</f>
        <v>David Raya (og)</v>
      </c>
      <c r="J137" s="252" t="str">
        <f t="shared" ref="J137:J156" si="337">M3&amp;" (og)"</f>
        <v>Kasper Schmeichel (og)</v>
      </c>
      <c r="K137" s="252" t="str">
        <f t="shared" ref="K137:K156" si="338">M3&amp;" (og)"</f>
        <v>Kasper Schmeichel (og)</v>
      </c>
      <c r="L137" s="252" t="str">
        <f t="shared" ref="L137:L156" si="339">M3&amp;" (og)"</f>
        <v>Kasper Schmeichel (og)</v>
      </c>
      <c r="M137" s="252" t="str">
        <f t="shared" ref="M137:M156" si="340">L3&amp;" (og)"</f>
        <v>Jan Oblak (og)</v>
      </c>
      <c r="N137" s="252" t="str">
        <f t="shared" ref="N137:N156" si="341">Q3&amp;" (og)"</f>
        <v>Brice Samba (og)</v>
      </c>
      <c r="O137" s="252" t="str">
        <f t="shared" ref="O137:O156" si="342">Q3&amp;" (og)"</f>
        <v>Brice Samba (og)</v>
      </c>
      <c r="P137" s="252" t="str">
        <f t="shared" ref="P137:P156" si="343">Q3&amp;" (og)"</f>
        <v>Brice Samba (og)</v>
      </c>
      <c r="Q137" s="252" t="str">
        <f t="shared" ref="Q137:Q156" si="344">P3&amp;" (og)"</f>
        <v>Heinz Lindner (og)</v>
      </c>
      <c r="R137" s="252" t="str">
        <f t="shared" ref="R137:R156" si="345">U3&amp;" (og)"</f>
        <v>Heorhiy Bushchan (og)</v>
      </c>
      <c r="S137" s="252" t="str">
        <f t="shared" ref="S137:S156" si="346">U3&amp;" (og)"</f>
        <v>Heorhiy Bushchan (og)</v>
      </c>
      <c r="T137" s="252" t="str">
        <f t="shared" ref="T137:T156" si="347">U3&amp;" (og)"</f>
        <v>Heorhiy Bushchan (og)</v>
      </c>
      <c r="U137" s="252" t="str">
        <f t="shared" ref="U137:U156" si="348">T3&amp;" (og)"</f>
        <v>Florin Niță (og)</v>
      </c>
      <c r="V137" s="252" t="str">
        <f t="shared" ref="V137:V156" si="349">Y3&amp;" (og)"</f>
        <v>Giorgi Loria (og)</v>
      </c>
      <c r="W137" s="252" t="str">
        <f t="shared" ref="W137:W156" si="350">Y3&amp;" (og)"</f>
        <v>Giorgi Loria (og)</v>
      </c>
      <c r="X137" s="252" t="str">
        <f t="shared" ref="X137:X156" si="351">Y3&amp;" (og)"</f>
        <v>Giorgi Loria (og)</v>
      </c>
      <c r="Y137" s="252" t="str">
        <f t="shared" ref="Y137:Y156" si="352">X3&amp;" (og)"</f>
        <v>Mert Günok (og)</v>
      </c>
      <c r="BT137" s="253" t="str">
        <f t="shared" ca="1" si="234"/>
        <v>Albania</v>
      </c>
      <c r="BU137" s="253">
        <f t="shared" si="201"/>
        <v>135</v>
      </c>
      <c r="BV137" s="253" t="str">
        <f t="shared" si="304"/>
        <v>A7</v>
      </c>
      <c r="BW137" s="253">
        <f t="shared" si="305"/>
        <v>6</v>
      </c>
      <c r="BX137" s="253" t="str">
        <f t="shared" ca="1" si="306"/>
        <v>Arlind Ajeti</v>
      </c>
      <c r="BY137" s="253">
        <f ca="1">COUNTIF('Group Stages'!$J$8:$Q$80,BX137)+COUNTIF('Knock Out Stages'!$K$7:$R$45,BX137)</f>
        <v>0</v>
      </c>
      <c r="BZ137" s="253" t="str">
        <f t="shared" si="307"/>
        <v>'Player Database'!b10</v>
      </c>
      <c r="CA137" s="253" t="str">
        <f t="shared" ca="1" si="308"/>
        <v>Arlind Ajeti</v>
      </c>
      <c r="CS137" s="252">
        <f t="shared" si="301"/>
        <v>134</v>
      </c>
      <c r="CT137" s="252">
        <f t="shared" si="302"/>
        <v>4</v>
      </c>
      <c r="CU137" s="252" t="str">
        <f t="shared" si="233"/>
        <v>CR11</v>
      </c>
      <c r="CV137" s="252" t="str">
        <f t="shared" ca="1" si="303"/>
        <v/>
      </c>
      <c r="CW137" s="252">
        <f t="shared" ca="1" si="312"/>
        <v>0</v>
      </c>
      <c r="CZ137" s="252">
        <v>134</v>
      </c>
      <c r="DA137" s="252" t="str">
        <f t="shared" ca="1" si="313"/>
        <v/>
      </c>
      <c r="DB137" s="252" t="str">
        <f t="shared" ca="1" si="309"/>
        <v/>
      </c>
      <c r="DC137" s="252" t="str">
        <f t="shared" ca="1" si="310"/>
        <v/>
      </c>
      <c r="DD137" s="252" t="str">
        <f t="shared" ca="1" si="311"/>
        <v/>
      </c>
    </row>
    <row r="138" spans="1:108" x14ac:dyDescent="0.2">
      <c r="A138" s="252">
        <f t="shared" si="329"/>
        <v>2</v>
      </c>
      <c r="B138" s="252" t="str">
        <f t="shared" si="330"/>
        <v>Leonidas Stergiou (og)</v>
      </c>
      <c r="C138" s="252" t="str">
        <f t="shared" si="331"/>
        <v>Leonidas Stergiou (og)</v>
      </c>
      <c r="D138" s="252" t="str">
        <f t="shared" si="332"/>
        <v>Leonidas Stergiou (og)</v>
      </c>
      <c r="E138" s="252" t="str">
        <f t="shared" si="333"/>
        <v>Ádám Lang (og)</v>
      </c>
      <c r="F138" s="252" t="str">
        <f t="shared" si="334"/>
        <v>Josip Stanišić (og)</v>
      </c>
      <c r="G138" s="252" t="str">
        <f t="shared" si="335"/>
        <v>Josip Stanišić (og)</v>
      </c>
      <c r="H138" s="252" t="str">
        <f t="shared" ref="H138:H156" si="353">I3&amp;" (og)"</f>
        <v>Dominik Livaković (og)</v>
      </c>
      <c r="I138" s="252" t="str">
        <f t="shared" si="336"/>
        <v>Dani Carvajal (og)</v>
      </c>
      <c r="J138" s="252" t="str">
        <f t="shared" si="337"/>
        <v>Joachim Andersen (og)</v>
      </c>
      <c r="K138" s="252" t="str">
        <f t="shared" si="338"/>
        <v>Joachim Andersen (og)</v>
      </c>
      <c r="L138" s="252" t="str">
        <f t="shared" si="339"/>
        <v>Joachim Andersen (og)</v>
      </c>
      <c r="M138" s="252" t="str">
        <f t="shared" si="340"/>
        <v>Žan Karničnik (og)</v>
      </c>
      <c r="N138" s="252" t="str">
        <f t="shared" si="341"/>
        <v>Benjamin Pavard (og)</v>
      </c>
      <c r="O138" s="252" t="str">
        <f t="shared" si="342"/>
        <v>Benjamin Pavard (og)</v>
      </c>
      <c r="P138" s="252" t="str">
        <f t="shared" si="343"/>
        <v>Benjamin Pavard (og)</v>
      </c>
      <c r="Q138" s="252" t="str">
        <f t="shared" si="344"/>
        <v>Maximilian Wöber (og)</v>
      </c>
      <c r="R138" s="252" t="str">
        <f t="shared" si="345"/>
        <v>Yukhym Konoplya (og)</v>
      </c>
      <c r="S138" s="252" t="str">
        <f t="shared" si="346"/>
        <v>Yukhym Konoplya (og)</v>
      </c>
      <c r="T138" s="252" t="str">
        <f t="shared" si="347"/>
        <v>Yukhym Konoplya (og)</v>
      </c>
      <c r="U138" s="252" t="str">
        <f t="shared" si="348"/>
        <v>Andrei Rațiu (og)</v>
      </c>
      <c r="V138" s="252" t="str">
        <f t="shared" si="349"/>
        <v>Otar Kakabadze (og)</v>
      </c>
      <c r="W138" s="252" t="str">
        <f t="shared" si="350"/>
        <v>Otar Kakabadze (og)</v>
      </c>
      <c r="X138" s="252" t="str">
        <f t="shared" si="351"/>
        <v>Otar Kakabadze (og)</v>
      </c>
      <c r="Y138" s="252" t="str">
        <f t="shared" si="352"/>
        <v>Zeki Çelik (og)</v>
      </c>
      <c r="BT138" s="253" t="str">
        <f t="shared" ca="1" si="234"/>
        <v>Albania</v>
      </c>
      <c r="BU138" s="253">
        <f t="shared" si="201"/>
        <v>136</v>
      </c>
      <c r="BV138" s="253" t="str">
        <f t="shared" si="304"/>
        <v>A8</v>
      </c>
      <c r="BW138" s="253">
        <f t="shared" si="305"/>
        <v>6</v>
      </c>
      <c r="BX138" s="253" t="str">
        <f t="shared" ca="1" si="306"/>
        <v>Berat Djimsiti</v>
      </c>
      <c r="BY138" s="253">
        <f ca="1">COUNTIF('Group Stages'!$J$8:$Q$80,BX138)+COUNTIF('Knock Out Stages'!$K$7:$R$45,BX138)</f>
        <v>0</v>
      </c>
      <c r="BZ138" s="253" t="str">
        <f t="shared" si="307"/>
        <v>'Player Database'!b11</v>
      </c>
      <c r="CA138" s="253" t="str">
        <f t="shared" ca="1" si="308"/>
        <v>Berat Djimsiti</v>
      </c>
      <c r="CS138" s="252">
        <f t="shared" si="301"/>
        <v>135</v>
      </c>
      <c r="CT138" s="252">
        <f t="shared" si="302"/>
        <v>4</v>
      </c>
      <c r="CU138" s="252" t="str">
        <f t="shared" si="233"/>
        <v>CR12</v>
      </c>
      <c r="CV138" s="252" t="str">
        <f t="shared" ca="1" si="303"/>
        <v/>
      </c>
      <c r="CW138" s="252">
        <f t="shared" ca="1" si="312"/>
        <v>0</v>
      </c>
      <c r="CZ138" s="252">
        <v>135</v>
      </c>
      <c r="DA138" s="252" t="str">
        <f t="shared" ca="1" si="313"/>
        <v/>
      </c>
      <c r="DB138" s="252" t="str">
        <f t="shared" ca="1" si="309"/>
        <v/>
      </c>
      <c r="DC138" s="252" t="str">
        <f t="shared" ca="1" si="310"/>
        <v/>
      </c>
      <c r="DD138" s="252" t="str">
        <f t="shared" ca="1" si="311"/>
        <v/>
      </c>
    </row>
    <row r="139" spans="1:108" x14ac:dyDescent="0.2">
      <c r="A139" s="252">
        <f t="shared" si="329"/>
        <v>3</v>
      </c>
      <c r="B139" s="252" t="str">
        <f t="shared" si="330"/>
        <v>Silvan Widmer (og)</v>
      </c>
      <c r="C139" s="252" t="str">
        <f t="shared" si="331"/>
        <v>Silvan Widmer (og)</v>
      </c>
      <c r="D139" s="252" t="str">
        <f t="shared" si="332"/>
        <v>Silvan Widmer (og)</v>
      </c>
      <c r="E139" s="252" t="str">
        <f t="shared" si="333"/>
        <v>Botond Balogh (og)</v>
      </c>
      <c r="F139" s="252" t="str">
        <f t="shared" si="334"/>
        <v>Marin Pongračić (og)</v>
      </c>
      <c r="G139" s="252" t="str">
        <f t="shared" si="335"/>
        <v>Marin Pongračić (og)</v>
      </c>
      <c r="H139" s="252" t="str">
        <f t="shared" si="353"/>
        <v>Josip Stanišić (og)</v>
      </c>
      <c r="I139" s="252" t="str">
        <f t="shared" si="336"/>
        <v>Robin Le Normand (og)</v>
      </c>
      <c r="J139" s="252" t="str">
        <f t="shared" si="337"/>
        <v>Jannik Vestergaard (og)</v>
      </c>
      <c r="K139" s="252" t="str">
        <f t="shared" si="338"/>
        <v>Jannik Vestergaard (og)</v>
      </c>
      <c r="L139" s="252" t="str">
        <f t="shared" si="339"/>
        <v>Jannik Vestergaard (og)</v>
      </c>
      <c r="M139" s="252" t="str">
        <f t="shared" si="340"/>
        <v>Jure Balkovec (og)</v>
      </c>
      <c r="N139" s="252" t="str">
        <f t="shared" si="341"/>
        <v>Ferland Mendy (og)</v>
      </c>
      <c r="O139" s="252" t="str">
        <f t="shared" si="342"/>
        <v>Ferland Mendy (og)</v>
      </c>
      <c r="P139" s="252" t="str">
        <f t="shared" si="343"/>
        <v>Ferland Mendy (og)</v>
      </c>
      <c r="Q139" s="252" t="str">
        <f t="shared" si="344"/>
        <v>Gernot Trauner (og)</v>
      </c>
      <c r="R139" s="252" t="str">
        <f t="shared" si="345"/>
        <v>Oleksandr Svatok (og)</v>
      </c>
      <c r="S139" s="252" t="str">
        <f t="shared" si="346"/>
        <v>Oleksandr Svatok (og)</v>
      </c>
      <c r="T139" s="252" t="str">
        <f t="shared" si="347"/>
        <v>Oleksandr Svatok (og)</v>
      </c>
      <c r="U139" s="252" t="str">
        <f t="shared" si="348"/>
        <v>Radu Drăgușin (og)</v>
      </c>
      <c r="V139" s="252" t="str">
        <f t="shared" si="349"/>
        <v>Lasha Dvali (og)</v>
      </c>
      <c r="W139" s="252" t="str">
        <f t="shared" si="350"/>
        <v>Lasha Dvali (og)</v>
      </c>
      <c r="X139" s="252" t="str">
        <f t="shared" si="351"/>
        <v>Lasha Dvali (og)</v>
      </c>
      <c r="Y139" s="252" t="str">
        <f t="shared" si="352"/>
        <v>Merih Demiral (og)</v>
      </c>
      <c r="BT139" s="253" t="str">
        <f t="shared" ca="1" si="234"/>
        <v>Albania</v>
      </c>
      <c r="BU139" s="253">
        <f t="shared" ref="BU139:BU202" si="354">BU138+1</f>
        <v>137</v>
      </c>
      <c r="BV139" s="253" t="str">
        <f t="shared" si="304"/>
        <v>A9</v>
      </c>
      <c r="BW139" s="253">
        <f t="shared" si="305"/>
        <v>6</v>
      </c>
      <c r="BX139" s="253" t="str">
        <f t="shared" ca="1" si="306"/>
        <v>Rey Manaj</v>
      </c>
      <c r="BY139" s="253">
        <f ca="1">COUNTIF('Group Stages'!$J$8:$Q$80,BX139)+COUNTIF('Knock Out Stages'!$K$7:$R$45,BX139)</f>
        <v>0</v>
      </c>
      <c r="BZ139" s="253" t="str">
        <f t="shared" si="307"/>
        <v>'Player Database'!b12</v>
      </c>
      <c r="CA139" s="253" t="str">
        <f t="shared" ca="1" si="308"/>
        <v>Rey Manaj</v>
      </c>
      <c r="CS139" s="252">
        <f t="shared" si="301"/>
        <v>136</v>
      </c>
      <c r="CT139" s="252">
        <f t="shared" si="302"/>
        <v>4</v>
      </c>
      <c r="CU139" s="252" t="str">
        <f t="shared" si="233"/>
        <v>CR13</v>
      </c>
      <c r="CV139" s="252" t="str">
        <f t="shared" ca="1" si="303"/>
        <v/>
      </c>
      <c r="CW139" s="252">
        <f t="shared" ca="1" si="312"/>
        <v>0</v>
      </c>
      <c r="CZ139" s="252">
        <v>136</v>
      </c>
      <c r="DA139" s="252" t="str">
        <f t="shared" ca="1" si="313"/>
        <v/>
      </c>
      <c r="DB139" s="252" t="str">
        <f t="shared" ca="1" si="309"/>
        <v/>
      </c>
      <c r="DC139" s="252" t="str">
        <f t="shared" ca="1" si="310"/>
        <v/>
      </c>
      <c r="DD139" s="252" t="str">
        <f t="shared" ca="1" si="311"/>
        <v/>
      </c>
    </row>
    <row r="140" spans="1:108" x14ac:dyDescent="0.2">
      <c r="A140" s="252">
        <f t="shared" si="329"/>
        <v>4</v>
      </c>
      <c r="B140" s="252" t="str">
        <f t="shared" si="330"/>
        <v>Nico Elvedi (og)</v>
      </c>
      <c r="C140" s="252" t="str">
        <f t="shared" si="331"/>
        <v>Nico Elvedi (og)</v>
      </c>
      <c r="D140" s="252" t="str">
        <f t="shared" si="332"/>
        <v>Nico Elvedi (og)</v>
      </c>
      <c r="E140" s="252" t="str">
        <f t="shared" si="333"/>
        <v>Attila Szalai (og)</v>
      </c>
      <c r="F140" s="252" t="str">
        <f t="shared" si="334"/>
        <v>Joško Gvardiol (og)</v>
      </c>
      <c r="G140" s="252" t="str">
        <f t="shared" si="335"/>
        <v>Joško Gvardiol (og)</v>
      </c>
      <c r="H140" s="252" t="str">
        <f t="shared" si="353"/>
        <v>Marin Pongračić (og)</v>
      </c>
      <c r="I140" s="252" t="str">
        <f t="shared" si="336"/>
        <v>Nacho (og)</v>
      </c>
      <c r="J140" s="252" t="str">
        <f t="shared" si="337"/>
        <v>Simon Kjær (og)</v>
      </c>
      <c r="K140" s="252" t="str">
        <f t="shared" si="338"/>
        <v>Simon Kjær (og)</v>
      </c>
      <c r="L140" s="252" t="str">
        <f t="shared" si="339"/>
        <v>Simon Kjær (og)</v>
      </c>
      <c r="M140" s="252" t="str">
        <f t="shared" si="340"/>
        <v>Miha Blažič (og)</v>
      </c>
      <c r="N140" s="252" t="str">
        <f t="shared" si="341"/>
        <v>Dayot Upamecano (og)</v>
      </c>
      <c r="O140" s="252" t="str">
        <f t="shared" si="342"/>
        <v>Dayot Upamecano (og)</v>
      </c>
      <c r="P140" s="252" t="str">
        <f t="shared" si="343"/>
        <v>Dayot Upamecano (og)</v>
      </c>
      <c r="Q140" s="252" t="str">
        <f t="shared" si="344"/>
        <v>Kevin Danso (og)</v>
      </c>
      <c r="R140" s="252" t="str">
        <f t="shared" si="345"/>
        <v>Maksym Taloverov (og)</v>
      </c>
      <c r="S140" s="252" t="str">
        <f t="shared" si="346"/>
        <v>Maksym Taloverov (og)</v>
      </c>
      <c r="T140" s="252" t="str">
        <f t="shared" si="347"/>
        <v>Maksym Taloverov (og)</v>
      </c>
      <c r="U140" s="252" t="str">
        <f t="shared" si="348"/>
        <v>Adrian Rus (og)</v>
      </c>
      <c r="V140" s="252" t="str">
        <f t="shared" si="349"/>
        <v>Guram Kashia (og)</v>
      </c>
      <c r="W140" s="252" t="str">
        <f t="shared" si="350"/>
        <v>Guram Kashia (og)</v>
      </c>
      <c r="X140" s="252" t="str">
        <f t="shared" si="351"/>
        <v>Guram Kashia (og)</v>
      </c>
      <c r="Y140" s="252" t="str">
        <f t="shared" si="352"/>
        <v>Samet Akaydin (og)</v>
      </c>
      <c r="BT140" s="253" t="str">
        <f t="shared" ca="1" si="234"/>
        <v>Albania</v>
      </c>
      <c r="BU140" s="253">
        <f t="shared" si="354"/>
        <v>138</v>
      </c>
      <c r="BV140" s="253" t="str">
        <f t="shared" si="304"/>
        <v>A10</v>
      </c>
      <c r="BW140" s="253">
        <f t="shared" si="305"/>
        <v>6</v>
      </c>
      <c r="BX140" s="253" t="str">
        <f t="shared" ca="1" si="306"/>
        <v>Klaus Gjasula</v>
      </c>
      <c r="BY140" s="253">
        <f ca="1">COUNTIF('Group Stages'!$J$8:$Q$80,BX140)+COUNTIF('Knock Out Stages'!$K$7:$R$45,BX140)</f>
        <v>0</v>
      </c>
      <c r="BZ140" s="253" t="str">
        <f t="shared" si="307"/>
        <v>'Player Database'!b13</v>
      </c>
      <c r="CA140" s="253" t="str">
        <f t="shared" ca="1" si="308"/>
        <v>Klaus Gjasula</v>
      </c>
      <c r="CS140" s="252">
        <f t="shared" si="301"/>
        <v>137</v>
      </c>
      <c r="CT140" s="252">
        <f t="shared" si="302"/>
        <v>4</v>
      </c>
      <c r="CU140" s="252" t="str">
        <f t="shared" si="233"/>
        <v>CR14</v>
      </c>
      <c r="CV140" s="252" t="str">
        <f t="shared" ca="1" si="303"/>
        <v/>
      </c>
      <c r="CW140" s="252">
        <f t="shared" ca="1" si="312"/>
        <v>0</v>
      </c>
      <c r="CZ140" s="252">
        <v>137</v>
      </c>
      <c r="DA140" s="252" t="str">
        <f t="shared" ca="1" si="313"/>
        <v/>
      </c>
      <c r="DB140" s="252" t="str">
        <f t="shared" ca="1" si="309"/>
        <v/>
      </c>
      <c r="DC140" s="252" t="str">
        <f t="shared" ca="1" si="310"/>
        <v/>
      </c>
      <c r="DD140" s="252" t="str">
        <f t="shared" ca="1" si="311"/>
        <v/>
      </c>
    </row>
    <row r="141" spans="1:108" x14ac:dyDescent="0.2">
      <c r="A141" s="252">
        <f t="shared" si="329"/>
        <v>5</v>
      </c>
      <c r="B141" s="252" t="str">
        <f t="shared" si="330"/>
        <v>Manuel Akanji (og)</v>
      </c>
      <c r="C141" s="252" t="str">
        <f t="shared" si="331"/>
        <v>Manuel Akanji (og)</v>
      </c>
      <c r="D141" s="252" t="str">
        <f t="shared" si="332"/>
        <v>Manuel Akanji (og)</v>
      </c>
      <c r="E141" s="252" t="str">
        <f t="shared" si="333"/>
        <v>Attila Fiola (og)</v>
      </c>
      <c r="F141" s="252" t="str">
        <f t="shared" si="334"/>
        <v>Martin Erlić (og)</v>
      </c>
      <c r="G141" s="252" t="str">
        <f t="shared" si="335"/>
        <v>Martin Erlić (og)</v>
      </c>
      <c r="H141" s="252" t="str">
        <f t="shared" si="353"/>
        <v>Joško Gvardiol (og)</v>
      </c>
      <c r="I141" s="252" t="str">
        <f t="shared" si="336"/>
        <v>Daniel Vivian (og)</v>
      </c>
      <c r="J141" s="252" t="str">
        <f t="shared" si="337"/>
        <v>Joakim Mæhle (og)</v>
      </c>
      <c r="K141" s="252" t="str">
        <f t="shared" si="338"/>
        <v>Joakim Mæhle (og)</v>
      </c>
      <c r="L141" s="252" t="str">
        <f t="shared" si="339"/>
        <v>Joakim Mæhle (og)</v>
      </c>
      <c r="M141" s="252" t="str">
        <f t="shared" si="340"/>
        <v>Jon Gorenc Stanković (og)</v>
      </c>
      <c r="N141" s="252" t="str">
        <f t="shared" si="341"/>
        <v>Jules Koundé (og)</v>
      </c>
      <c r="O141" s="252" t="str">
        <f t="shared" si="342"/>
        <v>Jules Koundé (og)</v>
      </c>
      <c r="P141" s="252" t="str">
        <f t="shared" si="343"/>
        <v>Jules Koundé (og)</v>
      </c>
      <c r="Q141" s="252" t="str">
        <f t="shared" si="344"/>
        <v>Stefan Posch (og)</v>
      </c>
      <c r="R141" s="252" t="str">
        <f t="shared" si="345"/>
        <v>Serhiy Sydorchuk (og)</v>
      </c>
      <c r="S141" s="252" t="str">
        <f t="shared" si="346"/>
        <v>Serhiy Sydorchuk (og)</v>
      </c>
      <c r="T141" s="252" t="str">
        <f t="shared" si="347"/>
        <v>Serhiy Sydorchuk (og)</v>
      </c>
      <c r="U141" s="252" t="str">
        <f t="shared" si="348"/>
        <v>Ionuț Nedelcearu (og)</v>
      </c>
      <c r="V141" s="252" t="str">
        <f t="shared" si="349"/>
        <v>Solomon Kvirkvelia (og)</v>
      </c>
      <c r="W141" s="252" t="str">
        <f t="shared" si="350"/>
        <v>Solomon Kvirkvelia (og)</v>
      </c>
      <c r="X141" s="252" t="str">
        <f t="shared" si="351"/>
        <v>Solomon Kvirkvelia (og)</v>
      </c>
      <c r="Y141" s="252" t="str">
        <f t="shared" si="352"/>
        <v>Okay Yokuşlu (og)</v>
      </c>
      <c r="BT141" s="253" t="str">
        <f t="shared" ca="1" si="234"/>
        <v>Albania</v>
      </c>
      <c r="BU141" s="253">
        <f t="shared" si="354"/>
        <v>139</v>
      </c>
      <c r="BV141" s="253" t="str">
        <f t="shared" si="304"/>
        <v>A11</v>
      </c>
      <c r="BW141" s="253">
        <f t="shared" si="305"/>
        <v>6</v>
      </c>
      <c r="BX141" s="253" t="str">
        <f t="shared" ca="1" si="306"/>
        <v>Jasir Asani</v>
      </c>
      <c r="BY141" s="253">
        <f ca="1">COUNTIF('Group Stages'!$J$8:$Q$80,BX141)+COUNTIF('Knock Out Stages'!$K$7:$R$45,BX141)</f>
        <v>0</v>
      </c>
      <c r="BZ141" s="253" t="str">
        <f t="shared" si="307"/>
        <v>'Player Database'!b14</v>
      </c>
      <c r="CA141" s="253" t="str">
        <f t="shared" ca="1" si="308"/>
        <v>Jasir Asani</v>
      </c>
      <c r="CS141" s="252">
        <f t="shared" si="301"/>
        <v>138</v>
      </c>
      <c r="CT141" s="252">
        <f t="shared" si="302"/>
        <v>4</v>
      </c>
      <c r="CU141" s="252" t="str">
        <f t="shared" si="233"/>
        <v>CR15</v>
      </c>
      <c r="CV141" s="252" t="str">
        <f t="shared" ca="1" si="303"/>
        <v/>
      </c>
      <c r="CW141" s="252">
        <f t="shared" ca="1" si="312"/>
        <v>0</v>
      </c>
      <c r="CZ141" s="252">
        <v>138</v>
      </c>
      <c r="DA141" s="252" t="str">
        <f t="shared" ca="1" si="313"/>
        <v/>
      </c>
      <c r="DB141" s="252" t="str">
        <f t="shared" ca="1" si="309"/>
        <v/>
      </c>
      <c r="DC141" s="252" t="str">
        <f t="shared" ca="1" si="310"/>
        <v/>
      </c>
      <c r="DD141" s="252" t="str">
        <f t="shared" ca="1" si="311"/>
        <v/>
      </c>
    </row>
    <row r="142" spans="1:108" x14ac:dyDescent="0.2">
      <c r="A142" s="252">
        <f t="shared" si="329"/>
        <v>6</v>
      </c>
      <c r="B142" s="252" t="str">
        <f t="shared" si="330"/>
        <v>Denis Zakaria (og)</v>
      </c>
      <c r="C142" s="252" t="str">
        <f t="shared" si="331"/>
        <v>Denis Zakaria (og)</v>
      </c>
      <c r="D142" s="252" t="str">
        <f t="shared" si="332"/>
        <v>Denis Zakaria (og)</v>
      </c>
      <c r="E142" s="252" t="str">
        <f t="shared" si="333"/>
        <v>Willi Orbán (og)</v>
      </c>
      <c r="F142" s="252" t="str">
        <f t="shared" si="334"/>
        <v>Josip Šutalo (og)</v>
      </c>
      <c r="G142" s="252" t="str">
        <f t="shared" si="335"/>
        <v>Josip Šutalo (og)</v>
      </c>
      <c r="H142" s="252" t="str">
        <f t="shared" si="353"/>
        <v>Martin Erlić (og)</v>
      </c>
      <c r="I142" s="252" t="str">
        <f t="shared" si="336"/>
        <v>Mikel Merino (og)</v>
      </c>
      <c r="J142" s="252" t="str">
        <f t="shared" si="337"/>
        <v>Andreas Christensen (og)</v>
      </c>
      <c r="K142" s="252" t="str">
        <f t="shared" si="338"/>
        <v>Andreas Christensen (og)</v>
      </c>
      <c r="L142" s="252" t="str">
        <f t="shared" si="339"/>
        <v>Andreas Christensen (og)</v>
      </c>
      <c r="M142" s="252" t="str">
        <f t="shared" si="340"/>
        <v>Jaka Bijol (og)</v>
      </c>
      <c r="N142" s="252" t="str">
        <f t="shared" si="341"/>
        <v>Eduardo Camavinga (og)</v>
      </c>
      <c r="O142" s="252" t="str">
        <f t="shared" si="342"/>
        <v>Eduardo Camavinga (og)</v>
      </c>
      <c r="P142" s="252" t="str">
        <f t="shared" si="343"/>
        <v>Eduardo Camavinga (og)</v>
      </c>
      <c r="Q142" s="252" t="str">
        <f t="shared" si="344"/>
        <v>Nicolas Seiwald (og)</v>
      </c>
      <c r="R142" s="252" t="str">
        <f t="shared" si="345"/>
        <v>Taras Stepanenko (og)</v>
      </c>
      <c r="S142" s="252" t="str">
        <f t="shared" si="346"/>
        <v>Taras Stepanenko (og)</v>
      </c>
      <c r="T142" s="252" t="str">
        <f t="shared" si="347"/>
        <v>Taras Stepanenko (og)</v>
      </c>
      <c r="U142" s="252" t="str">
        <f t="shared" si="348"/>
        <v>Marius Marin (og)</v>
      </c>
      <c r="V142" s="252" t="str">
        <f t="shared" si="349"/>
        <v>Giorgi Kochorashvili (og)</v>
      </c>
      <c r="W142" s="252" t="str">
        <f t="shared" si="350"/>
        <v>Giorgi Kochorashvili (og)</v>
      </c>
      <c r="X142" s="252" t="str">
        <f t="shared" si="351"/>
        <v>Giorgi Kochorashvili (og)</v>
      </c>
      <c r="Y142" s="252" t="str">
        <f t="shared" si="352"/>
        <v>Orkun Kökçü (og)</v>
      </c>
      <c r="BT142" s="253" t="str">
        <f t="shared" ca="1" si="234"/>
        <v>Albania</v>
      </c>
      <c r="BU142" s="253">
        <f t="shared" si="354"/>
        <v>140</v>
      </c>
      <c r="BV142" s="253" t="str">
        <f t="shared" si="304"/>
        <v>A12</v>
      </c>
      <c r="BW142" s="253">
        <f t="shared" si="305"/>
        <v>6</v>
      </c>
      <c r="BX142" s="253" t="str">
        <f t="shared" ca="1" si="306"/>
        <v>Nedim Bajrami</v>
      </c>
      <c r="BY142" s="253">
        <f ca="1">COUNTIF('Group Stages'!$J$8:$Q$80,BX142)+COUNTIF('Knock Out Stages'!$K$7:$R$45,BX142)</f>
        <v>1</v>
      </c>
      <c r="BZ142" s="253" t="str">
        <f t="shared" si="307"/>
        <v>'Player Database'!b15</v>
      </c>
      <c r="CA142" s="253" t="str">
        <f t="shared" ca="1" si="308"/>
        <v>Nedim Bajrami</v>
      </c>
      <c r="CS142" s="252">
        <f t="shared" si="301"/>
        <v>139</v>
      </c>
      <c r="CT142" s="252">
        <f t="shared" si="302"/>
        <v>4</v>
      </c>
      <c r="CU142" s="252" t="str">
        <f t="shared" si="233"/>
        <v>CR16</v>
      </c>
      <c r="CV142" s="252" t="str">
        <f t="shared" ca="1" si="303"/>
        <v/>
      </c>
      <c r="CW142" s="252">
        <f t="shared" ca="1" si="312"/>
        <v>0</v>
      </c>
      <c r="CZ142" s="252">
        <v>139</v>
      </c>
      <c r="DA142" s="252" t="str">
        <f t="shared" ca="1" si="313"/>
        <v/>
      </c>
      <c r="DB142" s="252" t="str">
        <f t="shared" ca="1" si="309"/>
        <v/>
      </c>
      <c r="DC142" s="252" t="str">
        <f t="shared" ca="1" si="310"/>
        <v/>
      </c>
      <c r="DD142" s="252" t="str">
        <f t="shared" ca="1" si="311"/>
        <v/>
      </c>
    </row>
    <row r="143" spans="1:108" x14ac:dyDescent="0.2">
      <c r="A143" s="252">
        <f t="shared" si="329"/>
        <v>7</v>
      </c>
      <c r="B143" s="252" t="str">
        <f t="shared" si="330"/>
        <v>Breel Embolo (og)</v>
      </c>
      <c r="C143" s="252" t="str">
        <f t="shared" si="331"/>
        <v>Breel Embolo (og)</v>
      </c>
      <c r="D143" s="252" t="str">
        <f t="shared" si="332"/>
        <v>Breel Embolo (og)</v>
      </c>
      <c r="E143" s="252" t="str">
        <f t="shared" si="333"/>
        <v>Loïc Négo (og)</v>
      </c>
      <c r="F143" s="252" t="str">
        <f t="shared" si="334"/>
        <v>Lovro Majer (og)</v>
      </c>
      <c r="G143" s="252" t="str">
        <f t="shared" si="335"/>
        <v>Lovro Majer (og)</v>
      </c>
      <c r="H143" s="252" t="str">
        <f t="shared" si="353"/>
        <v>Josip Šutalo (og)</v>
      </c>
      <c r="I143" s="252" t="str">
        <f t="shared" si="336"/>
        <v>Álvaro Morata (og)</v>
      </c>
      <c r="J143" s="252" t="str">
        <f t="shared" si="337"/>
        <v>Mathias Jensen (og)</v>
      </c>
      <c r="K143" s="252" t="str">
        <f t="shared" si="338"/>
        <v>Mathias Jensen (og)</v>
      </c>
      <c r="L143" s="252" t="str">
        <f t="shared" si="339"/>
        <v>Mathias Jensen (og)</v>
      </c>
      <c r="M143" s="252" t="str">
        <f t="shared" si="340"/>
        <v>Benjamin Verbič (og)</v>
      </c>
      <c r="N143" s="252" t="str">
        <f t="shared" si="341"/>
        <v>Antoine Griezmann (og)</v>
      </c>
      <c r="O143" s="252" t="str">
        <f t="shared" si="342"/>
        <v>Antoine Griezmann (og)</v>
      </c>
      <c r="P143" s="252" t="str">
        <f t="shared" si="343"/>
        <v>Antoine Griezmann (og)</v>
      </c>
      <c r="Q143" s="252" t="str">
        <f t="shared" si="344"/>
        <v>Marko Arnautović (og)</v>
      </c>
      <c r="R143" s="252" t="str">
        <f t="shared" si="345"/>
        <v>Andriy Yarmolenko (og)</v>
      </c>
      <c r="S143" s="252" t="str">
        <f t="shared" si="346"/>
        <v>Andriy Yarmolenko (og)</v>
      </c>
      <c r="T143" s="252" t="str">
        <f t="shared" si="347"/>
        <v>Andriy Yarmolenko (og)</v>
      </c>
      <c r="U143" s="252" t="str">
        <f t="shared" si="348"/>
        <v>Denis Alibec (og)</v>
      </c>
      <c r="V143" s="252" t="str">
        <f t="shared" si="349"/>
        <v>Khvicha Kvaratskhelia (og)</v>
      </c>
      <c r="W143" s="252" t="str">
        <f t="shared" si="350"/>
        <v>Khvicha Kvaratskhelia (og)</v>
      </c>
      <c r="X143" s="252" t="str">
        <f t="shared" si="351"/>
        <v>Khvicha Kvaratskhelia (og)</v>
      </c>
      <c r="Y143" s="252" t="str">
        <f t="shared" si="352"/>
        <v>Kerem Aktürkoğlu (og)</v>
      </c>
      <c r="BT143" s="253" t="str">
        <f t="shared" ca="1" si="234"/>
        <v>Albania</v>
      </c>
      <c r="BU143" s="253">
        <f t="shared" si="354"/>
        <v>141</v>
      </c>
      <c r="BV143" s="253" t="str">
        <f t="shared" si="304"/>
        <v>A13</v>
      </c>
      <c r="BW143" s="253">
        <f t="shared" si="305"/>
        <v>6</v>
      </c>
      <c r="BX143" s="253" t="str">
        <f t="shared" ca="1" si="306"/>
        <v>Armando Broja</v>
      </c>
      <c r="BY143" s="253">
        <f ca="1">COUNTIF('Group Stages'!$J$8:$Q$80,BX143)+COUNTIF('Knock Out Stages'!$K$7:$R$45,BX143)</f>
        <v>0</v>
      </c>
      <c r="BZ143" s="253" t="str">
        <f t="shared" si="307"/>
        <v>'Player Database'!b16</v>
      </c>
      <c r="CA143" s="253" t="str">
        <f t="shared" ca="1" si="308"/>
        <v>Armando Broja</v>
      </c>
      <c r="CS143" s="252">
        <f t="shared" si="301"/>
        <v>140</v>
      </c>
      <c r="CT143" s="252">
        <f t="shared" si="302"/>
        <v>4</v>
      </c>
      <c r="CU143" s="252" t="str">
        <f t="shared" si="233"/>
        <v>CR17</v>
      </c>
      <c r="CV143" s="252" t="str">
        <f t="shared" ca="1" si="303"/>
        <v/>
      </c>
      <c r="CW143" s="252">
        <f t="shared" ca="1" si="312"/>
        <v>0</v>
      </c>
      <c r="CZ143" s="252">
        <v>140</v>
      </c>
      <c r="DA143" s="252" t="str">
        <f t="shared" ca="1" si="313"/>
        <v/>
      </c>
      <c r="DB143" s="252" t="str">
        <f t="shared" ca="1" si="309"/>
        <v/>
      </c>
      <c r="DC143" s="252" t="str">
        <f t="shared" ca="1" si="310"/>
        <v/>
      </c>
      <c r="DD143" s="252" t="str">
        <f t="shared" ca="1" si="311"/>
        <v/>
      </c>
    </row>
    <row r="144" spans="1:108" x14ac:dyDescent="0.2">
      <c r="A144" s="252">
        <f t="shared" si="329"/>
        <v>8</v>
      </c>
      <c r="B144" s="252" t="str">
        <f t="shared" si="330"/>
        <v>Remo Freuler (og)</v>
      </c>
      <c r="C144" s="252" t="str">
        <f t="shared" si="331"/>
        <v>Remo Freuler (og)</v>
      </c>
      <c r="D144" s="252" t="str">
        <f t="shared" si="332"/>
        <v>Remo Freuler (og)</v>
      </c>
      <c r="E144" s="252" t="str">
        <f t="shared" si="333"/>
        <v>Ádám Nagy (og)</v>
      </c>
      <c r="F144" s="252" t="str">
        <f t="shared" si="334"/>
        <v>Mateo Kovačić (og)</v>
      </c>
      <c r="G144" s="252" t="str">
        <f t="shared" si="335"/>
        <v>Mateo Kovačić (og)</v>
      </c>
      <c r="H144" s="252" t="str">
        <f t="shared" si="353"/>
        <v>Lovro Majer (og)</v>
      </c>
      <c r="I144" s="252" t="str">
        <f t="shared" si="336"/>
        <v>Fabián Ruiz (og)</v>
      </c>
      <c r="J144" s="252" t="str">
        <f t="shared" si="337"/>
        <v>Thomas Delaney (og)</v>
      </c>
      <c r="K144" s="252" t="str">
        <f t="shared" si="338"/>
        <v>Thomas Delaney (og)</v>
      </c>
      <c r="L144" s="252" t="str">
        <f t="shared" si="339"/>
        <v>Thomas Delaney (og)</v>
      </c>
      <c r="M144" s="252" t="str">
        <f t="shared" si="340"/>
        <v>Sandi Lovrić (og)</v>
      </c>
      <c r="N144" s="252" t="str">
        <f t="shared" si="341"/>
        <v>Aurélien Tchouaméni (og)</v>
      </c>
      <c r="O144" s="252" t="str">
        <f t="shared" si="342"/>
        <v>Aurélien Tchouaméni (og)</v>
      </c>
      <c r="P144" s="252" t="str">
        <f t="shared" si="343"/>
        <v>Aurélien Tchouaméni (og)</v>
      </c>
      <c r="Q144" s="252" t="str">
        <f t="shared" si="344"/>
        <v>Alexander Prass (og)</v>
      </c>
      <c r="R144" s="252" t="str">
        <f t="shared" si="345"/>
        <v>Ruslan Malinovskyi (og)</v>
      </c>
      <c r="S144" s="252" t="str">
        <f t="shared" si="346"/>
        <v>Ruslan Malinovskyi (og)</v>
      </c>
      <c r="T144" s="252" t="str">
        <f t="shared" si="347"/>
        <v>Ruslan Malinovskyi (og)</v>
      </c>
      <c r="U144" s="252" t="str">
        <f t="shared" si="348"/>
        <v>Alexandru Cicâldău (og)</v>
      </c>
      <c r="V144" s="252" t="str">
        <f t="shared" si="349"/>
        <v>Budu Zivzivadze (og)</v>
      </c>
      <c r="W144" s="252" t="str">
        <f t="shared" si="350"/>
        <v>Budu Zivzivadze (og)</v>
      </c>
      <c r="X144" s="252" t="str">
        <f t="shared" si="351"/>
        <v>Budu Zivzivadze (og)</v>
      </c>
      <c r="Y144" s="252" t="str">
        <f t="shared" si="352"/>
        <v>Arda Güler (og)</v>
      </c>
      <c r="BT144" s="253" t="str">
        <f t="shared" ca="1" si="234"/>
        <v>Albania</v>
      </c>
      <c r="BU144" s="253">
        <f t="shared" si="354"/>
        <v>142</v>
      </c>
      <c r="BV144" s="253" t="str">
        <f t="shared" si="304"/>
        <v>A14</v>
      </c>
      <c r="BW144" s="253">
        <f t="shared" si="305"/>
        <v>6</v>
      </c>
      <c r="BX144" s="253" t="str">
        <f t="shared" ca="1" si="306"/>
        <v>Elhan Kastrati</v>
      </c>
      <c r="BY144" s="253">
        <f ca="1">COUNTIF('Group Stages'!$J$8:$Q$80,BX144)+COUNTIF('Knock Out Stages'!$K$7:$R$45,BX144)</f>
        <v>0</v>
      </c>
      <c r="BZ144" s="253" t="str">
        <f t="shared" si="307"/>
        <v>'Player Database'!b17</v>
      </c>
      <c r="CA144" s="253" t="str">
        <f t="shared" ca="1" si="308"/>
        <v>Elhan Kastrati</v>
      </c>
      <c r="CS144" s="252">
        <f t="shared" si="301"/>
        <v>141</v>
      </c>
      <c r="CT144" s="252">
        <f t="shared" si="302"/>
        <v>4</v>
      </c>
      <c r="CU144" s="252" t="str">
        <f t="shared" si="233"/>
        <v>CR18</v>
      </c>
      <c r="CV144" s="252" t="str">
        <f t="shared" ca="1" si="303"/>
        <v/>
      </c>
      <c r="CW144" s="252">
        <f t="shared" ca="1" si="312"/>
        <v>0</v>
      </c>
      <c r="CZ144" s="252">
        <v>141</v>
      </c>
      <c r="DA144" s="252" t="str">
        <f t="shared" ca="1" si="313"/>
        <v/>
      </c>
      <c r="DB144" s="252" t="str">
        <f t="shared" ca="1" si="309"/>
        <v/>
      </c>
      <c r="DC144" s="252" t="str">
        <f t="shared" ca="1" si="310"/>
        <v/>
      </c>
      <c r="DD144" s="252" t="str">
        <f t="shared" ca="1" si="311"/>
        <v/>
      </c>
    </row>
    <row r="145" spans="1:108" x14ac:dyDescent="0.2">
      <c r="A145" s="252">
        <f t="shared" si="329"/>
        <v>9</v>
      </c>
      <c r="B145" s="252" t="str">
        <f t="shared" si="330"/>
        <v>Noah Okafor (og)</v>
      </c>
      <c r="C145" s="252" t="str">
        <f t="shared" si="331"/>
        <v>Noah Okafor (og)</v>
      </c>
      <c r="D145" s="252" t="str">
        <f t="shared" si="332"/>
        <v>Noah Okafor (og)</v>
      </c>
      <c r="E145" s="252" t="str">
        <f t="shared" si="333"/>
        <v>Martin Ádám (og)</v>
      </c>
      <c r="F145" s="252" t="str">
        <f t="shared" si="334"/>
        <v>Andrej Kramarić (og)</v>
      </c>
      <c r="G145" s="252" t="str">
        <f t="shared" si="335"/>
        <v>Andrej Kramarić (og)</v>
      </c>
      <c r="H145" s="252" t="str">
        <f t="shared" si="353"/>
        <v>Mateo Kovačić (og)</v>
      </c>
      <c r="I145" s="252" t="str">
        <f t="shared" si="336"/>
        <v>Joselu (og)</v>
      </c>
      <c r="J145" s="252" t="str">
        <f t="shared" si="337"/>
        <v>Rasmus Højlund (og)</v>
      </c>
      <c r="K145" s="252" t="str">
        <f t="shared" si="338"/>
        <v>Rasmus Højlund (og)</v>
      </c>
      <c r="L145" s="252" t="str">
        <f t="shared" si="339"/>
        <v>Rasmus Højlund (og)</v>
      </c>
      <c r="M145" s="252" t="str">
        <f t="shared" si="340"/>
        <v>Andraž Šporar (og)</v>
      </c>
      <c r="N145" s="252" t="str">
        <f t="shared" si="341"/>
        <v>Olivier Giroud (og)</v>
      </c>
      <c r="O145" s="252" t="str">
        <f t="shared" si="342"/>
        <v>Olivier Giroud (og)</v>
      </c>
      <c r="P145" s="252" t="str">
        <f t="shared" si="343"/>
        <v>Olivier Giroud (og)</v>
      </c>
      <c r="Q145" s="252" t="str">
        <f t="shared" si="344"/>
        <v>Marcel Sabitzer (og)</v>
      </c>
      <c r="R145" s="252" t="str">
        <f t="shared" si="345"/>
        <v>Roman Yaremchuk (og)</v>
      </c>
      <c r="S145" s="252" t="str">
        <f t="shared" si="346"/>
        <v>Roman Yaremchuk (og)</v>
      </c>
      <c r="T145" s="252" t="str">
        <f t="shared" si="347"/>
        <v>Roman Yaremchuk (og)</v>
      </c>
      <c r="U145" s="252" t="str">
        <f t="shared" si="348"/>
        <v>George Pușcaș (og)</v>
      </c>
      <c r="V145" s="252" t="str">
        <f t="shared" si="349"/>
        <v>Zuriko Davitashvili (og)</v>
      </c>
      <c r="W145" s="252" t="str">
        <f t="shared" si="350"/>
        <v>Zuriko Davitashvili (og)</v>
      </c>
      <c r="X145" s="252" t="str">
        <f t="shared" si="351"/>
        <v>Zuriko Davitashvili (og)</v>
      </c>
      <c r="Y145" s="252" t="str">
        <f t="shared" si="352"/>
        <v>Cenk Tosun (og)</v>
      </c>
      <c r="BT145" s="253" t="str">
        <f t="shared" ca="1" si="234"/>
        <v>Albania</v>
      </c>
      <c r="BU145" s="253">
        <f t="shared" si="354"/>
        <v>143</v>
      </c>
      <c r="BV145" s="253" t="str">
        <f t="shared" si="304"/>
        <v>A15</v>
      </c>
      <c r="BW145" s="253">
        <f t="shared" si="305"/>
        <v>6</v>
      </c>
      <c r="BX145" s="253" t="str">
        <f t="shared" ca="1" si="306"/>
        <v>Enea Mihaj</v>
      </c>
      <c r="BY145" s="253">
        <f ca="1">COUNTIF('Group Stages'!$J$8:$Q$80,BX145)+COUNTIF('Knock Out Stages'!$K$7:$R$45,BX145)</f>
        <v>0</v>
      </c>
      <c r="BZ145" s="253" t="str">
        <f t="shared" si="307"/>
        <v>'Player Database'!b18</v>
      </c>
      <c r="CA145" s="253" t="str">
        <f t="shared" ca="1" si="308"/>
        <v>Enea Mihaj</v>
      </c>
      <c r="CS145" s="252">
        <f t="shared" si="301"/>
        <v>142</v>
      </c>
      <c r="CT145" s="252">
        <f t="shared" si="302"/>
        <v>4</v>
      </c>
      <c r="CU145" s="252" t="str">
        <f t="shared" si="233"/>
        <v>CR19</v>
      </c>
      <c r="CV145" s="252" t="str">
        <f t="shared" ca="1" si="303"/>
        <v/>
      </c>
      <c r="CW145" s="252">
        <f t="shared" ca="1" si="312"/>
        <v>0</v>
      </c>
      <c r="CZ145" s="252">
        <v>142</v>
      </c>
      <c r="DA145" s="252" t="str">
        <f t="shared" ca="1" si="313"/>
        <v/>
      </c>
      <c r="DB145" s="252" t="str">
        <f t="shared" ca="1" si="309"/>
        <v/>
      </c>
      <c r="DC145" s="252" t="str">
        <f t="shared" ca="1" si="310"/>
        <v/>
      </c>
      <c r="DD145" s="252" t="str">
        <f t="shared" ca="1" si="311"/>
        <v/>
      </c>
    </row>
    <row r="146" spans="1:108" x14ac:dyDescent="0.2">
      <c r="A146" s="252">
        <f t="shared" si="329"/>
        <v>10</v>
      </c>
      <c r="B146" s="252" t="str">
        <f t="shared" si="330"/>
        <v>Granit Xhaka (og)</v>
      </c>
      <c r="C146" s="252" t="str">
        <f t="shared" si="331"/>
        <v>Granit Xhaka (og)</v>
      </c>
      <c r="D146" s="252" t="str">
        <f t="shared" si="332"/>
        <v>Granit Xhaka (og)</v>
      </c>
      <c r="E146" s="252" t="str">
        <f t="shared" si="333"/>
        <v>Dominik Szoboszlai (og)</v>
      </c>
      <c r="F146" s="252" t="str">
        <f t="shared" si="334"/>
        <v>Luka Modrić (og)</v>
      </c>
      <c r="G146" s="252" t="str">
        <f t="shared" si="335"/>
        <v>Luka Modrić (og)</v>
      </c>
      <c r="H146" s="252" t="str">
        <f t="shared" si="353"/>
        <v>Andrej Kramarić (og)</v>
      </c>
      <c r="I146" s="252" t="str">
        <f t="shared" si="336"/>
        <v>Dani Olmo (og)</v>
      </c>
      <c r="J146" s="252" t="str">
        <f t="shared" si="337"/>
        <v>Christian Eriksen (og)</v>
      </c>
      <c r="K146" s="252" t="str">
        <f t="shared" si="338"/>
        <v>Christian Eriksen (og)</v>
      </c>
      <c r="L146" s="252" t="str">
        <f t="shared" si="339"/>
        <v>Christian Eriksen (og)</v>
      </c>
      <c r="M146" s="252" t="str">
        <f t="shared" si="340"/>
        <v>Timi Max Elšnik (og)</v>
      </c>
      <c r="N146" s="252" t="str">
        <f t="shared" si="341"/>
        <v>Kylian Mbappé (og)</v>
      </c>
      <c r="O146" s="252" t="str">
        <f t="shared" si="342"/>
        <v>Kylian Mbappé (og)</v>
      </c>
      <c r="P146" s="252" t="str">
        <f t="shared" si="343"/>
        <v>Kylian Mbappé (og)</v>
      </c>
      <c r="Q146" s="252" t="str">
        <f t="shared" si="344"/>
        <v>Florian Grillitsch (og)</v>
      </c>
      <c r="R146" s="252" t="str">
        <f t="shared" si="345"/>
        <v>Mykhaylo Mudryk (og)</v>
      </c>
      <c r="S146" s="252" t="str">
        <f t="shared" si="346"/>
        <v>Mykhaylo Mudryk (og)</v>
      </c>
      <c r="T146" s="252" t="str">
        <f t="shared" si="347"/>
        <v>Mykhaylo Mudryk (og)</v>
      </c>
      <c r="U146" s="252" t="str">
        <f t="shared" si="348"/>
        <v>Ianis Hagi (og)</v>
      </c>
      <c r="V146" s="252" t="str">
        <f t="shared" si="349"/>
        <v>Giorgi Chakvetadze (og)</v>
      </c>
      <c r="W146" s="252" t="str">
        <f t="shared" si="350"/>
        <v>Giorgi Chakvetadze (og)</v>
      </c>
      <c r="X146" s="252" t="str">
        <f t="shared" si="351"/>
        <v>Giorgi Chakvetadze (og)</v>
      </c>
      <c r="Y146" s="252" t="str">
        <f t="shared" si="352"/>
        <v>Hakan Çalhanoğlu (og)</v>
      </c>
      <c r="BT146" s="253" t="str">
        <f t="shared" ca="1" si="234"/>
        <v>Albania</v>
      </c>
      <c r="BU146" s="253">
        <f t="shared" si="354"/>
        <v>144</v>
      </c>
      <c r="BV146" s="253" t="str">
        <f t="shared" si="304"/>
        <v>A16</v>
      </c>
      <c r="BW146" s="253">
        <f t="shared" si="305"/>
        <v>6</v>
      </c>
      <c r="BX146" s="253" t="str">
        <f t="shared" ca="1" si="306"/>
        <v>Qazim Laçi</v>
      </c>
      <c r="BY146" s="253">
        <f ca="1">COUNTIF('Group Stages'!$J$8:$Q$80,BX146)+COUNTIF('Knock Out Stages'!$K$7:$R$45,BX146)</f>
        <v>0</v>
      </c>
      <c r="BZ146" s="253" t="str">
        <f t="shared" si="307"/>
        <v>'Player Database'!b19</v>
      </c>
      <c r="CA146" s="253" t="str">
        <f t="shared" ca="1" si="308"/>
        <v>Qazim Laçi</v>
      </c>
      <c r="CS146" s="252">
        <f t="shared" si="301"/>
        <v>143</v>
      </c>
      <c r="CT146" s="252">
        <f t="shared" si="302"/>
        <v>4</v>
      </c>
      <c r="CU146" s="252" t="str">
        <f t="shared" si="233"/>
        <v>CR20</v>
      </c>
      <c r="CV146" s="252" t="str">
        <f t="shared" ca="1" si="303"/>
        <v/>
      </c>
      <c r="CW146" s="252">
        <f t="shared" ca="1" si="312"/>
        <v>0</v>
      </c>
      <c r="CZ146" s="252">
        <v>143</v>
      </c>
      <c r="DA146" s="252" t="str">
        <f t="shared" ca="1" si="313"/>
        <v/>
      </c>
      <c r="DB146" s="252" t="str">
        <f t="shared" ca="1" si="309"/>
        <v/>
      </c>
      <c r="DC146" s="252" t="str">
        <f t="shared" ca="1" si="310"/>
        <v/>
      </c>
      <c r="DD146" s="252" t="str">
        <f t="shared" ca="1" si="311"/>
        <v/>
      </c>
    </row>
    <row r="147" spans="1:108" x14ac:dyDescent="0.2">
      <c r="A147" s="252">
        <f t="shared" si="329"/>
        <v>11</v>
      </c>
      <c r="B147" s="252" t="str">
        <f t="shared" si="330"/>
        <v>Renato Steffen (og)</v>
      </c>
      <c r="C147" s="252" t="str">
        <f t="shared" si="331"/>
        <v>Renato Steffen (og)</v>
      </c>
      <c r="D147" s="252" t="str">
        <f t="shared" si="332"/>
        <v>Renato Steffen (og)</v>
      </c>
      <c r="E147" s="252" t="str">
        <f t="shared" si="333"/>
        <v>Milos Kerkez (og)</v>
      </c>
      <c r="F147" s="252" t="str">
        <f t="shared" si="334"/>
        <v>Marcelo Brozović (og)</v>
      </c>
      <c r="G147" s="252" t="str">
        <f t="shared" si="335"/>
        <v>Marcelo Brozović (og)</v>
      </c>
      <c r="H147" s="252" t="str">
        <f t="shared" si="353"/>
        <v>Luka Modrić (og)</v>
      </c>
      <c r="I147" s="252" t="str">
        <f t="shared" si="336"/>
        <v>Ferran Torres (og)</v>
      </c>
      <c r="J147" s="252" t="str">
        <f t="shared" si="337"/>
        <v>Andreas Skov Olsen (og)</v>
      </c>
      <c r="K147" s="252" t="str">
        <f t="shared" si="338"/>
        <v>Andreas Skov Olsen (og)</v>
      </c>
      <c r="L147" s="252" t="str">
        <f t="shared" si="339"/>
        <v>Andreas Skov Olsen (og)</v>
      </c>
      <c r="M147" s="252" t="str">
        <f t="shared" si="340"/>
        <v>Benjamin Šeško (og)</v>
      </c>
      <c r="N147" s="252" t="str">
        <f t="shared" si="341"/>
        <v>Ousmane Dembélé (og)</v>
      </c>
      <c r="O147" s="252" t="str">
        <f t="shared" si="342"/>
        <v>Ousmane Dembélé (og)</v>
      </c>
      <c r="P147" s="252" t="str">
        <f t="shared" si="343"/>
        <v>Ousmane Dembélé (og)</v>
      </c>
      <c r="Q147" s="252" t="str">
        <f t="shared" si="344"/>
        <v>Michael Gregoritsch (og)</v>
      </c>
      <c r="R147" s="252" t="str">
        <f t="shared" si="345"/>
        <v>Artem Dovbyk (og)</v>
      </c>
      <c r="S147" s="252" t="str">
        <f t="shared" si="346"/>
        <v>Artem Dovbyk (og)</v>
      </c>
      <c r="T147" s="252" t="str">
        <f t="shared" si="347"/>
        <v>Artem Dovbyk (og)</v>
      </c>
      <c r="U147" s="252" t="str">
        <f t="shared" si="348"/>
        <v>Nicușor Bancu (og)</v>
      </c>
      <c r="V147" s="252" t="str">
        <f t="shared" si="349"/>
        <v>Giorgi Kvilitaia (og)</v>
      </c>
      <c r="W147" s="252" t="str">
        <f t="shared" si="350"/>
        <v>Giorgi Kvilitaia (og)</v>
      </c>
      <c r="X147" s="252" t="str">
        <f t="shared" si="351"/>
        <v>Giorgi Kvilitaia (og)</v>
      </c>
      <c r="Y147" s="252" t="str">
        <f t="shared" si="352"/>
        <v>Yusuf Yazıcı (og)</v>
      </c>
      <c r="BT147" s="253" t="str">
        <f t="shared" ca="1" si="234"/>
        <v>Albania</v>
      </c>
      <c r="BU147" s="253">
        <f t="shared" si="354"/>
        <v>145</v>
      </c>
      <c r="BV147" s="253" t="str">
        <f t="shared" si="304"/>
        <v>A17</v>
      </c>
      <c r="BW147" s="253">
        <f t="shared" si="305"/>
        <v>6</v>
      </c>
      <c r="BX147" s="253" t="str">
        <f t="shared" ca="1" si="306"/>
        <v>Taulant Seferi</v>
      </c>
      <c r="BY147" s="253">
        <f ca="1">COUNTIF('Group Stages'!$J$8:$Q$80,BX147)+COUNTIF('Knock Out Stages'!$K$7:$R$45,BX147)</f>
        <v>0</v>
      </c>
      <c r="BZ147" s="253" t="str">
        <f t="shared" si="307"/>
        <v>'Player Database'!b20</v>
      </c>
      <c r="CA147" s="253" t="str">
        <f t="shared" ca="1" si="308"/>
        <v>Taulant Seferi</v>
      </c>
      <c r="CS147" s="252">
        <f t="shared" si="301"/>
        <v>144</v>
      </c>
      <c r="CT147" s="252">
        <f t="shared" si="302"/>
        <v>4</v>
      </c>
      <c r="CU147" s="252" t="str">
        <f t="shared" si="233"/>
        <v>CR21</v>
      </c>
      <c r="CV147" s="252" t="str">
        <f t="shared" ca="1" si="303"/>
        <v/>
      </c>
      <c r="CW147" s="252">
        <f t="shared" ca="1" si="312"/>
        <v>0</v>
      </c>
      <c r="CZ147" s="252">
        <v>144</v>
      </c>
      <c r="DA147" s="252" t="str">
        <f t="shared" ca="1" si="313"/>
        <v/>
      </c>
      <c r="DB147" s="252" t="str">
        <f t="shared" ca="1" si="309"/>
        <v/>
      </c>
      <c r="DC147" s="252" t="str">
        <f t="shared" ca="1" si="310"/>
        <v/>
      </c>
      <c r="DD147" s="252" t="str">
        <f t="shared" ca="1" si="311"/>
        <v/>
      </c>
    </row>
    <row r="148" spans="1:108" x14ac:dyDescent="0.2">
      <c r="A148" s="252">
        <f t="shared" si="329"/>
        <v>12</v>
      </c>
      <c r="B148" s="252" t="str">
        <f t="shared" si="330"/>
        <v>Yvon Mvogo (og)</v>
      </c>
      <c r="C148" s="252" t="str">
        <f t="shared" si="331"/>
        <v>Yvon Mvogo (og)</v>
      </c>
      <c r="D148" s="252" t="str">
        <f t="shared" si="332"/>
        <v>Yvon Mvogo (og)</v>
      </c>
      <c r="E148" s="252" t="str">
        <f t="shared" si="333"/>
        <v>Dénes Dibusz (og)</v>
      </c>
      <c r="F148" s="252" t="str">
        <f t="shared" si="334"/>
        <v>Nediljko Labrović (og)</v>
      </c>
      <c r="G148" s="252" t="str">
        <f t="shared" si="335"/>
        <v>Nediljko Labrović (og)</v>
      </c>
      <c r="H148" s="252" t="str">
        <f t="shared" si="353"/>
        <v>Marcelo Brozović (og)</v>
      </c>
      <c r="I148" s="252" t="str">
        <f t="shared" si="336"/>
        <v>Álex Grimaldo (og)</v>
      </c>
      <c r="J148" s="252" t="str">
        <f t="shared" si="337"/>
        <v>Kasper Dolberg (og)</v>
      </c>
      <c r="K148" s="252" t="str">
        <f t="shared" si="338"/>
        <v>Kasper Dolberg (og)</v>
      </c>
      <c r="L148" s="252" t="str">
        <f t="shared" si="339"/>
        <v>Kasper Dolberg (og)</v>
      </c>
      <c r="M148" s="252" t="str">
        <f t="shared" si="340"/>
        <v>Vid Belec (og)</v>
      </c>
      <c r="N148" s="252" t="str">
        <f t="shared" si="341"/>
        <v>Randal Kolo Muani (og)</v>
      </c>
      <c r="O148" s="252" t="str">
        <f t="shared" si="342"/>
        <v>Randal Kolo Muani (og)</v>
      </c>
      <c r="P148" s="252" t="str">
        <f t="shared" si="343"/>
        <v>Randal Kolo Muani (og)</v>
      </c>
      <c r="Q148" s="252" t="str">
        <f t="shared" si="344"/>
        <v>Niklas Hedl (og)</v>
      </c>
      <c r="R148" s="252" t="str">
        <f t="shared" si="345"/>
        <v>Anatoliy Trubin (og)</v>
      </c>
      <c r="S148" s="252" t="str">
        <f t="shared" si="346"/>
        <v>Anatoliy Trubin (og)</v>
      </c>
      <c r="T148" s="252" t="str">
        <f t="shared" si="347"/>
        <v>Anatoliy Trubin (og)</v>
      </c>
      <c r="U148" s="252" t="str">
        <f t="shared" si="348"/>
        <v>Horațiu Moldovan (og)</v>
      </c>
      <c r="V148" s="252" t="str">
        <f t="shared" si="349"/>
        <v>Luka Gugeshashvili (og)</v>
      </c>
      <c r="W148" s="252" t="str">
        <f t="shared" si="350"/>
        <v>Luka Gugeshashvili (og)</v>
      </c>
      <c r="X148" s="252" t="str">
        <f t="shared" si="351"/>
        <v>Luka Gugeshashvili (og)</v>
      </c>
      <c r="Y148" s="252" t="str">
        <f t="shared" si="352"/>
        <v>Altay Bayındır (og)</v>
      </c>
      <c r="BT148" s="253" t="str">
        <f t="shared" ca="1" si="234"/>
        <v>Albania</v>
      </c>
      <c r="BU148" s="253">
        <f t="shared" si="354"/>
        <v>146</v>
      </c>
      <c r="BV148" s="253" t="str">
        <f t="shared" si="304"/>
        <v>A18</v>
      </c>
      <c r="BW148" s="253">
        <f t="shared" si="305"/>
        <v>6</v>
      </c>
      <c r="BX148" s="253" t="str">
        <f t="shared" ca="1" si="306"/>
        <v>Medon Berisha</v>
      </c>
      <c r="BY148" s="253">
        <f ca="1">COUNTIF('Group Stages'!$J$8:$Q$80,BX148)+COUNTIF('Knock Out Stages'!$K$7:$R$45,BX148)</f>
        <v>0</v>
      </c>
      <c r="BZ148" s="253" t="str">
        <f t="shared" si="307"/>
        <v>'Player Database'!b21</v>
      </c>
      <c r="CA148" s="253" t="str">
        <f t="shared" ca="1" si="308"/>
        <v>Medon Berisha</v>
      </c>
      <c r="CS148" s="252">
        <f t="shared" si="301"/>
        <v>145</v>
      </c>
      <c r="CT148" s="252">
        <f t="shared" si="302"/>
        <v>4</v>
      </c>
      <c r="CU148" s="252" t="str">
        <f t="shared" si="233"/>
        <v>CR22</v>
      </c>
      <c r="CV148" s="252" t="str">
        <f t="shared" ca="1" si="303"/>
        <v/>
      </c>
      <c r="CW148" s="252">
        <f t="shared" ca="1" si="312"/>
        <v>0</v>
      </c>
      <c r="CZ148" s="252">
        <v>145</v>
      </c>
      <c r="DA148" s="252" t="str">
        <f t="shared" ca="1" si="313"/>
        <v/>
      </c>
      <c r="DB148" s="252" t="str">
        <f t="shared" ca="1" si="309"/>
        <v/>
      </c>
      <c r="DC148" s="252" t="str">
        <f t="shared" ca="1" si="310"/>
        <v/>
      </c>
      <c r="DD148" s="252" t="str">
        <f t="shared" ca="1" si="311"/>
        <v/>
      </c>
    </row>
    <row r="149" spans="1:108" x14ac:dyDescent="0.2">
      <c r="A149" s="252">
        <f t="shared" si="329"/>
        <v>13</v>
      </c>
      <c r="B149" s="252" t="str">
        <f t="shared" si="330"/>
        <v>Ricardo Rodriguez (og)</v>
      </c>
      <c r="C149" s="252" t="str">
        <f t="shared" si="331"/>
        <v>Ricardo Rodriguez (og)</v>
      </c>
      <c r="D149" s="252" t="str">
        <f t="shared" si="332"/>
        <v>Ricardo Rodriguez (og)</v>
      </c>
      <c r="E149" s="252" t="str">
        <f t="shared" si="333"/>
        <v>András Schäfer (og)</v>
      </c>
      <c r="F149" s="252" t="str">
        <f t="shared" si="334"/>
        <v>Nikola Vlašić (og)</v>
      </c>
      <c r="G149" s="252" t="str">
        <f t="shared" si="335"/>
        <v>Nikola Vlašić (og)</v>
      </c>
      <c r="H149" s="252" t="str">
        <f t="shared" si="353"/>
        <v>Nediljko Labrović (og)</v>
      </c>
      <c r="I149" s="252" t="str">
        <f t="shared" si="336"/>
        <v>Álex Remiro (og)</v>
      </c>
      <c r="J149" s="252" t="str">
        <f t="shared" si="337"/>
        <v>Mathias Jørgensen (og)</v>
      </c>
      <c r="K149" s="252" t="str">
        <f t="shared" si="338"/>
        <v>Mathias Jørgensen (og)</v>
      </c>
      <c r="L149" s="252" t="str">
        <f t="shared" si="339"/>
        <v>Mathias Jørgensen (og)</v>
      </c>
      <c r="M149" s="252" t="str">
        <f t="shared" si="340"/>
        <v>Erik Janža (og)</v>
      </c>
      <c r="N149" s="252" t="str">
        <f t="shared" si="341"/>
        <v>N'Golo Kanté (og)</v>
      </c>
      <c r="O149" s="252" t="str">
        <f t="shared" si="342"/>
        <v>N'Golo Kanté (og)</v>
      </c>
      <c r="P149" s="252" t="str">
        <f t="shared" si="343"/>
        <v>N'Golo Kanté (og)</v>
      </c>
      <c r="Q149" s="252" t="str">
        <f t="shared" si="344"/>
        <v>Patrick Pentz (og)</v>
      </c>
      <c r="R149" s="252" t="str">
        <f t="shared" si="345"/>
        <v>Illya Zabarnyi (og)</v>
      </c>
      <c r="S149" s="252" t="str">
        <f t="shared" si="346"/>
        <v>Illya Zabarnyi (og)</v>
      </c>
      <c r="T149" s="252" t="str">
        <f t="shared" si="347"/>
        <v>Illya Zabarnyi (og)</v>
      </c>
      <c r="U149" s="252" t="str">
        <f t="shared" si="348"/>
        <v>Valentin Mihăilă (og)</v>
      </c>
      <c r="V149" s="252" t="str">
        <f t="shared" si="349"/>
        <v>Giorgi Gocholeishvili (og)</v>
      </c>
      <c r="W149" s="252" t="str">
        <f t="shared" si="350"/>
        <v>Giorgi Gocholeishvili (og)</v>
      </c>
      <c r="X149" s="252" t="str">
        <f t="shared" si="351"/>
        <v>Giorgi Gocholeishvili (og)</v>
      </c>
      <c r="Y149" s="252" t="str">
        <f t="shared" si="352"/>
        <v>Ahmetcan Kaplan (og)</v>
      </c>
      <c r="BT149" s="253" t="str">
        <f t="shared" ca="1" si="234"/>
        <v>Albania</v>
      </c>
      <c r="BU149" s="253">
        <f t="shared" si="354"/>
        <v>147</v>
      </c>
      <c r="BV149" s="253" t="str">
        <f t="shared" si="304"/>
        <v>A19</v>
      </c>
      <c r="BW149" s="253">
        <f t="shared" si="305"/>
        <v>6</v>
      </c>
      <c r="BX149" s="253" t="str">
        <f t="shared" ca="1" si="306"/>
        <v>Ernest Muçi</v>
      </c>
      <c r="BY149" s="253">
        <f ca="1">COUNTIF('Group Stages'!$J$8:$Q$80,BX149)+COUNTIF('Knock Out Stages'!$K$7:$R$45,BX149)</f>
        <v>0</v>
      </c>
      <c r="BZ149" s="253" t="str">
        <f t="shared" si="307"/>
        <v>'Player Database'!b22</v>
      </c>
      <c r="CA149" s="253" t="str">
        <f t="shared" ca="1" si="308"/>
        <v>Ernest Muçi</v>
      </c>
      <c r="CS149" s="252">
        <f t="shared" si="301"/>
        <v>146</v>
      </c>
      <c r="CT149" s="252">
        <f t="shared" si="302"/>
        <v>4</v>
      </c>
      <c r="CU149" s="252" t="str">
        <f t="shared" si="233"/>
        <v>CR23</v>
      </c>
      <c r="CV149" s="252" t="str">
        <f t="shared" ca="1" si="303"/>
        <v/>
      </c>
      <c r="CW149" s="252">
        <f t="shared" ca="1" si="312"/>
        <v>0</v>
      </c>
      <c r="CZ149" s="252">
        <v>146</v>
      </c>
      <c r="DA149" s="252" t="str">
        <f t="shared" ca="1" si="313"/>
        <v/>
      </c>
      <c r="DB149" s="252" t="str">
        <f t="shared" ca="1" si="309"/>
        <v/>
      </c>
      <c r="DC149" s="252" t="str">
        <f t="shared" ca="1" si="310"/>
        <v/>
      </c>
      <c r="DD149" s="252" t="str">
        <f t="shared" ca="1" si="311"/>
        <v/>
      </c>
    </row>
    <row r="150" spans="1:108" x14ac:dyDescent="0.2">
      <c r="A150" s="252">
        <f t="shared" si="329"/>
        <v>14</v>
      </c>
      <c r="B150" s="252" t="str">
        <f t="shared" si="330"/>
        <v>Steven Zuber (og)</v>
      </c>
      <c r="C150" s="252" t="str">
        <f t="shared" si="331"/>
        <v>Steven Zuber (og)</v>
      </c>
      <c r="D150" s="252" t="str">
        <f t="shared" si="332"/>
        <v>Steven Zuber (og)</v>
      </c>
      <c r="E150" s="252" t="str">
        <f t="shared" si="333"/>
        <v>Bendegúz Bolla (og)</v>
      </c>
      <c r="F150" s="252" t="str">
        <f t="shared" si="334"/>
        <v>Ivan Perišić (og)</v>
      </c>
      <c r="G150" s="252" t="str">
        <f t="shared" si="335"/>
        <v>Ivan Perišić (og)</v>
      </c>
      <c r="H150" s="252" t="str">
        <f t="shared" si="353"/>
        <v>Nikola Vlašić (og)</v>
      </c>
      <c r="I150" s="252" t="str">
        <f t="shared" si="336"/>
        <v>Aymeric Laporte (og)</v>
      </c>
      <c r="J150" s="252" t="str">
        <f t="shared" si="337"/>
        <v>Mikkel Damsgaard (og)</v>
      </c>
      <c r="K150" s="252" t="str">
        <f t="shared" si="338"/>
        <v>Mikkel Damsgaard (og)</v>
      </c>
      <c r="L150" s="252" t="str">
        <f t="shared" si="339"/>
        <v>Mikkel Damsgaard (og)</v>
      </c>
      <c r="M150" s="252" t="str">
        <f t="shared" si="340"/>
        <v>Jasmin Kurtić (og)</v>
      </c>
      <c r="N150" s="252" t="str">
        <f t="shared" si="341"/>
        <v>Adrien Rabiot (og)</v>
      </c>
      <c r="O150" s="252" t="str">
        <f t="shared" si="342"/>
        <v>Adrien Rabiot (og)</v>
      </c>
      <c r="P150" s="252" t="str">
        <f t="shared" si="343"/>
        <v>Adrien Rabiot (og)</v>
      </c>
      <c r="Q150" s="252" t="str">
        <f t="shared" si="344"/>
        <v>Leopold Querfeld (og)</v>
      </c>
      <c r="R150" s="252" t="str">
        <f t="shared" si="345"/>
        <v>Heorhiy Sudakov (og)</v>
      </c>
      <c r="S150" s="252" t="str">
        <f t="shared" si="346"/>
        <v>Heorhiy Sudakov (og)</v>
      </c>
      <c r="T150" s="252" t="str">
        <f t="shared" si="347"/>
        <v>Heorhiy Sudakov (og)</v>
      </c>
      <c r="U150" s="252" t="str">
        <f t="shared" si="348"/>
        <v>Darius Olaru (og)</v>
      </c>
      <c r="V150" s="252" t="str">
        <f t="shared" si="349"/>
        <v>Luka Lochoshvili (og)</v>
      </c>
      <c r="W150" s="252" t="str">
        <f t="shared" si="350"/>
        <v>Luka Lochoshvili (og)</v>
      </c>
      <c r="X150" s="252" t="str">
        <f t="shared" si="351"/>
        <v>Luka Lochoshvili (og)</v>
      </c>
      <c r="Y150" s="252" t="str">
        <f t="shared" si="352"/>
        <v>Abdülkerim Bardakcı (og)</v>
      </c>
      <c r="BT150" s="253" t="str">
        <f t="shared" ca="1" si="234"/>
        <v>Albania</v>
      </c>
      <c r="BU150" s="253">
        <f t="shared" si="354"/>
        <v>148</v>
      </c>
      <c r="BV150" s="253" t="str">
        <f t="shared" si="304"/>
        <v>A20</v>
      </c>
      <c r="BW150" s="253">
        <f t="shared" si="305"/>
        <v>6</v>
      </c>
      <c r="BX150" s="253" t="str">
        <f t="shared" ca="1" si="306"/>
        <v>Ardian Ismajli</v>
      </c>
      <c r="BY150" s="253">
        <f ca="1">COUNTIF('Group Stages'!$J$8:$Q$80,BX150)+COUNTIF('Knock Out Stages'!$K$7:$R$45,BX150)</f>
        <v>0</v>
      </c>
      <c r="BZ150" s="253" t="str">
        <f t="shared" si="307"/>
        <v>'Player Database'!b23</v>
      </c>
      <c r="CA150" s="253" t="str">
        <f t="shared" ca="1" si="308"/>
        <v>Ardian Ismajli</v>
      </c>
      <c r="CS150" s="252">
        <f t="shared" si="301"/>
        <v>147</v>
      </c>
      <c r="CT150" s="252">
        <f t="shared" si="302"/>
        <v>4</v>
      </c>
      <c r="CU150" s="252" t="str">
        <f t="shared" si="233"/>
        <v>CR24</v>
      </c>
      <c r="CV150" s="252" t="str">
        <f t="shared" ca="1" si="303"/>
        <v/>
      </c>
      <c r="CW150" s="252">
        <f t="shared" ca="1" si="312"/>
        <v>0</v>
      </c>
      <c r="CZ150" s="252">
        <v>147</v>
      </c>
      <c r="DA150" s="252" t="str">
        <f t="shared" ca="1" si="313"/>
        <v/>
      </c>
      <c r="DB150" s="252" t="str">
        <f t="shared" ca="1" si="309"/>
        <v/>
      </c>
      <c r="DC150" s="252" t="str">
        <f t="shared" ca="1" si="310"/>
        <v/>
      </c>
      <c r="DD150" s="252" t="str">
        <f t="shared" ca="1" si="311"/>
        <v/>
      </c>
    </row>
    <row r="151" spans="1:108" x14ac:dyDescent="0.2">
      <c r="A151" s="252">
        <f t="shared" si="329"/>
        <v>15</v>
      </c>
      <c r="B151" s="252" t="str">
        <f t="shared" si="330"/>
        <v>Cédric Zesiger (og)</v>
      </c>
      <c r="C151" s="252" t="str">
        <f t="shared" si="331"/>
        <v>Cédric Zesiger (og)</v>
      </c>
      <c r="D151" s="252" t="str">
        <f t="shared" si="332"/>
        <v>Cédric Zesiger (og)</v>
      </c>
      <c r="E151" s="252" t="str">
        <f t="shared" si="333"/>
        <v>László Kleinheisler (og)</v>
      </c>
      <c r="F151" s="252" t="str">
        <f t="shared" si="334"/>
        <v>Mario Pašalić (og)</v>
      </c>
      <c r="G151" s="252" t="str">
        <f t="shared" si="335"/>
        <v>Mario Pašalić (og)</v>
      </c>
      <c r="H151" s="252" t="str">
        <f t="shared" si="353"/>
        <v>Ivan Perišić (og)</v>
      </c>
      <c r="I151" s="252" t="str">
        <f t="shared" si="336"/>
        <v>Álex Baena (og)</v>
      </c>
      <c r="J151" s="252" t="str">
        <f t="shared" si="337"/>
        <v>Christian Nørgaard (og)</v>
      </c>
      <c r="K151" s="252" t="str">
        <f t="shared" si="338"/>
        <v>Christian Nørgaard (og)</v>
      </c>
      <c r="L151" s="252" t="str">
        <f t="shared" si="339"/>
        <v>Christian Nørgaard (og)</v>
      </c>
      <c r="M151" s="252" t="str">
        <f t="shared" si="340"/>
        <v>Tomi Horvat (og)</v>
      </c>
      <c r="N151" s="252" t="str">
        <f t="shared" si="341"/>
        <v>Marcus Thuram (og)</v>
      </c>
      <c r="O151" s="252" t="str">
        <f t="shared" si="342"/>
        <v>Marcus Thuram (og)</v>
      </c>
      <c r="P151" s="252" t="str">
        <f t="shared" si="343"/>
        <v>Marcus Thuram (og)</v>
      </c>
      <c r="Q151" s="252" t="str">
        <f t="shared" si="344"/>
        <v>Philipp Lienhart (og)</v>
      </c>
      <c r="R151" s="252" t="str">
        <f t="shared" si="345"/>
        <v>Viktor Tsyhankov (og)</v>
      </c>
      <c r="S151" s="252" t="str">
        <f t="shared" si="346"/>
        <v>Viktor Tsyhankov (og)</v>
      </c>
      <c r="T151" s="252" t="str">
        <f t="shared" si="347"/>
        <v>Viktor Tsyhankov (og)</v>
      </c>
      <c r="U151" s="252" t="str">
        <f t="shared" si="348"/>
        <v>Andrei Burcă (og)</v>
      </c>
      <c r="V151" s="252" t="str">
        <f t="shared" si="349"/>
        <v>Giorgi Gvelesiani (og)</v>
      </c>
      <c r="W151" s="252" t="str">
        <f t="shared" si="350"/>
        <v>Giorgi Gvelesiani (og)</v>
      </c>
      <c r="X151" s="252" t="str">
        <f t="shared" si="351"/>
        <v>Giorgi Gvelesiani (og)</v>
      </c>
      <c r="Y151" s="252" t="str">
        <f t="shared" si="352"/>
        <v>Salih Özcan (og)</v>
      </c>
      <c r="BT151" s="253" t="str">
        <f t="shared" ca="1" si="234"/>
        <v>Albania</v>
      </c>
      <c r="BU151" s="253">
        <f t="shared" si="354"/>
        <v>149</v>
      </c>
      <c r="BV151" s="253" t="str">
        <f t="shared" si="304"/>
        <v>A21</v>
      </c>
      <c r="BW151" s="253">
        <f t="shared" si="305"/>
        <v>6</v>
      </c>
      <c r="BX151" s="253" t="str">
        <f t="shared" ca="1" si="306"/>
        <v>Mirlind Daku</v>
      </c>
      <c r="BY151" s="253">
        <f ca="1">COUNTIF('Group Stages'!$J$8:$Q$80,BX151)+COUNTIF('Knock Out Stages'!$K$7:$R$45,BX151)</f>
        <v>0</v>
      </c>
      <c r="BZ151" s="253" t="str">
        <f t="shared" si="307"/>
        <v>'Player Database'!b24</v>
      </c>
      <c r="CA151" s="253" t="str">
        <f t="shared" ca="1" si="308"/>
        <v>Mirlind Daku</v>
      </c>
      <c r="CS151" s="252">
        <f t="shared" si="301"/>
        <v>148</v>
      </c>
      <c r="CT151" s="252">
        <f t="shared" si="302"/>
        <v>4</v>
      </c>
      <c r="CU151" s="252" t="str">
        <f t="shared" si="233"/>
        <v>CR25</v>
      </c>
      <c r="CV151" s="252" t="str">
        <f t="shared" ca="1" si="303"/>
        <v/>
      </c>
      <c r="CW151" s="252">
        <f t="shared" ca="1" si="312"/>
        <v>0</v>
      </c>
      <c r="CZ151" s="252">
        <v>148</v>
      </c>
      <c r="DA151" s="252" t="str">
        <f t="shared" ca="1" si="313"/>
        <v/>
      </c>
      <c r="DB151" s="252" t="str">
        <f t="shared" ca="1" si="309"/>
        <v/>
      </c>
      <c r="DC151" s="252" t="str">
        <f t="shared" ca="1" si="310"/>
        <v/>
      </c>
      <c r="DD151" s="252" t="str">
        <f t="shared" ca="1" si="311"/>
        <v/>
      </c>
    </row>
    <row r="152" spans="1:108" x14ac:dyDescent="0.2">
      <c r="A152" s="252">
        <f t="shared" si="329"/>
        <v>16</v>
      </c>
      <c r="B152" s="252" t="str">
        <f t="shared" si="330"/>
        <v>Vincent Sierro (og)</v>
      </c>
      <c r="C152" s="252" t="str">
        <f t="shared" si="331"/>
        <v>Vincent Sierro (og)</v>
      </c>
      <c r="D152" s="252" t="str">
        <f t="shared" si="332"/>
        <v>Vincent Sierro (og)</v>
      </c>
      <c r="E152" s="252" t="str">
        <f t="shared" si="333"/>
        <v>Dániel Gazdag (og)</v>
      </c>
      <c r="F152" s="252" t="str">
        <f t="shared" si="334"/>
        <v>Ante Budimir (og)</v>
      </c>
      <c r="G152" s="252" t="str">
        <f t="shared" si="335"/>
        <v>Ante Budimir (og)</v>
      </c>
      <c r="H152" s="252" t="str">
        <f t="shared" si="353"/>
        <v>Mario Pašalić (og)</v>
      </c>
      <c r="I152" s="252" t="str">
        <f t="shared" si="336"/>
        <v>Rodri (og)</v>
      </c>
      <c r="J152" s="252" t="str">
        <f t="shared" si="337"/>
        <v>Mads Hermansen (og)</v>
      </c>
      <c r="K152" s="252" t="str">
        <f t="shared" si="338"/>
        <v>Mads Hermansen (og)</v>
      </c>
      <c r="L152" s="252" t="str">
        <f t="shared" si="339"/>
        <v>Mads Hermansen (og)</v>
      </c>
      <c r="M152" s="252" t="str">
        <f t="shared" si="340"/>
        <v>Igor Vekić (og)</v>
      </c>
      <c r="N152" s="252" t="str">
        <f t="shared" si="341"/>
        <v>Mike Maignan (og)</v>
      </c>
      <c r="O152" s="252" t="str">
        <f t="shared" si="342"/>
        <v>Mike Maignan (og)</v>
      </c>
      <c r="P152" s="252" t="str">
        <f t="shared" si="343"/>
        <v>Mike Maignan (og)</v>
      </c>
      <c r="Q152" s="252" t="str">
        <f t="shared" si="344"/>
        <v>Phillipp Mwene (og)</v>
      </c>
      <c r="R152" s="252" t="str">
        <f t="shared" si="345"/>
        <v>Vitaliy Mykolenko (og)</v>
      </c>
      <c r="S152" s="252" t="str">
        <f t="shared" si="346"/>
        <v>Vitaliy Mykolenko (og)</v>
      </c>
      <c r="T152" s="252" t="str">
        <f t="shared" si="347"/>
        <v>Vitaliy Mykolenko (og)</v>
      </c>
      <c r="U152" s="252" t="str">
        <f t="shared" si="348"/>
        <v>Ștefan Târnovanu (og)</v>
      </c>
      <c r="V152" s="252" t="str">
        <f t="shared" si="349"/>
        <v>Nika Kvekveskiri (og)</v>
      </c>
      <c r="W152" s="252" t="str">
        <f t="shared" si="350"/>
        <v>Nika Kvekveskiri (og)</v>
      </c>
      <c r="X152" s="252" t="str">
        <f t="shared" si="351"/>
        <v>Nika Kvekveskiri (og)</v>
      </c>
      <c r="Y152" s="252" t="str">
        <f t="shared" si="352"/>
        <v>İsmail Yüksek (og)</v>
      </c>
      <c r="BT152" s="253" t="str">
        <f t="shared" ca="1" si="234"/>
        <v>Albania</v>
      </c>
      <c r="BU152" s="253">
        <f t="shared" si="354"/>
        <v>150</v>
      </c>
      <c r="BV152" s="253" t="str">
        <f t="shared" si="304"/>
        <v>A22</v>
      </c>
      <c r="BW152" s="253">
        <f t="shared" si="305"/>
        <v>6</v>
      </c>
      <c r="BX152" s="253" t="str">
        <f t="shared" ca="1" si="306"/>
        <v>Ylber Ramadani</v>
      </c>
      <c r="BY152" s="253">
        <f ca="1">COUNTIF('Group Stages'!$J$8:$Q$80,BX152)+COUNTIF('Knock Out Stages'!$K$7:$R$45,BX152)</f>
        <v>0</v>
      </c>
      <c r="BZ152" s="253" t="str">
        <f t="shared" si="307"/>
        <v>'Player Database'!b25</v>
      </c>
      <c r="CA152" s="253" t="str">
        <f t="shared" ca="1" si="308"/>
        <v>Ylber Ramadani</v>
      </c>
      <c r="CS152" s="252">
        <f t="shared" si="301"/>
        <v>149</v>
      </c>
      <c r="CT152" s="252">
        <f t="shared" si="302"/>
        <v>4</v>
      </c>
      <c r="CU152" s="252" t="str">
        <f t="shared" si="233"/>
        <v>CR26</v>
      </c>
      <c r="CV152" s="252" t="str">
        <f t="shared" ca="1" si="303"/>
        <v/>
      </c>
      <c r="CW152" s="252">
        <f t="shared" ca="1" si="312"/>
        <v>0</v>
      </c>
      <c r="CZ152" s="252">
        <v>149</v>
      </c>
      <c r="DA152" s="252" t="str">
        <f t="shared" ca="1" si="313"/>
        <v/>
      </c>
      <c r="DB152" s="252" t="str">
        <f t="shared" ca="1" si="309"/>
        <v/>
      </c>
      <c r="DC152" s="252" t="str">
        <f t="shared" ca="1" si="310"/>
        <v/>
      </c>
      <c r="DD152" s="252" t="str">
        <f t="shared" ca="1" si="311"/>
        <v/>
      </c>
    </row>
    <row r="153" spans="1:108" x14ac:dyDescent="0.2">
      <c r="A153" s="252">
        <f t="shared" si="329"/>
        <v>17</v>
      </c>
      <c r="B153" s="252" t="str">
        <f t="shared" si="330"/>
        <v>Ruben Vargas (og)</v>
      </c>
      <c r="C153" s="252" t="str">
        <f t="shared" si="331"/>
        <v>Ruben Vargas (og)</v>
      </c>
      <c r="D153" s="252" t="str">
        <f t="shared" si="332"/>
        <v>Ruben Vargas (og)</v>
      </c>
      <c r="E153" s="252" t="str">
        <f t="shared" si="333"/>
        <v>Callum Styles (og)</v>
      </c>
      <c r="F153" s="252" t="str">
        <f t="shared" si="334"/>
        <v>Bruno Petković (og)</v>
      </c>
      <c r="G153" s="252" t="str">
        <f t="shared" si="335"/>
        <v>Bruno Petković (og)</v>
      </c>
      <c r="H153" s="252" t="str">
        <f t="shared" si="353"/>
        <v>Ante Budimir (og)</v>
      </c>
      <c r="I153" s="252" t="str">
        <f t="shared" si="336"/>
        <v>Nico Williams (og)</v>
      </c>
      <c r="J153" s="252" t="str">
        <f t="shared" si="337"/>
        <v>Victor Kristiansen (og)</v>
      </c>
      <c r="K153" s="252" t="str">
        <f t="shared" si="338"/>
        <v>Victor Kristiansen (og)</v>
      </c>
      <c r="L153" s="252" t="str">
        <f t="shared" si="339"/>
        <v>Victor Kristiansen (og)</v>
      </c>
      <c r="M153" s="252" t="str">
        <f t="shared" si="340"/>
        <v>Jan Mlakar (og)</v>
      </c>
      <c r="N153" s="252" t="str">
        <f t="shared" si="341"/>
        <v>William Saliba (og)</v>
      </c>
      <c r="O153" s="252" t="str">
        <f t="shared" si="342"/>
        <v>William Saliba (og)</v>
      </c>
      <c r="P153" s="252" t="str">
        <f t="shared" si="343"/>
        <v>William Saliba (og)</v>
      </c>
      <c r="Q153" s="252" t="str">
        <f t="shared" si="344"/>
        <v>Florian Kainz (og)</v>
      </c>
      <c r="R153" s="252" t="str">
        <f t="shared" si="345"/>
        <v>Oleksandr Zinchenko (og)</v>
      </c>
      <c r="S153" s="252" t="str">
        <f t="shared" si="346"/>
        <v>Oleksandr Zinchenko (og)</v>
      </c>
      <c r="T153" s="252" t="str">
        <f t="shared" si="347"/>
        <v>Oleksandr Zinchenko (og)</v>
      </c>
      <c r="U153" s="252" t="str">
        <f t="shared" si="348"/>
        <v>Florinel Coman (og)</v>
      </c>
      <c r="V153" s="252" t="str">
        <f t="shared" si="349"/>
        <v>Otar Kiteishvili (og)</v>
      </c>
      <c r="W153" s="252" t="str">
        <f t="shared" si="350"/>
        <v>Otar Kiteishvili (og)</v>
      </c>
      <c r="X153" s="252" t="str">
        <f t="shared" si="351"/>
        <v>Otar Kiteishvili (og)</v>
      </c>
      <c r="Y153" s="252" t="str">
        <f t="shared" si="352"/>
        <v>İrfan Kahveci (og)</v>
      </c>
      <c r="BT153" s="253" t="str">
        <f t="shared" ca="1" si="234"/>
        <v>Albania</v>
      </c>
      <c r="BU153" s="253">
        <f t="shared" si="354"/>
        <v>151</v>
      </c>
      <c r="BV153" s="253" t="str">
        <f t="shared" si="304"/>
        <v>A23</v>
      </c>
      <c r="BW153" s="253">
        <f t="shared" si="305"/>
        <v>6</v>
      </c>
      <c r="BX153" s="253" t="str">
        <f t="shared" ca="1" si="306"/>
        <v>Kristjan Asllani</v>
      </c>
      <c r="BY153" s="253">
        <f ca="1">COUNTIF('Group Stages'!$J$8:$Q$80,BX153)+COUNTIF('Knock Out Stages'!$K$7:$R$45,BX153)</f>
        <v>0</v>
      </c>
      <c r="BZ153" s="253" t="str">
        <f t="shared" si="307"/>
        <v>'Player Database'!b26</v>
      </c>
      <c r="CA153" s="253" t="str">
        <f t="shared" ca="1" si="308"/>
        <v>Kristjan Asllani</v>
      </c>
      <c r="CS153" s="252">
        <f t="shared" si="301"/>
        <v>150</v>
      </c>
      <c r="CT153" s="252">
        <f t="shared" si="302"/>
        <v>4</v>
      </c>
      <c r="CU153" s="252" t="str">
        <f t="shared" ref="CU153:CU216" si="355">CU111</f>
        <v>CR27</v>
      </c>
      <c r="CV153" s="252" t="str">
        <f t="shared" ca="1" si="303"/>
        <v/>
      </c>
      <c r="CW153" s="252">
        <f t="shared" ca="1" si="312"/>
        <v>0</v>
      </c>
      <c r="CZ153" s="252">
        <v>150</v>
      </c>
      <c r="DA153" s="252" t="str">
        <f t="shared" ca="1" si="313"/>
        <v/>
      </c>
      <c r="DB153" s="252" t="str">
        <f t="shared" ca="1" si="309"/>
        <v/>
      </c>
      <c r="DC153" s="252" t="str">
        <f t="shared" ca="1" si="310"/>
        <v/>
      </c>
      <c r="DD153" s="252" t="str">
        <f t="shared" ca="1" si="311"/>
        <v/>
      </c>
    </row>
    <row r="154" spans="1:108" x14ac:dyDescent="0.2">
      <c r="A154" s="252">
        <f t="shared" si="329"/>
        <v>18</v>
      </c>
      <c r="B154" s="252" t="str">
        <f t="shared" si="330"/>
        <v>Kwadwo Duah (og)</v>
      </c>
      <c r="C154" s="252" t="str">
        <f t="shared" si="331"/>
        <v>Kwadwo Duah (og)</v>
      </c>
      <c r="D154" s="252" t="str">
        <f t="shared" si="332"/>
        <v>Kwadwo Duah (og)</v>
      </c>
      <c r="E154" s="252" t="str">
        <f t="shared" si="333"/>
        <v>Zsolt Nagy (og)</v>
      </c>
      <c r="F154" s="252" t="str">
        <f t="shared" si="334"/>
        <v>Luka Ivanušec (og)</v>
      </c>
      <c r="G154" s="252" t="str">
        <f t="shared" si="335"/>
        <v>Luka Ivanušec (og)</v>
      </c>
      <c r="H154" s="252" t="str">
        <f t="shared" si="353"/>
        <v>Bruno Petković (og)</v>
      </c>
      <c r="I154" s="252" t="str">
        <f t="shared" si="336"/>
        <v>Martín Zubimendi (og)</v>
      </c>
      <c r="J154" s="252" t="str">
        <f t="shared" si="337"/>
        <v>Alexander Bah (og)</v>
      </c>
      <c r="K154" s="252" t="str">
        <f t="shared" si="338"/>
        <v>Alexander Bah (og)</v>
      </c>
      <c r="L154" s="252" t="str">
        <f t="shared" si="339"/>
        <v>Alexander Bah (og)</v>
      </c>
      <c r="M154" s="252" t="str">
        <f t="shared" si="340"/>
        <v>Žan Vipotnik (og)</v>
      </c>
      <c r="N154" s="252" t="str">
        <f t="shared" si="341"/>
        <v>Warren Zaïre-Emery (og)</v>
      </c>
      <c r="O154" s="252" t="str">
        <f t="shared" si="342"/>
        <v>Warren Zaïre-Emery (og)</v>
      </c>
      <c r="P154" s="252" t="str">
        <f t="shared" si="343"/>
        <v>Warren Zaïre-Emery (og)</v>
      </c>
      <c r="Q154" s="252" t="str">
        <f t="shared" si="344"/>
        <v>Romano Schmid (og)</v>
      </c>
      <c r="R154" s="252" t="str">
        <f t="shared" si="345"/>
        <v>Volodymyr Brazhko (og)</v>
      </c>
      <c r="S154" s="252" t="str">
        <f t="shared" si="346"/>
        <v>Volodymyr Brazhko (og)</v>
      </c>
      <c r="T154" s="252" t="str">
        <f t="shared" si="347"/>
        <v>Volodymyr Brazhko (og)</v>
      </c>
      <c r="U154" s="252" t="str">
        <f t="shared" si="348"/>
        <v>Răzvan Marin (og)</v>
      </c>
      <c r="V154" s="252" t="str">
        <f t="shared" si="349"/>
        <v>Sandro Altunashvili (og)</v>
      </c>
      <c r="W154" s="252" t="str">
        <f t="shared" si="350"/>
        <v>Sandro Altunashvili (og)</v>
      </c>
      <c r="X154" s="252" t="str">
        <f t="shared" si="351"/>
        <v>Sandro Altunashvili (og)</v>
      </c>
      <c r="Y154" s="252" t="str">
        <f t="shared" si="352"/>
        <v>Mert Müldür (og)</v>
      </c>
      <c r="BT154" s="253" t="str">
        <f t="shared" ca="1" si="234"/>
        <v>Albania</v>
      </c>
      <c r="BU154" s="253">
        <f t="shared" si="354"/>
        <v>152</v>
      </c>
      <c r="BV154" s="253" t="str">
        <f t="shared" si="304"/>
        <v>A24</v>
      </c>
      <c r="BW154" s="253">
        <f t="shared" si="305"/>
        <v>6</v>
      </c>
      <c r="BX154" s="253" t="str">
        <f t="shared" ca="1" si="306"/>
        <v>Amir Abrashi</v>
      </c>
      <c r="BY154" s="253">
        <f ca="1">COUNTIF('Group Stages'!$J$8:$Q$80,BX154)+COUNTIF('Knock Out Stages'!$K$7:$R$45,BX154)</f>
        <v>0</v>
      </c>
      <c r="BZ154" s="253" t="str">
        <f t="shared" si="307"/>
        <v>'Player Database'!b27</v>
      </c>
      <c r="CA154" s="253" t="str">
        <f t="shared" ca="1" si="308"/>
        <v>Amir Abrashi</v>
      </c>
      <c r="CS154" s="252">
        <f t="shared" si="301"/>
        <v>151</v>
      </c>
      <c r="CT154" s="252">
        <f t="shared" si="302"/>
        <v>4</v>
      </c>
      <c r="CU154" s="252" t="str">
        <f t="shared" si="355"/>
        <v>CR28</v>
      </c>
      <c r="CV154" s="252" t="str">
        <f t="shared" ca="1" si="303"/>
        <v/>
      </c>
      <c r="CW154" s="252">
        <f t="shared" ca="1" si="312"/>
        <v>0</v>
      </c>
      <c r="CZ154" s="252">
        <v>151</v>
      </c>
      <c r="DA154" s="252" t="str">
        <f t="shared" ca="1" si="313"/>
        <v/>
      </c>
      <c r="DB154" s="252" t="str">
        <f t="shared" ca="1" si="309"/>
        <v/>
      </c>
      <c r="DC154" s="252" t="str">
        <f t="shared" ca="1" si="310"/>
        <v/>
      </c>
      <c r="DD154" s="252" t="str">
        <f t="shared" ca="1" si="311"/>
        <v/>
      </c>
    </row>
    <row r="155" spans="1:108" x14ac:dyDescent="0.2">
      <c r="A155" s="252">
        <f t="shared" si="329"/>
        <v>19</v>
      </c>
      <c r="B155" s="252" t="str">
        <f t="shared" si="330"/>
        <v>Dan Ndoye (og)</v>
      </c>
      <c r="C155" s="252" t="str">
        <f t="shared" si="331"/>
        <v>Dan Ndoye (og)</v>
      </c>
      <c r="D155" s="252" t="str">
        <f t="shared" si="332"/>
        <v>Dan Ndoye (og)</v>
      </c>
      <c r="E155" s="252" t="str">
        <f t="shared" si="333"/>
        <v>Barnabás Varga (og)</v>
      </c>
      <c r="F155" s="252" t="str">
        <f t="shared" si="334"/>
        <v>Borna Sosa (og)</v>
      </c>
      <c r="G155" s="252" t="str">
        <f t="shared" si="335"/>
        <v>Borna Sosa (og)</v>
      </c>
      <c r="H155" s="252" t="str">
        <f t="shared" si="353"/>
        <v>Luka Ivanušec (og)</v>
      </c>
      <c r="I155" s="252" t="str">
        <f t="shared" si="336"/>
        <v>Lamine Yamal (og)</v>
      </c>
      <c r="J155" s="252" t="str">
        <f t="shared" si="337"/>
        <v>Jonas Wind (og)</v>
      </c>
      <c r="K155" s="252" t="str">
        <f t="shared" si="338"/>
        <v>Jonas Wind (og)</v>
      </c>
      <c r="L155" s="252" t="str">
        <f t="shared" si="339"/>
        <v>Jonas Wind (og)</v>
      </c>
      <c r="M155" s="252" t="str">
        <f t="shared" si="340"/>
        <v>Žan Celar (og)</v>
      </c>
      <c r="N155" s="252" t="str">
        <f t="shared" si="341"/>
        <v>Youssouf Fofana (og)</v>
      </c>
      <c r="O155" s="252" t="str">
        <f t="shared" si="342"/>
        <v>Youssouf Fofana (og)</v>
      </c>
      <c r="P155" s="252" t="str">
        <f t="shared" si="343"/>
        <v>Youssouf Fofana (og)</v>
      </c>
      <c r="Q155" s="252" t="str">
        <f t="shared" si="344"/>
        <v>Christoph Baumgartner (og)</v>
      </c>
      <c r="R155" s="252" t="str">
        <f t="shared" si="345"/>
        <v>Mykola Shaparenko (og)</v>
      </c>
      <c r="S155" s="252" t="str">
        <f t="shared" si="346"/>
        <v>Mykola Shaparenko (og)</v>
      </c>
      <c r="T155" s="252" t="str">
        <f t="shared" si="347"/>
        <v>Mykola Shaparenko (og)</v>
      </c>
      <c r="U155" s="252" t="str">
        <f t="shared" si="348"/>
        <v>Denis Drăguș (og)</v>
      </c>
      <c r="V155" s="252" t="str">
        <f t="shared" si="349"/>
        <v>Levan Shengelia (og)</v>
      </c>
      <c r="W155" s="252" t="str">
        <f t="shared" si="350"/>
        <v>Levan Shengelia (og)</v>
      </c>
      <c r="X155" s="252" t="str">
        <f t="shared" si="351"/>
        <v>Levan Shengelia (og)</v>
      </c>
      <c r="Y155" s="252" t="str">
        <f t="shared" si="352"/>
        <v>Kenan Yıldız (og)</v>
      </c>
      <c r="BT155" s="253" t="str">
        <f t="shared" ca="1" si="234"/>
        <v>Albania</v>
      </c>
      <c r="BU155" s="253">
        <f t="shared" si="354"/>
        <v>153</v>
      </c>
      <c r="BV155" s="253" t="str">
        <f t="shared" si="304"/>
        <v>A25</v>
      </c>
      <c r="BW155" s="253">
        <f t="shared" si="305"/>
        <v>6</v>
      </c>
      <c r="BX155" s="253" t="str">
        <f t="shared" ca="1" si="306"/>
        <v>Thomas Strakosha</v>
      </c>
      <c r="BY155" s="253">
        <f ca="1">COUNTIF('Group Stages'!$J$8:$Q$80,BX155)+COUNTIF('Knock Out Stages'!$K$7:$R$45,BX155)</f>
        <v>0</v>
      </c>
      <c r="BZ155" s="253" t="str">
        <f t="shared" si="307"/>
        <v>'Player Database'!b28</v>
      </c>
      <c r="CA155" s="253" t="str">
        <f t="shared" ca="1" si="308"/>
        <v>Thomas Strakosha</v>
      </c>
      <c r="CS155" s="252">
        <f t="shared" si="301"/>
        <v>152</v>
      </c>
      <c r="CT155" s="252">
        <f t="shared" si="302"/>
        <v>4</v>
      </c>
      <c r="CU155" s="252" t="str">
        <f t="shared" si="355"/>
        <v>CR29</v>
      </c>
      <c r="CV155" s="252" t="str">
        <f t="shared" ca="1" si="303"/>
        <v/>
      </c>
      <c r="CW155" s="252">
        <f t="shared" ca="1" si="312"/>
        <v>0</v>
      </c>
      <c r="CZ155" s="252">
        <v>152</v>
      </c>
      <c r="DA155" s="252" t="str">
        <f t="shared" ca="1" si="313"/>
        <v/>
      </c>
      <c r="DB155" s="252" t="str">
        <f t="shared" ca="1" si="309"/>
        <v/>
      </c>
      <c r="DC155" s="252" t="str">
        <f t="shared" ca="1" si="310"/>
        <v/>
      </c>
      <c r="DD155" s="252" t="str">
        <f t="shared" ca="1" si="311"/>
        <v/>
      </c>
    </row>
    <row r="156" spans="1:108" x14ac:dyDescent="0.2">
      <c r="A156" s="252">
        <f t="shared" si="329"/>
        <v>20</v>
      </c>
      <c r="B156" s="252" t="str">
        <f t="shared" si="330"/>
        <v>Michel Aebischer (og)</v>
      </c>
      <c r="C156" s="252" t="str">
        <f t="shared" si="331"/>
        <v>Michel Aebischer (og)</v>
      </c>
      <c r="D156" s="252" t="str">
        <f t="shared" si="332"/>
        <v>Michel Aebischer (og)</v>
      </c>
      <c r="E156" s="252" t="str">
        <f t="shared" si="333"/>
        <v>Roland Sallai (og)</v>
      </c>
      <c r="F156" s="252" t="str">
        <f t="shared" si="334"/>
        <v>Marko Pjaca (og)</v>
      </c>
      <c r="G156" s="252" t="str">
        <f t="shared" si="335"/>
        <v>Marko Pjaca (og)</v>
      </c>
      <c r="H156" s="252" t="str">
        <f t="shared" si="353"/>
        <v>Borna Sosa (og)</v>
      </c>
      <c r="I156" s="252" t="str">
        <f t="shared" si="336"/>
        <v>Pedri (og)</v>
      </c>
      <c r="J156" s="252" t="str">
        <f t="shared" si="337"/>
        <v>Yussuf Poulsen (og)</v>
      </c>
      <c r="K156" s="252" t="str">
        <f t="shared" si="338"/>
        <v>Yussuf Poulsen (og)</v>
      </c>
      <c r="L156" s="252" t="str">
        <f t="shared" si="339"/>
        <v>Yussuf Poulsen (og)</v>
      </c>
      <c r="M156" s="252" t="str">
        <f t="shared" si="340"/>
        <v>Petar Stojanović (og)</v>
      </c>
      <c r="N156" s="252" t="str">
        <f t="shared" si="341"/>
        <v>Kingsley Coman (og)</v>
      </c>
      <c r="O156" s="252" t="str">
        <f t="shared" si="342"/>
        <v>Kingsley Coman (og)</v>
      </c>
      <c r="P156" s="252" t="str">
        <f t="shared" si="343"/>
        <v>Kingsley Coman (og)</v>
      </c>
      <c r="Q156" s="252" t="str">
        <f t="shared" si="344"/>
        <v>Konrad Laimer (og)</v>
      </c>
      <c r="R156" s="252" t="str">
        <f t="shared" si="345"/>
        <v>Oleksandr Zubkov (og)</v>
      </c>
      <c r="S156" s="252" t="str">
        <f t="shared" si="346"/>
        <v>Oleksandr Zubkov (og)</v>
      </c>
      <c r="T156" s="252" t="str">
        <f t="shared" si="347"/>
        <v>Oleksandr Zubkov (og)</v>
      </c>
      <c r="U156" s="252" t="str">
        <f t="shared" si="348"/>
        <v>Dennis Man (og)</v>
      </c>
      <c r="V156" s="252" t="str">
        <f t="shared" si="349"/>
        <v>Anzor Mekvabishvili (og)</v>
      </c>
      <c r="W156" s="252" t="str">
        <f t="shared" si="350"/>
        <v>Anzor Mekvabishvili (og)</v>
      </c>
      <c r="X156" s="252" t="str">
        <f t="shared" si="351"/>
        <v>Anzor Mekvabishvili (og)</v>
      </c>
      <c r="Y156" s="252" t="str">
        <f t="shared" si="352"/>
        <v>Ferdi Kadıoğlu (og)</v>
      </c>
      <c r="BT156" s="253" t="str">
        <f t="shared" ca="1" si="234"/>
        <v>Albania</v>
      </c>
      <c r="BU156" s="253">
        <f t="shared" si="354"/>
        <v>154</v>
      </c>
      <c r="BV156" s="253" t="str">
        <f t="shared" si="304"/>
        <v>A26</v>
      </c>
      <c r="BW156" s="253">
        <f t="shared" si="305"/>
        <v>6</v>
      </c>
      <c r="BX156" s="253" t="str">
        <f t="shared" ca="1" si="306"/>
        <v>Marash Kumbulla</v>
      </c>
      <c r="BY156" s="253">
        <f ca="1">COUNTIF('Group Stages'!$J$8:$Q$80,BX156)+COUNTIF('Knock Out Stages'!$K$7:$R$45,BX156)</f>
        <v>0</v>
      </c>
      <c r="BZ156" s="253" t="str">
        <f t="shared" si="307"/>
        <v>'Player Database'!b29</v>
      </c>
      <c r="CA156" s="253" t="str">
        <f t="shared" ca="1" si="308"/>
        <v>Marash Kumbulla</v>
      </c>
      <c r="CS156" s="252">
        <f t="shared" si="301"/>
        <v>153</v>
      </c>
      <c r="CT156" s="252">
        <f t="shared" si="302"/>
        <v>4</v>
      </c>
      <c r="CU156" s="252" t="str">
        <f t="shared" si="355"/>
        <v>CR30</v>
      </c>
      <c r="CV156" s="252" t="str">
        <f t="shared" ca="1" si="303"/>
        <v/>
      </c>
      <c r="CW156" s="252">
        <f t="shared" ca="1" si="312"/>
        <v>0</v>
      </c>
      <c r="CZ156" s="252">
        <v>153</v>
      </c>
      <c r="DA156" s="252" t="str">
        <f t="shared" ca="1" si="313"/>
        <v/>
      </c>
      <c r="DB156" s="252" t="str">
        <f t="shared" ca="1" si="309"/>
        <v/>
      </c>
      <c r="DC156" s="252" t="str">
        <f t="shared" ca="1" si="310"/>
        <v/>
      </c>
      <c r="DD156" s="252" t="str">
        <f t="shared" ca="1" si="311"/>
        <v/>
      </c>
    </row>
    <row r="157" spans="1:108" x14ac:dyDescent="0.2">
      <c r="A157" s="252">
        <f t="shared" ref="A157:A162" si="356">A131</f>
        <v>21</v>
      </c>
      <c r="B157" s="252" t="str">
        <f t="shared" ref="B157:B159" si="357">E23&amp;" (og)"</f>
        <v>Gregor Kobel (og)</v>
      </c>
      <c r="C157" s="252" t="str">
        <f t="shared" ref="C157:C159" si="358">E23&amp;" (og)"</f>
        <v>Gregor Kobel (og)</v>
      </c>
      <c r="D157" s="252" t="str">
        <f t="shared" ref="D157:D159" si="359">E23&amp;" (og)"</f>
        <v>Gregor Kobel (og)</v>
      </c>
      <c r="E157" s="252" t="str">
        <f t="shared" ref="E157:E159" si="360">D23&amp;" (og)"</f>
        <v>Endre Botka (og)</v>
      </c>
      <c r="F157" s="252" t="str">
        <f t="shared" ref="F157:F159" si="361">I23&amp;" (og)"</f>
        <v>Domagoj Vida (og)</v>
      </c>
      <c r="G157" s="252" t="str">
        <f t="shared" ref="G157:G159" si="362">I23&amp;" (og)"</f>
        <v>Domagoj Vida (og)</v>
      </c>
      <c r="H157" s="252" t="str">
        <f t="shared" ref="H157:H159" si="363">I22&amp;" (og)"</f>
        <v>Marko Pjaca (og)</v>
      </c>
      <c r="I157" s="252" t="str">
        <f t="shared" ref="I157:I159" si="364">H23&amp;" (og)"</f>
        <v>Mikel Oyarzabal (og)</v>
      </c>
      <c r="J157" s="252" t="str">
        <f t="shared" ref="J157:J159" si="365">M23&amp;" (og)"</f>
        <v>Morten Hjulmand (og)</v>
      </c>
      <c r="K157" s="252" t="str">
        <f t="shared" ref="K157:K159" si="366">M23&amp;" (og)"</f>
        <v>Morten Hjulmand (og)</v>
      </c>
      <c r="L157" s="252" t="str">
        <f t="shared" ref="L157:L159" si="367">M23&amp;" (og)"</f>
        <v>Morten Hjulmand (og)</v>
      </c>
      <c r="M157" s="252" t="str">
        <f t="shared" ref="M157:M159" si="368">L23&amp;" (og)"</f>
        <v>Vanja Drkušić (og)</v>
      </c>
      <c r="N157" s="252" t="str">
        <f t="shared" ref="N157:N159" si="369">Q23&amp;" (og)"</f>
        <v>Jonathan Clauss (og)</v>
      </c>
      <c r="O157" s="252" t="str">
        <f t="shared" ref="O157:O159" si="370">Q23&amp;" (og)"</f>
        <v>Jonathan Clauss (og)</v>
      </c>
      <c r="P157" s="252" t="str">
        <f t="shared" ref="P157:P159" si="371">Q23&amp;" (og)"</f>
        <v>Jonathan Clauss (og)</v>
      </c>
      <c r="Q157" s="252" t="str">
        <f t="shared" ref="Q157:Q159" si="372">P23&amp;" (og)"</f>
        <v>Flavius Daniliuc (og)</v>
      </c>
      <c r="R157" s="252" t="str">
        <f t="shared" ref="R157:R159" si="373">U23&amp;" (og)"</f>
        <v>Valeriy Bondar (og)</v>
      </c>
      <c r="S157" s="252" t="str">
        <f t="shared" ref="S157:S159" si="374">U23&amp;" (og)"</f>
        <v>Valeriy Bondar (og)</v>
      </c>
      <c r="T157" s="252" t="str">
        <f t="shared" ref="T157:T159" si="375">U23&amp;" (og)"</f>
        <v>Valeriy Bondar (og)</v>
      </c>
      <c r="U157" s="252" t="str">
        <f t="shared" ref="U157:U159" si="376">T23&amp;" (og)"</f>
        <v>Nicolae Stanciu (og)</v>
      </c>
      <c r="V157" s="252" t="str">
        <f t="shared" ref="V157:V159" si="377">Y23&amp;" (og)"</f>
        <v>Giorgi Tsitaishvili (og)</v>
      </c>
      <c r="W157" s="252" t="str">
        <f t="shared" ref="W157:W159" si="378">Y23&amp;" (og)"</f>
        <v>Giorgi Tsitaishvili (og)</v>
      </c>
      <c r="X157" s="252" t="str">
        <f t="shared" ref="X157:X159" si="379">Y23&amp;" (og)"</f>
        <v>Giorgi Tsitaishvili (og)</v>
      </c>
      <c r="Y157" s="252" t="str">
        <f t="shared" ref="Y157:Y159" si="380">X23&amp;" (og)"</f>
        <v>Barış Alper Yılmaz (og)</v>
      </c>
      <c r="BT157" s="253" t="str">
        <f t="shared" ca="1" si="234"/>
        <v>Albania</v>
      </c>
      <c r="BU157" s="253">
        <f t="shared" si="354"/>
        <v>155</v>
      </c>
      <c r="BV157" s="253" t="str">
        <f t="shared" si="304"/>
        <v>A27</v>
      </c>
      <c r="BW157" s="253">
        <f t="shared" si="305"/>
        <v>6</v>
      </c>
      <c r="BX157" s="253" t="str">
        <f t="shared" ca="1" si="306"/>
        <v>Naser Aliji</v>
      </c>
      <c r="BY157" s="253">
        <f ca="1">COUNTIF('Group Stages'!$J$8:$Q$80,BX157)+COUNTIF('Knock Out Stages'!$K$7:$R$45,BX157)</f>
        <v>0</v>
      </c>
      <c r="BZ157" s="253" t="str">
        <f t="shared" si="307"/>
        <v>'Player Database'!b30</v>
      </c>
      <c r="CA157" s="253" t="str">
        <f t="shared" ca="1" si="308"/>
        <v>Naser Aliji</v>
      </c>
      <c r="CS157" s="252">
        <f t="shared" si="301"/>
        <v>154</v>
      </c>
      <c r="CT157" s="252">
        <f t="shared" si="302"/>
        <v>4</v>
      </c>
      <c r="CU157" s="252" t="str">
        <f t="shared" si="355"/>
        <v>CR31</v>
      </c>
      <c r="CV157" s="252" t="str">
        <f t="shared" ca="1" si="303"/>
        <v/>
      </c>
      <c r="CW157" s="252">
        <f t="shared" ca="1" si="312"/>
        <v>0</v>
      </c>
      <c r="CZ157" s="252">
        <v>154</v>
      </c>
      <c r="DA157" s="252" t="str">
        <f t="shared" ca="1" si="313"/>
        <v/>
      </c>
      <c r="DB157" s="252" t="str">
        <f t="shared" ca="1" si="309"/>
        <v/>
      </c>
      <c r="DC157" s="252" t="str">
        <f t="shared" ca="1" si="310"/>
        <v/>
      </c>
      <c r="DD157" s="252" t="str">
        <f t="shared" ca="1" si="311"/>
        <v/>
      </c>
    </row>
    <row r="158" spans="1:108" x14ac:dyDescent="0.2">
      <c r="A158" s="252">
        <f t="shared" si="356"/>
        <v>22</v>
      </c>
      <c r="B158" s="252" t="str">
        <f t="shared" si="357"/>
        <v>Fabian Schär (og)</v>
      </c>
      <c r="C158" s="252" t="str">
        <f t="shared" si="358"/>
        <v>Fabian Schär (og)</v>
      </c>
      <c r="D158" s="252" t="str">
        <f t="shared" si="359"/>
        <v>Fabian Schär (og)</v>
      </c>
      <c r="E158" s="252" t="str">
        <f t="shared" si="360"/>
        <v>Péter Szappanos (og)</v>
      </c>
      <c r="F158" s="252" t="str">
        <f t="shared" si="361"/>
        <v>Josip Juranović (og)</v>
      </c>
      <c r="G158" s="252" t="str">
        <f t="shared" si="362"/>
        <v>Josip Juranović (og)</v>
      </c>
      <c r="H158" s="252" t="str">
        <f t="shared" si="363"/>
        <v>Domagoj Vida (og)</v>
      </c>
      <c r="I158" s="252" t="str">
        <f t="shared" si="364"/>
        <v>Jesús Navas (og)</v>
      </c>
      <c r="J158" s="252" t="str">
        <f t="shared" si="365"/>
        <v>Frederik Rønnow (og)</v>
      </c>
      <c r="K158" s="252" t="str">
        <f t="shared" si="366"/>
        <v>Frederik Rønnow (og)</v>
      </c>
      <c r="L158" s="252" t="str">
        <f t="shared" si="367"/>
        <v>Frederik Rønnow (og)</v>
      </c>
      <c r="M158" s="252" t="str">
        <f t="shared" si="368"/>
        <v>Adam Gnezda Čerin (og)</v>
      </c>
      <c r="N158" s="252" t="str">
        <f t="shared" si="369"/>
        <v>Théo Hernandez (og)</v>
      </c>
      <c r="O158" s="252" t="str">
        <f t="shared" si="370"/>
        <v>Théo Hernandez (og)</v>
      </c>
      <c r="P158" s="252" t="str">
        <f t="shared" si="371"/>
        <v>Théo Hernandez (og)</v>
      </c>
      <c r="Q158" s="252" t="str">
        <f t="shared" si="372"/>
        <v>Matthias Seidl (og)</v>
      </c>
      <c r="R158" s="252" t="str">
        <f t="shared" si="373"/>
        <v>Mykola Matviyenko (og)</v>
      </c>
      <c r="S158" s="252" t="str">
        <f t="shared" si="374"/>
        <v>Mykola Matviyenko (og)</v>
      </c>
      <c r="T158" s="252" t="str">
        <f t="shared" si="375"/>
        <v>Mykola Matviyenko (og)</v>
      </c>
      <c r="U158" s="252" t="str">
        <f t="shared" si="376"/>
        <v>Vasile Mogoș (og)</v>
      </c>
      <c r="V158" s="252" t="str">
        <f t="shared" si="377"/>
        <v>Georges Mikautadze (og)</v>
      </c>
      <c r="W158" s="252" t="str">
        <f t="shared" si="378"/>
        <v>Georges Mikautadze (og)</v>
      </c>
      <c r="X158" s="252" t="str">
        <f t="shared" si="379"/>
        <v>Georges Mikautadze (og)</v>
      </c>
      <c r="Y158" s="252" t="str">
        <f t="shared" si="380"/>
        <v>Kaan Ayhan (og)</v>
      </c>
      <c r="BT158" s="253" t="str">
        <f t="shared" ca="1" si="234"/>
        <v>Albania</v>
      </c>
      <c r="BU158" s="253">
        <f t="shared" si="354"/>
        <v>156</v>
      </c>
      <c r="BV158" s="253" t="str">
        <f t="shared" si="304"/>
        <v>A28</v>
      </c>
      <c r="BW158" s="253">
        <f t="shared" si="305"/>
        <v>6</v>
      </c>
      <c r="BX158" s="253" t="str">
        <f t="shared" ca="1" si="306"/>
        <v>Arbër Hoxha</v>
      </c>
      <c r="BY158" s="253">
        <f ca="1">COUNTIF('Group Stages'!$J$8:$Q$80,BX158)+COUNTIF('Knock Out Stages'!$K$7:$R$45,BX158)</f>
        <v>0</v>
      </c>
      <c r="BZ158" s="253" t="str">
        <f t="shared" si="307"/>
        <v>'Player Database'!b31</v>
      </c>
      <c r="CA158" s="253" t="str">
        <f t="shared" ca="1" si="308"/>
        <v>Arbër Hoxha</v>
      </c>
      <c r="CS158" s="252">
        <f t="shared" si="301"/>
        <v>155</v>
      </c>
      <c r="CT158" s="252">
        <f t="shared" si="302"/>
        <v>4</v>
      </c>
      <c r="CU158" s="252" t="str">
        <f t="shared" si="355"/>
        <v>CR32</v>
      </c>
      <c r="CV158" s="252" t="str">
        <f t="shared" ca="1" si="303"/>
        <v/>
      </c>
      <c r="CW158" s="252">
        <f t="shared" ca="1" si="312"/>
        <v>0</v>
      </c>
      <c r="CZ158" s="252">
        <v>155</v>
      </c>
      <c r="DA158" s="252" t="str">
        <f t="shared" ca="1" si="313"/>
        <v/>
      </c>
      <c r="DB158" s="252" t="str">
        <f t="shared" ca="1" si="309"/>
        <v/>
      </c>
      <c r="DC158" s="252" t="str">
        <f t="shared" ca="1" si="310"/>
        <v/>
      </c>
      <c r="DD158" s="252" t="str">
        <f t="shared" ca="1" si="311"/>
        <v/>
      </c>
    </row>
    <row r="159" spans="1:108" x14ac:dyDescent="0.2">
      <c r="A159" s="252">
        <f t="shared" si="356"/>
        <v>23</v>
      </c>
      <c r="B159" s="252" t="str">
        <f t="shared" si="357"/>
        <v>Xherdan Shaqiri (og)</v>
      </c>
      <c r="C159" s="252" t="str">
        <f t="shared" si="358"/>
        <v>Xherdan Shaqiri (og)</v>
      </c>
      <c r="D159" s="252" t="str">
        <f t="shared" si="359"/>
        <v>Xherdan Shaqiri (og)</v>
      </c>
      <c r="E159" s="252" t="str">
        <f t="shared" si="360"/>
        <v>Kevin Csoboth (og)</v>
      </c>
      <c r="F159" s="252" t="str">
        <f t="shared" si="361"/>
        <v>Ivica Ivušić (og)</v>
      </c>
      <c r="G159" s="252" t="str">
        <f t="shared" si="362"/>
        <v>Ivica Ivušić (og)</v>
      </c>
      <c r="H159" s="252" t="str">
        <f t="shared" si="363"/>
        <v>Josip Juranović (og)</v>
      </c>
      <c r="I159" s="252" t="str">
        <f t="shared" si="364"/>
        <v>Unai Simón (og)</v>
      </c>
      <c r="J159" s="252" t="str">
        <f t="shared" si="365"/>
        <v>Pierre-Emile Højbjerg (og)</v>
      </c>
      <c r="K159" s="252" t="str">
        <f t="shared" si="366"/>
        <v>Pierre-Emile Højbjerg (og)</v>
      </c>
      <c r="L159" s="252" t="str">
        <f t="shared" si="367"/>
        <v>Pierre-Emile Højbjerg (og)</v>
      </c>
      <c r="M159" s="252" t="str">
        <f t="shared" si="368"/>
        <v>David Brekalo (og)</v>
      </c>
      <c r="N159" s="252" t="str">
        <f t="shared" si="369"/>
        <v>Alphonse Areola (og)</v>
      </c>
      <c r="O159" s="252" t="str">
        <f t="shared" si="370"/>
        <v>Alphonse Areola (og)</v>
      </c>
      <c r="P159" s="252" t="str">
        <f t="shared" si="371"/>
        <v>Alphonse Areola (og)</v>
      </c>
      <c r="Q159" s="252" t="str">
        <f t="shared" si="372"/>
        <v>Patrick Wimmer (og)</v>
      </c>
      <c r="R159" s="252" t="str">
        <f t="shared" si="373"/>
        <v>Andriy Lunin (og)</v>
      </c>
      <c r="S159" s="252" t="str">
        <f t="shared" si="374"/>
        <v>Andriy Lunin (og)</v>
      </c>
      <c r="T159" s="252" t="str">
        <f t="shared" si="375"/>
        <v>Andriy Lunin (og)</v>
      </c>
      <c r="U159" s="252" t="str">
        <f t="shared" si="376"/>
        <v>Deian Sorescu (og)</v>
      </c>
      <c r="V159" s="252" t="str">
        <f t="shared" si="377"/>
        <v>Saba Lobzhanidze (og)</v>
      </c>
      <c r="W159" s="252" t="str">
        <f t="shared" si="378"/>
        <v>Saba Lobzhanidze (og)</v>
      </c>
      <c r="X159" s="252" t="str">
        <f t="shared" si="379"/>
        <v>Saba Lobzhanidze (og)</v>
      </c>
      <c r="Y159" s="252" t="str">
        <f t="shared" si="380"/>
        <v>Uğurcan Çakır (og)</v>
      </c>
      <c r="BT159" s="253" t="str">
        <f t="shared" ca="1" si="234"/>
        <v>Spain</v>
      </c>
      <c r="BU159" s="253">
        <f t="shared" si="354"/>
        <v>157</v>
      </c>
      <c r="BV159" s="253" t="str">
        <f t="shared" si="304"/>
        <v>A3</v>
      </c>
      <c r="BW159" s="253">
        <f t="shared" si="305"/>
        <v>7</v>
      </c>
      <c r="BX159" s="253" t="str">
        <f t="shared" ca="1" si="306"/>
        <v>David Raya</v>
      </c>
      <c r="BY159" s="253">
        <f ca="1">COUNTIF('Group Stages'!$J$8:$Q$80,BX159)+COUNTIF('Knock Out Stages'!$K$7:$R$45,BX159)</f>
        <v>0</v>
      </c>
      <c r="BZ159" s="253" t="str">
        <f t="shared" si="307"/>
        <v>'Player Database'!b6</v>
      </c>
      <c r="CA159" s="253" t="str">
        <f t="shared" ca="1" si="308"/>
        <v>David Raya</v>
      </c>
      <c r="CS159" s="252">
        <f t="shared" si="301"/>
        <v>156</v>
      </c>
      <c r="CT159" s="252">
        <f t="shared" si="302"/>
        <v>4</v>
      </c>
      <c r="CU159" s="252" t="str">
        <f t="shared" si="355"/>
        <v>CR33</v>
      </c>
      <c r="CV159" s="252" t="str">
        <f t="shared" ca="1" si="303"/>
        <v/>
      </c>
      <c r="CW159" s="252">
        <f t="shared" ca="1" si="312"/>
        <v>0</v>
      </c>
      <c r="CZ159" s="252">
        <v>156</v>
      </c>
      <c r="DA159" s="252" t="str">
        <f t="shared" ca="1" si="313"/>
        <v/>
      </c>
      <c r="DB159" s="252" t="str">
        <f t="shared" ca="1" si="309"/>
        <v/>
      </c>
      <c r="DC159" s="252" t="str">
        <f t="shared" ca="1" si="310"/>
        <v/>
      </c>
      <c r="DD159" s="252" t="str">
        <f t="shared" ca="1" si="311"/>
        <v/>
      </c>
    </row>
    <row r="160" spans="1:108" x14ac:dyDescent="0.2">
      <c r="A160" s="252">
        <f t="shared" si="356"/>
        <v>24</v>
      </c>
      <c r="B160" s="252" t="str">
        <f t="shared" ref="B160:B162" si="381">E26&amp;" (og)"</f>
        <v>Ardon Jashari (og)</v>
      </c>
      <c r="C160" s="252" t="str">
        <f t="shared" ref="C160:C162" si="382">E26&amp;" (og)"</f>
        <v>Ardon Jashari (og)</v>
      </c>
      <c r="D160" s="252" t="str">
        <f t="shared" ref="D160:D162" si="383">E26&amp;" (og)"</f>
        <v>Ardon Jashari (og)</v>
      </c>
      <c r="E160" s="252" t="str">
        <f t="shared" ref="E160:E162" si="384">D26&amp;" (og)"</f>
        <v>Márton Dárdai (og)</v>
      </c>
      <c r="F160" s="252" t="str">
        <f t="shared" ref="F160:F162" si="385">I26&amp;" (og)"</f>
        <v>Marco Pašalić (og)</v>
      </c>
      <c r="G160" s="252" t="str">
        <f t="shared" ref="G160:G162" si="386">I26&amp;" (og)"</f>
        <v>Marco Pašalić (og)</v>
      </c>
      <c r="H160" s="252" t="str">
        <f t="shared" ref="H160:H162" si="387">I25&amp;" (og)"</f>
        <v>Ivica Ivušić (og)</v>
      </c>
      <c r="I160" s="252" t="str">
        <f t="shared" ref="I160:I162" si="388">H26&amp;" (og)"</f>
        <v>Marc Cucurella (og)</v>
      </c>
      <c r="J160" s="252" t="str">
        <f t="shared" ref="J160:J162" si="389">M26&amp;" (og)"</f>
        <v>Anders Dreyer (og)</v>
      </c>
      <c r="K160" s="252" t="str">
        <f t="shared" ref="K160:K162" si="390">M26&amp;" (og)"</f>
        <v>Anders Dreyer (og)</v>
      </c>
      <c r="L160" s="252" t="str">
        <f t="shared" ref="L160:L162" si="391">M26&amp;" (og)"</f>
        <v>Anders Dreyer (og)</v>
      </c>
      <c r="M160" s="252" t="str">
        <f t="shared" ref="M160:M162" si="392">L26&amp;" (og)"</f>
        <v>Nino Žugelj (og)</v>
      </c>
      <c r="N160" s="252" t="str">
        <f t="shared" ref="N160:N162" si="393">Q26&amp;" (og)"</f>
        <v>Ibrahima Konaté (og)</v>
      </c>
      <c r="O160" s="252" t="str">
        <f t="shared" ref="O160:O162" si="394">Q26&amp;" (og)"</f>
        <v>Ibrahima Konaté (og)</v>
      </c>
      <c r="P160" s="252" t="str">
        <f t="shared" ref="P160:P162" si="395">Q26&amp;" (og)"</f>
        <v>Ibrahima Konaté (og)</v>
      </c>
      <c r="Q160" s="252" t="str">
        <f t="shared" ref="Q160:Q162" si="396">P26&amp;" (og)"</f>
        <v>Andreas Weimann (og)</v>
      </c>
      <c r="R160" s="252" t="str">
        <f t="shared" ref="R160:R162" si="397">U26&amp;" (og)"</f>
        <v>Oleksandr Tymchyk (og)</v>
      </c>
      <c r="S160" s="252" t="str">
        <f t="shared" ref="S160:S162" si="398">U26&amp;" (og)"</f>
        <v>Oleksandr Tymchyk (og)</v>
      </c>
      <c r="T160" s="252" t="str">
        <f t="shared" ref="T160:T162" si="399">U26&amp;" (og)"</f>
        <v>Oleksandr Tymchyk (og)</v>
      </c>
      <c r="U160" s="252" t="str">
        <f t="shared" ref="U160:U162" si="400">T26&amp;" (og)"</f>
        <v>Bogdan Racovițan (og)</v>
      </c>
      <c r="V160" s="252" t="str">
        <f t="shared" ref="V160:V162" si="401">Y26&amp;" (og)"</f>
        <v>Jemal Tabidze (og)</v>
      </c>
      <c r="W160" s="252" t="str">
        <f t="shared" ref="W160:W162" si="402">Y26&amp;" (og)"</f>
        <v>Jemal Tabidze (og)</v>
      </c>
      <c r="X160" s="252" t="str">
        <f t="shared" ref="X160:X162" si="403">Y26&amp;" (og)"</f>
        <v>Jemal Tabidze (og)</v>
      </c>
      <c r="Y160" s="252" t="str">
        <f t="shared" ref="Y160:Y162" si="404">X26&amp;" (og)"</f>
        <v>Semih Kılıçsoy (og)</v>
      </c>
      <c r="BT160" s="253" t="str">
        <f t="shared" ca="1" si="234"/>
        <v>Spain</v>
      </c>
      <c r="BU160" s="253">
        <f t="shared" si="354"/>
        <v>158</v>
      </c>
      <c r="BV160" s="253" t="str">
        <f t="shared" si="304"/>
        <v>A4</v>
      </c>
      <c r="BW160" s="253">
        <f t="shared" si="305"/>
        <v>7</v>
      </c>
      <c r="BX160" s="253" t="str">
        <f t="shared" ca="1" si="306"/>
        <v>Dani Carvajal</v>
      </c>
      <c r="BY160" s="253">
        <f ca="1">COUNTIF('Group Stages'!$J$8:$Q$80,BX160)+COUNTIF('Knock Out Stages'!$K$7:$R$45,BX160)</f>
        <v>1</v>
      </c>
      <c r="BZ160" s="253" t="str">
        <f t="shared" si="307"/>
        <v>'Player Database'!b7</v>
      </c>
      <c r="CA160" s="253" t="str">
        <f t="shared" ca="1" si="308"/>
        <v>Dani Carvajal</v>
      </c>
      <c r="CS160" s="252">
        <f t="shared" si="301"/>
        <v>157</v>
      </c>
      <c r="CT160" s="252">
        <f t="shared" si="302"/>
        <v>4</v>
      </c>
      <c r="CU160" s="252" t="str">
        <f t="shared" si="355"/>
        <v>CR34</v>
      </c>
      <c r="CV160" s="252" t="str">
        <f t="shared" ca="1" si="303"/>
        <v/>
      </c>
      <c r="CW160" s="252">
        <f t="shared" ca="1" si="312"/>
        <v>0</v>
      </c>
      <c r="CZ160" s="252">
        <v>157</v>
      </c>
      <c r="DA160" s="252" t="str">
        <f t="shared" ca="1" si="313"/>
        <v/>
      </c>
      <c r="DB160" s="252" t="str">
        <f t="shared" ca="1" si="309"/>
        <v/>
      </c>
      <c r="DC160" s="252" t="str">
        <f t="shared" ca="1" si="310"/>
        <v/>
      </c>
      <c r="DD160" s="252" t="str">
        <f t="shared" ca="1" si="311"/>
        <v/>
      </c>
    </row>
    <row r="161" spans="1:108" x14ac:dyDescent="0.2">
      <c r="A161" s="252">
        <f t="shared" si="356"/>
        <v>25</v>
      </c>
      <c r="B161" s="252" t="str">
        <f t="shared" si="381"/>
        <v>Zeki Amdouni (og)</v>
      </c>
      <c r="C161" s="252" t="str">
        <f t="shared" si="382"/>
        <v>Zeki Amdouni (og)</v>
      </c>
      <c r="D161" s="252" t="str">
        <f t="shared" si="383"/>
        <v>Zeki Amdouni (og)</v>
      </c>
      <c r="E161" s="252" t="str">
        <f t="shared" si="384"/>
        <v>Krisztofer Horváth (og)</v>
      </c>
      <c r="F161" s="252" t="str">
        <f t="shared" si="385"/>
        <v>Luka Sučić (og)</v>
      </c>
      <c r="G161" s="252" t="str">
        <f t="shared" si="386"/>
        <v>Luka Sučić (og)</v>
      </c>
      <c r="H161" s="252" t="str">
        <f t="shared" si="387"/>
        <v>Marco Pašalić (og)</v>
      </c>
      <c r="I161" s="252" t="str">
        <f t="shared" si="388"/>
        <v>Fermín López (og)</v>
      </c>
      <c r="J161" s="252" t="str">
        <f t="shared" si="389"/>
        <v>Rasmus Kristensen (og)</v>
      </c>
      <c r="K161" s="252" t="str">
        <f t="shared" si="390"/>
        <v>Rasmus Kristensen (og)</v>
      </c>
      <c r="L161" s="252" t="str">
        <f t="shared" si="391"/>
        <v>Rasmus Kristensen (og)</v>
      </c>
      <c r="M161" s="252" t="str">
        <f t="shared" si="392"/>
        <v>Adrian Zeljković (og)</v>
      </c>
      <c r="N161" s="252" t="str">
        <f t="shared" si="393"/>
        <v>Bradley Barcola (og)</v>
      </c>
      <c r="O161" s="252" t="str">
        <f t="shared" si="394"/>
        <v>Bradley Barcola (og)</v>
      </c>
      <c r="P161" s="252" t="str">
        <f t="shared" si="395"/>
        <v>Bradley Barcola (og)</v>
      </c>
      <c r="Q161" s="252" t="str">
        <f t="shared" si="396"/>
        <v>Maximilian Entrup (og)</v>
      </c>
      <c r="R161" s="252" t="str">
        <f t="shared" si="397"/>
        <v>Vladyslav Vanat (og)</v>
      </c>
      <c r="S161" s="252" t="str">
        <f t="shared" si="398"/>
        <v>Vladyslav Vanat (og)</v>
      </c>
      <c r="T161" s="252" t="str">
        <f t="shared" si="399"/>
        <v>Vladyslav Vanat (og)</v>
      </c>
      <c r="U161" s="252" t="str">
        <f t="shared" si="400"/>
        <v>Daniel Bîrligea (og)</v>
      </c>
      <c r="V161" s="252" t="str">
        <f t="shared" si="401"/>
        <v>Giorgi Mamardashvili (og)</v>
      </c>
      <c r="W161" s="252" t="str">
        <f t="shared" si="402"/>
        <v>Giorgi Mamardashvili (og)</v>
      </c>
      <c r="X161" s="252" t="str">
        <f t="shared" si="403"/>
        <v>Giorgi Mamardashvili (og)</v>
      </c>
      <c r="Y161" s="252" t="str">
        <f t="shared" si="404"/>
        <v>Yunus Akgün (og)</v>
      </c>
      <c r="BT161" s="253" t="str">
        <f t="shared" ca="1" si="234"/>
        <v>Spain</v>
      </c>
      <c r="BU161" s="253">
        <f t="shared" si="354"/>
        <v>159</v>
      </c>
      <c r="BV161" s="253" t="str">
        <f t="shared" si="304"/>
        <v>A5</v>
      </c>
      <c r="BW161" s="253">
        <f t="shared" si="305"/>
        <v>7</v>
      </c>
      <c r="BX161" s="253" t="str">
        <f t="shared" ca="1" si="306"/>
        <v>Robin Le Normand</v>
      </c>
      <c r="BY161" s="253">
        <f ca="1">COUNTIF('Group Stages'!$J$8:$Q$80,BX161)+COUNTIF('Knock Out Stages'!$K$7:$R$45,BX161)</f>
        <v>0</v>
      </c>
      <c r="BZ161" s="253" t="str">
        <f t="shared" si="307"/>
        <v>'Player Database'!b8</v>
      </c>
      <c r="CA161" s="253" t="str">
        <f t="shared" ca="1" si="308"/>
        <v>Robin Le Normand</v>
      </c>
      <c r="CS161" s="252">
        <f t="shared" si="301"/>
        <v>158</v>
      </c>
      <c r="CT161" s="252">
        <f t="shared" si="302"/>
        <v>4</v>
      </c>
      <c r="CU161" s="252" t="str">
        <f t="shared" si="355"/>
        <v>CR35</v>
      </c>
      <c r="CV161" s="252" t="str">
        <f t="shared" ca="1" si="303"/>
        <v/>
      </c>
      <c r="CW161" s="252">
        <f t="shared" ca="1" si="312"/>
        <v>0</v>
      </c>
      <c r="CZ161" s="252">
        <v>158</v>
      </c>
      <c r="DA161" s="252" t="str">
        <f t="shared" ca="1" si="313"/>
        <v/>
      </c>
      <c r="DB161" s="252" t="str">
        <f t="shared" ca="1" si="309"/>
        <v/>
      </c>
      <c r="DC161" s="252" t="str">
        <f t="shared" ca="1" si="310"/>
        <v/>
      </c>
      <c r="DD161" s="252" t="str">
        <f t="shared" ca="1" si="311"/>
        <v/>
      </c>
    </row>
    <row r="162" spans="1:108" x14ac:dyDescent="0.2">
      <c r="A162" s="252">
        <f t="shared" si="356"/>
        <v>26</v>
      </c>
      <c r="B162" s="252" t="str">
        <f t="shared" si="381"/>
        <v>Fabian Rieder (og)</v>
      </c>
      <c r="C162" s="252" t="str">
        <f t="shared" si="382"/>
        <v>Fabian Rieder (og)</v>
      </c>
      <c r="D162" s="252" t="str">
        <f t="shared" si="383"/>
        <v>Fabian Rieder (og)</v>
      </c>
      <c r="E162" s="252" t="str">
        <f t="shared" si="384"/>
        <v>Mihály Kata (og)</v>
      </c>
      <c r="F162" s="252" t="str">
        <f t="shared" si="385"/>
        <v>Martin Baturina (og)</v>
      </c>
      <c r="G162" s="252" t="str">
        <f t="shared" si="386"/>
        <v>Martin Baturina (og)</v>
      </c>
      <c r="H162" s="252" t="str">
        <f t="shared" si="387"/>
        <v>Luka Sučić (og)</v>
      </c>
      <c r="I162" s="252" t="str">
        <f t="shared" si="388"/>
        <v>Ayoze Pérez (og)</v>
      </c>
      <c r="J162" s="252" t="str">
        <f t="shared" si="389"/>
        <v>Jacob Bruun Larsen (og)</v>
      </c>
      <c r="K162" s="252" t="str">
        <f t="shared" si="390"/>
        <v>Jacob Bruun Larsen (og)</v>
      </c>
      <c r="L162" s="252" t="str">
        <f t="shared" si="391"/>
        <v>Jacob Bruun Larsen (og)</v>
      </c>
      <c r="M162" s="252" t="str">
        <f t="shared" si="392"/>
        <v>Josip Iličić (og)</v>
      </c>
      <c r="N162" s="252" t="str">
        <f t="shared" si="393"/>
        <v>0 (og)</v>
      </c>
      <c r="O162" s="252" t="str">
        <f t="shared" si="394"/>
        <v>0 (og)</v>
      </c>
      <c r="P162" s="252" t="str">
        <f t="shared" si="395"/>
        <v>0 (og)</v>
      </c>
      <c r="Q162" s="252" t="str">
        <f t="shared" si="396"/>
        <v>Marco Grüll (og)</v>
      </c>
      <c r="R162" s="252" t="str">
        <f t="shared" si="397"/>
        <v>Bohdan Mykhaylichenko (og)</v>
      </c>
      <c r="S162" s="252" t="str">
        <f t="shared" si="398"/>
        <v>Bohdan Mykhaylichenko (og)</v>
      </c>
      <c r="T162" s="252" t="str">
        <f t="shared" si="399"/>
        <v>Bohdan Mykhaylichenko (og)</v>
      </c>
      <c r="U162" s="252" t="str">
        <f t="shared" si="400"/>
        <v>Adrian Șut (og)</v>
      </c>
      <c r="V162" s="252" t="str">
        <f t="shared" si="401"/>
        <v>Gabriel Sigua (og)</v>
      </c>
      <c r="W162" s="252" t="str">
        <f t="shared" si="402"/>
        <v>Gabriel Sigua (og)</v>
      </c>
      <c r="X162" s="252" t="str">
        <f t="shared" si="403"/>
        <v>Gabriel Sigua (og)</v>
      </c>
      <c r="Y162" s="252" t="str">
        <f t="shared" si="404"/>
        <v>Bertuğ Yıldırım (og)</v>
      </c>
      <c r="BT162" s="253" t="str">
        <f t="shared" ca="1" si="234"/>
        <v>Spain</v>
      </c>
      <c r="BU162" s="253">
        <f t="shared" si="354"/>
        <v>160</v>
      </c>
      <c r="BV162" s="253" t="str">
        <f t="shared" si="304"/>
        <v>A6</v>
      </c>
      <c r="BW162" s="253">
        <f t="shared" si="305"/>
        <v>7</v>
      </c>
      <c r="BX162" s="253" t="str">
        <f t="shared" ca="1" si="306"/>
        <v>Nacho</v>
      </c>
      <c r="BY162" s="253">
        <f ca="1">COUNTIF('Group Stages'!$J$8:$Q$80,BX162)+COUNTIF('Knock Out Stages'!$K$7:$R$45,BX162)</f>
        <v>0</v>
      </c>
      <c r="BZ162" s="253" t="str">
        <f t="shared" si="307"/>
        <v>'Player Database'!b9</v>
      </c>
      <c r="CA162" s="253" t="str">
        <f t="shared" ca="1" si="308"/>
        <v>Nacho</v>
      </c>
      <c r="CS162" s="252">
        <f t="shared" si="301"/>
        <v>159</v>
      </c>
      <c r="CT162" s="252">
        <f t="shared" si="302"/>
        <v>4</v>
      </c>
      <c r="CU162" s="252" t="str">
        <f t="shared" si="355"/>
        <v>CR36</v>
      </c>
      <c r="CV162" s="252" t="str">
        <f t="shared" ca="1" si="303"/>
        <v/>
      </c>
      <c r="CW162" s="252">
        <f t="shared" ca="1" si="312"/>
        <v>0</v>
      </c>
      <c r="CZ162" s="252">
        <v>159</v>
      </c>
      <c r="DA162" s="252" t="str">
        <f t="shared" ca="1" si="313"/>
        <v/>
      </c>
      <c r="DB162" s="252" t="str">
        <f t="shared" ca="1" si="309"/>
        <v/>
      </c>
      <c r="DC162" s="252" t="str">
        <f t="shared" ca="1" si="310"/>
        <v/>
      </c>
      <c r="DD162" s="252" t="str">
        <f t="shared" ca="1" si="311"/>
        <v/>
      </c>
    </row>
    <row r="163" spans="1:108" x14ac:dyDescent="0.2">
      <c r="BT163" s="253" t="str">
        <f t="shared" ca="1" si="234"/>
        <v>Spain</v>
      </c>
      <c r="BU163" s="253">
        <f t="shared" si="354"/>
        <v>161</v>
      </c>
      <c r="BV163" s="253" t="str">
        <f t="shared" si="304"/>
        <v>A7</v>
      </c>
      <c r="BW163" s="253">
        <f t="shared" si="305"/>
        <v>7</v>
      </c>
      <c r="BX163" s="253" t="str">
        <f t="shared" ca="1" si="306"/>
        <v>Daniel Vivian</v>
      </c>
      <c r="BY163" s="253">
        <f ca="1">COUNTIF('Group Stages'!$J$8:$Q$80,BX163)+COUNTIF('Knock Out Stages'!$K$7:$R$45,BX163)</f>
        <v>0</v>
      </c>
      <c r="BZ163" s="253" t="str">
        <f t="shared" si="307"/>
        <v>'Player Database'!b10</v>
      </c>
      <c r="CA163" s="253" t="str">
        <f t="shared" ca="1" si="308"/>
        <v>Daniel Vivian</v>
      </c>
      <c r="CS163" s="252">
        <f t="shared" si="301"/>
        <v>160</v>
      </c>
      <c r="CT163" s="252">
        <f t="shared" si="302"/>
        <v>4</v>
      </c>
      <c r="CU163" s="252" t="str">
        <f t="shared" si="355"/>
        <v>CR37</v>
      </c>
      <c r="CV163" s="252" t="str">
        <f t="shared" ca="1" si="303"/>
        <v/>
      </c>
      <c r="CW163" s="252">
        <f t="shared" ca="1" si="312"/>
        <v>0</v>
      </c>
      <c r="CZ163" s="252">
        <v>160</v>
      </c>
      <c r="DA163" s="252" t="str">
        <f t="shared" ca="1" si="313"/>
        <v/>
      </c>
      <c r="DB163" s="252" t="str">
        <f t="shared" ca="1" si="309"/>
        <v/>
      </c>
      <c r="DC163" s="252" t="str">
        <f t="shared" ca="1" si="310"/>
        <v/>
      </c>
      <c r="DD163" s="252" t="str">
        <f t="shared" ca="1" si="311"/>
        <v/>
      </c>
    </row>
    <row r="164" spans="1:108" x14ac:dyDescent="0.2">
      <c r="BT164" s="253" t="str">
        <f t="shared" ref="BT164:BT227" ca="1" si="405">OFFSET($A$2,0,BW164)</f>
        <v>Spain</v>
      </c>
      <c r="BU164" s="253">
        <f t="shared" si="354"/>
        <v>162</v>
      </c>
      <c r="BV164" s="253" t="str">
        <f t="shared" si="304"/>
        <v>A8</v>
      </c>
      <c r="BW164" s="253">
        <f t="shared" si="305"/>
        <v>7</v>
      </c>
      <c r="BX164" s="253" t="str">
        <f t="shared" ca="1" si="306"/>
        <v>Mikel Merino</v>
      </c>
      <c r="BY164" s="253">
        <f ca="1">COUNTIF('Group Stages'!$J$8:$Q$80,BX164)+COUNTIF('Knock Out Stages'!$K$7:$R$45,BX164)</f>
        <v>0</v>
      </c>
      <c r="BZ164" s="253" t="str">
        <f t="shared" si="307"/>
        <v>'Player Database'!b11</v>
      </c>
      <c r="CA164" s="253" t="str">
        <f t="shared" ca="1" si="308"/>
        <v>Mikel Merino</v>
      </c>
      <c r="CS164" s="252">
        <f t="shared" si="301"/>
        <v>161</v>
      </c>
      <c r="CT164" s="252">
        <f t="shared" si="302"/>
        <v>4</v>
      </c>
      <c r="CU164" s="252" t="str">
        <f t="shared" si="355"/>
        <v>CR38</v>
      </c>
      <c r="CV164" s="252" t="str">
        <f t="shared" ca="1" si="303"/>
        <v/>
      </c>
      <c r="CW164" s="252">
        <f t="shared" ca="1" si="312"/>
        <v>0</v>
      </c>
      <c r="CZ164" s="252">
        <v>161</v>
      </c>
      <c r="DA164" s="252" t="str">
        <f t="shared" ca="1" si="313"/>
        <v/>
      </c>
      <c r="DB164" s="252" t="str">
        <f t="shared" ref="DB164:DB195" ca="1" si="406">IFERROR(VLOOKUP(DA164,$BX$3:$BY$810,2,FALSE),"")</f>
        <v/>
      </c>
      <c r="DC164" s="252" t="str">
        <f t="shared" ref="DC164:DC195" ca="1" si="407">IFERROR(VLOOKUP(DA164,$BX$3:$CA$810,4,FALSE),"")</f>
        <v/>
      </c>
      <c r="DD164" s="252" t="str">
        <f t="shared" ref="DD164:DD195" ca="1" si="408">IFERROR(INDEX($BT$3:$BT$810,MATCH(DA164,$BX$3:$BX$810,0),0),"")</f>
        <v/>
      </c>
    </row>
    <row r="165" spans="1:108" x14ac:dyDescent="0.2">
      <c r="BT165" s="253" t="str">
        <f t="shared" ca="1" si="405"/>
        <v>Spain</v>
      </c>
      <c r="BU165" s="253">
        <f t="shared" si="354"/>
        <v>163</v>
      </c>
      <c r="BV165" s="253" t="str">
        <f t="shared" si="304"/>
        <v>A9</v>
      </c>
      <c r="BW165" s="253">
        <f t="shared" si="305"/>
        <v>7</v>
      </c>
      <c r="BX165" s="253" t="str">
        <f t="shared" ca="1" si="306"/>
        <v>Álvaro Morata</v>
      </c>
      <c r="BY165" s="253">
        <f ca="1">COUNTIF('Group Stages'!$J$8:$Q$80,BX165)+COUNTIF('Knock Out Stages'!$K$7:$R$45,BX165)</f>
        <v>1</v>
      </c>
      <c r="BZ165" s="253" t="str">
        <f t="shared" si="307"/>
        <v>'Player Database'!b12</v>
      </c>
      <c r="CA165" s="253" t="str">
        <f t="shared" ca="1" si="308"/>
        <v>Álvaro Morata</v>
      </c>
      <c r="CS165" s="252">
        <f t="shared" si="301"/>
        <v>162</v>
      </c>
      <c r="CT165" s="252">
        <f t="shared" si="302"/>
        <v>4</v>
      </c>
      <c r="CU165" s="252" t="str">
        <f t="shared" si="355"/>
        <v>CR39</v>
      </c>
      <c r="CV165" s="252" t="str">
        <f t="shared" ca="1" si="303"/>
        <v/>
      </c>
      <c r="CW165" s="252">
        <f t="shared" ca="1" si="312"/>
        <v>0</v>
      </c>
      <c r="CZ165" s="252">
        <v>162</v>
      </c>
      <c r="DA165" s="252" t="str">
        <f t="shared" ca="1" si="313"/>
        <v/>
      </c>
      <c r="DB165" s="252" t="str">
        <f t="shared" ca="1" si="406"/>
        <v/>
      </c>
      <c r="DC165" s="252" t="str">
        <f t="shared" ca="1" si="407"/>
        <v/>
      </c>
      <c r="DD165" s="252" t="str">
        <f t="shared" ca="1" si="408"/>
        <v/>
      </c>
    </row>
    <row r="166" spans="1:108" x14ac:dyDescent="0.2">
      <c r="BT166" s="253" t="str">
        <f t="shared" ca="1" si="405"/>
        <v>Spain</v>
      </c>
      <c r="BU166" s="253">
        <f t="shared" si="354"/>
        <v>164</v>
      </c>
      <c r="BV166" s="253" t="str">
        <f t="shared" si="304"/>
        <v>A10</v>
      </c>
      <c r="BW166" s="253">
        <f t="shared" si="305"/>
        <v>7</v>
      </c>
      <c r="BX166" s="253" t="str">
        <f t="shared" ca="1" si="306"/>
        <v>Fabián Ruiz</v>
      </c>
      <c r="BY166" s="253">
        <f ca="1">COUNTIF('Group Stages'!$J$8:$Q$80,BX166)+COUNTIF('Knock Out Stages'!$K$7:$R$45,BX166)</f>
        <v>1</v>
      </c>
      <c r="BZ166" s="253" t="str">
        <f t="shared" si="307"/>
        <v>'Player Database'!b13</v>
      </c>
      <c r="CA166" s="253" t="str">
        <f t="shared" ca="1" si="308"/>
        <v>Fabián Ruiz</v>
      </c>
      <c r="CS166" s="252">
        <f t="shared" si="301"/>
        <v>163</v>
      </c>
      <c r="CT166" s="252">
        <f t="shared" si="302"/>
        <v>4</v>
      </c>
      <c r="CU166" s="252" t="str">
        <f t="shared" si="355"/>
        <v>CR40</v>
      </c>
      <c r="CV166" s="252" t="str">
        <f t="shared" ca="1" si="303"/>
        <v/>
      </c>
      <c r="CW166" s="252">
        <f t="shared" ca="1" si="312"/>
        <v>0</v>
      </c>
      <c r="CZ166" s="252">
        <v>163</v>
      </c>
      <c r="DA166" s="252" t="str">
        <f t="shared" ca="1" si="313"/>
        <v/>
      </c>
      <c r="DB166" s="252" t="str">
        <f t="shared" ca="1" si="406"/>
        <v/>
      </c>
      <c r="DC166" s="252" t="str">
        <f t="shared" ca="1" si="407"/>
        <v/>
      </c>
      <c r="DD166" s="252" t="str">
        <f t="shared" ca="1" si="408"/>
        <v/>
      </c>
    </row>
    <row r="167" spans="1:108" x14ac:dyDescent="0.2">
      <c r="BT167" s="253" t="str">
        <f t="shared" ca="1" si="405"/>
        <v>Spain</v>
      </c>
      <c r="BU167" s="253">
        <f t="shared" si="354"/>
        <v>165</v>
      </c>
      <c r="BV167" s="253" t="str">
        <f t="shared" si="304"/>
        <v>A11</v>
      </c>
      <c r="BW167" s="253">
        <f t="shared" si="305"/>
        <v>7</v>
      </c>
      <c r="BX167" s="253" t="str">
        <f t="shared" ca="1" si="306"/>
        <v>Joselu</v>
      </c>
      <c r="BY167" s="253">
        <f ca="1">COUNTIF('Group Stages'!$J$8:$Q$80,BX167)+COUNTIF('Knock Out Stages'!$K$7:$R$45,BX167)</f>
        <v>0</v>
      </c>
      <c r="BZ167" s="253" t="str">
        <f t="shared" si="307"/>
        <v>'Player Database'!b14</v>
      </c>
      <c r="CA167" s="253" t="str">
        <f t="shared" ca="1" si="308"/>
        <v>Joselu</v>
      </c>
      <c r="CS167" s="252">
        <f t="shared" si="301"/>
        <v>164</v>
      </c>
      <c r="CT167" s="252">
        <f t="shared" si="302"/>
        <v>4</v>
      </c>
      <c r="CU167" s="252" t="str">
        <f t="shared" si="355"/>
        <v>CR41</v>
      </c>
      <c r="CV167" s="252" t="str">
        <f t="shared" ca="1" si="303"/>
        <v/>
      </c>
      <c r="CW167" s="252">
        <f t="shared" ca="1" si="312"/>
        <v>0</v>
      </c>
      <c r="CZ167" s="252">
        <v>164</v>
      </c>
      <c r="DA167" s="252" t="str">
        <f t="shared" ca="1" si="313"/>
        <v/>
      </c>
      <c r="DB167" s="252" t="str">
        <f t="shared" ca="1" si="406"/>
        <v/>
      </c>
      <c r="DC167" s="252" t="str">
        <f t="shared" ca="1" si="407"/>
        <v/>
      </c>
      <c r="DD167" s="252" t="str">
        <f t="shared" ca="1" si="408"/>
        <v/>
      </c>
    </row>
    <row r="168" spans="1:108" x14ac:dyDescent="0.2">
      <c r="BT168" s="253" t="str">
        <f t="shared" ca="1" si="405"/>
        <v>Spain</v>
      </c>
      <c r="BU168" s="253">
        <f t="shared" si="354"/>
        <v>166</v>
      </c>
      <c r="BV168" s="253" t="str">
        <f t="shared" si="304"/>
        <v>A12</v>
      </c>
      <c r="BW168" s="253">
        <f t="shared" si="305"/>
        <v>7</v>
      </c>
      <c r="BX168" s="253" t="str">
        <f t="shared" ca="1" si="306"/>
        <v>Dani Olmo</v>
      </c>
      <c r="BY168" s="253">
        <f ca="1">COUNTIF('Group Stages'!$J$8:$Q$80,BX168)+COUNTIF('Knock Out Stages'!$K$7:$R$45,BX168)</f>
        <v>0</v>
      </c>
      <c r="BZ168" s="253" t="str">
        <f t="shared" si="307"/>
        <v>'Player Database'!b15</v>
      </c>
      <c r="CA168" s="253" t="str">
        <f t="shared" ca="1" si="308"/>
        <v>Dani Olmo</v>
      </c>
      <c r="CS168" s="252">
        <f t="shared" si="301"/>
        <v>165</v>
      </c>
      <c r="CT168" s="252">
        <f t="shared" si="302"/>
        <v>4</v>
      </c>
      <c r="CU168" s="252" t="str">
        <f t="shared" si="355"/>
        <v>CR42</v>
      </c>
      <c r="CV168" s="252" t="str">
        <f t="shared" ca="1" si="303"/>
        <v/>
      </c>
      <c r="CW168" s="252">
        <f t="shared" ca="1" si="312"/>
        <v>0</v>
      </c>
      <c r="CZ168" s="252">
        <v>165</v>
      </c>
      <c r="DA168" s="252" t="str">
        <f t="shared" ca="1" si="313"/>
        <v/>
      </c>
      <c r="DB168" s="252" t="str">
        <f t="shared" ca="1" si="406"/>
        <v/>
      </c>
      <c r="DC168" s="252" t="str">
        <f t="shared" ca="1" si="407"/>
        <v/>
      </c>
      <c r="DD168" s="252" t="str">
        <f t="shared" ca="1" si="408"/>
        <v/>
      </c>
    </row>
    <row r="169" spans="1:108" x14ac:dyDescent="0.2">
      <c r="BT169" s="253" t="str">
        <f t="shared" ca="1" si="405"/>
        <v>Spain</v>
      </c>
      <c r="BU169" s="253">
        <f t="shared" si="354"/>
        <v>167</v>
      </c>
      <c r="BV169" s="253" t="str">
        <f t="shared" si="304"/>
        <v>A13</v>
      </c>
      <c r="BW169" s="253">
        <f t="shared" si="305"/>
        <v>7</v>
      </c>
      <c r="BX169" s="253" t="str">
        <f t="shared" ca="1" si="306"/>
        <v>Ferran Torres</v>
      </c>
      <c r="BY169" s="253">
        <f ca="1">COUNTIF('Group Stages'!$J$8:$Q$80,BX169)+COUNTIF('Knock Out Stages'!$K$7:$R$45,BX169)</f>
        <v>0</v>
      </c>
      <c r="BZ169" s="253" t="str">
        <f t="shared" si="307"/>
        <v>'Player Database'!b16</v>
      </c>
      <c r="CA169" s="253" t="str">
        <f t="shared" ca="1" si="308"/>
        <v>Ferran Torres</v>
      </c>
      <c r="CS169" s="252">
        <f t="shared" si="301"/>
        <v>166</v>
      </c>
      <c r="CT169" s="252">
        <f t="shared" si="302"/>
        <v>4</v>
      </c>
      <c r="CU169" s="252" t="str">
        <f t="shared" si="355"/>
        <v>CR43</v>
      </c>
      <c r="CV169" s="252" t="str">
        <f t="shared" ca="1" si="303"/>
        <v/>
      </c>
      <c r="CW169" s="252">
        <f t="shared" ca="1" si="312"/>
        <v>0</v>
      </c>
      <c r="CZ169" s="252">
        <v>166</v>
      </c>
      <c r="DA169" s="252" t="str">
        <f t="shared" ca="1" si="313"/>
        <v/>
      </c>
      <c r="DB169" s="252" t="str">
        <f t="shared" ca="1" si="406"/>
        <v/>
      </c>
      <c r="DC169" s="252" t="str">
        <f t="shared" ca="1" si="407"/>
        <v/>
      </c>
      <c r="DD169" s="252" t="str">
        <f t="shared" ca="1" si="408"/>
        <v/>
      </c>
    </row>
    <row r="170" spans="1:108" x14ac:dyDescent="0.2">
      <c r="BT170" s="253" t="str">
        <f t="shared" ca="1" si="405"/>
        <v>Spain</v>
      </c>
      <c r="BU170" s="253">
        <f t="shared" si="354"/>
        <v>168</v>
      </c>
      <c r="BV170" s="253" t="str">
        <f t="shared" si="304"/>
        <v>A14</v>
      </c>
      <c r="BW170" s="253">
        <f t="shared" si="305"/>
        <v>7</v>
      </c>
      <c r="BX170" s="253" t="str">
        <f t="shared" ca="1" si="306"/>
        <v>Álex Grimaldo</v>
      </c>
      <c r="BY170" s="253">
        <f ca="1">COUNTIF('Group Stages'!$J$8:$Q$80,BX170)+COUNTIF('Knock Out Stages'!$K$7:$R$45,BX170)</f>
        <v>0</v>
      </c>
      <c r="BZ170" s="253" t="str">
        <f t="shared" si="307"/>
        <v>'Player Database'!b17</v>
      </c>
      <c r="CA170" s="253" t="str">
        <f t="shared" ca="1" si="308"/>
        <v>Álex Grimaldo</v>
      </c>
      <c r="CS170" s="252">
        <f t="shared" si="301"/>
        <v>167</v>
      </c>
      <c r="CT170" s="252">
        <f t="shared" si="302"/>
        <v>4</v>
      </c>
      <c r="CU170" s="252" t="str">
        <f t="shared" si="355"/>
        <v>CR44</v>
      </c>
      <c r="CV170" s="252" t="str">
        <f t="shared" ca="1" si="303"/>
        <v/>
      </c>
      <c r="CW170" s="252">
        <f t="shared" ca="1" si="312"/>
        <v>0</v>
      </c>
      <c r="CZ170" s="252">
        <v>167</v>
      </c>
      <c r="DA170" s="252" t="str">
        <f t="shared" ca="1" si="313"/>
        <v/>
      </c>
      <c r="DB170" s="252" t="str">
        <f t="shared" ca="1" si="406"/>
        <v/>
      </c>
      <c r="DC170" s="252" t="str">
        <f t="shared" ca="1" si="407"/>
        <v/>
      </c>
      <c r="DD170" s="252" t="str">
        <f t="shared" ca="1" si="408"/>
        <v/>
      </c>
    </row>
    <row r="171" spans="1:108" x14ac:dyDescent="0.2">
      <c r="BT171" s="253" t="str">
        <f t="shared" ca="1" si="405"/>
        <v>Spain</v>
      </c>
      <c r="BU171" s="253">
        <f t="shared" si="354"/>
        <v>169</v>
      </c>
      <c r="BV171" s="253" t="str">
        <f t="shared" si="304"/>
        <v>A15</v>
      </c>
      <c r="BW171" s="253">
        <f t="shared" si="305"/>
        <v>7</v>
      </c>
      <c r="BX171" s="253" t="str">
        <f t="shared" ca="1" si="306"/>
        <v>Álex Remiro</v>
      </c>
      <c r="BY171" s="253">
        <f ca="1">COUNTIF('Group Stages'!$J$8:$Q$80,BX171)+COUNTIF('Knock Out Stages'!$K$7:$R$45,BX171)</f>
        <v>0</v>
      </c>
      <c r="BZ171" s="253" t="str">
        <f t="shared" si="307"/>
        <v>'Player Database'!b18</v>
      </c>
      <c r="CA171" s="253" t="str">
        <f t="shared" ca="1" si="308"/>
        <v>Álex Remiro</v>
      </c>
      <c r="CS171" s="252">
        <f t="shared" si="301"/>
        <v>168</v>
      </c>
      <c r="CT171" s="252">
        <f t="shared" si="302"/>
        <v>4</v>
      </c>
      <c r="CU171" s="252" t="str">
        <f t="shared" si="355"/>
        <v>CR45</v>
      </c>
      <c r="CV171" s="252" t="str">
        <f t="shared" ca="1" si="303"/>
        <v/>
      </c>
      <c r="CW171" s="252">
        <f t="shared" ca="1" si="312"/>
        <v>0</v>
      </c>
      <c r="CZ171" s="252">
        <v>168</v>
      </c>
      <c r="DA171" s="252" t="str">
        <f t="shared" ca="1" si="313"/>
        <v/>
      </c>
      <c r="DB171" s="252" t="str">
        <f t="shared" ca="1" si="406"/>
        <v/>
      </c>
      <c r="DC171" s="252" t="str">
        <f t="shared" ca="1" si="407"/>
        <v/>
      </c>
      <c r="DD171" s="252" t="str">
        <f t="shared" ca="1" si="408"/>
        <v/>
      </c>
    </row>
    <row r="172" spans="1:108" x14ac:dyDescent="0.2">
      <c r="BT172" s="253" t="str">
        <f t="shared" ca="1" si="405"/>
        <v>Spain</v>
      </c>
      <c r="BU172" s="253">
        <f t="shared" si="354"/>
        <v>170</v>
      </c>
      <c r="BV172" s="253" t="str">
        <f t="shared" si="304"/>
        <v>A16</v>
      </c>
      <c r="BW172" s="253">
        <f t="shared" si="305"/>
        <v>7</v>
      </c>
      <c r="BX172" s="253" t="str">
        <f t="shared" ca="1" si="306"/>
        <v>Aymeric Laporte</v>
      </c>
      <c r="BY172" s="253">
        <f ca="1">COUNTIF('Group Stages'!$J$8:$Q$80,BX172)+COUNTIF('Knock Out Stages'!$K$7:$R$45,BX172)</f>
        <v>0</v>
      </c>
      <c r="BZ172" s="253" t="str">
        <f t="shared" si="307"/>
        <v>'Player Database'!b19</v>
      </c>
      <c r="CA172" s="253" t="str">
        <f t="shared" ca="1" si="308"/>
        <v>Aymeric Laporte</v>
      </c>
      <c r="CS172" s="252">
        <f t="shared" si="301"/>
        <v>169</v>
      </c>
      <c r="CT172" s="252">
        <f t="shared" si="302"/>
        <v>5</v>
      </c>
      <c r="CU172" s="252" t="str">
        <f t="shared" si="355"/>
        <v>CR4</v>
      </c>
      <c r="CV172" s="252" t="str">
        <f t="shared" ca="1" si="303"/>
        <v/>
      </c>
      <c r="CW172" s="252">
        <f t="shared" ca="1" si="312"/>
        <v>0</v>
      </c>
      <c r="CZ172" s="252">
        <v>169</v>
      </c>
      <c r="DA172" s="252" t="str">
        <f t="shared" ca="1" si="313"/>
        <v/>
      </c>
      <c r="DB172" s="252" t="str">
        <f t="shared" ca="1" si="406"/>
        <v/>
      </c>
      <c r="DC172" s="252" t="str">
        <f t="shared" ca="1" si="407"/>
        <v/>
      </c>
      <c r="DD172" s="252" t="str">
        <f t="shared" ca="1" si="408"/>
        <v/>
      </c>
    </row>
    <row r="173" spans="1:108" x14ac:dyDescent="0.2">
      <c r="BT173" s="253" t="str">
        <f t="shared" ca="1" si="405"/>
        <v>Spain</v>
      </c>
      <c r="BU173" s="253">
        <f t="shared" si="354"/>
        <v>171</v>
      </c>
      <c r="BV173" s="253" t="str">
        <f t="shared" si="304"/>
        <v>A17</v>
      </c>
      <c r="BW173" s="253">
        <f t="shared" si="305"/>
        <v>7</v>
      </c>
      <c r="BX173" s="253" t="str">
        <f t="shared" ca="1" si="306"/>
        <v>Álex Baena</v>
      </c>
      <c r="BY173" s="253">
        <f ca="1">COUNTIF('Group Stages'!$J$8:$Q$80,BX173)+COUNTIF('Knock Out Stages'!$K$7:$R$45,BX173)</f>
        <v>0</v>
      </c>
      <c r="BZ173" s="253" t="str">
        <f t="shared" si="307"/>
        <v>'Player Database'!b20</v>
      </c>
      <c r="CA173" s="253" t="str">
        <f t="shared" ca="1" si="308"/>
        <v>Álex Baena</v>
      </c>
      <c r="CS173" s="252">
        <f t="shared" si="301"/>
        <v>170</v>
      </c>
      <c r="CT173" s="252">
        <f t="shared" si="302"/>
        <v>5</v>
      </c>
      <c r="CU173" s="252" t="str">
        <f t="shared" si="355"/>
        <v>CR5</v>
      </c>
      <c r="CV173" s="252" t="str">
        <f t="shared" ca="1" si="303"/>
        <v/>
      </c>
      <c r="CW173" s="252">
        <f t="shared" ca="1" si="312"/>
        <v>0</v>
      </c>
      <c r="CZ173" s="252">
        <v>170</v>
      </c>
      <c r="DA173" s="252" t="str">
        <f t="shared" ca="1" si="313"/>
        <v/>
      </c>
      <c r="DB173" s="252" t="str">
        <f t="shared" ca="1" si="406"/>
        <v/>
      </c>
      <c r="DC173" s="252" t="str">
        <f t="shared" ca="1" si="407"/>
        <v/>
      </c>
      <c r="DD173" s="252" t="str">
        <f t="shared" ca="1" si="408"/>
        <v/>
      </c>
    </row>
    <row r="174" spans="1:108" x14ac:dyDescent="0.2">
      <c r="BT174" s="253" t="str">
        <f t="shared" ca="1" si="405"/>
        <v>Spain</v>
      </c>
      <c r="BU174" s="253">
        <f t="shared" si="354"/>
        <v>172</v>
      </c>
      <c r="BV174" s="253" t="str">
        <f t="shared" si="304"/>
        <v>A18</v>
      </c>
      <c r="BW174" s="253">
        <f t="shared" si="305"/>
        <v>7</v>
      </c>
      <c r="BX174" s="253" t="str">
        <f t="shared" ca="1" si="306"/>
        <v>Rodri</v>
      </c>
      <c r="BY174" s="253">
        <f ca="1">COUNTIF('Group Stages'!$J$8:$Q$80,BX174)+COUNTIF('Knock Out Stages'!$K$7:$R$45,BX174)</f>
        <v>0</v>
      </c>
      <c r="BZ174" s="253" t="str">
        <f t="shared" si="307"/>
        <v>'Player Database'!b21</v>
      </c>
      <c r="CA174" s="253" t="str">
        <f t="shared" ca="1" si="308"/>
        <v>Rodri</v>
      </c>
      <c r="CS174" s="252">
        <f t="shared" si="301"/>
        <v>171</v>
      </c>
      <c r="CT174" s="252">
        <f t="shared" si="302"/>
        <v>5</v>
      </c>
      <c r="CU174" s="252" t="str">
        <f t="shared" si="355"/>
        <v>CR6</v>
      </c>
      <c r="CV174" s="252" t="str">
        <f t="shared" ca="1" si="303"/>
        <v/>
      </c>
      <c r="CW174" s="252">
        <f t="shared" ca="1" si="312"/>
        <v>0</v>
      </c>
      <c r="CZ174" s="252">
        <v>171</v>
      </c>
      <c r="DA174" s="252" t="str">
        <f t="shared" ca="1" si="313"/>
        <v/>
      </c>
      <c r="DB174" s="252" t="str">
        <f t="shared" ca="1" si="406"/>
        <v/>
      </c>
      <c r="DC174" s="252" t="str">
        <f t="shared" ca="1" si="407"/>
        <v/>
      </c>
      <c r="DD174" s="252" t="str">
        <f t="shared" ca="1" si="408"/>
        <v/>
      </c>
    </row>
    <row r="175" spans="1:108" x14ac:dyDescent="0.2">
      <c r="BT175" s="253" t="str">
        <f t="shared" ca="1" si="405"/>
        <v>Spain</v>
      </c>
      <c r="BU175" s="253">
        <f t="shared" si="354"/>
        <v>173</v>
      </c>
      <c r="BV175" s="253" t="str">
        <f t="shared" si="304"/>
        <v>A19</v>
      </c>
      <c r="BW175" s="253">
        <f t="shared" si="305"/>
        <v>7</v>
      </c>
      <c r="BX175" s="253" t="str">
        <f t="shared" ca="1" si="306"/>
        <v>Nico Williams</v>
      </c>
      <c r="BY175" s="253">
        <f ca="1">COUNTIF('Group Stages'!$J$8:$Q$80,BX175)+COUNTIF('Knock Out Stages'!$K$7:$R$45,BX175)</f>
        <v>0</v>
      </c>
      <c r="BZ175" s="253" t="str">
        <f t="shared" si="307"/>
        <v>'Player Database'!b22</v>
      </c>
      <c r="CA175" s="253" t="str">
        <f t="shared" ca="1" si="308"/>
        <v>Nico Williams</v>
      </c>
      <c r="CS175" s="252">
        <f t="shared" si="301"/>
        <v>172</v>
      </c>
      <c r="CT175" s="252">
        <f t="shared" si="302"/>
        <v>5</v>
      </c>
      <c r="CU175" s="252" t="str">
        <f t="shared" si="355"/>
        <v>CR7</v>
      </c>
      <c r="CV175" s="252" t="str">
        <f t="shared" ca="1" si="303"/>
        <v/>
      </c>
      <c r="CW175" s="252">
        <f t="shared" ca="1" si="312"/>
        <v>0</v>
      </c>
      <c r="CZ175" s="252">
        <v>172</v>
      </c>
      <c r="DA175" s="252" t="str">
        <f t="shared" ca="1" si="313"/>
        <v/>
      </c>
      <c r="DB175" s="252" t="str">
        <f t="shared" ca="1" si="406"/>
        <v/>
      </c>
      <c r="DC175" s="252" t="str">
        <f t="shared" ca="1" si="407"/>
        <v/>
      </c>
      <c r="DD175" s="252" t="str">
        <f t="shared" ca="1" si="408"/>
        <v/>
      </c>
    </row>
    <row r="176" spans="1:108" x14ac:dyDescent="0.2">
      <c r="BT176" s="253" t="str">
        <f t="shared" ca="1" si="405"/>
        <v>Spain</v>
      </c>
      <c r="BU176" s="253">
        <f t="shared" si="354"/>
        <v>174</v>
      </c>
      <c r="BV176" s="253" t="str">
        <f t="shared" si="304"/>
        <v>A20</v>
      </c>
      <c r="BW176" s="253">
        <f t="shared" si="305"/>
        <v>7</v>
      </c>
      <c r="BX176" s="253" t="str">
        <f t="shared" ca="1" si="306"/>
        <v>Martín Zubimendi</v>
      </c>
      <c r="BY176" s="253">
        <f ca="1">COUNTIF('Group Stages'!$J$8:$Q$80,BX176)+COUNTIF('Knock Out Stages'!$K$7:$R$45,BX176)</f>
        <v>0</v>
      </c>
      <c r="BZ176" s="253" t="str">
        <f t="shared" si="307"/>
        <v>'Player Database'!b23</v>
      </c>
      <c r="CA176" s="253" t="str">
        <f t="shared" ca="1" si="308"/>
        <v>Martín Zubimendi</v>
      </c>
      <c r="CS176" s="252">
        <f t="shared" ref="CS176:CS239" si="409">CS175+1</f>
        <v>173</v>
      </c>
      <c r="CT176" s="252">
        <f t="shared" ref="CT176:CT239" si="410">CT134+1</f>
        <v>5</v>
      </c>
      <c r="CU176" s="252" t="str">
        <f t="shared" si="355"/>
        <v>CR8</v>
      </c>
      <c r="CV176" s="252" t="str">
        <f t="shared" ref="CV176:CV239" ca="1" si="411">OFFSET(INDIRECT(CU176),0,-CT176)</f>
        <v/>
      </c>
      <c r="CW176" s="252">
        <f t="shared" ca="1" si="312"/>
        <v>0</v>
      </c>
      <c r="CZ176" s="252">
        <v>173</v>
      </c>
      <c r="DA176" s="252" t="str">
        <f t="shared" ca="1" si="313"/>
        <v/>
      </c>
      <c r="DB176" s="252" t="str">
        <f t="shared" ca="1" si="406"/>
        <v/>
      </c>
      <c r="DC176" s="252" t="str">
        <f t="shared" ca="1" si="407"/>
        <v/>
      </c>
      <c r="DD176" s="252" t="str">
        <f t="shared" ca="1" si="408"/>
        <v/>
      </c>
    </row>
    <row r="177" spans="72:108" x14ac:dyDescent="0.2">
      <c r="BT177" s="253" t="str">
        <f t="shared" ca="1" si="405"/>
        <v>Spain</v>
      </c>
      <c r="BU177" s="253">
        <f t="shared" si="354"/>
        <v>175</v>
      </c>
      <c r="BV177" s="253" t="str">
        <f t="shared" si="304"/>
        <v>A21</v>
      </c>
      <c r="BW177" s="253">
        <f t="shared" si="305"/>
        <v>7</v>
      </c>
      <c r="BX177" s="253" t="str">
        <f t="shared" ca="1" si="306"/>
        <v>Lamine Yamal</v>
      </c>
      <c r="BY177" s="253">
        <f ca="1">COUNTIF('Group Stages'!$J$8:$Q$80,BX177)+COUNTIF('Knock Out Stages'!$K$7:$R$45,BX177)</f>
        <v>0</v>
      </c>
      <c r="BZ177" s="253" t="str">
        <f t="shared" si="307"/>
        <v>'Player Database'!b24</v>
      </c>
      <c r="CA177" s="253" t="str">
        <f t="shared" ca="1" si="308"/>
        <v>Lamine Yamal</v>
      </c>
      <c r="CS177" s="252">
        <f t="shared" si="409"/>
        <v>174</v>
      </c>
      <c r="CT177" s="252">
        <f t="shared" si="410"/>
        <v>5</v>
      </c>
      <c r="CU177" s="252" t="str">
        <f t="shared" si="355"/>
        <v>CR9</v>
      </c>
      <c r="CV177" s="252" t="str">
        <f t="shared" ca="1" si="411"/>
        <v/>
      </c>
      <c r="CW177" s="252">
        <f t="shared" ca="1" si="312"/>
        <v>0</v>
      </c>
      <c r="CZ177" s="252">
        <v>174</v>
      </c>
      <c r="DA177" s="252" t="str">
        <f t="shared" ca="1" si="313"/>
        <v/>
      </c>
      <c r="DB177" s="252" t="str">
        <f t="shared" ca="1" si="406"/>
        <v/>
      </c>
      <c r="DC177" s="252" t="str">
        <f t="shared" ca="1" si="407"/>
        <v/>
      </c>
      <c r="DD177" s="252" t="str">
        <f t="shared" ca="1" si="408"/>
        <v/>
      </c>
    </row>
    <row r="178" spans="72:108" x14ac:dyDescent="0.2">
      <c r="BT178" s="253" t="str">
        <f t="shared" ca="1" si="405"/>
        <v>Spain</v>
      </c>
      <c r="BU178" s="253">
        <f t="shared" si="354"/>
        <v>176</v>
      </c>
      <c r="BV178" s="253" t="str">
        <f t="shared" si="304"/>
        <v>A22</v>
      </c>
      <c r="BW178" s="253">
        <f t="shared" si="305"/>
        <v>7</v>
      </c>
      <c r="BX178" s="253" t="str">
        <f t="shared" ca="1" si="306"/>
        <v>Pedri</v>
      </c>
      <c r="BY178" s="253">
        <f ca="1">COUNTIF('Group Stages'!$J$8:$Q$80,BX178)+COUNTIF('Knock Out Stages'!$K$7:$R$45,BX178)</f>
        <v>0</v>
      </c>
      <c r="BZ178" s="253" t="str">
        <f t="shared" si="307"/>
        <v>'Player Database'!b25</v>
      </c>
      <c r="CA178" s="253" t="str">
        <f t="shared" ca="1" si="308"/>
        <v>Pedri</v>
      </c>
      <c r="CS178" s="252">
        <f t="shared" si="409"/>
        <v>175</v>
      </c>
      <c r="CT178" s="252">
        <f t="shared" si="410"/>
        <v>5</v>
      </c>
      <c r="CU178" s="252" t="str">
        <f t="shared" si="355"/>
        <v>CR10</v>
      </c>
      <c r="CV178" s="252" t="str">
        <f t="shared" ca="1" si="411"/>
        <v/>
      </c>
      <c r="CW178" s="252">
        <f t="shared" ca="1" si="312"/>
        <v>0</v>
      </c>
      <c r="CZ178" s="252">
        <v>175</v>
      </c>
      <c r="DA178" s="252" t="str">
        <f t="shared" ca="1" si="313"/>
        <v/>
      </c>
      <c r="DB178" s="252" t="str">
        <f t="shared" ca="1" si="406"/>
        <v/>
      </c>
      <c r="DC178" s="252" t="str">
        <f t="shared" ca="1" si="407"/>
        <v/>
      </c>
      <c r="DD178" s="252" t="str">
        <f t="shared" ca="1" si="408"/>
        <v/>
      </c>
    </row>
    <row r="179" spans="72:108" x14ac:dyDescent="0.2">
      <c r="BT179" s="253" t="str">
        <f t="shared" ca="1" si="405"/>
        <v>Spain</v>
      </c>
      <c r="BU179" s="253">
        <f t="shared" si="354"/>
        <v>177</v>
      </c>
      <c r="BV179" s="253" t="str">
        <f t="shared" si="304"/>
        <v>A23</v>
      </c>
      <c r="BW179" s="253">
        <f t="shared" si="305"/>
        <v>7</v>
      </c>
      <c r="BX179" s="253" t="str">
        <f t="shared" ca="1" si="306"/>
        <v>Mikel Oyarzabal</v>
      </c>
      <c r="BY179" s="253">
        <f ca="1">COUNTIF('Group Stages'!$J$8:$Q$80,BX179)+COUNTIF('Knock Out Stages'!$K$7:$R$45,BX179)</f>
        <v>0</v>
      </c>
      <c r="BZ179" s="253" t="str">
        <f t="shared" si="307"/>
        <v>'Player Database'!b26</v>
      </c>
      <c r="CA179" s="253" t="str">
        <f t="shared" ca="1" si="308"/>
        <v>Mikel Oyarzabal</v>
      </c>
      <c r="CS179" s="252">
        <f t="shared" si="409"/>
        <v>176</v>
      </c>
      <c r="CT179" s="252">
        <f t="shared" si="410"/>
        <v>5</v>
      </c>
      <c r="CU179" s="252" t="str">
        <f t="shared" si="355"/>
        <v>CR11</v>
      </c>
      <c r="CV179" s="252" t="str">
        <f t="shared" ca="1" si="411"/>
        <v/>
      </c>
      <c r="CW179" s="252">
        <f t="shared" ca="1" si="312"/>
        <v>0</v>
      </c>
      <c r="CZ179" s="252">
        <v>176</v>
      </c>
      <c r="DA179" s="252" t="str">
        <f t="shared" ca="1" si="313"/>
        <v/>
      </c>
      <c r="DB179" s="252" t="str">
        <f t="shared" ca="1" si="406"/>
        <v/>
      </c>
      <c r="DC179" s="252" t="str">
        <f t="shared" ca="1" si="407"/>
        <v/>
      </c>
      <c r="DD179" s="252" t="str">
        <f t="shared" ca="1" si="408"/>
        <v/>
      </c>
    </row>
    <row r="180" spans="72:108" x14ac:dyDescent="0.2">
      <c r="BT180" s="253" t="str">
        <f t="shared" ca="1" si="405"/>
        <v>Spain</v>
      </c>
      <c r="BU180" s="253">
        <f t="shared" si="354"/>
        <v>178</v>
      </c>
      <c r="BV180" s="253" t="str">
        <f t="shared" si="304"/>
        <v>A24</v>
      </c>
      <c r="BW180" s="253">
        <f t="shared" si="305"/>
        <v>7</v>
      </c>
      <c r="BX180" s="253" t="str">
        <f t="shared" ca="1" si="306"/>
        <v>Jesús Navas</v>
      </c>
      <c r="BY180" s="253">
        <f ca="1">COUNTIF('Group Stages'!$J$8:$Q$80,BX180)+COUNTIF('Knock Out Stages'!$K$7:$R$45,BX180)</f>
        <v>0</v>
      </c>
      <c r="BZ180" s="253" t="str">
        <f t="shared" si="307"/>
        <v>'Player Database'!b27</v>
      </c>
      <c r="CA180" s="253" t="str">
        <f t="shared" ca="1" si="308"/>
        <v>Jesús Navas</v>
      </c>
      <c r="CS180" s="252">
        <f t="shared" si="409"/>
        <v>177</v>
      </c>
      <c r="CT180" s="252">
        <f t="shared" si="410"/>
        <v>5</v>
      </c>
      <c r="CU180" s="252" t="str">
        <f t="shared" si="355"/>
        <v>CR12</v>
      </c>
      <c r="CV180" s="252" t="str">
        <f t="shared" ca="1" si="411"/>
        <v/>
      </c>
      <c r="CW180" s="252">
        <f t="shared" ca="1" si="312"/>
        <v>0</v>
      </c>
      <c r="CZ180" s="252">
        <v>177</v>
      </c>
      <c r="DA180" s="252" t="str">
        <f t="shared" ca="1" si="313"/>
        <v/>
      </c>
      <c r="DB180" s="252" t="str">
        <f t="shared" ca="1" si="406"/>
        <v/>
      </c>
      <c r="DC180" s="252" t="str">
        <f t="shared" ca="1" si="407"/>
        <v/>
      </c>
      <c r="DD180" s="252" t="str">
        <f t="shared" ca="1" si="408"/>
        <v/>
      </c>
    </row>
    <row r="181" spans="72:108" x14ac:dyDescent="0.2">
      <c r="BT181" s="253" t="str">
        <f t="shared" ca="1" si="405"/>
        <v>Spain</v>
      </c>
      <c r="BU181" s="253">
        <f t="shared" si="354"/>
        <v>179</v>
      </c>
      <c r="BV181" s="253" t="str">
        <f t="shared" si="304"/>
        <v>A25</v>
      </c>
      <c r="BW181" s="253">
        <f t="shared" si="305"/>
        <v>7</v>
      </c>
      <c r="BX181" s="253" t="str">
        <f t="shared" ca="1" si="306"/>
        <v>Unai Simón</v>
      </c>
      <c r="BY181" s="253">
        <f ca="1">COUNTIF('Group Stages'!$J$8:$Q$80,BX181)+COUNTIF('Knock Out Stages'!$K$7:$R$45,BX181)</f>
        <v>0</v>
      </c>
      <c r="BZ181" s="253" t="str">
        <f t="shared" si="307"/>
        <v>'Player Database'!b28</v>
      </c>
      <c r="CA181" s="253" t="str">
        <f t="shared" ca="1" si="308"/>
        <v>Unai Simón</v>
      </c>
      <c r="CS181" s="252">
        <f t="shared" si="409"/>
        <v>178</v>
      </c>
      <c r="CT181" s="252">
        <f t="shared" si="410"/>
        <v>5</v>
      </c>
      <c r="CU181" s="252" t="str">
        <f t="shared" si="355"/>
        <v>CR13</v>
      </c>
      <c r="CV181" s="252" t="str">
        <f t="shared" ca="1" si="411"/>
        <v/>
      </c>
      <c r="CW181" s="252">
        <f t="shared" ca="1" si="312"/>
        <v>0</v>
      </c>
      <c r="CZ181" s="252">
        <v>178</v>
      </c>
      <c r="DA181" s="252" t="str">
        <f t="shared" ca="1" si="313"/>
        <v/>
      </c>
      <c r="DB181" s="252" t="str">
        <f t="shared" ca="1" si="406"/>
        <v/>
      </c>
      <c r="DC181" s="252" t="str">
        <f t="shared" ca="1" si="407"/>
        <v/>
      </c>
      <c r="DD181" s="252" t="str">
        <f t="shared" ca="1" si="408"/>
        <v/>
      </c>
    </row>
    <row r="182" spans="72:108" x14ac:dyDescent="0.2">
      <c r="BT182" s="253" t="str">
        <f t="shared" ca="1" si="405"/>
        <v>Spain</v>
      </c>
      <c r="BU182" s="253">
        <f t="shared" si="354"/>
        <v>180</v>
      </c>
      <c r="BV182" s="253" t="str">
        <f t="shared" si="304"/>
        <v>A26</v>
      </c>
      <c r="BW182" s="253">
        <f t="shared" si="305"/>
        <v>7</v>
      </c>
      <c r="BX182" s="253" t="str">
        <f t="shared" ca="1" si="306"/>
        <v>Marc Cucurella</v>
      </c>
      <c r="BY182" s="253">
        <f ca="1">COUNTIF('Group Stages'!$J$8:$Q$80,BX182)+COUNTIF('Knock Out Stages'!$K$7:$R$45,BX182)</f>
        <v>0</v>
      </c>
      <c r="BZ182" s="253" t="str">
        <f t="shared" si="307"/>
        <v>'Player Database'!b29</v>
      </c>
      <c r="CA182" s="253" t="str">
        <f t="shared" ca="1" si="308"/>
        <v>Marc Cucurella</v>
      </c>
      <c r="CS182" s="252">
        <f t="shared" si="409"/>
        <v>179</v>
      </c>
      <c r="CT182" s="252">
        <f t="shared" si="410"/>
        <v>5</v>
      </c>
      <c r="CU182" s="252" t="str">
        <f t="shared" si="355"/>
        <v>CR14</v>
      </c>
      <c r="CV182" s="252" t="str">
        <f t="shared" ca="1" si="411"/>
        <v/>
      </c>
      <c r="CW182" s="252">
        <f t="shared" ca="1" si="312"/>
        <v>0</v>
      </c>
      <c r="CZ182" s="252">
        <v>179</v>
      </c>
      <c r="DA182" s="252" t="str">
        <f t="shared" ca="1" si="313"/>
        <v/>
      </c>
      <c r="DB182" s="252" t="str">
        <f t="shared" ca="1" si="406"/>
        <v/>
      </c>
      <c r="DC182" s="252" t="str">
        <f t="shared" ca="1" si="407"/>
        <v/>
      </c>
      <c r="DD182" s="252" t="str">
        <f t="shared" ca="1" si="408"/>
        <v/>
      </c>
    </row>
    <row r="183" spans="72:108" x14ac:dyDescent="0.2">
      <c r="BT183" s="253" t="str">
        <f t="shared" ca="1" si="405"/>
        <v>Spain</v>
      </c>
      <c r="BU183" s="253">
        <f t="shared" si="354"/>
        <v>181</v>
      </c>
      <c r="BV183" s="253" t="str">
        <f t="shared" si="304"/>
        <v>A27</v>
      </c>
      <c r="BW183" s="253">
        <f t="shared" si="305"/>
        <v>7</v>
      </c>
      <c r="BX183" s="253" t="str">
        <f t="shared" ca="1" si="306"/>
        <v>Fermín López</v>
      </c>
      <c r="BY183" s="253">
        <f ca="1">COUNTIF('Group Stages'!$J$8:$Q$80,BX183)+COUNTIF('Knock Out Stages'!$K$7:$R$45,BX183)</f>
        <v>0</v>
      </c>
      <c r="BZ183" s="253" t="str">
        <f t="shared" si="307"/>
        <v>'Player Database'!b30</v>
      </c>
      <c r="CA183" s="253" t="str">
        <f t="shared" ca="1" si="308"/>
        <v>Fermín López</v>
      </c>
      <c r="CS183" s="252">
        <f t="shared" si="409"/>
        <v>180</v>
      </c>
      <c r="CT183" s="252">
        <f t="shared" si="410"/>
        <v>5</v>
      </c>
      <c r="CU183" s="252" t="str">
        <f t="shared" si="355"/>
        <v>CR15</v>
      </c>
      <c r="CV183" s="252" t="str">
        <f t="shared" ca="1" si="411"/>
        <v/>
      </c>
      <c r="CW183" s="252">
        <f t="shared" ca="1" si="312"/>
        <v>0</v>
      </c>
      <c r="CZ183" s="252">
        <v>180</v>
      </c>
      <c r="DA183" s="252" t="str">
        <f t="shared" ca="1" si="313"/>
        <v/>
      </c>
      <c r="DB183" s="252" t="str">
        <f t="shared" ca="1" si="406"/>
        <v/>
      </c>
      <c r="DC183" s="252" t="str">
        <f t="shared" ca="1" si="407"/>
        <v/>
      </c>
      <c r="DD183" s="252" t="str">
        <f t="shared" ca="1" si="408"/>
        <v/>
      </c>
    </row>
    <row r="184" spans="72:108" x14ac:dyDescent="0.2">
      <c r="BT184" s="253" t="str">
        <f t="shared" ca="1" si="405"/>
        <v>Spain</v>
      </c>
      <c r="BU184" s="253">
        <f t="shared" si="354"/>
        <v>182</v>
      </c>
      <c r="BV184" s="253" t="str">
        <f t="shared" ref="BV184:BV247" si="412">BV158</f>
        <v>A28</v>
      </c>
      <c r="BW184" s="253">
        <f t="shared" ref="BW184:BW247" si="413">BW158+1</f>
        <v>7</v>
      </c>
      <c r="BX184" s="253" t="str">
        <f t="shared" ref="BX184:BX247" ca="1" si="414">OFFSET(INDIRECT(BV184),0,BW184)</f>
        <v>Ayoze Pérez</v>
      </c>
      <c r="BY184" s="253">
        <f ca="1">COUNTIF('Group Stages'!$J$8:$Q$80,BX184)+COUNTIF('Knock Out Stages'!$K$7:$R$45,BX184)</f>
        <v>0</v>
      </c>
      <c r="BZ184" s="253" t="str">
        <f t="shared" ref="BZ184:BZ247" si="415">BZ158</f>
        <v>'Player Database'!b31</v>
      </c>
      <c r="CA184" s="253" t="str">
        <f t="shared" ref="CA184:CA247" ca="1" si="416">OFFSET(INDIRECT(BZ184),0,BW184)</f>
        <v>Ayoze Pérez</v>
      </c>
      <c r="CS184" s="252">
        <f t="shared" si="409"/>
        <v>181</v>
      </c>
      <c r="CT184" s="252">
        <f t="shared" si="410"/>
        <v>5</v>
      </c>
      <c r="CU184" s="252" t="str">
        <f t="shared" si="355"/>
        <v>CR16</v>
      </c>
      <c r="CV184" s="252" t="str">
        <f t="shared" ca="1" si="411"/>
        <v/>
      </c>
      <c r="CW184" s="252">
        <f t="shared" ca="1" si="312"/>
        <v>0</v>
      </c>
      <c r="CZ184" s="252">
        <v>181</v>
      </c>
      <c r="DA184" s="252" t="str">
        <f t="shared" ca="1" si="313"/>
        <v/>
      </c>
      <c r="DB184" s="252" t="str">
        <f t="shared" ca="1" si="406"/>
        <v/>
      </c>
      <c r="DC184" s="252" t="str">
        <f t="shared" ca="1" si="407"/>
        <v/>
      </c>
      <c r="DD184" s="252" t="str">
        <f t="shared" ca="1" si="408"/>
        <v/>
      </c>
    </row>
    <row r="185" spans="72:108" x14ac:dyDescent="0.2">
      <c r="BT185" s="253" t="str">
        <f t="shared" ca="1" si="405"/>
        <v>Croatia</v>
      </c>
      <c r="BU185" s="253">
        <f t="shared" si="354"/>
        <v>183</v>
      </c>
      <c r="BV185" s="253" t="str">
        <f t="shared" si="412"/>
        <v>A3</v>
      </c>
      <c r="BW185" s="253">
        <f t="shared" si="413"/>
        <v>8</v>
      </c>
      <c r="BX185" s="253" t="str">
        <f t="shared" ca="1" si="414"/>
        <v>Dominik Livaković</v>
      </c>
      <c r="BY185" s="253">
        <f ca="1">COUNTIF('Group Stages'!$J$8:$Q$80,BX185)+COUNTIF('Knock Out Stages'!$K$7:$R$45,BX185)</f>
        <v>0</v>
      </c>
      <c r="BZ185" s="253" t="str">
        <f t="shared" si="415"/>
        <v>'Player Database'!b6</v>
      </c>
      <c r="CA185" s="253" t="str">
        <f t="shared" ca="1" si="416"/>
        <v>Dominik Livaković</v>
      </c>
      <c r="CS185" s="252">
        <f t="shared" si="409"/>
        <v>182</v>
      </c>
      <c r="CT185" s="252">
        <f t="shared" si="410"/>
        <v>5</v>
      </c>
      <c r="CU185" s="252" t="str">
        <f t="shared" si="355"/>
        <v>CR17</v>
      </c>
      <c r="CV185" s="252" t="str">
        <f t="shared" ca="1" si="411"/>
        <v/>
      </c>
      <c r="CW185" s="252">
        <f t="shared" ca="1" si="312"/>
        <v>0</v>
      </c>
      <c r="CZ185" s="252">
        <v>182</v>
      </c>
      <c r="DA185" s="252" t="str">
        <f t="shared" ca="1" si="313"/>
        <v/>
      </c>
      <c r="DB185" s="252" t="str">
        <f t="shared" ca="1" si="406"/>
        <v/>
      </c>
      <c r="DC185" s="252" t="str">
        <f t="shared" ca="1" si="407"/>
        <v/>
      </c>
      <c r="DD185" s="252" t="str">
        <f t="shared" ca="1" si="408"/>
        <v/>
      </c>
    </row>
    <row r="186" spans="72:108" x14ac:dyDescent="0.2">
      <c r="BT186" s="253" t="str">
        <f t="shared" ca="1" si="405"/>
        <v>Croatia</v>
      </c>
      <c r="BU186" s="253">
        <f t="shared" si="354"/>
        <v>184</v>
      </c>
      <c r="BV186" s="253" t="str">
        <f t="shared" si="412"/>
        <v>A4</v>
      </c>
      <c r="BW186" s="253">
        <f t="shared" si="413"/>
        <v>8</v>
      </c>
      <c r="BX186" s="253" t="str">
        <f t="shared" ca="1" si="414"/>
        <v>Josip Stanišić</v>
      </c>
      <c r="BY186" s="253">
        <f ca="1">COUNTIF('Group Stages'!$J$8:$Q$80,BX186)+COUNTIF('Knock Out Stages'!$K$7:$R$45,BX186)</f>
        <v>0</v>
      </c>
      <c r="BZ186" s="253" t="str">
        <f t="shared" si="415"/>
        <v>'Player Database'!b7</v>
      </c>
      <c r="CA186" s="253" t="str">
        <f t="shared" ca="1" si="416"/>
        <v>Josip Stanišić</v>
      </c>
      <c r="CS186" s="252">
        <f t="shared" si="409"/>
        <v>183</v>
      </c>
      <c r="CT186" s="252">
        <f t="shared" si="410"/>
        <v>5</v>
      </c>
      <c r="CU186" s="252" t="str">
        <f t="shared" si="355"/>
        <v>CR18</v>
      </c>
      <c r="CV186" s="252" t="str">
        <f t="shared" ca="1" si="411"/>
        <v/>
      </c>
      <c r="CW186" s="252">
        <f t="shared" ca="1" si="312"/>
        <v>0</v>
      </c>
      <c r="CZ186" s="252">
        <v>183</v>
      </c>
      <c r="DA186" s="252" t="str">
        <f t="shared" ca="1" si="313"/>
        <v/>
      </c>
      <c r="DB186" s="252" t="str">
        <f t="shared" ca="1" si="406"/>
        <v/>
      </c>
      <c r="DC186" s="252" t="str">
        <f t="shared" ca="1" si="407"/>
        <v/>
      </c>
      <c r="DD186" s="252" t="str">
        <f t="shared" ca="1" si="408"/>
        <v/>
      </c>
    </row>
    <row r="187" spans="72:108" x14ac:dyDescent="0.2">
      <c r="BT187" s="253" t="str">
        <f t="shared" ca="1" si="405"/>
        <v>Croatia</v>
      </c>
      <c r="BU187" s="253">
        <f t="shared" si="354"/>
        <v>185</v>
      </c>
      <c r="BV187" s="253" t="str">
        <f t="shared" si="412"/>
        <v>A5</v>
      </c>
      <c r="BW187" s="253">
        <f t="shared" si="413"/>
        <v>8</v>
      </c>
      <c r="BX187" s="253" t="str">
        <f t="shared" ca="1" si="414"/>
        <v>Marin Pongračić</v>
      </c>
      <c r="BY187" s="253">
        <f ca="1">COUNTIF('Group Stages'!$J$8:$Q$80,BX187)+COUNTIF('Knock Out Stages'!$K$7:$R$45,BX187)</f>
        <v>0</v>
      </c>
      <c r="BZ187" s="253" t="str">
        <f t="shared" si="415"/>
        <v>'Player Database'!b8</v>
      </c>
      <c r="CA187" s="253" t="str">
        <f t="shared" ca="1" si="416"/>
        <v>Marin Pongračić</v>
      </c>
      <c r="CS187" s="252">
        <f t="shared" si="409"/>
        <v>184</v>
      </c>
      <c r="CT187" s="252">
        <f t="shared" si="410"/>
        <v>5</v>
      </c>
      <c r="CU187" s="252" t="str">
        <f t="shared" si="355"/>
        <v>CR19</v>
      </c>
      <c r="CV187" s="252" t="str">
        <f t="shared" ca="1" si="411"/>
        <v/>
      </c>
      <c r="CW187" s="252">
        <f t="shared" ca="1" si="312"/>
        <v>0</v>
      </c>
      <c r="CZ187" s="252">
        <v>184</v>
      </c>
      <c r="DA187" s="252" t="str">
        <f t="shared" ca="1" si="313"/>
        <v/>
      </c>
      <c r="DB187" s="252" t="str">
        <f t="shared" ca="1" si="406"/>
        <v/>
      </c>
      <c r="DC187" s="252" t="str">
        <f t="shared" ca="1" si="407"/>
        <v/>
      </c>
      <c r="DD187" s="252" t="str">
        <f t="shared" ca="1" si="408"/>
        <v/>
      </c>
    </row>
    <row r="188" spans="72:108" x14ac:dyDescent="0.2">
      <c r="BT188" s="253" t="str">
        <f t="shared" ca="1" si="405"/>
        <v>Croatia</v>
      </c>
      <c r="BU188" s="253">
        <f t="shared" si="354"/>
        <v>186</v>
      </c>
      <c r="BV188" s="253" t="str">
        <f t="shared" si="412"/>
        <v>A6</v>
      </c>
      <c r="BW188" s="253">
        <f t="shared" si="413"/>
        <v>8</v>
      </c>
      <c r="BX188" s="253" t="str">
        <f t="shared" ca="1" si="414"/>
        <v>Joško Gvardiol</v>
      </c>
      <c r="BY188" s="253">
        <f ca="1">COUNTIF('Group Stages'!$J$8:$Q$80,BX188)+COUNTIF('Knock Out Stages'!$K$7:$R$45,BX188)</f>
        <v>0</v>
      </c>
      <c r="BZ188" s="253" t="str">
        <f t="shared" si="415"/>
        <v>'Player Database'!b9</v>
      </c>
      <c r="CA188" s="253" t="str">
        <f t="shared" ca="1" si="416"/>
        <v>Joško Gvardiol</v>
      </c>
      <c r="CS188" s="252">
        <f t="shared" si="409"/>
        <v>185</v>
      </c>
      <c r="CT188" s="252">
        <f t="shared" si="410"/>
        <v>5</v>
      </c>
      <c r="CU188" s="252" t="str">
        <f t="shared" si="355"/>
        <v>CR20</v>
      </c>
      <c r="CV188" s="252" t="str">
        <f t="shared" ca="1" si="411"/>
        <v/>
      </c>
      <c r="CW188" s="252">
        <f t="shared" ca="1" si="312"/>
        <v>0</v>
      </c>
      <c r="CZ188" s="252">
        <v>185</v>
      </c>
      <c r="DA188" s="252" t="str">
        <f t="shared" ca="1" si="313"/>
        <v/>
      </c>
      <c r="DB188" s="252" t="str">
        <f t="shared" ca="1" si="406"/>
        <v/>
      </c>
      <c r="DC188" s="252" t="str">
        <f t="shared" ca="1" si="407"/>
        <v/>
      </c>
      <c r="DD188" s="252" t="str">
        <f t="shared" ca="1" si="408"/>
        <v/>
      </c>
    </row>
    <row r="189" spans="72:108" x14ac:dyDescent="0.2">
      <c r="BT189" s="253" t="str">
        <f t="shared" ca="1" si="405"/>
        <v>Croatia</v>
      </c>
      <c r="BU189" s="253">
        <f t="shared" si="354"/>
        <v>187</v>
      </c>
      <c r="BV189" s="253" t="str">
        <f t="shared" si="412"/>
        <v>A7</v>
      </c>
      <c r="BW189" s="253">
        <f t="shared" si="413"/>
        <v>8</v>
      </c>
      <c r="BX189" s="253" t="str">
        <f t="shared" ca="1" si="414"/>
        <v>Martin Erlić</v>
      </c>
      <c r="BY189" s="253">
        <f ca="1">COUNTIF('Group Stages'!$J$8:$Q$80,BX189)+COUNTIF('Knock Out Stages'!$K$7:$R$45,BX189)</f>
        <v>0</v>
      </c>
      <c r="BZ189" s="253" t="str">
        <f t="shared" si="415"/>
        <v>'Player Database'!b10</v>
      </c>
      <c r="CA189" s="253" t="str">
        <f t="shared" ca="1" si="416"/>
        <v>Martin Erlić</v>
      </c>
      <c r="CS189" s="252">
        <f t="shared" si="409"/>
        <v>186</v>
      </c>
      <c r="CT189" s="252">
        <f t="shared" si="410"/>
        <v>5</v>
      </c>
      <c r="CU189" s="252" t="str">
        <f t="shared" si="355"/>
        <v>CR21</v>
      </c>
      <c r="CV189" s="252" t="str">
        <f t="shared" ca="1" si="411"/>
        <v/>
      </c>
      <c r="CW189" s="252">
        <f t="shared" ca="1" si="312"/>
        <v>0</v>
      </c>
      <c r="CZ189" s="252">
        <v>186</v>
      </c>
      <c r="DA189" s="252" t="str">
        <f t="shared" ca="1" si="313"/>
        <v/>
      </c>
      <c r="DB189" s="252" t="str">
        <f t="shared" ca="1" si="406"/>
        <v/>
      </c>
      <c r="DC189" s="252" t="str">
        <f t="shared" ca="1" si="407"/>
        <v/>
      </c>
      <c r="DD189" s="252" t="str">
        <f t="shared" ca="1" si="408"/>
        <v/>
      </c>
    </row>
    <row r="190" spans="72:108" x14ac:dyDescent="0.2">
      <c r="BT190" s="253" t="str">
        <f t="shared" ca="1" si="405"/>
        <v>Croatia</v>
      </c>
      <c r="BU190" s="253">
        <f t="shared" si="354"/>
        <v>188</v>
      </c>
      <c r="BV190" s="253" t="str">
        <f t="shared" si="412"/>
        <v>A8</v>
      </c>
      <c r="BW190" s="253">
        <f t="shared" si="413"/>
        <v>8</v>
      </c>
      <c r="BX190" s="253" t="str">
        <f t="shared" ca="1" si="414"/>
        <v>Josip Šutalo</v>
      </c>
      <c r="BY190" s="253">
        <f ca="1">COUNTIF('Group Stages'!$J$8:$Q$80,BX190)+COUNTIF('Knock Out Stages'!$K$7:$R$45,BX190)</f>
        <v>0</v>
      </c>
      <c r="BZ190" s="253" t="str">
        <f t="shared" si="415"/>
        <v>'Player Database'!b11</v>
      </c>
      <c r="CA190" s="253" t="str">
        <f t="shared" ca="1" si="416"/>
        <v>Josip Šutalo</v>
      </c>
      <c r="CS190" s="252">
        <f t="shared" si="409"/>
        <v>187</v>
      </c>
      <c r="CT190" s="252">
        <f t="shared" si="410"/>
        <v>5</v>
      </c>
      <c r="CU190" s="252" t="str">
        <f t="shared" si="355"/>
        <v>CR22</v>
      </c>
      <c r="CV190" s="252" t="str">
        <f t="shared" ca="1" si="411"/>
        <v/>
      </c>
      <c r="CW190" s="252">
        <f t="shared" ca="1" si="312"/>
        <v>0</v>
      </c>
      <c r="CZ190" s="252">
        <v>187</v>
      </c>
      <c r="DA190" s="252" t="str">
        <f t="shared" ca="1" si="313"/>
        <v/>
      </c>
      <c r="DB190" s="252" t="str">
        <f t="shared" ca="1" si="406"/>
        <v/>
      </c>
      <c r="DC190" s="252" t="str">
        <f t="shared" ca="1" si="407"/>
        <v/>
      </c>
      <c r="DD190" s="252" t="str">
        <f t="shared" ca="1" si="408"/>
        <v/>
      </c>
    </row>
    <row r="191" spans="72:108" x14ac:dyDescent="0.2">
      <c r="BT191" s="253" t="str">
        <f t="shared" ca="1" si="405"/>
        <v>Croatia</v>
      </c>
      <c r="BU191" s="253">
        <f t="shared" si="354"/>
        <v>189</v>
      </c>
      <c r="BV191" s="253" t="str">
        <f t="shared" si="412"/>
        <v>A9</v>
      </c>
      <c r="BW191" s="253">
        <f t="shared" si="413"/>
        <v>8</v>
      </c>
      <c r="BX191" s="253" t="str">
        <f t="shared" ca="1" si="414"/>
        <v>Lovro Majer</v>
      </c>
      <c r="BY191" s="253">
        <f ca="1">COUNTIF('Group Stages'!$J$8:$Q$80,BX191)+COUNTIF('Knock Out Stages'!$K$7:$R$45,BX191)</f>
        <v>0</v>
      </c>
      <c r="BZ191" s="253" t="str">
        <f t="shared" si="415"/>
        <v>'Player Database'!b12</v>
      </c>
      <c r="CA191" s="253" t="str">
        <f t="shared" ca="1" si="416"/>
        <v>Lovro Majer</v>
      </c>
      <c r="CS191" s="252">
        <f t="shared" si="409"/>
        <v>188</v>
      </c>
      <c r="CT191" s="252">
        <f t="shared" si="410"/>
        <v>5</v>
      </c>
      <c r="CU191" s="252" t="str">
        <f t="shared" si="355"/>
        <v>CR23</v>
      </c>
      <c r="CV191" s="252" t="str">
        <f t="shared" ca="1" si="411"/>
        <v/>
      </c>
      <c r="CW191" s="252">
        <f t="shared" ca="1" si="312"/>
        <v>0</v>
      </c>
      <c r="CZ191" s="252">
        <v>188</v>
      </c>
      <c r="DA191" s="252" t="str">
        <f t="shared" ca="1" si="313"/>
        <v/>
      </c>
      <c r="DB191" s="252" t="str">
        <f t="shared" ca="1" si="406"/>
        <v/>
      </c>
      <c r="DC191" s="252" t="str">
        <f t="shared" ca="1" si="407"/>
        <v/>
      </c>
      <c r="DD191" s="252" t="str">
        <f t="shared" ca="1" si="408"/>
        <v/>
      </c>
    </row>
    <row r="192" spans="72:108" x14ac:dyDescent="0.2">
      <c r="BT192" s="253" t="str">
        <f t="shared" ca="1" si="405"/>
        <v>Croatia</v>
      </c>
      <c r="BU192" s="253">
        <f t="shared" si="354"/>
        <v>190</v>
      </c>
      <c r="BV192" s="253" t="str">
        <f t="shared" si="412"/>
        <v>A10</v>
      </c>
      <c r="BW192" s="253">
        <f t="shared" si="413"/>
        <v>8</v>
      </c>
      <c r="BX192" s="253" t="str">
        <f t="shared" ca="1" si="414"/>
        <v>Mateo Kovačić</v>
      </c>
      <c r="BY192" s="253">
        <f ca="1">COUNTIF('Group Stages'!$J$8:$Q$80,BX192)+COUNTIF('Knock Out Stages'!$K$7:$R$45,BX192)</f>
        <v>0</v>
      </c>
      <c r="BZ192" s="253" t="str">
        <f t="shared" si="415"/>
        <v>'Player Database'!b13</v>
      </c>
      <c r="CA192" s="253" t="str">
        <f t="shared" ca="1" si="416"/>
        <v>Mateo Kovačić</v>
      </c>
      <c r="CS192" s="252">
        <f t="shared" si="409"/>
        <v>189</v>
      </c>
      <c r="CT192" s="252">
        <f t="shared" si="410"/>
        <v>5</v>
      </c>
      <c r="CU192" s="252" t="str">
        <f t="shared" si="355"/>
        <v>CR24</v>
      </c>
      <c r="CV192" s="252" t="str">
        <f t="shared" ca="1" si="411"/>
        <v/>
      </c>
      <c r="CW192" s="252">
        <f t="shared" ca="1" si="312"/>
        <v>0</v>
      </c>
      <c r="CZ192" s="252">
        <v>189</v>
      </c>
      <c r="DA192" s="252" t="str">
        <f t="shared" ca="1" si="313"/>
        <v/>
      </c>
      <c r="DB192" s="252" t="str">
        <f t="shared" ca="1" si="406"/>
        <v/>
      </c>
      <c r="DC192" s="252" t="str">
        <f t="shared" ca="1" si="407"/>
        <v/>
      </c>
      <c r="DD192" s="252" t="str">
        <f t="shared" ca="1" si="408"/>
        <v/>
      </c>
    </row>
    <row r="193" spans="72:108" x14ac:dyDescent="0.2">
      <c r="BT193" s="253" t="str">
        <f t="shared" ca="1" si="405"/>
        <v>Croatia</v>
      </c>
      <c r="BU193" s="253">
        <f t="shared" si="354"/>
        <v>191</v>
      </c>
      <c r="BV193" s="253" t="str">
        <f t="shared" si="412"/>
        <v>A11</v>
      </c>
      <c r="BW193" s="253">
        <f t="shared" si="413"/>
        <v>8</v>
      </c>
      <c r="BX193" s="253" t="str">
        <f t="shared" ca="1" si="414"/>
        <v>Andrej Kramarić</v>
      </c>
      <c r="BY193" s="253">
        <f ca="1">COUNTIF('Group Stages'!$J$8:$Q$80,BX193)+COUNTIF('Knock Out Stages'!$K$7:$R$45,BX193)</f>
        <v>0</v>
      </c>
      <c r="BZ193" s="253" t="str">
        <f t="shared" si="415"/>
        <v>'Player Database'!b14</v>
      </c>
      <c r="CA193" s="253" t="str">
        <f t="shared" ca="1" si="416"/>
        <v>Andrej Kramarić</v>
      </c>
      <c r="CS193" s="252">
        <f t="shared" si="409"/>
        <v>190</v>
      </c>
      <c r="CT193" s="252">
        <f t="shared" si="410"/>
        <v>5</v>
      </c>
      <c r="CU193" s="252" t="str">
        <f t="shared" si="355"/>
        <v>CR25</v>
      </c>
      <c r="CV193" s="252" t="str">
        <f t="shared" ca="1" si="411"/>
        <v/>
      </c>
      <c r="CW193" s="252">
        <f t="shared" ca="1" si="312"/>
        <v>0</v>
      </c>
      <c r="CZ193" s="252">
        <v>190</v>
      </c>
      <c r="DA193" s="252" t="str">
        <f t="shared" ca="1" si="313"/>
        <v/>
      </c>
      <c r="DB193" s="252" t="str">
        <f t="shared" ca="1" si="406"/>
        <v/>
      </c>
      <c r="DC193" s="252" t="str">
        <f t="shared" ca="1" si="407"/>
        <v/>
      </c>
      <c r="DD193" s="252" t="str">
        <f t="shared" ca="1" si="408"/>
        <v/>
      </c>
    </row>
    <row r="194" spans="72:108" x14ac:dyDescent="0.2">
      <c r="BT194" s="253" t="str">
        <f t="shared" ca="1" si="405"/>
        <v>Croatia</v>
      </c>
      <c r="BU194" s="253">
        <f t="shared" si="354"/>
        <v>192</v>
      </c>
      <c r="BV194" s="253" t="str">
        <f t="shared" si="412"/>
        <v>A12</v>
      </c>
      <c r="BW194" s="253">
        <f t="shared" si="413"/>
        <v>8</v>
      </c>
      <c r="BX194" s="253" t="str">
        <f t="shared" ca="1" si="414"/>
        <v>Luka Modrić</v>
      </c>
      <c r="BY194" s="253">
        <f ca="1">COUNTIF('Group Stages'!$J$8:$Q$80,BX194)+COUNTIF('Knock Out Stages'!$K$7:$R$45,BX194)</f>
        <v>0</v>
      </c>
      <c r="BZ194" s="253" t="str">
        <f t="shared" si="415"/>
        <v>'Player Database'!b15</v>
      </c>
      <c r="CA194" s="253" t="str">
        <f t="shared" ca="1" si="416"/>
        <v>Luka Modrić</v>
      </c>
      <c r="CS194" s="252">
        <f t="shared" si="409"/>
        <v>191</v>
      </c>
      <c r="CT194" s="252">
        <f t="shared" si="410"/>
        <v>5</v>
      </c>
      <c r="CU194" s="252" t="str">
        <f t="shared" si="355"/>
        <v>CR26</v>
      </c>
      <c r="CV194" s="252" t="str">
        <f t="shared" ca="1" si="411"/>
        <v/>
      </c>
      <c r="CW194" s="252">
        <f t="shared" ca="1" si="312"/>
        <v>0</v>
      </c>
      <c r="CZ194" s="252">
        <v>191</v>
      </c>
      <c r="DA194" s="252" t="str">
        <f t="shared" ca="1" si="313"/>
        <v/>
      </c>
      <c r="DB194" s="252" t="str">
        <f t="shared" ca="1" si="406"/>
        <v/>
      </c>
      <c r="DC194" s="252" t="str">
        <f t="shared" ca="1" si="407"/>
        <v/>
      </c>
      <c r="DD194" s="252" t="str">
        <f t="shared" ca="1" si="408"/>
        <v/>
      </c>
    </row>
    <row r="195" spans="72:108" x14ac:dyDescent="0.2">
      <c r="BT195" s="253" t="str">
        <f t="shared" ca="1" si="405"/>
        <v>Croatia</v>
      </c>
      <c r="BU195" s="253">
        <f t="shared" si="354"/>
        <v>193</v>
      </c>
      <c r="BV195" s="253" t="str">
        <f t="shared" si="412"/>
        <v>A13</v>
      </c>
      <c r="BW195" s="253">
        <f t="shared" si="413"/>
        <v>8</v>
      </c>
      <c r="BX195" s="253" t="str">
        <f t="shared" ca="1" si="414"/>
        <v>Marcelo Brozović</v>
      </c>
      <c r="BY195" s="253">
        <f ca="1">COUNTIF('Group Stages'!$J$8:$Q$80,BX195)+COUNTIF('Knock Out Stages'!$K$7:$R$45,BX195)</f>
        <v>0</v>
      </c>
      <c r="BZ195" s="253" t="str">
        <f t="shared" si="415"/>
        <v>'Player Database'!b16</v>
      </c>
      <c r="CA195" s="253" t="str">
        <f t="shared" ca="1" si="416"/>
        <v>Marcelo Brozović</v>
      </c>
      <c r="CS195" s="252">
        <f t="shared" si="409"/>
        <v>192</v>
      </c>
      <c r="CT195" s="252">
        <f t="shared" si="410"/>
        <v>5</v>
      </c>
      <c r="CU195" s="252" t="str">
        <f t="shared" si="355"/>
        <v>CR27</v>
      </c>
      <c r="CV195" s="252" t="str">
        <f t="shared" ca="1" si="411"/>
        <v/>
      </c>
      <c r="CW195" s="252">
        <f t="shared" ca="1" si="312"/>
        <v>0</v>
      </c>
      <c r="CZ195" s="252">
        <v>192</v>
      </c>
      <c r="DA195" s="252" t="str">
        <f t="shared" ca="1" si="313"/>
        <v/>
      </c>
      <c r="DB195" s="252" t="str">
        <f t="shared" ca="1" si="406"/>
        <v/>
      </c>
      <c r="DC195" s="252" t="str">
        <f t="shared" ca="1" si="407"/>
        <v/>
      </c>
      <c r="DD195" s="252" t="str">
        <f t="shared" ca="1" si="408"/>
        <v/>
      </c>
    </row>
    <row r="196" spans="72:108" x14ac:dyDescent="0.2">
      <c r="BT196" s="253" t="str">
        <f t="shared" ca="1" si="405"/>
        <v>Croatia</v>
      </c>
      <c r="BU196" s="253">
        <f t="shared" si="354"/>
        <v>194</v>
      </c>
      <c r="BV196" s="253" t="str">
        <f t="shared" si="412"/>
        <v>A14</v>
      </c>
      <c r="BW196" s="253">
        <f t="shared" si="413"/>
        <v>8</v>
      </c>
      <c r="BX196" s="253" t="str">
        <f t="shared" ca="1" si="414"/>
        <v>Nediljko Labrović</v>
      </c>
      <c r="BY196" s="253">
        <f ca="1">COUNTIF('Group Stages'!$J$8:$Q$80,BX196)+COUNTIF('Knock Out Stages'!$K$7:$R$45,BX196)</f>
        <v>0</v>
      </c>
      <c r="BZ196" s="253" t="str">
        <f t="shared" si="415"/>
        <v>'Player Database'!b17</v>
      </c>
      <c r="CA196" s="253" t="str">
        <f t="shared" ca="1" si="416"/>
        <v>Nediljko Labrović</v>
      </c>
      <c r="CS196" s="252">
        <f t="shared" si="409"/>
        <v>193</v>
      </c>
      <c r="CT196" s="252">
        <f t="shared" si="410"/>
        <v>5</v>
      </c>
      <c r="CU196" s="252" t="str">
        <f t="shared" si="355"/>
        <v>CR28</v>
      </c>
      <c r="CV196" s="252" t="str">
        <f t="shared" ca="1" si="411"/>
        <v/>
      </c>
      <c r="CW196" s="252">
        <f t="shared" ca="1" si="312"/>
        <v>0</v>
      </c>
      <c r="CZ196" s="252">
        <v>193</v>
      </c>
      <c r="DA196" s="252" t="str">
        <f t="shared" ca="1" si="313"/>
        <v/>
      </c>
      <c r="DB196" s="252" t="str">
        <f t="shared" ref="DB196:DB203" ca="1" si="417">IFERROR(VLOOKUP(DA196,$BX$3:$BY$810,2,FALSE),"")</f>
        <v/>
      </c>
      <c r="DC196" s="252" t="str">
        <f t="shared" ref="DC196:DC203" ca="1" si="418">IFERROR(VLOOKUP(DA196,$BX$3:$CA$810,4,FALSE),"")</f>
        <v/>
      </c>
      <c r="DD196" s="252" t="str">
        <f t="shared" ref="DD196:DD203" ca="1" si="419">IFERROR(INDEX($BT$3:$BT$810,MATCH(DA196,$BX$3:$BX$810,0),0),"")</f>
        <v/>
      </c>
    </row>
    <row r="197" spans="72:108" x14ac:dyDescent="0.2">
      <c r="BT197" s="253" t="str">
        <f t="shared" ca="1" si="405"/>
        <v>Croatia</v>
      </c>
      <c r="BU197" s="253">
        <f t="shared" si="354"/>
        <v>195</v>
      </c>
      <c r="BV197" s="253" t="str">
        <f t="shared" si="412"/>
        <v>A15</v>
      </c>
      <c r="BW197" s="253">
        <f t="shared" si="413"/>
        <v>8</v>
      </c>
      <c r="BX197" s="253" t="str">
        <f t="shared" ca="1" si="414"/>
        <v>Nikola Vlašić</v>
      </c>
      <c r="BY197" s="253">
        <f ca="1">COUNTIF('Group Stages'!$J$8:$Q$80,BX197)+COUNTIF('Knock Out Stages'!$K$7:$R$45,BX197)</f>
        <v>0</v>
      </c>
      <c r="BZ197" s="253" t="str">
        <f t="shared" si="415"/>
        <v>'Player Database'!b18</v>
      </c>
      <c r="CA197" s="253" t="str">
        <f t="shared" ca="1" si="416"/>
        <v>Nikola Vlašić</v>
      </c>
      <c r="CS197" s="252">
        <f t="shared" si="409"/>
        <v>194</v>
      </c>
      <c r="CT197" s="252">
        <f t="shared" si="410"/>
        <v>5</v>
      </c>
      <c r="CU197" s="252" t="str">
        <f t="shared" si="355"/>
        <v>CR29</v>
      </c>
      <c r="CV197" s="252" t="str">
        <f t="shared" ca="1" si="411"/>
        <v/>
      </c>
      <c r="CW197" s="252">
        <f t="shared" ref="CW197:CW260" ca="1" si="420">IF(CV197&lt;&gt;"",CW196+1,CW196)</f>
        <v>0</v>
      </c>
      <c r="CZ197" s="252">
        <v>194</v>
      </c>
      <c r="DA197" s="252" t="str">
        <f t="shared" ref="DA197:DA203" ca="1" si="421">IFERROR(INDEX($CV$4:$CV$633,MATCH(CZ197,$CW$4:$CW$633,0),0),"")</f>
        <v/>
      </c>
      <c r="DB197" s="252" t="str">
        <f t="shared" ca="1" si="417"/>
        <v/>
      </c>
      <c r="DC197" s="252" t="str">
        <f t="shared" ca="1" si="418"/>
        <v/>
      </c>
      <c r="DD197" s="252" t="str">
        <f t="shared" ca="1" si="419"/>
        <v/>
      </c>
    </row>
    <row r="198" spans="72:108" x14ac:dyDescent="0.2">
      <c r="BT198" s="253" t="str">
        <f t="shared" ca="1" si="405"/>
        <v>Croatia</v>
      </c>
      <c r="BU198" s="253">
        <f t="shared" si="354"/>
        <v>196</v>
      </c>
      <c r="BV198" s="253" t="str">
        <f t="shared" si="412"/>
        <v>A16</v>
      </c>
      <c r="BW198" s="253">
        <f t="shared" si="413"/>
        <v>8</v>
      </c>
      <c r="BX198" s="253" t="str">
        <f t="shared" ca="1" si="414"/>
        <v>Ivan Perišić</v>
      </c>
      <c r="BY198" s="253">
        <f ca="1">COUNTIF('Group Stages'!$J$8:$Q$80,BX198)+COUNTIF('Knock Out Stages'!$K$7:$R$45,BX198)</f>
        <v>0</v>
      </c>
      <c r="BZ198" s="253" t="str">
        <f t="shared" si="415"/>
        <v>'Player Database'!b19</v>
      </c>
      <c r="CA198" s="253" t="str">
        <f t="shared" ca="1" si="416"/>
        <v>Ivan Perišić</v>
      </c>
      <c r="CS198" s="252">
        <f t="shared" si="409"/>
        <v>195</v>
      </c>
      <c r="CT198" s="252">
        <f t="shared" si="410"/>
        <v>5</v>
      </c>
      <c r="CU198" s="252" t="str">
        <f t="shared" si="355"/>
        <v>CR30</v>
      </c>
      <c r="CV198" s="252" t="str">
        <f t="shared" ca="1" si="411"/>
        <v/>
      </c>
      <c r="CW198" s="252">
        <f t="shared" ca="1" si="420"/>
        <v>0</v>
      </c>
      <c r="CZ198" s="252">
        <v>195</v>
      </c>
      <c r="DA198" s="252" t="str">
        <f t="shared" ca="1" si="421"/>
        <v/>
      </c>
      <c r="DB198" s="252" t="str">
        <f t="shared" ca="1" si="417"/>
        <v/>
      </c>
      <c r="DC198" s="252" t="str">
        <f t="shared" ca="1" si="418"/>
        <v/>
      </c>
      <c r="DD198" s="252" t="str">
        <f t="shared" ca="1" si="419"/>
        <v/>
      </c>
    </row>
    <row r="199" spans="72:108" x14ac:dyDescent="0.2">
      <c r="BT199" s="253" t="str">
        <f t="shared" ca="1" si="405"/>
        <v>Croatia</v>
      </c>
      <c r="BU199" s="253">
        <f t="shared" si="354"/>
        <v>197</v>
      </c>
      <c r="BV199" s="253" t="str">
        <f t="shared" si="412"/>
        <v>A17</v>
      </c>
      <c r="BW199" s="253">
        <f t="shared" si="413"/>
        <v>8</v>
      </c>
      <c r="BX199" s="253" t="str">
        <f t="shared" ca="1" si="414"/>
        <v>Mario Pašalić</v>
      </c>
      <c r="BY199" s="253">
        <f ca="1">COUNTIF('Group Stages'!$J$8:$Q$80,BX199)+COUNTIF('Knock Out Stages'!$K$7:$R$45,BX199)</f>
        <v>0</v>
      </c>
      <c r="BZ199" s="253" t="str">
        <f t="shared" si="415"/>
        <v>'Player Database'!b20</v>
      </c>
      <c r="CA199" s="253" t="str">
        <f t="shared" ca="1" si="416"/>
        <v>Mario Pašalić</v>
      </c>
      <c r="CS199" s="252">
        <f t="shared" si="409"/>
        <v>196</v>
      </c>
      <c r="CT199" s="252">
        <f t="shared" si="410"/>
        <v>5</v>
      </c>
      <c r="CU199" s="252" t="str">
        <f t="shared" si="355"/>
        <v>CR31</v>
      </c>
      <c r="CV199" s="252" t="str">
        <f t="shared" ca="1" si="411"/>
        <v/>
      </c>
      <c r="CW199" s="252">
        <f t="shared" ca="1" si="420"/>
        <v>0</v>
      </c>
      <c r="CZ199" s="252">
        <v>196</v>
      </c>
      <c r="DA199" s="252" t="str">
        <f t="shared" ca="1" si="421"/>
        <v/>
      </c>
      <c r="DB199" s="252" t="str">
        <f t="shared" ca="1" si="417"/>
        <v/>
      </c>
      <c r="DC199" s="252" t="str">
        <f t="shared" ca="1" si="418"/>
        <v/>
      </c>
      <c r="DD199" s="252" t="str">
        <f t="shared" ca="1" si="419"/>
        <v/>
      </c>
    </row>
    <row r="200" spans="72:108" x14ac:dyDescent="0.2">
      <c r="BT200" s="253" t="str">
        <f t="shared" ca="1" si="405"/>
        <v>Croatia</v>
      </c>
      <c r="BU200" s="253">
        <f t="shared" si="354"/>
        <v>198</v>
      </c>
      <c r="BV200" s="253" t="str">
        <f t="shared" si="412"/>
        <v>A18</v>
      </c>
      <c r="BW200" s="253">
        <f t="shared" si="413"/>
        <v>8</v>
      </c>
      <c r="BX200" s="253" t="str">
        <f t="shared" ca="1" si="414"/>
        <v>Ante Budimir</v>
      </c>
      <c r="BY200" s="253">
        <f ca="1">COUNTIF('Group Stages'!$J$8:$Q$80,BX200)+COUNTIF('Knock Out Stages'!$K$7:$R$45,BX200)</f>
        <v>0</v>
      </c>
      <c r="BZ200" s="253" t="str">
        <f t="shared" si="415"/>
        <v>'Player Database'!b21</v>
      </c>
      <c r="CA200" s="253" t="str">
        <f t="shared" ca="1" si="416"/>
        <v>Ante Budimir</v>
      </c>
      <c r="CS200" s="252">
        <f t="shared" si="409"/>
        <v>197</v>
      </c>
      <c r="CT200" s="252">
        <f t="shared" si="410"/>
        <v>5</v>
      </c>
      <c r="CU200" s="252" t="str">
        <f t="shared" si="355"/>
        <v>CR32</v>
      </c>
      <c r="CV200" s="252" t="str">
        <f t="shared" ca="1" si="411"/>
        <v/>
      </c>
      <c r="CW200" s="252">
        <f t="shared" ca="1" si="420"/>
        <v>0</v>
      </c>
      <c r="CZ200" s="252">
        <v>197</v>
      </c>
      <c r="DA200" s="252" t="str">
        <f t="shared" ca="1" si="421"/>
        <v/>
      </c>
      <c r="DB200" s="252" t="str">
        <f t="shared" ca="1" si="417"/>
        <v/>
      </c>
      <c r="DC200" s="252" t="str">
        <f t="shared" ca="1" si="418"/>
        <v/>
      </c>
      <c r="DD200" s="252" t="str">
        <f t="shared" ca="1" si="419"/>
        <v/>
      </c>
    </row>
    <row r="201" spans="72:108" x14ac:dyDescent="0.2">
      <c r="BT201" s="253" t="str">
        <f t="shared" ca="1" si="405"/>
        <v>Croatia</v>
      </c>
      <c r="BU201" s="253">
        <f t="shared" si="354"/>
        <v>199</v>
      </c>
      <c r="BV201" s="253" t="str">
        <f t="shared" si="412"/>
        <v>A19</v>
      </c>
      <c r="BW201" s="253">
        <f t="shared" si="413"/>
        <v>8</v>
      </c>
      <c r="BX201" s="253" t="str">
        <f t="shared" ca="1" si="414"/>
        <v>Bruno Petković</v>
      </c>
      <c r="BY201" s="253">
        <f ca="1">COUNTIF('Group Stages'!$J$8:$Q$80,BX201)+COUNTIF('Knock Out Stages'!$K$7:$R$45,BX201)</f>
        <v>0</v>
      </c>
      <c r="BZ201" s="253" t="str">
        <f t="shared" si="415"/>
        <v>'Player Database'!b22</v>
      </c>
      <c r="CA201" s="253" t="str">
        <f t="shared" ca="1" si="416"/>
        <v>Bruno Petković</v>
      </c>
      <c r="CS201" s="252">
        <f t="shared" si="409"/>
        <v>198</v>
      </c>
      <c r="CT201" s="252">
        <f t="shared" si="410"/>
        <v>5</v>
      </c>
      <c r="CU201" s="252" t="str">
        <f t="shared" si="355"/>
        <v>CR33</v>
      </c>
      <c r="CV201" s="252" t="str">
        <f t="shared" ca="1" si="411"/>
        <v/>
      </c>
      <c r="CW201" s="252">
        <f t="shared" ca="1" si="420"/>
        <v>0</v>
      </c>
      <c r="CZ201" s="252">
        <v>198</v>
      </c>
      <c r="DA201" s="252" t="str">
        <f t="shared" ca="1" si="421"/>
        <v/>
      </c>
      <c r="DB201" s="252" t="str">
        <f t="shared" ca="1" si="417"/>
        <v/>
      </c>
      <c r="DC201" s="252" t="str">
        <f t="shared" ca="1" si="418"/>
        <v/>
      </c>
      <c r="DD201" s="252" t="str">
        <f t="shared" ca="1" si="419"/>
        <v/>
      </c>
    </row>
    <row r="202" spans="72:108" x14ac:dyDescent="0.2">
      <c r="BT202" s="253" t="str">
        <f t="shared" ca="1" si="405"/>
        <v>Croatia</v>
      </c>
      <c r="BU202" s="253">
        <f t="shared" si="354"/>
        <v>200</v>
      </c>
      <c r="BV202" s="253" t="str">
        <f t="shared" si="412"/>
        <v>A20</v>
      </c>
      <c r="BW202" s="253">
        <f t="shared" si="413"/>
        <v>8</v>
      </c>
      <c r="BX202" s="253" t="str">
        <f t="shared" ca="1" si="414"/>
        <v>Luka Ivanušec</v>
      </c>
      <c r="BY202" s="253">
        <f ca="1">COUNTIF('Group Stages'!$J$8:$Q$80,BX202)+COUNTIF('Knock Out Stages'!$K$7:$R$45,BX202)</f>
        <v>0</v>
      </c>
      <c r="BZ202" s="253" t="str">
        <f t="shared" si="415"/>
        <v>'Player Database'!b23</v>
      </c>
      <c r="CA202" s="253" t="str">
        <f t="shared" ca="1" si="416"/>
        <v>Luka Ivanušec</v>
      </c>
      <c r="CS202" s="252">
        <f t="shared" si="409"/>
        <v>199</v>
      </c>
      <c r="CT202" s="252">
        <f t="shared" si="410"/>
        <v>5</v>
      </c>
      <c r="CU202" s="252" t="str">
        <f t="shared" si="355"/>
        <v>CR34</v>
      </c>
      <c r="CV202" s="252" t="str">
        <f t="shared" ca="1" si="411"/>
        <v/>
      </c>
      <c r="CW202" s="252">
        <f t="shared" ca="1" si="420"/>
        <v>0</v>
      </c>
      <c r="CZ202" s="252">
        <v>199</v>
      </c>
      <c r="DA202" s="252" t="str">
        <f t="shared" ca="1" si="421"/>
        <v/>
      </c>
      <c r="DB202" s="252" t="str">
        <f t="shared" ca="1" si="417"/>
        <v/>
      </c>
      <c r="DC202" s="252" t="str">
        <f t="shared" ca="1" si="418"/>
        <v/>
      </c>
      <c r="DD202" s="252" t="str">
        <f t="shared" ca="1" si="419"/>
        <v/>
      </c>
    </row>
    <row r="203" spans="72:108" x14ac:dyDescent="0.2">
      <c r="BT203" s="253" t="str">
        <f t="shared" ca="1" si="405"/>
        <v>Croatia</v>
      </c>
      <c r="BU203" s="253">
        <f t="shared" ref="BU203:BU266" si="422">BU202+1</f>
        <v>201</v>
      </c>
      <c r="BV203" s="253" t="str">
        <f t="shared" si="412"/>
        <v>A21</v>
      </c>
      <c r="BW203" s="253">
        <f t="shared" si="413"/>
        <v>8</v>
      </c>
      <c r="BX203" s="253" t="str">
        <f t="shared" ca="1" si="414"/>
        <v>Borna Sosa</v>
      </c>
      <c r="BY203" s="253">
        <f ca="1">COUNTIF('Group Stages'!$J$8:$Q$80,BX203)+COUNTIF('Knock Out Stages'!$K$7:$R$45,BX203)</f>
        <v>0</v>
      </c>
      <c r="BZ203" s="253" t="str">
        <f t="shared" si="415"/>
        <v>'Player Database'!b24</v>
      </c>
      <c r="CA203" s="253" t="str">
        <f t="shared" ca="1" si="416"/>
        <v>Borna Sosa</v>
      </c>
      <c r="CS203" s="252">
        <f t="shared" si="409"/>
        <v>200</v>
      </c>
      <c r="CT203" s="252">
        <f t="shared" si="410"/>
        <v>5</v>
      </c>
      <c r="CU203" s="252" t="str">
        <f t="shared" si="355"/>
        <v>CR35</v>
      </c>
      <c r="CV203" s="252" t="str">
        <f t="shared" ca="1" si="411"/>
        <v/>
      </c>
      <c r="CW203" s="252">
        <f t="shared" ca="1" si="420"/>
        <v>0</v>
      </c>
      <c r="CZ203" s="252">
        <v>200</v>
      </c>
      <c r="DA203" s="252" t="str">
        <f t="shared" ca="1" si="421"/>
        <v/>
      </c>
      <c r="DB203" s="252" t="str">
        <f t="shared" ca="1" si="417"/>
        <v/>
      </c>
      <c r="DC203" s="252" t="str">
        <f t="shared" ca="1" si="418"/>
        <v/>
      </c>
      <c r="DD203" s="252" t="str">
        <f t="shared" ca="1" si="419"/>
        <v/>
      </c>
    </row>
    <row r="204" spans="72:108" x14ac:dyDescent="0.2">
      <c r="BT204" s="253" t="str">
        <f t="shared" ca="1" si="405"/>
        <v>Croatia</v>
      </c>
      <c r="BU204" s="253">
        <f t="shared" si="422"/>
        <v>202</v>
      </c>
      <c r="BV204" s="253" t="str">
        <f t="shared" si="412"/>
        <v>A22</v>
      </c>
      <c r="BW204" s="253">
        <f t="shared" si="413"/>
        <v>8</v>
      </c>
      <c r="BX204" s="253" t="str">
        <f t="shared" ca="1" si="414"/>
        <v>Marko Pjaca</v>
      </c>
      <c r="BY204" s="253">
        <f ca="1">COUNTIF('Group Stages'!$J$8:$Q$80,BX204)+COUNTIF('Knock Out Stages'!$K$7:$R$45,BX204)</f>
        <v>0</v>
      </c>
      <c r="BZ204" s="253" t="str">
        <f t="shared" si="415"/>
        <v>'Player Database'!b25</v>
      </c>
      <c r="CA204" s="253" t="str">
        <f t="shared" ca="1" si="416"/>
        <v>Marko Pjaca</v>
      </c>
      <c r="CS204" s="252">
        <f t="shared" si="409"/>
        <v>201</v>
      </c>
      <c r="CT204" s="252">
        <f t="shared" si="410"/>
        <v>5</v>
      </c>
      <c r="CU204" s="252" t="str">
        <f t="shared" si="355"/>
        <v>CR36</v>
      </c>
      <c r="CV204" s="252" t="str">
        <f t="shared" ca="1" si="411"/>
        <v/>
      </c>
      <c r="CW204" s="252">
        <f t="shared" ca="1" si="420"/>
        <v>0</v>
      </c>
    </row>
    <row r="205" spans="72:108" x14ac:dyDescent="0.2">
      <c r="BT205" s="253" t="str">
        <f t="shared" ca="1" si="405"/>
        <v>Croatia</v>
      </c>
      <c r="BU205" s="253">
        <f t="shared" si="422"/>
        <v>203</v>
      </c>
      <c r="BV205" s="253" t="str">
        <f t="shared" si="412"/>
        <v>A23</v>
      </c>
      <c r="BW205" s="253">
        <f t="shared" si="413"/>
        <v>8</v>
      </c>
      <c r="BX205" s="253" t="str">
        <f t="shared" ca="1" si="414"/>
        <v>Domagoj Vida</v>
      </c>
      <c r="BY205" s="253">
        <f ca="1">COUNTIF('Group Stages'!$J$8:$Q$80,BX205)+COUNTIF('Knock Out Stages'!$K$7:$R$45,BX205)</f>
        <v>0</v>
      </c>
      <c r="BZ205" s="253" t="str">
        <f t="shared" si="415"/>
        <v>'Player Database'!b26</v>
      </c>
      <c r="CA205" s="253" t="str">
        <f t="shared" ca="1" si="416"/>
        <v>Domagoj Vida</v>
      </c>
      <c r="CS205" s="252">
        <f t="shared" si="409"/>
        <v>202</v>
      </c>
      <c r="CT205" s="252">
        <f t="shared" si="410"/>
        <v>5</v>
      </c>
      <c r="CU205" s="252" t="str">
        <f t="shared" si="355"/>
        <v>CR37</v>
      </c>
      <c r="CV205" s="252" t="str">
        <f t="shared" ca="1" si="411"/>
        <v/>
      </c>
      <c r="CW205" s="252">
        <f t="shared" ca="1" si="420"/>
        <v>0</v>
      </c>
    </row>
    <row r="206" spans="72:108" x14ac:dyDescent="0.2">
      <c r="BT206" s="253" t="str">
        <f t="shared" ca="1" si="405"/>
        <v>Croatia</v>
      </c>
      <c r="BU206" s="253">
        <f t="shared" si="422"/>
        <v>204</v>
      </c>
      <c r="BV206" s="253" t="str">
        <f t="shared" si="412"/>
        <v>A24</v>
      </c>
      <c r="BW206" s="253">
        <f t="shared" si="413"/>
        <v>8</v>
      </c>
      <c r="BX206" s="253" t="str">
        <f t="shared" ca="1" si="414"/>
        <v>Josip Juranović</v>
      </c>
      <c r="BY206" s="253">
        <f ca="1">COUNTIF('Group Stages'!$J$8:$Q$80,BX206)+COUNTIF('Knock Out Stages'!$K$7:$R$45,BX206)</f>
        <v>0</v>
      </c>
      <c r="BZ206" s="253" t="str">
        <f t="shared" si="415"/>
        <v>'Player Database'!b27</v>
      </c>
      <c r="CA206" s="253" t="str">
        <f t="shared" ca="1" si="416"/>
        <v>Josip Juranović</v>
      </c>
      <c r="CS206" s="252">
        <f t="shared" si="409"/>
        <v>203</v>
      </c>
      <c r="CT206" s="252">
        <f t="shared" si="410"/>
        <v>5</v>
      </c>
      <c r="CU206" s="252" t="str">
        <f t="shared" si="355"/>
        <v>CR38</v>
      </c>
      <c r="CV206" s="252" t="str">
        <f t="shared" ca="1" si="411"/>
        <v/>
      </c>
      <c r="CW206" s="252">
        <f t="shared" ca="1" si="420"/>
        <v>0</v>
      </c>
    </row>
    <row r="207" spans="72:108" x14ac:dyDescent="0.2">
      <c r="BT207" s="253" t="str">
        <f t="shared" ca="1" si="405"/>
        <v>Croatia</v>
      </c>
      <c r="BU207" s="253">
        <f t="shared" si="422"/>
        <v>205</v>
      </c>
      <c r="BV207" s="253" t="str">
        <f t="shared" si="412"/>
        <v>A25</v>
      </c>
      <c r="BW207" s="253">
        <f t="shared" si="413"/>
        <v>8</v>
      </c>
      <c r="BX207" s="253" t="str">
        <f t="shared" ca="1" si="414"/>
        <v>Ivica Ivušić</v>
      </c>
      <c r="BY207" s="253">
        <f ca="1">COUNTIF('Group Stages'!$J$8:$Q$80,BX207)+COUNTIF('Knock Out Stages'!$K$7:$R$45,BX207)</f>
        <v>0</v>
      </c>
      <c r="BZ207" s="253" t="str">
        <f t="shared" si="415"/>
        <v>'Player Database'!b28</v>
      </c>
      <c r="CA207" s="253" t="str">
        <f t="shared" ca="1" si="416"/>
        <v>Ivica Ivušić</v>
      </c>
      <c r="CS207" s="252">
        <f t="shared" si="409"/>
        <v>204</v>
      </c>
      <c r="CT207" s="252">
        <f t="shared" si="410"/>
        <v>5</v>
      </c>
      <c r="CU207" s="252" t="str">
        <f t="shared" si="355"/>
        <v>CR39</v>
      </c>
      <c r="CV207" s="252" t="str">
        <f t="shared" ca="1" si="411"/>
        <v/>
      </c>
      <c r="CW207" s="252">
        <f t="shared" ca="1" si="420"/>
        <v>0</v>
      </c>
    </row>
    <row r="208" spans="72:108" x14ac:dyDescent="0.2">
      <c r="BT208" s="253" t="str">
        <f t="shared" ca="1" si="405"/>
        <v>Croatia</v>
      </c>
      <c r="BU208" s="253">
        <f t="shared" si="422"/>
        <v>206</v>
      </c>
      <c r="BV208" s="253" t="str">
        <f t="shared" si="412"/>
        <v>A26</v>
      </c>
      <c r="BW208" s="253">
        <f t="shared" si="413"/>
        <v>8</v>
      </c>
      <c r="BX208" s="253" t="str">
        <f t="shared" ca="1" si="414"/>
        <v>Marco Pašalić</v>
      </c>
      <c r="BY208" s="253">
        <f ca="1">COUNTIF('Group Stages'!$J$8:$Q$80,BX208)+COUNTIF('Knock Out Stages'!$K$7:$R$45,BX208)</f>
        <v>0</v>
      </c>
      <c r="BZ208" s="253" t="str">
        <f t="shared" si="415"/>
        <v>'Player Database'!b29</v>
      </c>
      <c r="CA208" s="253" t="str">
        <f t="shared" ca="1" si="416"/>
        <v>Marco Pašalić</v>
      </c>
      <c r="CS208" s="252">
        <f t="shared" si="409"/>
        <v>205</v>
      </c>
      <c r="CT208" s="252">
        <f t="shared" si="410"/>
        <v>5</v>
      </c>
      <c r="CU208" s="252" t="str">
        <f t="shared" si="355"/>
        <v>CR40</v>
      </c>
      <c r="CV208" s="252" t="str">
        <f t="shared" ca="1" si="411"/>
        <v/>
      </c>
      <c r="CW208" s="252">
        <f t="shared" ca="1" si="420"/>
        <v>0</v>
      </c>
    </row>
    <row r="209" spans="72:101" x14ac:dyDescent="0.2">
      <c r="BT209" s="253" t="str">
        <f t="shared" ca="1" si="405"/>
        <v>Croatia</v>
      </c>
      <c r="BU209" s="253">
        <f t="shared" si="422"/>
        <v>207</v>
      </c>
      <c r="BV209" s="253" t="str">
        <f t="shared" si="412"/>
        <v>A27</v>
      </c>
      <c r="BW209" s="253">
        <f t="shared" si="413"/>
        <v>8</v>
      </c>
      <c r="BX209" s="253" t="str">
        <f t="shared" ca="1" si="414"/>
        <v>Luka Sučić</v>
      </c>
      <c r="BY209" s="253">
        <f ca="1">COUNTIF('Group Stages'!$J$8:$Q$80,BX209)+COUNTIF('Knock Out Stages'!$K$7:$R$45,BX209)</f>
        <v>0</v>
      </c>
      <c r="BZ209" s="253" t="str">
        <f t="shared" si="415"/>
        <v>'Player Database'!b30</v>
      </c>
      <c r="CA209" s="253" t="str">
        <f t="shared" ca="1" si="416"/>
        <v>Luka Sučić</v>
      </c>
      <c r="CS209" s="252">
        <f t="shared" si="409"/>
        <v>206</v>
      </c>
      <c r="CT209" s="252">
        <f t="shared" si="410"/>
        <v>5</v>
      </c>
      <c r="CU209" s="252" t="str">
        <f t="shared" si="355"/>
        <v>CR41</v>
      </c>
      <c r="CV209" s="252" t="str">
        <f t="shared" ca="1" si="411"/>
        <v/>
      </c>
      <c r="CW209" s="252">
        <f t="shared" ca="1" si="420"/>
        <v>0</v>
      </c>
    </row>
    <row r="210" spans="72:101" x14ac:dyDescent="0.2">
      <c r="BT210" s="253" t="str">
        <f t="shared" ca="1" si="405"/>
        <v>Croatia</v>
      </c>
      <c r="BU210" s="253">
        <f t="shared" si="422"/>
        <v>208</v>
      </c>
      <c r="BV210" s="253" t="str">
        <f t="shared" si="412"/>
        <v>A28</v>
      </c>
      <c r="BW210" s="253">
        <f t="shared" si="413"/>
        <v>8</v>
      </c>
      <c r="BX210" s="253" t="str">
        <f t="shared" ca="1" si="414"/>
        <v>Martin Baturina</v>
      </c>
      <c r="BY210" s="253">
        <f ca="1">COUNTIF('Group Stages'!$J$8:$Q$80,BX210)+COUNTIF('Knock Out Stages'!$K$7:$R$45,BX210)</f>
        <v>0</v>
      </c>
      <c r="BZ210" s="253" t="str">
        <f t="shared" si="415"/>
        <v>'Player Database'!b31</v>
      </c>
      <c r="CA210" s="253" t="str">
        <f t="shared" ca="1" si="416"/>
        <v>Martin Baturina</v>
      </c>
      <c r="CS210" s="252">
        <f t="shared" si="409"/>
        <v>207</v>
      </c>
      <c r="CT210" s="252">
        <f t="shared" si="410"/>
        <v>5</v>
      </c>
      <c r="CU210" s="252" t="str">
        <f t="shared" si="355"/>
        <v>CR42</v>
      </c>
      <c r="CV210" s="252" t="str">
        <f t="shared" ca="1" si="411"/>
        <v/>
      </c>
      <c r="CW210" s="252">
        <f t="shared" ca="1" si="420"/>
        <v>0</v>
      </c>
    </row>
    <row r="211" spans="72:101" x14ac:dyDescent="0.2">
      <c r="BT211" s="253" t="str">
        <f t="shared" ca="1" si="405"/>
        <v>Serbia</v>
      </c>
      <c r="BU211" s="253">
        <f t="shared" si="422"/>
        <v>209</v>
      </c>
      <c r="BV211" s="253" t="str">
        <f t="shared" si="412"/>
        <v>A3</v>
      </c>
      <c r="BW211" s="253">
        <f t="shared" si="413"/>
        <v>9</v>
      </c>
      <c r="BX211" s="253" t="str">
        <f t="shared" ca="1" si="414"/>
        <v>Predrag Rajković</v>
      </c>
      <c r="BY211" s="253">
        <f ca="1">COUNTIF('Group Stages'!$J$8:$Q$80,BX211)+COUNTIF('Knock Out Stages'!$K$7:$R$45,BX211)</f>
        <v>0</v>
      </c>
      <c r="BZ211" s="253" t="str">
        <f t="shared" si="415"/>
        <v>'Player Database'!b6</v>
      </c>
      <c r="CA211" s="253" t="str">
        <f t="shared" ca="1" si="416"/>
        <v>Predrag Rajković</v>
      </c>
      <c r="CS211" s="252">
        <f t="shared" si="409"/>
        <v>208</v>
      </c>
      <c r="CT211" s="252">
        <f t="shared" si="410"/>
        <v>5</v>
      </c>
      <c r="CU211" s="252" t="str">
        <f t="shared" si="355"/>
        <v>CR43</v>
      </c>
      <c r="CV211" s="252" t="str">
        <f t="shared" ca="1" si="411"/>
        <v/>
      </c>
      <c r="CW211" s="252">
        <f t="shared" ca="1" si="420"/>
        <v>0</v>
      </c>
    </row>
    <row r="212" spans="72:101" x14ac:dyDescent="0.2">
      <c r="BT212" s="253" t="str">
        <f t="shared" ca="1" si="405"/>
        <v>Serbia</v>
      </c>
      <c r="BU212" s="253">
        <f t="shared" si="422"/>
        <v>210</v>
      </c>
      <c r="BV212" s="253" t="str">
        <f t="shared" si="412"/>
        <v>A4</v>
      </c>
      <c r="BW212" s="253">
        <f t="shared" si="413"/>
        <v>9</v>
      </c>
      <c r="BX212" s="253" t="str">
        <f t="shared" ca="1" si="414"/>
        <v>Strahinja Pavlović</v>
      </c>
      <c r="BY212" s="253">
        <f ca="1">COUNTIF('Group Stages'!$J$8:$Q$80,BX212)+COUNTIF('Knock Out Stages'!$K$7:$R$45,BX212)</f>
        <v>0</v>
      </c>
      <c r="BZ212" s="253" t="str">
        <f t="shared" si="415"/>
        <v>'Player Database'!b7</v>
      </c>
      <c r="CA212" s="253" t="str">
        <f t="shared" ca="1" si="416"/>
        <v>Strahinja Pavlović</v>
      </c>
      <c r="CS212" s="252">
        <f t="shared" si="409"/>
        <v>209</v>
      </c>
      <c r="CT212" s="252">
        <f t="shared" si="410"/>
        <v>5</v>
      </c>
      <c r="CU212" s="252" t="str">
        <f t="shared" si="355"/>
        <v>CR44</v>
      </c>
      <c r="CV212" s="252" t="str">
        <f t="shared" ca="1" si="411"/>
        <v/>
      </c>
      <c r="CW212" s="252">
        <f t="shared" ca="1" si="420"/>
        <v>0</v>
      </c>
    </row>
    <row r="213" spans="72:101" x14ac:dyDescent="0.2">
      <c r="BT213" s="253" t="str">
        <f t="shared" ca="1" si="405"/>
        <v>Serbia</v>
      </c>
      <c r="BU213" s="253">
        <f t="shared" si="422"/>
        <v>211</v>
      </c>
      <c r="BV213" s="253" t="str">
        <f t="shared" si="412"/>
        <v>A5</v>
      </c>
      <c r="BW213" s="253">
        <f t="shared" si="413"/>
        <v>9</v>
      </c>
      <c r="BX213" s="253" t="str">
        <f t="shared" ca="1" si="414"/>
        <v>Nemanja Stojić</v>
      </c>
      <c r="BY213" s="253">
        <f ca="1">COUNTIF('Group Stages'!$J$8:$Q$80,BX213)+COUNTIF('Knock Out Stages'!$K$7:$R$45,BX213)</f>
        <v>0</v>
      </c>
      <c r="BZ213" s="253" t="str">
        <f t="shared" si="415"/>
        <v>'Player Database'!b8</v>
      </c>
      <c r="CA213" s="253" t="str">
        <f t="shared" ca="1" si="416"/>
        <v>Nemanja Stojić</v>
      </c>
      <c r="CS213" s="252">
        <f t="shared" si="409"/>
        <v>210</v>
      </c>
      <c r="CT213" s="252">
        <f t="shared" si="410"/>
        <v>5</v>
      </c>
      <c r="CU213" s="252" t="str">
        <f t="shared" si="355"/>
        <v>CR45</v>
      </c>
      <c r="CV213" s="252" t="str">
        <f t="shared" ca="1" si="411"/>
        <v/>
      </c>
      <c r="CW213" s="252">
        <f t="shared" ca="1" si="420"/>
        <v>0</v>
      </c>
    </row>
    <row r="214" spans="72:101" x14ac:dyDescent="0.2">
      <c r="BT214" s="253" t="str">
        <f t="shared" ca="1" si="405"/>
        <v>Serbia</v>
      </c>
      <c r="BU214" s="253">
        <f t="shared" si="422"/>
        <v>212</v>
      </c>
      <c r="BV214" s="253" t="str">
        <f t="shared" si="412"/>
        <v>A6</v>
      </c>
      <c r="BW214" s="253">
        <f t="shared" si="413"/>
        <v>9</v>
      </c>
      <c r="BX214" s="253" t="str">
        <f t="shared" ca="1" si="414"/>
        <v>Nikola Milenković</v>
      </c>
      <c r="BY214" s="253">
        <f ca="1">COUNTIF('Group Stages'!$J$8:$Q$80,BX214)+COUNTIF('Knock Out Stages'!$K$7:$R$45,BX214)</f>
        <v>0</v>
      </c>
      <c r="BZ214" s="253" t="str">
        <f t="shared" si="415"/>
        <v>'Player Database'!b9</v>
      </c>
      <c r="CA214" s="253" t="str">
        <f t="shared" ca="1" si="416"/>
        <v>Nikola Milenković</v>
      </c>
      <c r="CS214" s="252">
        <f t="shared" si="409"/>
        <v>211</v>
      </c>
      <c r="CT214" s="252">
        <f t="shared" si="410"/>
        <v>6</v>
      </c>
      <c r="CU214" s="252" t="str">
        <f t="shared" si="355"/>
        <v>CR4</v>
      </c>
      <c r="CV214" s="252" t="str">
        <f t="shared" ca="1" si="411"/>
        <v/>
      </c>
      <c r="CW214" s="252">
        <f t="shared" ca="1" si="420"/>
        <v>0</v>
      </c>
    </row>
    <row r="215" spans="72:101" x14ac:dyDescent="0.2">
      <c r="BT215" s="253" t="str">
        <f t="shared" ca="1" si="405"/>
        <v>Serbia</v>
      </c>
      <c r="BU215" s="253">
        <f t="shared" si="422"/>
        <v>213</v>
      </c>
      <c r="BV215" s="253" t="str">
        <f t="shared" si="412"/>
        <v>A7</v>
      </c>
      <c r="BW215" s="253">
        <f t="shared" si="413"/>
        <v>9</v>
      </c>
      <c r="BX215" s="253" t="str">
        <f t="shared" ca="1" si="414"/>
        <v>Nemanja Maksimović</v>
      </c>
      <c r="BY215" s="253">
        <f ca="1">COUNTIF('Group Stages'!$J$8:$Q$80,BX215)+COUNTIF('Knock Out Stages'!$K$7:$R$45,BX215)</f>
        <v>0</v>
      </c>
      <c r="BZ215" s="253" t="str">
        <f t="shared" si="415"/>
        <v>'Player Database'!b10</v>
      </c>
      <c r="CA215" s="253" t="str">
        <f t="shared" ca="1" si="416"/>
        <v>Nemanja Maksimović</v>
      </c>
      <c r="CS215" s="252">
        <f t="shared" si="409"/>
        <v>212</v>
      </c>
      <c r="CT215" s="252">
        <f t="shared" si="410"/>
        <v>6</v>
      </c>
      <c r="CU215" s="252" t="str">
        <f t="shared" si="355"/>
        <v>CR5</v>
      </c>
      <c r="CV215" s="252" t="str">
        <f t="shared" ca="1" si="411"/>
        <v/>
      </c>
      <c r="CW215" s="252">
        <f t="shared" ca="1" si="420"/>
        <v>0</v>
      </c>
    </row>
    <row r="216" spans="72:101" x14ac:dyDescent="0.2">
      <c r="BT216" s="253" t="str">
        <f t="shared" ca="1" si="405"/>
        <v>Serbia</v>
      </c>
      <c r="BU216" s="253">
        <f t="shared" si="422"/>
        <v>214</v>
      </c>
      <c r="BV216" s="253" t="str">
        <f t="shared" si="412"/>
        <v>A8</v>
      </c>
      <c r="BW216" s="253">
        <f t="shared" si="413"/>
        <v>9</v>
      </c>
      <c r="BX216" s="253" t="str">
        <f t="shared" ca="1" si="414"/>
        <v>Nemanja Gudelj</v>
      </c>
      <c r="BY216" s="253">
        <f ca="1">COUNTIF('Group Stages'!$J$8:$Q$80,BX216)+COUNTIF('Knock Out Stages'!$K$7:$R$45,BX216)</f>
        <v>0</v>
      </c>
      <c r="BZ216" s="253" t="str">
        <f t="shared" si="415"/>
        <v>'Player Database'!b11</v>
      </c>
      <c r="CA216" s="253" t="str">
        <f t="shared" ca="1" si="416"/>
        <v>Nemanja Gudelj</v>
      </c>
      <c r="CS216" s="252">
        <f t="shared" si="409"/>
        <v>213</v>
      </c>
      <c r="CT216" s="252">
        <f t="shared" si="410"/>
        <v>6</v>
      </c>
      <c r="CU216" s="252" t="str">
        <f t="shared" si="355"/>
        <v>CR6</v>
      </c>
      <c r="CV216" s="252" t="str">
        <f t="shared" ca="1" si="411"/>
        <v/>
      </c>
      <c r="CW216" s="252">
        <f t="shared" ca="1" si="420"/>
        <v>0</v>
      </c>
    </row>
    <row r="217" spans="72:101" x14ac:dyDescent="0.2">
      <c r="BT217" s="253" t="str">
        <f t="shared" ca="1" si="405"/>
        <v>Serbia</v>
      </c>
      <c r="BU217" s="253">
        <f t="shared" si="422"/>
        <v>215</v>
      </c>
      <c r="BV217" s="253" t="str">
        <f t="shared" si="412"/>
        <v>A9</v>
      </c>
      <c r="BW217" s="253">
        <f t="shared" si="413"/>
        <v>9</v>
      </c>
      <c r="BX217" s="253" t="str">
        <f t="shared" ca="1" si="414"/>
        <v>Dušan Vlahović</v>
      </c>
      <c r="BY217" s="253">
        <f ca="1">COUNTIF('Group Stages'!$J$8:$Q$80,BX217)+COUNTIF('Knock Out Stages'!$K$7:$R$45,BX217)</f>
        <v>0</v>
      </c>
      <c r="BZ217" s="253" t="str">
        <f t="shared" si="415"/>
        <v>'Player Database'!b12</v>
      </c>
      <c r="CA217" s="253" t="str">
        <f t="shared" ca="1" si="416"/>
        <v>Dušan Vlahović</v>
      </c>
      <c r="CS217" s="252">
        <f t="shared" si="409"/>
        <v>214</v>
      </c>
      <c r="CT217" s="252">
        <f t="shared" si="410"/>
        <v>6</v>
      </c>
      <c r="CU217" s="252" t="str">
        <f t="shared" ref="CU217:CU280" si="423">CU175</f>
        <v>CR7</v>
      </c>
      <c r="CV217" s="252" t="str">
        <f t="shared" ca="1" si="411"/>
        <v/>
      </c>
      <c r="CW217" s="252">
        <f t="shared" ca="1" si="420"/>
        <v>0</v>
      </c>
    </row>
    <row r="218" spans="72:101" x14ac:dyDescent="0.2">
      <c r="BT218" s="253" t="str">
        <f t="shared" ca="1" si="405"/>
        <v>Serbia</v>
      </c>
      <c r="BU218" s="253">
        <f t="shared" si="422"/>
        <v>216</v>
      </c>
      <c r="BV218" s="253" t="str">
        <f t="shared" si="412"/>
        <v>A10</v>
      </c>
      <c r="BW218" s="253">
        <f t="shared" si="413"/>
        <v>9</v>
      </c>
      <c r="BX218" s="253" t="str">
        <f t="shared" ca="1" si="414"/>
        <v>Luka Jović</v>
      </c>
      <c r="BY218" s="253">
        <f ca="1">COUNTIF('Group Stages'!$J$8:$Q$80,BX218)+COUNTIF('Knock Out Stages'!$K$7:$R$45,BX218)</f>
        <v>0</v>
      </c>
      <c r="BZ218" s="253" t="str">
        <f t="shared" si="415"/>
        <v>'Player Database'!b13</v>
      </c>
      <c r="CA218" s="253" t="str">
        <f t="shared" ca="1" si="416"/>
        <v>Luka Jović</v>
      </c>
      <c r="CS218" s="252">
        <f t="shared" si="409"/>
        <v>215</v>
      </c>
      <c r="CT218" s="252">
        <f t="shared" si="410"/>
        <v>6</v>
      </c>
      <c r="CU218" s="252" t="str">
        <f t="shared" si="423"/>
        <v>CR8</v>
      </c>
      <c r="CV218" s="252" t="str">
        <f t="shared" ca="1" si="411"/>
        <v/>
      </c>
      <c r="CW218" s="252">
        <f t="shared" ca="1" si="420"/>
        <v>0</v>
      </c>
    </row>
    <row r="219" spans="72:101" x14ac:dyDescent="0.2">
      <c r="BT219" s="253" t="str">
        <f t="shared" ca="1" si="405"/>
        <v>Serbia</v>
      </c>
      <c r="BU219" s="253">
        <f t="shared" si="422"/>
        <v>217</v>
      </c>
      <c r="BV219" s="253" t="str">
        <f t="shared" si="412"/>
        <v>A11</v>
      </c>
      <c r="BW219" s="253">
        <f t="shared" si="413"/>
        <v>9</v>
      </c>
      <c r="BX219" s="253" t="str">
        <f t="shared" ca="1" si="414"/>
        <v>Aleksandar Mitrović</v>
      </c>
      <c r="BY219" s="253">
        <f ca="1">COUNTIF('Group Stages'!$J$8:$Q$80,BX219)+COUNTIF('Knock Out Stages'!$K$7:$R$45,BX219)</f>
        <v>0</v>
      </c>
      <c r="BZ219" s="253" t="str">
        <f t="shared" si="415"/>
        <v>'Player Database'!b14</v>
      </c>
      <c r="CA219" s="253" t="str">
        <f t="shared" ca="1" si="416"/>
        <v>Aleksandar Mitrović</v>
      </c>
      <c r="CS219" s="252">
        <f t="shared" si="409"/>
        <v>216</v>
      </c>
      <c r="CT219" s="252">
        <f t="shared" si="410"/>
        <v>6</v>
      </c>
      <c r="CU219" s="252" t="str">
        <f t="shared" si="423"/>
        <v>CR9</v>
      </c>
      <c r="CV219" s="252" t="str">
        <f t="shared" ca="1" si="411"/>
        <v/>
      </c>
      <c r="CW219" s="252">
        <f t="shared" ca="1" si="420"/>
        <v>0</v>
      </c>
    </row>
    <row r="220" spans="72:101" x14ac:dyDescent="0.2">
      <c r="BT220" s="253" t="str">
        <f t="shared" ca="1" si="405"/>
        <v>Serbia</v>
      </c>
      <c r="BU220" s="253">
        <f t="shared" si="422"/>
        <v>218</v>
      </c>
      <c r="BV220" s="253" t="str">
        <f t="shared" si="412"/>
        <v>A12</v>
      </c>
      <c r="BW220" s="253">
        <f t="shared" si="413"/>
        <v>9</v>
      </c>
      <c r="BX220" s="253" t="str">
        <f t="shared" ca="1" si="414"/>
        <v>Dušan Tadić</v>
      </c>
      <c r="BY220" s="253">
        <f ca="1">COUNTIF('Group Stages'!$J$8:$Q$80,BX220)+COUNTIF('Knock Out Stages'!$K$7:$R$45,BX220)</f>
        <v>0</v>
      </c>
      <c r="BZ220" s="253" t="str">
        <f t="shared" si="415"/>
        <v>'Player Database'!b15</v>
      </c>
      <c r="CA220" s="253" t="str">
        <f t="shared" ca="1" si="416"/>
        <v>Dušan Tadić</v>
      </c>
      <c r="CS220" s="252">
        <f t="shared" si="409"/>
        <v>217</v>
      </c>
      <c r="CT220" s="252">
        <f t="shared" si="410"/>
        <v>6</v>
      </c>
      <c r="CU220" s="252" t="str">
        <f t="shared" si="423"/>
        <v>CR10</v>
      </c>
      <c r="CV220" s="252" t="str">
        <f t="shared" ca="1" si="411"/>
        <v/>
      </c>
      <c r="CW220" s="252">
        <f t="shared" ca="1" si="420"/>
        <v>0</v>
      </c>
    </row>
    <row r="221" spans="72:101" x14ac:dyDescent="0.2">
      <c r="BT221" s="253" t="str">
        <f t="shared" ca="1" si="405"/>
        <v>Serbia</v>
      </c>
      <c r="BU221" s="253">
        <f t="shared" si="422"/>
        <v>219</v>
      </c>
      <c r="BV221" s="253" t="str">
        <f t="shared" si="412"/>
        <v>A13</v>
      </c>
      <c r="BW221" s="253">
        <f t="shared" si="413"/>
        <v>9</v>
      </c>
      <c r="BX221" s="253" t="str">
        <f t="shared" ca="1" si="414"/>
        <v>Filip Kostić</v>
      </c>
      <c r="BY221" s="253">
        <f ca="1">COUNTIF('Group Stages'!$J$8:$Q$80,BX221)+COUNTIF('Knock Out Stages'!$K$7:$R$45,BX221)</f>
        <v>0</v>
      </c>
      <c r="BZ221" s="253" t="str">
        <f t="shared" si="415"/>
        <v>'Player Database'!b16</v>
      </c>
      <c r="CA221" s="253" t="str">
        <f t="shared" ca="1" si="416"/>
        <v>Filip Kostić</v>
      </c>
      <c r="CS221" s="252">
        <f t="shared" si="409"/>
        <v>218</v>
      </c>
      <c r="CT221" s="252">
        <f t="shared" si="410"/>
        <v>6</v>
      </c>
      <c r="CU221" s="252" t="str">
        <f t="shared" si="423"/>
        <v>CR11</v>
      </c>
      <c r="CV221" s="252" t="str">
        <f t="shared" ca="1" si="411"/>
        <v/>
      </c>
      <c r="CW221" s="252">
        <f t="shared" ca="1" si="420"/>
        <v>0</v>
      </c>
    </row>
    <row r="222" spans="72:101" x14ac:dyDescent="0.2">
      <c r="BT222" s="253" t="str">
        <f t="shared" ca="1" si="405"/>
        <v>Serbia</v>
      </c>
      <c r="BU222" s="253">
        <f t="shared" si="422"/>
        <v>220</v>
      </c>
      <c r="BV222" s="253" t="str">
        <f t="shared" si="412"/>
        <v>A14</v>
      </c>
      <c r="BW222" s="253">
        <f t="shared" si="413"/>
        <v>9</v>
      </c>
      <c r="BX222" s="253" t="str">
        <f t="shared" ca="1" si="414"/>
        <v>Đorđe Petrović</v>
      </c>
      <c r="BY222" s="253">
        <f ca="1">COUNTIF('Group Stages'!$J$8:$Q$80,BX222)+COUNTIF('Knock Out Stages'!$K$7:$R$45,BX222)</f>
        <v>0</v>
      </c>
      <c r="BZ222" s="253" t="str">
        <f t="shared" si="415"/>
        <v>'Player Database'!b17</v>
      </c>
      <c r="CA222" s="253" t="str">
        <f t="shared" ca="1" si="416"/>
        <v>Đorđe Petrović</v>
      </c>
      <c r="CS222" s="252">
        <f t="shared" si="409"/>
        <v>219</v>
      </c>
      <c r="CT222" s="252">
        <f t="shared" si="410"/>
        <v>6</v>
      </c>
      <c r="CU222" s="252" t="str">
        <f t="shared" si="423"/>
        <v>CR12</v>
      </c>
      <c r="CV222" s="252" t="str">
        <f t="shared" ca="1" si="411"/>
        <v/>
      </c>
      <c r="CW222" s="252">
        <f t="shared" ca="1" si="420"/>
        <v>0</v>
      </c>
    </row>
    <row r="223" spans="72:101" x14ac:dyDescent="0.2">
      <c r="BT223" s="253" t="str">
        <f t="shared" ca="1" si="405"/>
        <v>Serbia</v>
      </c>
      <c r="BU223" s="253">
        <f t="shared" si="422"/>
        <v>221</v>
      </c>
      <c r="BV223" s="253" t="str">
        <f t="shared" si="412"/>
        <v>A15</v>
      </c>
      <c r="BW223" s="253">
        <f t="shared" si="413"/>
        <v>9</v>
      </c>
      <c r="BX223" s="253" t="str">
        <f t="shared" ca="1" si="414"/>
        <v>Miloš Veljković</v>
      </c>
      <c r="BY223" s="253">
        <f ca="1">COUNTIF('Group Stages'!$J$8:$Q$80,BX223)+COUNTIF('Knock Out Stages'!$K$7:$R$45,BX223)</f>
        <v>0</v>
      </c>
      <c r="BZ223" s="253" t="str">
        <f t="shared" si="415"/>
        <v>'Player Database'!b18</v>
      </c>
      <c r="CA223" s="253" t="str">
        <f t="shared" ca="1" si="416"/>
        <v>Miloš Veljković</v>
      </c>
      <c r="CS223" s="252">
        <f t="shared" si="409"/>
        <v>220</v>
      </c>
      <c r="CT223" s="252">
        <f t="shared" si="410"/>
        <v>6</v>
      </c>
      <c r="CU223" s="252" t="str">
        <f t="shared" si="423"/>
        <v>CR13</v>
      </c>
      <c r="CV223" s="252" t="str">
        <f t="shared" ca="1" si="411"/>
        <v/>
      </c>
      <c r="CW223" s="252">
        <f t="shared" ca="1" si="420"/>
        <v>0</v>
      </c>
    </row>
    <row r="224" spans="72:101" x14ac:dyDescent="0.2">
      <c r="BT224" s="253" t="str">
        <f t="shared" ca="1" si="405"/>
        <v>Serbia</v>
      </c>
      <c r="BU224" s="253">
        <f t="shared" si="422"/>
        <v>222</v>
      </c>
      <c r="BV224" s="253" t="str">
        <f t="shared" si="412"/>
        <v>A16</v>
      </c>
      <c r="BW224" s="253">
        <f t="shared" si="413"/>
        <v>9</v>
      </c>
      <c r="BX224" s="253" t="str">
        <f t="shared" ca="1" si="414"/>
        <v>Andrija Živković</v>
      </c>
      <c r="BY224" s="253">
        <f ca="1">COUNTIF('Group Stages'!$J$8:$Q$80,BX224)+COUNTIF('Knock Out Stages'!$K$7:$R$45,BX224)</f>
        <v>0</v>
      </c>
      <c r="BZ224" s="253" t="str">
        <f t="shared" si="415"/>
        <v>'Player Database'!b19</v>
      </c>
      <c r="CA224" s="253" t="str">
        <f t="shared" ca="1" si="416"/>
        <v>Andrija Živković</v>
      </c>
      <c r="CS224" s="252">
        <f t="shared" si="409"/>
        <v>221</v>
      </c>
      <c r="CT224" s="252">
        <f t="shared" si="410"/>
        <v>6</v>
      </c>
      <c r="CU224" s="252" t="str">
        <f t="shared" si="423"/>
        <v>CR14</v>
      </c>
      <c r="CV224" s="252" t="str">
        <f t="shared" ca="1" si="411"/>
        <v/>
      </c>
      <c r="CW224" s="252">
        <f t="shared" ca="1" si="420"/>
        <v>0</v>
      </c>
    </row>
    <row r="225" spans="72:101" x14ac:dyDescent="0.2">
      <c r="BT225" s="253" t="str">
        <f t="shared" ca="1" si="405"/>
        <v>Serbia</v>
      </c>
      <c r="BU225" s="253">
        <f t="shared" si="422"/>
        <v>223</v>
      </c>
      <c r="BV225" s="253" t="str">
        <f t="shared" si="412"/>
        <v>A17</v>
      </c>
      <c r="BW225" s="253">
        <f t="shared" si="413"/>
        <v>9</v>
      </c>
      <c r="BX225" s="253" t="str">
        <f t="shared" ca="1" si="414"/>
        <v>Srđan Babić</v>
      </c>
      <c r="BY225" s="253">
        <f ca="1">COUNTIF('Group Stages'!$J$8:$Q$80,BX225)+COUNTIF('Knock Out Stages'!$K$7:$R$45,BX225)</f>
        <v>0</v>
      </c>
      <c r="BZ225" s="253" t="str">
        <f t="shared" si="415"/>
        <v>'Player Database'!b20</v>
      </c>
      <c r="CA225" s="253" t="str">
        <f t="shared" ca="1" si="416"/>
        <v>Srđan Babić</v>
      </c>
      <c r="CS225" s="252">
        <f t="shared" si="409"/>
        <v>222</v>
      </c>
      <c r="CT225" s="252">
        <f t="shared" si="410"/>
        <v>6</v>
      </c>
      <c r="CU225" s="252" t="str">
        <f t="shared" si="423"/>
        <v>CR15</v>
      </c>
      <c r="CV225" s="252" t="str">
        <f t="shared" ca="1" si="411"/>
        <v/>
      </c>
      <c r="CW225" s="252">
        <f t="shared" ca="1" si="420"/>
        <v>0</v>
      </c>
    </row>
    <row r="226" spans="72:101" x14ac:dyDescent="0.2">
      <c r="BT226" s="253" t="str">
        <f t="shared" ca="1" si="405"/>
        <v>Serbia</v>
      </c>
      <c r="BU226" s="253">
        <f t="shared" si="422"/>
        <v>224</v>
      </c>
      <c r="BV226" s="253" t="str">
        <f t="shared" si="412"/>
        <v>A18</v>
      </c>
      <c r="BW226" s="253">
        <f t="shared" si="413"/>
        <v>9</v>
      </c>
      <c r="BX226" s="253" t="str">
        <f t="shared" ca="1" si="414"/>
        <v>Srđan Mijailović</v>
      </c>
      <c r="BY226" s="253">
        <f ca="1">COUNTIF('Group Stages'!$J$8:$Q$80,BX226)+COUNTIF('Knock Out Stages'!$K$7:$R$45,BX226)</f>
        <v>0</v>
      </c>
      <c r="BZ226" s="253" t="str">
        <f t="shared" si="415"/>
        <v>'Player Database'!b21</v>
      </c>
      <c r="CA226" s="253" t="str">
        <f t="shared" ca="1" si="416"/>
        <v>Srđan Mijailović</v>
      </c>
      <c r="CS226" s="252">
        <f t="shared" si="409"/>
        <v>223</v>
      </c>
      <c r="CT226" s="252">
        <f t="shared" si="410"/>
        <v>6</v>
      </c>
      <c r="CU226" s="252" t="str">
        <f t="shared" si="423"/>
        <v>CR16</v>
      </c>
      <c r="CV226" s="252" t="str">
        <f t="shared" ca="1" si="411"/>
        <v/>
      </c>
      <c r="CW226" s="252">
        <f t="shared" ca="1" si="420"/>
        <v>0</v>
      </c>
    </row>
    <row r="227" spans="72:101" x14ac:dyDescent="0.2">
      <c r="BT227" s="253" t="str">
        <f t="shared" ca="1" si="405"/>
        <v>Serbia</v>
      </c>
      <c r="BU227" s="253">
        <f t="shared" si="422"/>
        <v>225</v>
      </c>
      <c r="BV227" s="253" t="str">
        <f t="shared" si="412"/>
        <v>A19</v>
      </c>
      <c r="BW227" s="253">
        <f t="shared" si="413"/>
        <v>9</v>
      </c>
      <c r="BX227" s="253" t="str">
        <f t="shared" ca="1" si="414"/>
        <v>Ivan Ilić</v>
      </c>
      <c r="BY227" s="253">
        <f ca="1">COUNTIF('Group Stages'!$J$8:$Q$80,BX227)+COUNTIF('Knock Out Stages'!$K$7:$R$45,BX227)</f>
        <v>0</v>
      </c>
      <c r="BZ227" s="253" t="str">
        <f t="shared" si="415"/>
        <v>'Player Database'!b22</v>
      </c>
      <c r="CA227" s="253" t="str">
        <f t="shared" ca="1" si="416"/>
        <v>Ivan Ilić</v>
      </c>
      <c r="CS227" s="252">
        <f t="shared" si="409"/>
        <v>224</v>
      </c>
      <c r="CT227" s="252">
        <f t="shared" si="410"/>
        <v>6</v>
      </c>
      <c r="CU227" s="252" t="str">
        <f t="shared" si="423"/>
        <v>CR17</v>
      </c>
      <c r="CV227" s="252" t="str">
        <f t="shared" ca="1" si="411"/>
        <v/>
      </c>
      <c r="CW227" s="252">
        <f t="shared" ca="1" si="420"/>
        <v>0</v>
      </c>
    </row>
    <row r="228" spans="72:101" x14ac:dyDescent="0.2">
      <c r="BT228" s="253" t="str">
        <f t="shared" ref="BT228:BT291" ca="1" si="424">OFFSET($A$2,0,BW228)</f>
        <v>Serbia</v>
      </c>
      <c r="BU228" s="253">
        <f t="shared" si="422"/>
        <v>226</v>
      </c>
      <c r="BV228" s="253" t="str">
        <f t="shared" si="412"/>
        <v>A20</v>
      </c>
      <c r="BW228" s="253">
        <f t="shared" si="413"/>
        <v>9</v>
      </c>
      <c r="BX228" s="253" t="str">
        <f t="shared" ca="1" si="414"/>
        <v>Petar Ratkov</v>
      </c>
      <c r="BY228" s="253">
        <f ca="1">COUNTIF('Group Stages'!$J$8:$Q$80,BX228)+COUNTIF('Knock Out Stages'!$K$7:$R$45,BX228)</f>
        <v>0</v>
      </c>
      <c r="BZ228" s="253" t="str">
        <f t="shared" si="415"/>
        <v>'Player Database'!b23</v>
      </c>
      <c r="CA228" s="253" t="str">
        <f t="shared" ca="1" si="416"/>
        <v>Petar Ratkov</v>
      </c>
      <c r="CS228" s="252">
        <f t="shared" si="409"/>
        <v>225</v>
      </c>
      <c r="CT228" s="252">
        <f t="shared" si="410"/>
        <v>6</v>
      </c>
      <c r="CU228" s="252" t="str">
        <f t="shared" si="423"/>
        <v>CR18</v>
      </c>
      <c r="CV228" s="252" t="str">
        <f t="shared" ca="1" si="411"/>
        <v/>
      </c>
      <c r="CW228" s="252">
        <f t="shared" ca="1" si="420"/>
        <v>0</v>
      </c>
    </row>
    <row r="229" spans="72:101" x14ac:dyDescent="0.2">
      <c r="BT229" s="253" t="str">
        <f t="shared" ca="1" si="424"/>
        <v>Serbia</v>
      </c>
      <c r="BU229" s="253">
        <f t="shared" si="422"/>
        <v>227</v>
      </c>
      <c r="BV229" s="253" t="str">
        <f t="shared" si="412"/>
        <v>A21</v>
      </c>
      <c r="BW229" s="253">
        <f t="shared" si="413"/>
        <v>9</v>
      </c>
      <c r="BX229" s="253" t="str">
        <f t="shared" ca="1" si="414"/>
        <v>Lazar Samardžić</v>
      </c>
      <c r="BY229" s="253">
        <f ca="1">COUNTIF('Group Stages'!$J$8:$Q$80,BX229)+COUNTIF('Knock Out Stages'!$K$7:$R$45,BX229)</f>
        <v>0</v>
      </c>
      <c r="BZ229" s="253" t="str">
        <f t="shared" si="415"/>
        <v>'Player Database'!b24</v>
      </c>
      <c r="CA229" s="253" t="str">
        <f t="shared" ca="1" si="416"/>
        <v>Lazar Samardžić</v>
      </c>
      <c r="CS229" s="252">
        <f t="shared" si="409"/>
        <v>226</v>
      </c>
      <c r="CT229" s="252">
        <f t="shared" si="410"/>
        <v>6</v>
      </c>
      <c r="CU229" s="252" t="str">
        <f t="shared" si="423"/>
        <v>CR19</v>
      </c>
      <c r="CV229" s="252" t="str">
        <f t="shared" ca="1" si="411"/>
        <v/>
      </c>
      <c r="CW229" s="252">
        <f t="shared" ca="1" si="420"/>
        <v>0</v>
      </c>
    </row>
    <row r="230" spans="72:101" x14ac:dyDescent="0.2">
      <c r="BT230" s="253" t="str">
        <f t="shared" ca="1" si="424"/>
        <v>Serbia</v>
      </c>
      <c r="BU230" s="253">
        <f t="shared" si="422"/>
        <v>228</v>
      </c>
      <c r="BV230" s="253" t="str">
        <f t="shared" si="412"/>
        <v>A22</v>
      </c>
      <c r="BW230" s="253">
        <f t="shared" si="413"/>
        <v>9</v>
      </c>
      <c r="BX230" s="253" t="str">
        <f t="shared" ca="1" si="414"/>
        <v>Sergej Milinković-Savić</v>
      </c>
      <c r="BY230" s="253">
        <f ca="1">COUNTIF('Group Stages'!$J$8:$Q$80,BX230)+COUNTIF('Knock Out Stages'!$K$7:$R$45,BX230)</f>
        <v>0</v>
      </c>
      <c r="BZ230" s="253" t="str">
        <f t="shared" si="415"/>
        <v>'Player Database'!b25</v>
      </c>
      <c r="CA230" s="253" t="str">
        <f t="shared" ca="1" si="416"/>
        <v>Sergej Milinković-Savić</v>
      </c>
      <c r="CS230" s="252">
        <f t="shared" si="409"/>
        <v>227</v>
      </c>
      <c r="CT230" s="252">
        <f t="shared" si="410"/>
        <v>6</v>
      </c>
      <c r="CU230" s="252" t="str">
        <f t="shared" si="423"/>
        <v>CR20</v>
      </c>
      <c r="CV230" s="252" t="str">
        <f t="shared" ca="1" si="411"/>
        <v/>
      </c>
      <c r="CW230" s="252">
        <f t="shared" ca="1" si="420"/>
        <v>0</v>
      </c>
    </row>
    <row r="231" spans="72:101" x14ac:dyDescent="0.2">
      <c r="BT231" s="253" t="str">
        <f t="shared" ca="1" si="424"/>
        <v>Serbia</v>
      </c>
      <c r="BU231" s="253">
        <f t="shared" si="422"/>
        <v>229</v>
      </c>
      <c r="BV231" s="253" t="str">
        <f t="shared" si="412"/>
        <v>A23</v>
      </c>
      <c r="BW231" s="253">
        <f t="shared" si="413"/>
        <v>9</v>
      </c>
      <c r="BX231" s="253" t="str">
        <f t="shared" ca="1" si="414"/>
        <v>Mijat Gaćinović</v>
      </c>
      <c r="BY231" s="253">
        <f ca="1">COUNTIF('Group Stages'!$J$8:$Q$80,BX231)+COUNTIF('Knock Out Stages'!$K$7:$R$45,BX231)</f>
        <v>0</v>
      </c>
      <c r="BZ231" s="253" t="str">
        <f t="shared" si="415"/>
        <v>'Player Database'!b26</v>
      </c>
      <c r="CA231" s="253" t="str">
        <f t="shared" ca="1" si="416"/>
        <v>Mijat Gaćinović</v>
      </c>
      <c r="CS231" s="252">
        <f t="shared" si="409"/>
        <v>228</v>
      </c>
      <c r="CT231" s="252">
        <f t="shared" si="410"/>
        <v>6</v>
      </c>
      <c r="CU231" s="252" t="str">
        <f t="shared" si="423"/>
        <v>CR21</v>
      </c>
      <c r="CV231" s="252" t="str">
        <f t="shared" ca="1" si="411"/>
        <v/>
      </c>
      <c r="CW231" s="252">
        <f t="shared" ca="1" si="420"/>
        <v>0</v>
      </c>
    </row>
    <row r="232" spans="72:101" x14ac:dyDescent="0.2">
      <c r="BT232" s="253" t="str">
        <f t="shared" ca="1" si="424"/>
        <v>Serbia</v>
      </c>
      <c r="BU232" s="253">
        <f t="shared" si="422"/>
        <v>230</v>
      </c>
      <c r="BV232" s="253" t="str">
        <f t="shared" si="412"/>
        <v>A24</v>
      </c>
      <c r="BW232" s="253">
        <f t="shared" si="413"/>
        <v>9</v>
      </c>
      <c r="BX232" s="253" t="str">
        <f t="shared" ca="1" si="414"/>
        <v>Saša Lukić</v>
      </c>
      <c r="BY232" s="253">
        <f ca="1">COUNTIF('Group Stages'!$J$8:$Q$80,BX232)+COUNTIF('Knock Out Stages'!$K$7:$R$45,BX232)</f>
        <v>0</v>
      </c>
      <c r="BZ232" s="253" t="str">
        <f t="shared" si="415"/>
        <v>'Player Database'!b27</v>
      </c>
      <c r="CA232" s="253" t="str">
        <f t="shared" ca="1" si="416"/>
        <v>Saša Lukić</v>
      </c>
      <c r="CS232" s="252">
        <f t="shared" si="409"/>
        <v>229</v>
      </c>
      <c r="CT232" s="252">
        <f t="shared" si="410"/>
        <v>6</v>
      </c>
      <c r="CU232" s="252" t="str">
        <f t="shared" si="423"/>
        <v>CR22</v>
      </c>
      <c r="CV232" s="252" t="str">
        <f t="shared" ca="1" si="411"/>
        <v/>
      </c>
      <c r="CW232" s="252">
        <f t="shared" ca="1" si="420"/>
        <v>0</v>
      </c>
    </row>
    <row r="233" spans="72:101" x14ac:dyDescent="0.2">
      <c r="BT233" s="253" t="str">
        <f t="shared" ca="1" si="424"/>
        <v>Serbia</v>
      </c>
      <c r="BU233" s="253">
        <f t="shared" si="422"/>
        <v>231</v>
      </c>
      <c r="BV233" s="253" t="str">
        <f t="shared" si="412"/>
        <v>A25</v>
      </c>
      <c r="BW233" s="253">
        <f t="shared" si="413"/>
        <v>9</v>
      </c>
      <c r="BX233" s="253" t="str">
        <f t="shared" ca="1" si="414"/>
        <v>Vanja Milinković-Savić</v>
      </c>
      <c r="BY233" s="253">
        <f ca="1">COUNTIF('Group Stages'!$J$8:$Q$80,BX233)+COUNTIF('Knock Out Stages'!$K$7:$R$45,BX233)</f>
        <v>0</v>
      </c>
      <c r="BZ233" s="253" t="str">
        <f t="shared" si="415"/>
        <v>'Player Database'!b28</v>
      </c>
      <c r="CA233" s="253" t="str">
        <f t="shared" ca="1" si="416"/>
        <v>Vanja Milinković-Savić</v>
      </c>
      <c r="CS233" s="252">
        <f t="shared" si="409"/>
        <v>230</v>
      </c>
      <c r="CT233" s="252">
        <f t="shared" si="410"/>
        <v>6</v>
      </c>
      <c r="CU233" s="252" t="str">
        <f t="shared" si="423"/>
        <v>CR23</v>
      </c>
      <c r="CV233" s="252" t="str">
        <f t="shared" ca="1" si="411"/>
        <v/>
      </c>
      <c r="CW233" s="252">
        <f t="shared" ca="1" si="420"/>
        <v>0</v>
      </c>
    </row>
    <row r="234" spans="72:101" x14ac:dyDescent="0.2">
      <c r="BT234" s="253" t="str">
        <f t="shared" ca="1" si="424"/>
        <v>Serbia</v>
      </c>
      <c r="BU234" s="253">
        <f t="shared" si="422"/>
        <v>232</v>
      </c>
      <c r="BV234" s="253" t="str">
        <f t="shared" si="412"/>
        <v>A26</v>
      </c>
      <c r="BW234" s="253">
        <f t="shared" si="413"/>
        <v>9</v>
      </c>
      <c r="BX234" s="253" t="str">
        <f t="shared" ca="1" si="414"/>
        <v>Uroš Spajić</v>
      </c>
      <c r="BY234" s="253">
        <f ca="1">COUNTIF('Group Stages'!$J$8:$Q$80,BX234)+COUNTIF('Knock Out Stages'!$K$7:$R$45,BX234)</f>
        <v>0</v>
      </c>
      <c r="BZ234" s="253" t="str">
        <f t="shared" si="415"/>
        <v>'Player Database'!b29</v>
      </c>
      <c r="CA234" s="253" t="str">
        <f t="shared" ca="1" si="416"/>
        <v>Uroš Spajić</v>
      </c>
      <c r="CS234" s="252">
        <f t="shared" si="409"/>
        <v>231</v>
      </c>
      <c r="CT234" s="252">
        <f t="shared" si="410"/>
        <v>6</v>
      </c>
      <c r="CU234" s="252" t="str">
        <f t="shared" si="423"/>
        <v>CR24</v>
      </c>
      <c r="CV234" s="252" t="str">
        <f t="shared" ca="1" si="411"/>
        <v/>
      </c>
      <c r="CW234" s="252">
        <f t="shared" ca="1" si="420"/>
        <v>0</v>
      </c>
    </row>
    <row r="235" spans="72:101" x14ac:dyDescent="0.2">
      <c r="BT235" s="253" t="str">
        <f t="shared" ca="1" si="424"/>
        <v>Serbia</v>
      </c>
      <c r="BU235" s="253">
        <f t="shared" si="422"/>
        <v>233</v>
      </c>
      <c r="BV235" s="253" t="str">
        <f t="shared" si="412"/>
        <v>A27</v>
      </c>
      <c r="BW235" s="253">
        <f t="shared" si="413"/>
        <v>9</v>
      </c>
      <c r="BX235" s="253" t="str">
        <f t="shared" ca="1" si="414"/>
        <v>Filip Mladenović</v>
      </c>
      <c r="BY235" s="253">
        <f ca="1">COUNTIF('Group Stages'!$J$8:$Q$80,BX235)+COUNTIF('Knock Out Stages'!$K$7:$R$45,BX235)</f>
        <v>0</v>
      </c>
      <c r="BZ235" s="253" t="str">
        <f t="shared" si="415"/>
        <v>'Player Database'!b30</v>
      </c>
      <c r="CA235" s="253" t="str">
        <f t="shared" ca="1" si="416"/>
        <v>Filip Mladenović</v>
      </c>
      <c r="CS235" s="252">
        <f t="shared" si="409"/>
        <v>232</v>
      </c>
      <c r="CT235" s="252">
        <f t="shared" si="410"/>
        <v>6</v>
      </c>
      <c r="CU235" s="252" t="str">
        <f t="shared" si="423"/>
        <v>CR25</v>
      </c>
      <c r="CV235" s="252" t="str">
        <f t="shared" ca="1" si="411"/>
        <v/>
      </c>
      <c r="CW235" s="252">
        <f t="shared" ca="1" si="420"/>
        <v>0</v>
      </c>
    </row>
    <row r="236" spans="72:101" x14ac:dyDescent="0.2">
      <c r="BT236" s="253" t="str">
        <f t="shared" ca="1" si="424"/>
        <v>Serbia</v>
      </c>
      <c r="BU236" s="253">
        <f t="shared" si="422"/>
        <v>234</v>
      </c>
      <c r="BV236" s="253" t="str">
        <f t="shared" si="412"/>
        <v>A28</v>
      </c>
      <c r="BW236" s="253">
        <f t="shared" si="413"/>
        <v>9</v>
      </c>
      <c r="BX236" s="253" t="str">
        <f t="shared" ca="1" si="414"/>
        <v>Veljko Birmančević</v>
      </c>
      <c r="BY236" s="253">
        <f ca="1">COUNTIF('Group Stages'!$J$8:$Q$80,BX236)+COUNTIF('Knock Out Stages'!$K$7:$R$45,BX236)</f>
        <v>0</v>
      </c>
      <c r="BZ236" s="253" t="str">
        <f t="shared" si="415"/>
        <v>'Player Database'!b31</v>
      </c>
      <c r="CA236" s="253" t="str">
        <f t="shared" ca="1" si="416"/>
        <v>Veljko Birmančević</v>
      </c>
      <c r="CS236" s="252">
        <f t="shared" si="409"/>
        <v>233</v>
      </c>
      <c r="CT236" s="252">
        <f t="shared" si="410"/>
        <v>6</v>
      </c>
      <c r="CU236" s="252" t="str">
        <f t="shared" si="423"/>
        <v>CR26</v>
      </c>
      <c r="CV236" s="252" t="str">
        <f t="shared" ca="1" si="411"/>
        <v/>
      </c>
      <c r="CW236" s="252">
        <f t="shared" ca="1" si="420"/>
        <v>0</v>
      </c>
    </row>
    <row r="237" spans="72:101" x14ac:dyDescent="0.2">
      <c r="BT237" s="253" t="str">
        <f t="shared" ca="1" si="424"/>
        <v>England</v>
      </c>
      <c r="BU237" s="253">
        <f t="shared" si="422"/>
        <v>235</v>
      </c>
      <c r="BV237" s="253" t="str">
        <f t="shared" si="412"/>
        <v>A3</v>
      </c>
      <c r="BW237" s="253">
        <f t="shared" si="413"/>
        <v>10</v>
      </c>
      <c r="BX237" s="253" t="str">
        <f t="shared" ca="1" si="414"/>
        <v>Jordan Pickford</v>
      </c>
      <c r="BY237" s="253">
        <f ca="1">COUNTIF('Group Stages'!$J$8:$Q$80,BX237)+COUNTIF('Knock Out Stages'!$K$7:$R$45,BX237)</f>
        <v>0</v>
      </c>
      <c r="BZ237" s="253" t="str">
        <f t="shared" si="415"/>
        <v>'Player Database'!b6</v>
      </c>
      <c r="CA237" s="253" t="str">
        <f t="shared" ca="1" si="416"/>
        <v>Jordan Pickford</v>
      </c>
      <c r="CS237" s="252">
        <f t="shared" si="409"/>
        <v>234</v>
      </c>
      <c r="CT237" s="252">
        <f t="shared" si="410"/>
        <v>6</v>
      </c>
      <c r="CU237" s="252" t="str">
        <f t="shared" si="423"/>
        <v>CR27</v>
      </c>
      <c r="CV237" s="252" t="str">
        <f t="shared" ca="1" si="411"/>
        <v/>
      </c>
      <c r="CW237" s="252">
        <f t="shared" ca="1" si="420"/>
        <v>0</v>
      </c>
    </row>
    <row r="238" spans="72:101" x14ac:dyDescent="0.2">
      <c r="BT238" s="253" t="str">
        <f t="shared" ca="1" si="424"/>
        <v>England</v>
      </c>
      <c r="BU238" s="253">
        <f t="shared" si="422"/>
        <v>236</v>
      </c>
      <c r="BV238" s="253" t="str">
        <f t="shared" si="412"/>
        <v>A4</v>
      </c>
      <c r="BW238" s="253">
        <f t="shared" si="413"/>
        <v>10</v>
      </c>
      <c r="BX238" s="253" t="str">
        <f t="shared" ca="1" si="414"/>
        <v>Kyle Walker</v>
      </c>
      <c r="BY238" s="253">
        <f ca="1">COUNTIF('Group Stages'!$J$8:$Q$80,BX238)+COUNTIF('Knock Out Stages'!$K$7:$R$45,BX238)</f>
        <v>0</v>
      </c>
      <c r="BZ238" s="253" t="str">
        <f t="shared" si="415"/>
        <v>'Player Database'!b7</v>
      </c>
      <c r="CA238" s="253" t="str">
        <f t="shared" ca="1" si="416"/>
        <v>Kyle Walker</v>
      </c>
      <c r="CS238" s="252">
        <f t="shared" si="409"/>
        <v>235</v>
      </c>
      <c r="CT238" s="252">
        <f t="shared" si="410"/>
        <v>6</v>
      </c>
      <c r="CU238" s="252" t="str">
        <f t="shared" si="423"/>
        <v>CR28</v>
      </c>
      <c r="CV238" s="252" t="str">
        <f t="shared" ca="1" si="411"/>
        <v/>
      </c>
      <c r="CW238" s="252">
        <f t="shared" ca="1" si="420"/>
        <v>0</v>
      </c>
    </row>
    <row r="239" spans="72:101" x14ac:dyDescent="0.2">
      <c r="BT239" s="253" t="str">
        <f t="shared" ca="1" si="424"/>
        <v>England</v>
      </c>
      <c r="BU239" s="253">
        <f t="shared" si="422"/>
        <v>237</v>
      </c>
      <c r="BV239" s="253" t="str">
        <f t="shared" si="412"/>
        <v>A5</v>
      </c>
      <c r="BW239" s="253">
        <f t="shared" si="413"/>
        <v>10</v>
      </c>
      <c r="BX239" s="253" t="str">
        <f t="shared" ca="1" si="414"/>
        <v>Luke Shaw</v>
      </c>
      <c r="BY239" s="253">
        <f ca="1">COUNTIF('Group Stages'!$J$8:$Q$80,BX239)+COUNTIF('Knock Out Stages'!$K$7:$R$45,BX239)</f>
        <v>0</v>
      </c>
      <c r="BZ239" s="253" t="str">
        <f t="shared" si="415"/>
        <v>'Player Database'!b8</v>
      </c>
      <c r="CA239" s="253" t="str">
        <f t="shared" ca="1" si="416"/>
        <v>Luke Shaw</v>
      </c>
      <c r="CS239" s="252">
        <f t="shared" si="409"/>
        <v>236</v>
      </c>
      <c r="CT239" s="252">
        <f t="shared" si="410"/>
        <v>6</v>
      </c>
      <c r="CU239" s="252" t="str">
        <f t="shared" si="423"/>
        <v>CR29</v>
      </c>
      <c r="CV239" s="252" t="str">
        <f t="shared" ca="1" si="411"/>
        <v/>
      </c>
      <c r="CW239" s="252">
        <f t="shared" ca="1" si="420"/>
        <v>0</v>
      </c>
    </row>
    <row r="240" spans="72:101" x14ac:dyDescent="0.2">
      <c r="BT240" s="253" t="str">
        <f t="shared" ca="1" si="424"/>
        <v>England</v>
      </c>
      <c r="BU240" s="253">
        <f t="shared" si="422"/>
        <v>238</v>
      </c>
      <c r="BV240" s="253" t="str">
        <f t="shared" si="412"/>
        <v>A6</v>
      </c>
      <c r="BW240" s="253">
        <f t="shared" si="413"/>
        <v>10</v>
      </c>
      <c r="BX240" s="253" t="str">
        <f t="shared" ca="1" si="414"/>
        <v>Declan Rice</v>
      </c>
      <c r="BY240" s="253">
        <f ca="1">COUNTIF('Group Stages'!$J$8:$Q$80,BX240)+COUNTIF('Knock Out Stages'!$K$7:$R$45,BX240)</f>
        <v>0</v>
      </c>
      <c r="BZ240" s="253" t="str">
        <f t="shared" si="415"/>
        <v>'Player Database'!b9</v>
      </c>
      <c r="CA240" s="253" t="str">
        <f t="shared" ca="1" si="416"/>
        <v>Declan Rice</v>
      </c>
      <c r="CS240" s="252">
        <f t="shared" ref="CS240:CS303" si="425">CS239+1</f>
        <v>237</v>
      </c>
      <c r="CT240" s="252">
        <f t="shared" ref="CT240:CT303" si="426">CT198+1</f>
        <v>6</v>
      </c>
      <c r="CU240" s="252" t="str">
        <f t="shared" si="423"/>
        <v>CR30</v>
      </c>
      <c r="CV240" s="252" t="str">
        <f t="shared" ref="CV240:CV303" ca="1" si="427">OFFSET(INDIRECT(CU240),0,-CT240)</f>
        <v/>
      </c>
      <c r="CW240" s="252">
        <f t="shared" ca="1" si="420"/>
        <v>0</v>
      </c>
    </row>
    <row r="241" spans="72:101" x14ac:dyDescent="0.2">
      <c r="BT241" s="253" t="str">
        <f t="shared" ca="1" si="424"/>
        <v>England</v>
      </c>
      <c r="BU241" s="253">
        <f t="shared" si="422"/>
        <v>239</v>
      </c>
      <c r="BV241" s="253" t="str">
        <f t="shared" si="412"/>
        <v>A7</v>
      </c>
      <c r="BW241" s="253">
        <f t="shared" si="413"/>
        <v>10</v>
      </c>
      <c r="BX241" s="253" t="str">
        <f t="shared" ca="1" si="414"/>
        <v>John Stones</v>
      </c>
      <c r="BY241" s="253">
        <f ca="1">COUNTIF('Group Stages'!$J$8:$Q$80,BX241)+COUNTIF('Knock Out Stages'!$K$7:$R$45,BX241)</f>
        <v>0</v>
      </c>
      <c r="BZ241" s="253" t="str">
        <f t="shared" si="415"/>
        <v>'Player Database'!b10</v>
      </c>
      <c r="CA241" s="253" t="str">
        <f t="shared" ca="1" si="416"/>
        <v>John Stones</v>
      </c>
      <c r="CS241" s="252">
        <f t="shared" si="425"/>
        <v>238</v>
      </c>
      <c r="CT241" s="252">
        <f t="shared" si="426"/>
        <v>6</v>
      </c>
      <c r="CU241" s="252" t="str">
        <f t="shared" si="423"/>
        <v>CR31</v>
      </c>
      <c r="CV241" s="252" t="str">
        <f t="shared" ca="1" si="427"/>
        <v/>
      </c>
      <c r="CW241" s="252">
        <f t="shared" ca="1" si="420"/>
        <v>0</v>
      </c>
    </row>
    <row r="242" spans="72:101" x14ac:dyDescent="0.2">
      <c r="BT242" s="253" t="str">
        <f t="shared" ca="1" si="424"/>
        <v>England</v>
      </c>
      <c r="BU242" s="253">
        <f t="shared" si="422"/>
        <v>240</v>
      </c>
      <c r="BV242" s="253" t="str">
        <f t="shared" si="412"/>
        <v>A8</v>
      </c>
      <c r="BW242" s="253">
        <f t="shared" si="413"/>
        <v>10</v>
      </c>
      <c r="BX242" s="253" t="str">
        <f t="shared" ca="1" si="414"/>
        <v>Marc Guéhi</v>
      </c>
      <c r="BY242" s="253">
        <f ca="1">COUNTIF('Group Stages'!$J$8:$Q$80,BX242)+COUNTIF('Knock Out Stages'!$K$7:$R$45,BX242)</f>
        <v>0</v>
      </c>
      <c r="BZ242" s="253" t="str">
        <f t="shared" si="415"/>
        <v>'Player Database'!b11</v>
      </c>
      <c r="CA242" s="253" t="str">
        <f t="shared" ca="1" si="416"/>
        <v>Marc Guéhi</v>
      </c>
      <c r="CS242" s="252">
        <f t="shared" si="425"/>
        <v>239</v>
      </c>
      <c r="CT242" s="252">
        <f t="shared" si="426"/>
        <v>6</v>
      </c>
      <c r="CU242" s="252" t="str">
        <f t="shared" si="423"/>
        <v>CR32</v>
      </c>
      <c r="CV242" s="252" t="str">
        <f t="shared" ca="1" si="427"/>
        <v/>
      </c>
      <c r="CW242" s="252">
        <f t="shared" ca="1" si="420"/>
        <v>0</v>
      </c>
    </row>
    <row r="243" spans="72:101" x14ac:dyDescent="0.2">
      <c r="BT243" s="253" t="str">
        <f t="shared" ca="1" si="424"/>
        <v>England</v>
      </c>
      <c r="BU243" s="253">
        <f t="shared" si="422"/>
        <v>241</v>
      </c>
      <c r="BV243" s="253" t="str">
        <f t="shared" si="412"/>
        <v>A9</v>
      </c>
      <c r="BW243" s="253">
        <f t="shared" si="413"/>
        <v>10</v>
      </c>
      <c r="BX243" s="253" t="str">
        <f t="shared" ca="1" si="414"/>
        <v>Bukayo Saka</v>
      </c>
      <c r="BY243" s="253">
        <f ca="1">COUNTIF('Group Stages'!$J$8:$Q$80,BX243)+COUNTIF('Knock Out Stages'!$K$7:$R$45,BX243)</f>
        <v>0</v>
      </c>
      <c r="BZ243" s="253" t="str">
        <f t="shared" si="415"/>
        <v>'Player Database'!b12</v>
      </c>
      <c r="CA243" s="253" t="str">
        <f t="shared" ca="1" si="416"/>
        <v>Bukayo Saka</v>
      </c>
      <c r="CS243" s="252">
        <f t="shared" si="425"/>
        <v>240</v>
      </c>
      <c r="CT243" s="252">
        <f t="shared" si="426"/>
        <v>6</v>
      </c>
      <c r="CU243" s="252" t="str">
        <f t="shared" si="423"/>
        <v>CR33</v>
      </c>
      <c r="CV243" s="252" t="str">
        <f t="shared" ca="1" si="427"/>
        <v/>
      </c>
      <c r="CW243" s="252">
        <f t="shared" ca="1" si="420"/>
        <v>0</v>
      </c>
    </row>
    <row r="244" spans="72:101" x14ac:dyDescent="0.2">
      <c r="BT244" s="253" t="str">
        <f t="shared" ca="1" si="424"/>
        <v>England</v>
      </c>
      <c r="BU244" s="253">
        <f t="shared" si="422"/>
        <v>242</v>
      </c>
      <c r="BV244" s="253" t="str">
        <f t="shared" si="412"/>
        <v>A10</v>
      </c>
      <c r="BW244" s="253">
        <f t="shared" si="413"/>
        <v>10</v>
      </c>
      <c r="BX244" s="253" t="str">
        <f t="shared" ca="1" si="414"/>
        <v>Trent Alexander-Arnold</v>
      </c>
      <c r="BY244" s="253">
        <f ca="1">COUNTIF('Group Stages'!$J$8:$Q$80,BX244)+COUNTIF('Knock Out Stages'!$K$7:$R$45,BX244)</f>
        <v>0</v>
      </c>
      <c r="BZ244" s="253" t="str">
        <f t="shared" si="415"/>
        <v>'Player Database'!b13</v>
      </c>
      <c r="CA244" s="253" t="str">
        <f t="shared" ca="1" si="416"/>
        <v>Trent Alexander-Arnold</v>
      </c>
      <c r="CS244" s="252">
        <f t="shared" si="425"/>
        <v>241</v>
      </c>
      <c r="CT244" s="252">
        <f t="shared" si="426"/>
        <v>6</v>
      </c>
      <c r="CU244" s="252" t="str">
        <f t="shared" si="423"/>
        <v>CR34</v>
      </c>
      <c r="CV244" s="252" t="str">
        <f t="shared" ca="1" si="427"/>
        <v/>
      </c>
      <c r="CW244" s="252">
        <f t="shared" ca="1" si="420"/>
        <v>0</v>
      </c>
    </row>
    <row r="245" spans="72:101" x14ac:dyDescent="0.2">
      <c r="BT245" s="253" t="str">
        <f t="shared" ca="1" si="424"/>
        <v>England</v>
      </c>
      <c r="BU245" s="253">
        <f t="shared" si="422"/>
        <v>243</v>
      </c>
      <c r="BV245" s="253" t="str">
        <f t="shared" si="412"/>
        <v>A11</v>
      </c>
      <c r="BW245" s="253">
        <f t="shared" si="413"/>
        <v>10</v>
      </c>
      <c r="BX245" s="253" t="str">
        <f t="shared" ca="1" si="414"/>
        <v>Harry Kane</v>
      </c>
      <c r="BY245" s="253">
        <f ca="1">COUNTIF('Group Stages'!$J$8:$Q$80,BX245)+COUNTIF('Knock Out Stages'!$K$7:$R$45,BX245)</f>
        <v>0</v>
      </c>
      <c r="BZ245" s="253" t="str">
        <f t="shared" si="415"/>
        <v>'Player Database'!b14</v>
      </c>
      <c r="CA245" s="253" t="str">
        <f t="shared" ca="1" si="416"/>
        <v>Harry Kane</v>
      </c>
      <c r="CS245" s="252">
        <f t="shared" si="425"/>
        <v>242</v>
      </c>
      <c r="CT245" s="252">
        <f t="shared" si="426"/>
        <v>6</v>
      </c>
      <c r="CU245" s="252" t="str">
        <f t="shared" si="423"/>
        <v>CR35</v>
      </c>
      <c r="CV245" s="252" t="str">
        <f t="shared" ca="1" si="427"/>
        <v/>
      </c>
      <c r="CW245" s="252">
        <f t="shared" ca="1" si="420"/>
        <v>0</v>
      </c>
    </row>
    <row r="246" spans="72:101" x14ac:dyDescent="0.2">
      <c r="BT246" s="253" t="str">
        <f t="shared" ca="1" si="424"/>
        <v>England</v>
      </c>
      <c r="BU246" s="253">
        <f t="shared" si="422"/>
        <v>244</v>
      </c>
      <c r="BV246" s="253" t="str">
        <f t="shared" si="412"/>
        <v>A12</v>
      </c>
      <c r="BW246" s="253">
        <f t="shared" si="413"/>
        <v>10</v>
      </c>
      <c r="BX246" s="253" t="str">
        <f t="shared" ca="1" si="414"/>
        <v>Jude Bellingham</v>
      </c>
      <c r="BY246" s="253">
        <f ca="1">COUNTIF('Group Stages'!$J$8:$Q$80,BX246)+COUNTIF('Knock Out Stages'!$K$7:$R$45,BX246)</f>
        <v>0</v>
      </c>
      <c r="BZ246" s="253" t="str">
        <f t="shared" si="415"/>
        <v>'Player Database'!b15</v>
      </c>
      <c r="CA246" s="253" t="str">
        <f t="shared" ca="1" si="416"/>
        <v>Jude Bellingham</v>
      </c>
      <c r="CS246" s="252">
        <f t="shared" si="425"/>
        <v>243</v>
      </c>
      <c r="CT246" s="252">
        <f t="shared" si="426"/>
        <v>6</v>
      </c>
      <c r="CU246" s="252" t="str">
        <f t="shared" si="423"/>
        <v>CR36</v>
      </c>
      <c r="CV246" s="252" t="str">
        <f t="shared" ca="1" si="427"/>
        <v/>
      </c>
      <c r="CW246" s="252">
        <f t="shared" ca="1" si="420"/>
        <v>0</v>
      </c>
    </row>
    <row r="247" spans="72:101" x14ac:dyDescent="0.2">
      <c r="BT247" s="253" t="str">
        <f t="shared" ca="1" si="424"/>
        <v>England</v>
      </c>
      <c r="BU247" s="253">
        <f t="shared" si="422"/>
        <v>245</v>
      </c>
      <c r="BV247" s="253" t="str">
        <f t="shared" si="412"/>
        <v>A13</v>
      </c>
      <c r="BW247" s="253">
        <f t="shared" si="413"/>
        <v>10</v>
      </c>
      <c r="BX247" s="253" t="str">
        <f t="shared" ca="1" si="414"/>
        <v>Phil Foden</v>
      </c>
      <c r="BY247" s="253">
        <f ca="1">COUNTIF('Group Stages'!$J$8:$Q$80,BX247)+COUNTIF('Knock Out Stages'!$K$7:$R$45,BX247)</f>
        <v>0</v>
      </c>
      <c r="BZ247" s="253" t="str">
        <f t="shared" si="415"/>
        <v>'Player Database'!b16</v>
      </c>
      <c r="CA247" s="253" t="str">
        <f t="shared" ca="1" si="416"/>
        <v>Phil Foden</v>
      </c>
      <c r="CS247" s="252">
        <f t="shared" si="425"/>
        <v>244</v>
      </c>
      <c r="CT247" s="252">
        <f t="shared" si="426"/>
        <v>6</v>
      </c>
      <c r="CU247" s="252" t="str">
        <f t="shared" si="423"/>
        <v>CR37</v>
      </c>
      <c r="CV247" s="252" t="str">
        <f t="shared" ca="1" si="427"/>
        <v/>
      </c>
      <c r="CW247" s="252">
        <f t="shared" ca="1" si="420"/>
        <v>0</v>
      </c>
    </row>
    <row r="248" spans="72:101" x14ac:dyDescent="0.2">
      <c r="BT248" s="253" t="str">
        <f t="shared" ca="1" si="424"/>
        <v>England</v>
      </c>
      <c r="BU248" s="253">
        <f t="shared" si="422"/>
        <v>246</v>
      </c>
      <c r="BV248" s="253" t="str">
        <f t="shared" ref="BV248:BV311" si="428">BV222</f>
        <v>A14</v>
      </c>
      <c r="BW248" s="253">
        <f t="shared" ref="BW248:BW311" si="429">BW222+1</f>
        <v>10</v>
      </c>
      <c r="BX248" s="253" t="str">
        <f t="shared" ref="BX248:BX311" ca="1" si="430">OFFSET(INDIRECT(BV248),0,BW248)</f>
        <v>Kieran Trippier</v>
      </c>
      <c r="BY248" s="253">
        <f ca="1">COUNTIF('Group Stages'!$J$8:$Q$80,BX248)+COUNTIF('Knock Out Stages'!$K$7:$R$45,BX248)</f>
        <v>0</v>
      </c>
      <c r="BZ248" s="253" t="str">
        <f t="shared" ref="BZ248:BZ311" si="431">BZ222</f>
        <v>'Player Database'!b17</v>
      </c>
      <c r="CA248" s="253" t="str">
        <f t="shared" ref="CA248:CA311" ca="1" si="432">OFFSET(INDIRECT(BZ248),0,BW248)</f>
        <v>Kieran Trippier</v>
      </c>
      <c r="CS248" s="252">
        <f t="shared" si="425"/>
        <v>245</v>
      </c>
      <c r="CT248" s="252">
        <f t="shared" si="426"/>
        <v>6</v>
      </c>
      <c r="CU248" s="252" t="str">
        <f t="shared" si="423"/>
        <v>CR38</v>
      </c>
      <c r="CV248" s="252" t="str">
        <f t="shared" ca="1" si="427"/>
        <v/>
      </c>
      <c r="CW248" s="252">
        <f t="shared" ca="1" si="420"/>
        <v>0</v>
      </c>
    </row>
    <row r="249" spans="72:101" x14ac:dyDescent="0.2">
      <c r="BT249" s="253" t="str">
        <f t="shared" ca="1" si="424"/>
        <v>England</v>
      </c>
      <c r="BU249" s="253">
        <f t="shared" si="422"/>
        <v>247</v>
      </c>
      <c r="BV249" s="253" t="str">
        <f t="shared" si="428"/>
        <v>A15</v>
      </c>
      <c r="BW249" s="253">
        <f t="shared" si="429"/>
        <v>10</v>
      </c>
      <c r="BX249" s="253" t="str">
        <f t="shared" ca="1" si="430"/>
        <v>Aaron Ramsdale</v>
      </c>
      <c r="BY249" s="253">
        <f ca="1">COUNTIF('Group Stages'!$J$8:$Q$80,BX249)+COUNTIF('Knock Out Stages'!$K$7:$R$45,BX249)</f>
        <v>0</v>
      </c>
      <c r="BZ249" s="253" t="str">
        <f t="shared" si="431"/>
        <v>'Player Database'!b18</v>
      </c>
      <c r="CA249" s="253" t="str">
        <f t="shared" ca="1" si="432"/>
        <v>Aaron Ramsdale</v>
      </c>
      <c r="CS249" s="252">
        <f t="shared" si="425"/>
        <v>246</v>
      </c>
      <c r="CT249" s="252">
        <f t="shared" si="426"/>
        <v>6</v>
      </c>
      <c r="CU249" s="252" t="str">
        <f t="shared" si="423"/>
        <v>CR39</v>
      </c>
      <c r="CV249" s="252" t="str">
        <f t="shared" ca="1" si="427"/>
        <v/>
      </c>
      <c r="CW249" s="252">
        <f t="shared" ca="1" si="420"/>
        <v>0</v>
      </c>
    </row>
    <row r="250" spans="72:101" x14ac:dyDescent="0.2">
      <c r="BT250" s="253" t="str">
        <f t="shared" ca="1" si="424"/>
        <v>England</v>
      </c>
      <c r="BU250" s="253">
        <f t="shared" si="422"/>
        <v>248</v>
      </c>
      <c r="BV250" s="253" t="str">
        <f t="shared" si="428"/>
        <v>A16</v>
      </c>
      <c r="BW250" s="253">
        <f t="shared" si="429"/>
        <v>10</v>
      </c>
      <c r="BX250" s="253" t="str">
        <f t="shared" ca="1" si="430"/>
        <v>Ezri Konsa</v>
      </c>
      <c r="BY250" s="253">
        <f ca="1">COUNTIF('Group Stages'!$J$8:$Q$80,BX250)+COUNTIF('Knock Out Stages'!$K$7:$R$45,BX250)</f>
        <v>0</v>
      </c>
      <c r="BZ250" s="253" t="str">
        <f t="shared" si="431"/>
        <v>'Player Database'!b19</v>
      </c>
      <c r="CA250" s="253" t="str">
        <f t="shared" ca="1" si="432"/>
        <v>Ezri Konsa</v>
      </c>
      <c r="CS250" s="252">
        <f t="shared" si="425"/>
        <v>247</v>
      </c>
      <c r="CT250" s="252">
        <f t="shared" si="426"/>
        <v>6</v>
      </c>
      <c r="CU250" s="252" t="str">
        <f t="shared" si="423"/>
        <v>CR40</v>
      </c>
      <c r="CV250" s="252" t="str">
        <f t="shared" ca="1" si="427"/>
        <v/>
      </c>
      <c r="CW250" s="252">
        <f t="shared" ca="1" si="420"/>
        <v>0</v>
      </c>
    </row>
    <row r="251" spans="72:101" x14ac:dyDescent="0.2">
      <c r="BT251" s="253" t="str">
        <f t="shared" ca="1" si="424"/>
        <v>England</v>
      </c>
      <c r="BU251" s="253">
        <f t="shared" si="422"/>
        <v>249</v>
      </c>
      <c r="BV251" s="253" t="str">
        <f t="shared" si="428"/>
        <v>A17</v>
      </c>
      <c r="BW251" s="253">
        <f t="shared" si="429"/>
        <v>10</v>
      </c>
      <c r="BX251" s="253" t="str">
        <f t="shared" ca="1" si="430"/>
        <v>Lewis Dunk</v>
      </c>
      <c r="BY251" s="253">
        <f ca="1">COUNTIF('Group Stages'!$J$8:$Q$80,BX251)+COUNTIF('Knock Out Stages'!$K$7:$R$45,BX251)</f>
        <v>0</v>
      </c>
      <c r="BZ251" s="253" t="str">
        <f t="shared" si="431"/>
        <v>'Player Database'!b20</v>
      </c>
      <c r="CA251" s="253" t="str">
        <f t="shared" ca="1" si="432"/>
        <v>Lewis Dunk</v>
      </c>
      <c r="CS251" s="252">
        <f t="shared" si="425"/>
        <v>248</v>
      </c>
      <c r="CT251" s="252">
        <f t="shared" si="426"/>
        <v>6</v>
      </c>
      <c r="CU251" s="252" t="str">
        <f t="shared" si="423"/>
        <v>CR41</v>
      </c>
      <c r="CV251" s="252" t="str">
        <f t="shared" ca="1" si="427"/>
        <v/>
      </c>
      <c r="CW251" s="252">
        <f t="shared" ca="1" si="420"/>
        <v>0</v>
      </c>
    </row>
    <row r="252" spans="72:101" x14ac:dyDescent="0.2">
      <c r="BT252" s="253" t="str">
        <f t="shared" ca="1" si="424"/>
        <v>England</v>
      </c>
      <c r="BU252" s="253">
        <f t="shared" si="422"/>
        <v>250</v>
      </c>
      <c r="BV252" s="253" t="str">
        <f t="shared" si="428"/>
        <v>A18</v>
      </c>
      <c r="BW252" s="253">
        <f t="shared" si="429"/>
        <v>10</v>
      </c>
      <c r="BX252" s="253" t="str">
        <f t="shared" ca="1" si="430"/>
        <v>Conor Gallagher</v>
      </c>
      <c r="BY252" s="253">
        <f ca="1">COUNTIF('Group Stages'!$J$8:$Q$80,BX252)+COUNTIF('Knock Out Stages'!$K$7:$R$45,BX252)</f>
        <v>0</v>
      </c>
      <c r="BZ252" s="253" t="str">
        <f t="shared" si="431"/>
        <v>'Player Database'!b21</v>
      </c>
      <c r="CA252" s="253" t="str">
        <f t="shared" ca="1" si="432"/>
        <v>Conor Gallagher</v>
      </c>
      <c r="CS252" s="252">
        <f t="shared" si="425"/>
        <v>249</v>
      </c>
      <c r="CT252" s="252">
        <f t="shared" si="426"/>
        <v>6</v>
      </c>
      <c r="CU252" s="252" t="str">
        <f t="shared" si="423"/>
        <v>CR42</v>
      </c>
      <c r="CV252" s="252" t="str">
        <f t="shared" ca="1" si="427"/>
        <v/>
      </c>
      <c r="CW252" s="252">
        <f t="shared" ca="1" si="420"/>
        <v>0</v>
      </c>
    </row>
    <row r="253" spans="72:101" x14ac:dyDescent="0.2">
      <c r="BT253" s="253" t="str">
        <f t="shared" ca="1" si="424"/>
        <v>England</v>
      </c>
      <c r="BU253" s="253">
        <f t="shared" si="422"/>
        <v>251</v>
      </c>
      <c r="BV253" s="253" t="str">
        <f t="shared" si="428"/>
        <v>A19</v>
      </c>
      <c r="BW253" s="253">
        <f t="shared" si="429"/>
        <v>10</v>
      </c>
      <c r="BX253" s="253" t="str">
        <f t="shared" ca="1" si="430"/>
        <v>Ivan Toney</v>
      </c>
      <c r="BY253" s="253">
        <f ca="1">COUNTIF('Group Stages'!$J$8:$Q$80,BX253)+COUNTIF('Knock Out Stages'!$K$7:$R$45,BX253)</f>
        <v>0</v>
      </c>
      <c r="BZ253" s="253" t="str">
        <f t="shared" si="431"/>
        <v>'Player Database'!b22</v>
      </c>
      <c r="CA253" s="253" t="str">
        <f t="shared" ca="1" si="432"/>
        <v>Ivan Toney</v>
      </c>
      <c r="CS253" s="252">
        <f t="shared" si="425"/>
        <v>250</v>
      </c>
      <c r="CT253" s="252">
        <f t="shared" si="426"/>
        <v>6</v>
      </c>
      <c r="CU253" s="252" t="str">
        <f t="shared" si="423"/>
        <v>CR43</v>
      </c>
      <c r="CV253" s="252" t="str">
        <f t="shared" ca="1" si="427"/>
        <v/>
      </c>
      <c r="CW253" s="252">
        <f t="shared" ca="1" si="420"/>
        <v>0</v>
      </c>
    </row>
    <row r="254" spans="72:101" x14ac:dyDescent="0.2">
      <c r="BT254" s="253" t="str">
        <f t="shared" ca="1" si="424"/>
        <v>England</v>
      </c>
      <c r="BU254" s="253">
        <f t="shared" si="422"/>
        <v>252</v>
      </c>
      <c r="BV254" s="253" t="str">
        <f t="shared" si="428"/>
        <v>A20</v>
      </c>
      <c r="BW254" s="253">
        <f t="shared" si="429"/>
        <v>10</v>
      </c>
      <c r="BX254" s="253" t="str">
        <f t="shared" ca="1" si="430"/>
        <v>Anthony Gordon</v>
      </c>
      <c r="BY254" s="253">
        <f ca="1">COUNTIF('Group Stages'!$J$8:$Q$80,BX254)+COUNTIF('Knock Out Stages'!$K$7:$R$45,BX254)</f>
        <v>0</v>
      </c>
      <c r="BZ254" s="253" t="str">
        <f t="shared" si="431"/>
        <v>'Player Database'!b23</v>
      </c>
      <c r="CA254" s="253" t="str">
        <f t="shared" ca="1" si="432"/>
        <v>Anthony Gordon</v>
      </c>
      <c r="CS254" s="252">
        <f t="shared" si="425"/>
        <v>251</v>
      </c>
      <c r="CT254" s="252">
        <f t="shared" si="426"/>
        <v>6</v>
      </c>
      <c r="CU254" s="252" t="str">
        <f t="shared" si="423"/>
        <v>CR44</v>
      </c>
      <c r="CV254" s="252" t="str">
        <f t="shared" ca="1" si="427"/>
        <v/>
      </c>
      <c r="CW254" s="252">
        <f t="shared" ca="1" si="420"/>
        <v>0</v>
      </c>
    </row>
    <row r="255" spans="72:101" x14ac:dyDescent="0.2">
      <c r="BT255" s="253" t="str">
        <f t="shared" ca="1" si="424"/>
        <v>England</v>
      </c>
      <c r="BU255" s="253">
        <f t="shared" si="422"/>
        <v>253</v>
      </c>
      <c r="BV255" s="253" t="str">
        <f t="shared" si="428"/>
        <v>A21</v>
      </c>
      <c r="BW255" s="253">
        <f t="shared" si="429"/>
        <v>10</v>
      </c>
      <c r="BX255" s="253" t="str">
        <f t="shared" ca="1" si="430"/>
        <v>Ollie Watkins</v>
      </c>
      <c r="BY255" s="253">
        <f ca="1">COUNTIF('Group Stages'!$J$8:$Q$80,BX255)+COUNTIF('Knock Out Stages'!$K$7:$R$45,BX255)</f>
        <v>0</v>
      </c>
      <c r="BZ255" s="253" t="str">
        <f t="shared" si="431"/>
        <v>'Player Database'!b24</v>
      </c>
      <c r="CA255" s="253" t="str">
        <f t="shared" ca="1" si="432"/>
        <v>Ollie Watkins</v>
      </c>
      <c r="CS255" s="252">
        <f t="shared" si="425"/>
        <v>252</v>
      </c>
      <c r="CT255" s="252">
        <f t="shared" si="426"/>
        <v>6</v>
      </c>
      <c r="CU255" s="252" t="str">
        <f t="shared" si="423"/>
        <v>CR45</v>
      </c>
      <c r="CV255" s="252" t="str">
        <f t="shared" ca="1" si="427"/>
        <v/>
      </c>
      <c r="CW255" s="252">
        <f t="shared" ca="1" si="420"/>
        <v>0</v>
      </c>
    </row>
    <row r="256" spans="72:101" x14ac:dyDescent="0.2">
      <c r="BT256" s="253" t="str">
        <f t="shared" ca="1" si="424"/>
        <v>England</v>
      </c>
      <c r="BU256" s="253">
        <f t="shared" si="422"/>
        <v>254</v>
      </c>
      <c r="BV256" s="253" t="str">
        <f t="shared" si="428"/>
        <v>A22</v>
      </c>
      <c r="BW256" s="253">
        <f t="shared" si="429"/>
        <v>10</v>
      </c>
      <c r="BX256" s="253" t="str">
        <f t="shared" ca="1" si="430"/>
        <v>Jarrod Bowen</v>
      </c>
      <c r="BY256" s="253">
        <f ca="1">COUNTIF('Group Stages'!$J$8:$Q$80,BX256)+COUNTIF('Knock Out Stages'!$K$7:$R$45,BX256)</f>
        <v>0</v>
      </c>
      <c r="BZ256" s="253" t="str">
        <f t="shared" si="431"/>
        <v>'Player Database'!b25</v>
      </c>
      <c r="CA256" s="253" t="str">
        <f t="shared" ca="1" si="432"/>
        <v>Jarrod Bowen</v>
      </c>
      <c r="CS256" s="252">
        <f t="shared" si="425"/>
        <v>253</v>
      </c>
      <c r="CT256" s="252">
        <f t="shared" si="426"/>
        <v>7</v>
      </c>
      <c r="CU256" s="252" t="str">
        <f t="shared" si="423"/>
        <v>CR4</v>
      </c>
      <c r="CV256" s="252" t="str">
        <f t="shared" ca="1" si="427"/>
        <v/>
      </c>
      <c r="CW256" s="252">
        <f t="shared" ca="1" si="420"/>
        <v>0</v>
      </c>
    </row>
    <row r="257" spans="72:101" x14ac:dyDescent="0.2">
      <c r="BT257" s="253" t="str">
        <f t="shared" ca="1" si="424"/>
        <v>England</v>
      </c>
      <c r="BU257" s="253">
        <f t="shared" si="422"/>
        <v>255</v>
      </c>
      <c r="BV257" s="253" t="str">
        <f t="shared" si="428"/>
        <v>A23</v>
      </c>
      <c r="BW257" s="253">
        <f t="shared" si="429"/>
        <v>10</v>
      </c>
      <c r="BX257" s="253" t="str">
        <f t="shared" ca="1" si="430"/>
        <v>Eberechi Eze</v>
      </c>
      <c r="BY257" s="253">
        <f ca="1">COUNTIF('Group Stages'!$J$8:$Q$80,BX257)+COUNTIF('Knock Out Stages'!$K$7:$R$45,BX257)</f>
        <v>0</v>
      </c>
      <c r="BZ257" s="253" t="str">
        <f t="shared" si="431"/>
        <v>'Player Database'!b26</v>
      </c>
      <c r="CA257" s="253" t="str">
        <f t="shared" ca="1" si="432"/>
        <v>Eberechi Eze</v>
      </c>
      <c r="CS257" s="252">
        <f t="shared" si="425"/>
        <v>254</v>
      </c>
      <c r="CT257" s="252">
        <f t="shared" si="426"/>
        <v>7</v>
      </c>
      <c r="CU257" s="252" t="str">
        <f t="shared" si="423"/>
        <v>CR5</v>
      </c>
      <c r="CV257" s="252" t="str">
        <f t="shared" ca="1" si="427"/>
        <v/>
      </c>
      <c r="CW257" s="252">
        <f t="shared" ca="1" si="420"/>
        <v>0</v>
      </c>
    </row>
    <row r="258" spans="72:101" x14ac:dyDescent="0.2">
      <c r="BT258" s="253" t="str">
        <f t="shared" ca="1" si="424"/>
        <v>England</v>
      </c>
      <c r="BU258" s="253">
        <f t="shared" si="422"/>
        <v>256</v>
      </c>
      <c r="BV258" s="253" t="str">
        <f t="shared" si="428"/>
        <v>A24</v>
      </c>
      <c r="BW258" s="253">
        <f t="shared" si="429"/>
        <v>10</v>
      </c>
      <c r="BX258" s="253" t="str">
        <f t="shared" ca="1" si="430"/>
        <v>Joe Gomez</v>
      </c>
      <c r="BY258" s="253">
        <f ca="1">COUNTIF('Group Stages'!$J$8:$Q$80,BX258)+COUNTIF('Knock Out Stages'!$K$7:$R$45,BX258)</f>
        <v>0</v>
      </c>
      <c r="BZ258" s="253" t="str">
        <f t="shared" si="431"/>
        <v>'Player Database'!b27</v>
      </c>
      <c r="CA258" s="253" t="str">
        <f t="shared" ca="1" si="432"/>
        <v>Joe Gomez</v>
      </c>
      <c r="CS258" s="252">
        <f t="shared" si="425"/>
        <v>255</v>
      </c>
      <c r="CT258" s="252">
        <f t="shared" si="426"/>
        <v>7</v>
      </c>
      <c r="CU258" s="252" t="str">
        <f t="shared" si="423"/>
        <v>CR6</v>
      </c>
      <c r="CV258" s="252" t="str">
        <f t="shared" ca="1" si="427"/>
        <v/>
      </c>
      <c r="CW258" s="252">
        <f t="shared" ca="1" si="420"/>
        <v>0</v>
      </c>
    </row>
    <row r="259" spans="72:101" x14ac:dyDescent="0.2">
      <c r="BT259" s="253" t="str">
        <f t="shared" ca="1" si="424"/>
        <v>England</v>
      </c>
      <c r="BU259" s="253">
        <f t="shared" si="422"/>
        <v>257</v>
      </c>
      <c r="BV259" s="253" t="str">
        <f t="shared" si="428"/>
        <v>A25</v>
      </c>
      <c r="BW259" s="253">
        <f t="shared" si="429"/>
        <v>10</v>
      </c>
      <c r="BX259" s="253" t="str">
        <f t="shared" ca="1" si="430"/>
        <v>Dean Henderson</v>
      </c>
      <c r="BY259" s="253">
        <f ca="1">COUNTIF('Group Stages'!$J$8:$Q$80,BX259)+COUNTIF('Knock Out Stages'!$K$7:$R$45,BX259)</f>
        <v>0</v>
      </c>
      <c r="BZ259" s="253" t="str">
        <f t="shared" si="431"/>
        <v>'Player Database'!b28</v>
      </c>
      <c r="CA259" s="253" t="str">
        <f t="shared" ca="1" si="432"/>
        <v>Dean Henderson</v>
      </c>
      <c r="CS259" s="252">
        <f t="shared" si="425"/>
        <v>256</v>
      </c>
      <c r="CT259" s="252">
        <f t="shared" si="426"/>
        <v>7</v>
      </c>
      <c r="CU259" s="252" t="str">
        <f t="shared" si="423"/>
        <v>CR7</v>
      </c>
      <c r="CV259" s="252" t="str">
        <f t="shared" ca="1" si="427"/>
        <v/>
      </c>
      <c r="CW259" s="252">
        <f t="shared" ca="1" si="420"/>
        <v>0</v>
      </c>
    </row>
    <row r="260" spans="72:101" x14ac:dyDescent="0.2">
      <c r="BT260" s="253" t="str">
        <f t="shared" ca="1" si="424"/>
        <v>England</v>
      </c>
      <c r="BU260" s="253">
        <f t="shared" si="422"/>
        <v>258</v>
      </c>
      <c r="BV260" s="253" t="str">
        <f t="shared" si="428"/>
        <v>A26</v>
      </c>
      <c r="BW260" s="253">
        <f t="shared" si="429"/>
        <v>10</v>
      </c>
      <c r="BX260" s="253" t="str">
        <f t="shared" ca="1" si="430"/>
        <v>Cole Palmer</v>
      </c>
      <c r="BY260" s="253">
        <f ca="1">COUNTIF('Group Stages'!$J$8:$Q$80,BX260)+COUNTIF('Knock Out Stages'!$K$7:$R$45,BX260)</f>
        <v>0</v>
      </c>
      <c r="BZ260" s="253" t="str">
        <f t="shared" si="431"/>
        <v>'Player Database'!b29</v>
      </c>
      <c r="CA260" s="253" t="str">
        <f t="shared" ca="1" si="432"/>
        <v>Cole Palmer</v>
      </c>
      <c r="CS260" s="252">
        <f t="shared" si="425"/>
        <v>257</v>
      </c>
      <c r="CT260" s="252">
        <f t="shared" si="426"/>
        <v>7</v>
      </c>
      <c r="CU260" s="252" t="str">
        <f t="shared" si="423"/>
        <v>CR8</v>
      </c>
      <c r="CV260" s="252" t="str">
        <f t="shared" ca="1" si="427"/>
        <v/>
      </c>
      <c r="CW260" s="252">
        <f t="shared" ca="1" si="420"/>
        <v>0</v>
      </c>
    </row>
    <row r="261" spans="72:101" x14ac:dyDescent="0.2">
      <c r="BT261" s="253" t="str">
        <f t="shared" ca="1" si="424"/>
        <v>England</v>
      </c>
      <c r="BU261" s="253">
        <f t="shared" si="422"/>
        <v>259</v>
      </c>
      <c r="BV261" s="253" t="str">
        <f t="shared" si="428"/>
        <v>A27</v>
      </c>
      <c r="BW261" s="253">
        <f t="shared" si="429"/>
        <v>10</v>
      </c>
      <c r="BX261" s="253" t="str">
        <f t="shared" ca="1" si="430"/>
        <v>Adam Wharton</v>
      </c>
      <c r="BY261" s="253">
        <f ca="1">COUNTIF('Group Stages'!$J$8:$Q$80,BX261)+COUNTIF('Knock Out Stages'!$K$7:$R$45,BX261)</f>
        <v>0</v>
      </c>
      <c r="BZ261" s="253" t="str">
        <f t="shared" si="431"/>
        <v>'Player Database'!b30</v>
      </c>
      <c r="CA261" s="253" t="str">
        <f t="shared" ca="1" si="432"/>
        <v>Adam Wharton</v>
      </c>
      <c r="CS261" s="252">
        <f t="shared" si="425"/>
        <v>258</v>
      </c>
      <c r="CT261" s="252">
        <f t="shared" si="426"/>
        <v>7</v>
      </c>
      <c r="CU261" s="252" t="str">
        <f t="shared" si="423"/>
        <v>CR9</v>
      </c>
      <c r="CV261" s="252" t="str">
        <f t="shared" ca="1" si="427"/>
        <v/>
      </c>
      <c r="CW261" s="252">
        <f t="shared" ref="CW261:CW324" ca="1" si="433">IF(CV261&lt;&gt;"",CW260+1,CW260)</f>
        <v>0</v>
      </c>
    </row>
    <row r="262" spans="72:101" x14ac:dyDescent="0.2">
      <c r="BT262" s="253" t="str">
        <f t="shared" ca="1" si="424"/>
        <v>England</v>
      </c>
      <c r="BU262" s="253">
        <f t="shared" si="422"/>
        <v>260</v>
      </c>
      <c r="BV262" s="253" t="str">
        <f t="shared" si="428"/>
        <v>A28</v>
      </c>
      <c r="BW262" s="253">
        <f t="shared" si="429"/>
        <v>10</v>
      </c>
      <c r="BX262" s="253" t="str">
        <f t="shared" ca="1" si="430"/>
        <v>Kobbie Mainoo</v>
      </c>
      <c r="BY262" s="253">
        <f ca="1">COUNTIF('Group Stages'!$J$8:$Q$80,BX262)+COUNTIF('Knock Out Stages'!$K$7:$R$45,BX262)</f>
        <v>0</v>
      </c>
      <c r="BZ262" s="253" t="str">
        <f t="shared" si="431"/>
        <v>'Player Database'!b31</v>
      </c>
      <c r="CA262" s="253" t="str">
        <f t="shared" ca="1" si="432"/>
        <v>Kobbie Mainoo</v>
      </c>
      <c r="CS262" s="252">
        <f t="shared" si="425"/>
        <v>259</v>
      </c>
      <c r="CT262" s="252">
        <f t="shared" si="426"/>
        <v>7</v>
      </c>
      <c r="CU262" s="252" t="str">
        <f t="shared" si="423"/>
        <v>CR10</v>
      </c>
      <c r="CV262" s="252" t="str">
        <f t="shared" ca="1" si="427"/>
        <v/>
      </c>
      <c r="CW262" s="252">
        <f t="shared" ca="1" si="433"/>
        <v>0</v>
      </c>
    </row>
    <row r="263" spans="72:101" x14ac:dyDescent="0.2">
      <c r="BT263" s="253" t="str">
        <f t="shared" ca="1" si="424"/>
        <v>Slovenia</v>
      </c>
      <c r="BU263" s="253">
        <f t="shared" si="422"/>
        <v>261</v>
      </c>
      <c r="BV263" s="253" t="str">
        <f t="shared" si="428"/>
        <v>A3</v>
      </c>
      <c r="BW263" s="253">
        <f t="shared" si="429"/>
        <v>11</v>
      </c>
      <c r="BX263" s="253" t="str">
        <f t="shared" ca="1" si="430"/>
        <v>Jan Oblak</v>
      </c>
      <c r="BY263" s="253">
        <f ca="1">COUNTIF('Group Stages'!$J$8:$Q$80,BX263)+COUNTIF('Knock Out Stages'!$K$7:$R$45,BX263)</f>
        <v>0</v>
      </c>
      <c r="BZ263" s="253" t="str">
        <f t="shared" si="431"/>
        <v>'Player Database'!b6</v>
      </c>
      <c r="CA263" s="253" t="str">
        <f t="shared" ca="1" si="432"/>
        <v>Jan Oblak</v>
      </c>
      <c r="CS263" s="252">
        <f t="shared" si="425"/>
        <v>260</v>
      </c>
      <c r="CT263" s="252">
        <f t="shared" si="426"/>
        <v>7</v>
      </c>
      <c r="CU263" s="252" t="str">
        <f t="shared" si="423"/>
        <v>CR11</v>
      </c>
      <c r="CV263" s="252" t="str">
        <f t="shared" ca="1" si="427"/>
        <v/>
      </c>
      <c r="CW263" s="252">
        <f t="shared" ca="1" si="433"/>
        <v>0</v>
      </c>
    </row>
    <row r="264" spans="72:101" x14ac:dyDescent="0.2">
      <c r="BT264" s="253" t="str">
        <f t="shared" ca="1" si="424"/>
        <v>Slovenia</v>
      </c>
      <c r="BU264" s="253">
        <f t="shared" si="422"/>
        <v>262</v>
      </c>
      <c r="BV264" s="253" t="str">
        <f t="shared" si="428"/>
        <v>A4</v>
      </c>
      <c r="BW264" s="253">
        <f t="shared" si="429"/>
        <v>11</v>
      </c>
      <c r="BX264" s="253" t="str">
        <f t="shared" ca="1" si="430"/>
        <v>Žan Karničnik</v>
      </c>
      <c r="BY264" s="253">
        <f ca="1">COUNTIF('Group Stages'!$J$8:$Q$80,BX264)+COUNTIF('Knock Out Stages'!$K$7:$R$45,BX264)</f>
        <v>0</v>
      </c>
      <c r="BZ264" s="253" t="str">
        <f t="shared" si="431"/>
        <v>'Player Database'!b7</v>
      </c>
      <c r="CA264" s="253" t="str">
        <f t="shared" ca="1" si="432"/>
        <v>Žan Karničnik</v>
      </c>
      <c r="CS264" s="252">
        <f t="shared" si="425"/>
        <v>261</v>
      </c>
      <c r="CT264" s="252">
        <f t="shared" si="426"/>
        <v>7</v>
      </c>
      <c r="CU264" s="252" t="str">
        <f t="shared" si="423"/>
        <v>CR12</v>
      </c>
      <c r="CV264" s="252" t="str">
        <f t="shared" ca="1" si="427"/>
        <v/>
      </c>
      <c r="CW264" s="252">
        <f t="shared" ca="1" si="433"/>
        <v>0</v>
      </c>
    </row>
    <row r="265" spans="72:101" x14ac:dyDescent="0.2">
      <c r="BT265" s="253" t="str">
        <f t="shared" ca="1" si="424"/>
        <v>Slovenia</v>
      </c>
      <c r="BU265" s="253">
        <f t="shared" si="422"/>
        <v>263</v>
      </c>
      <c r="BV265" s="253" t="str">
        <f t="shared" si="428"/>
        <v>A5</v>
      </c>
      <c r="BW265" s="253">
        <f t="shared" si="429"/>
        <v>11</v>
      </c>
      <c r="BX265" s="253" t="str">
        <f t="shared" ca="1" si="430"/>
        <v>Jure Balkovec</v>
      </c>
      <c r="BY265" s="253">
        <f ca="1">COUNTIF('Group Stages'!$J$8:$Q$80,BX265)+COUNTIF('Knock Out Stages'!$K$7:$R$45,BX265)</f>
        <v>0</v>
      </c>
      <c r="BZ265" s="253" t="str">
        <f t="shared" si="431"/>
        <v>'Player Database'!b8</v>
      </c>
      <c r="CA265" s="253" t="str">
        <f t="shared" ca="1" si="432"/>
        <v>Jure Balkovec</v>
      </c>
      <c r="CS265" s="252">
        <f t="shared" si="425"/>
        <v>262</v>
      </c>
      <c r="CT265" s="252">
        <f t="shared" si="426"/>
        <v>7</v>
      </c>
      <c r="CU265" s="252" t="str">
        <f t="shared" si="423"/>
        <v>CR13</v>
      </c>
      <c r="CV265" s="252" t="str">
        <f t="shared" ca="1" si="427"/>
        <v/>
      </c>
      <c r="CW265" s="252">
        <f t="shared" ca="1" si="433"/>
        <v>0</v>
      </c>
    </row>
    <row r="266" spans="72:101" x14ac:dyDescent="0.2">
      <c r="BT266" s="253" t="str">
        <f t="shared" ca="1" si="424"/>
        <v>Slovenia</v>
      </c>
      <c r="BU266" s="253">
        <f t="shared" si="422"/>
        <v>264</v>
      </c>
      <c r="BV266" s="253" t="str">
        <f t="shared" si="428"/>
        <v>A6</v>
      </c>
      <c r="BW266" s="253">
        <f t="shared" si="429"/>
        <v>11</v>
      </c>
      <c r="BX266" s="253" t="str">
        <f t="shared" ca="1" si="430"/>
        <v>Miha Blažič</v>
      </c>
      <c r="BY266" s="253">
        <f ca="1">COUNTIF('Group Stages'!$J$8:$Q$80,BX266)+COUNTIF('Knock Out Stages'!$K$7:$R$45,BX266)</f>
        <v>0</v>
      </c>
      <c r="BZ266" s="253" t="str">
        <f t="shared" si="431"/>
        <v>'Player Database'!b9</v>
      </c>
      <c r="CA266" s="253" t="str">
        <f t="shared" ca="1" si="432"/>
        <v>Miha Blažič</v>
      </c>
      <c r="CS266" s="252">
        <f t="shared" si="425"/>
        <v>263</v>
      </c>
      <c r="CT266" s="252">
        <f t="shared" si="426"/>
        <v>7</v>
      </c>
      <c r="CU266" s="252" t="str">
        <f t="shared" si="423"/>
        <v>CR14</v>
      </c>
      <c r="CV266" s="252" t="str">
        <f t="shared" ca="1" si="427"/>
        <v/>
      </c>
      <c r="CW266" s="252">
        <f t="shared" ca="1" si="433"/>
        <v>0</v>
      </c>
    </row>
    <row r="267" spans="72:101" x14ac:dyDescent="0.2">
      <c r="BT267" s="253" t="str">
        <f t="shared" ca="1" si="424"/>
        <v>Slovenia</v>
      </c>
      <c r="BU267" s="253">
        <f t="shared" ref="BU267:BU330" si="434">BU266+1</f>
        <v>265</v>
      </c>
      <c r="BV267" s="253" t="str">
        <f t="shared" si="428"/>
        <v>A7</v>
      </c>
      <c r="BW267" s="253">
        <f t="shared" si="429"/>
        <v>11</v>
      </c>
      <c r="BX267" s="253" t="str">
        <f t="shared" ca="1" si="430"/>
        <v>Jon Gorenc Stanković</v>
      </c>
      <c r="BY267" s="253">
        <f ca="1">COUNTIF('Group Stages'!$J$8:$Q$80,BX267)+COUNTIF('Knock Out Stages'!$K$7:$R$45,BX267)</f>
        <v>0</v>
      </c>
      <c r="BZ267" s="253" t="str">
        <f t="shared" si="431"/>
        <v>'Player Database'!b10</v>
      </c>
      <c r="CA267" s="253" t="str">
        <f t="shared" ca="1" si="432"/>
        <v>Jon Gorenc Stanković</v>
      </c>
      <c r="CS267" s="252">
        <f t="shared" si="425"/>
        <v>264</v>
      </c>
      <c r="CT267" s="252">
        <f t="shared" si="426"/>
        <v>7</v>
      </c>
      <c r="CU267" s="252" t="str">
        <f t="shared" si="423"/>
        <v>CR15</v>
      </c>
      <c r="CV267" s="252" t="str">
        <f t="shared" ca="1" si="427"/>
        <v/>
      </c>
      <c r="CW267" s="252">
        <f t="shared" ca="1" si="433"/>
        <v>0</v>
      </c>
    </row>
    <row r="268" spans="72:101" x14ac:dyDescent="0.2">
      <c r="BT268" s="253" t="str">
        <f t="shared" ca="1" si="424"/>
        <v>Slovenia</v>
      </c>
      <c r="BU268" s="253">
        <f t="shared" si="434"/>
        <v>266</v>
      </c>
      <c r="BV268" s="253" t="str">
        <f t="shared" si="428"/>
        <v>A8</v>
      </c>
      <c r="BW268" s="253">
        <f t="shared" si="429"/>
        <v>11</v>
      </c>
      <c r="BX268" s="253" t="str">
        <f t="shared" ca="1" si="430"/>
        <v>Jaka Bijol</v>
      </c>
      <c r="BY268" s="253">
        <f ca="1">COUNTIF('Group Stages'!$J$8:$Q$80,BX268)+COUNTIF('Knock Out Stages'!$K$7:$R$45,BX268)</f>
        <v>0</v>
      </c>
      <c r="BZ268" s="253" t="str">
        <f t="shared" si="431"/>
        <v>'Player Database'!b11</v>
      </c>
      <c r="CA268" s="253" t="str">
        <f t="shared" ca="1" si="432"/>
        <v>Jaka Bijol</v>
      </c>
      <c r="CS268" s="252">
        <f t="shared" si="425"/>
        <v>265</v>
      </c>
      <c r="CT268" s="252">
        <f t="shared" si="426"/>
        <v>7</v>
      </c>
      <c r="CU268" s="252" t="str">
        <f t="shared" si="423"/>
        <v>CR16</v>
      </c>
      <c r="CV268" s="252" t="str">
        <f t="shared" ca="1" si="427"/>
        <v/>
      </c>
      <c r="CW268" s="252">
        <f t="shared" ca="1" si="433"/>
        <v>0</v>
      </c>
    </row>
    <row r="269" spans="72:101" x14ac:dyDescent="0.2">
      <c r="BT269" s="253" t="str">
        <f t="shared" ca="1" si="424"/>
        <v>Slovenia</v>
      </c>
      <c r="BU269" s="253">
        <f t="shared" si="434"/>
        <v>267</v>
      </c>
      <c r="BV269" s="253" t="str">
        <f t="shared" si="428"/>
        <v>A9</v>
      </c>
      <c r="BW269" s="253">
        <f t="shared" si="429"/>
        <v>11</v>
      </c>
      <c r="BX269" s="253" t="str">
        <f t="shared" ca="1" si="430"/>
        <v>Benjamin Verbič</v>
      </c>
      <c r="BY269" s="253">
        <f ca="1">COUNTIF('Group Stages'!$J$8:$Q$80,BX269)+COUNTIF('Knock Out Stages'!$K$7:$R$45,BX269)</f>
        <v>0</v>
      </c>
      <c r="BZ269" s="253" t="str">
        <f t="shared" si="431"/>
        <v>'Player Database'!b12</v>
      </c>
      <c r="CA269" s="253" t="str">
        <f t="shared" ca="1" si="432"/>
        <v>Benjamin Verbič</v>
      </c>
      <c r="CS269" s="252">
        <f t="shared" si="425"/>
        <v>266</v>
      </c>
      <c r="CT269" s="252">
        <f t="shared" si="426"/>
        <v>7</v>
      </c>
      <c r="CU269" s="252" t="str">
        <f t="shared" si="423"/>
        <v>CR17</v>
      </c>
      <c r="CV269" s="252" t="str">
        <f t="shared" ca="1" si="427"/>
        <v/>
      </c>
      <c r="CW269" s="252">
        <f t="shared" ca="1" si="433"/>
        <v>0</v>
      </c>
    </row>
    <row r="270" spans="72:101" x14ac:dyDescent="0.2">
      <c r="BT270" s="253" t="str">
        <f t="shared" ca="1" si="424"/>
        <v>Slovenia</v>
      </c>
      <c r="BU270" s="253">
        <f t="shared" si="434"/>
        <v>268</v>
      </c>
      <c r="BV270" s="253" t="str">
        <f t="shared" si="428"/>
        <v>A10</v>
      </c>
      <c r="BW270" s="253">
        <f t="shared" si="429"/>
        <v>11</v>
      </c>
      <c r="BX270" s="253" t="str">
        <f t="shared" ca="1" si="430"/>
        <v>Sandi Lovrić</v>
      </c>
      <c r="BY270" s="253">
        <f ca="1">COUNTIF('Group Stages'!$J$8:$Q$80,BX270)+COUNTIF('Knock Out Stages'!$K$7:$R$45,BX270)</f>
        <v>0</v>
      </c>
      <c r="BZ270" s="253" t="str">
        <f t="shared" si="431"/>
        <v>'Player Database'!b13</v>
      </c>
      <c r="CA270" s="253" t="str">
        <f t="shared" ca="1" si="432"/>
        <v>Sandi Lovrić</v>
      </c>
      <c r="CS270" s="252">
        <f t="shared" si="425"/>
        <v>267</v>
      </c>
      <c r="CT270" s="252">
        <f t="shared" si="426"/>
        <v>7</v>
      </c>
      <c r="CU270" s="252" t="str">
        <f t="shared" si="423"/>
        <v>CR18</v>
      </c>
      <c r="CV270" s="252" t="str">
        <f t="shared" ca="1" si="427"/>
        <v/>
      </c>
      <c r="CW270" s="252">
        <f t="shared" ca="1" si="433"/>
        <v>0</v>
      </c>
    </row>
    <row r="271" spans="72:101" x14ac:dyDescent="0.2">
      <c r="BT271" s="253" t="str">
        <f t="shared" ca="1" si="424"/>
        <v>Slovenia</v>
      </c>
      <c r="BU271" s="253">
        <f t="shared" si="434"/>
        <v>269</v>
      </c>
      <c r="BV271" s="253" t="str">
        <f t="shared" si="428"/>
        <v>A11</v>
      </c>
      <c r="BW271" s="253">
        <f t="shared" si="429"/>
        <v>11</v>
      </c>
      <c r="BX271" s="253" t="str">
        <f t="shared" ca="1" si="430"/>
        <v>Andraž Šporar</v>
      </c>
      <c r="BY271" s="253">
        <f ca="1">COUNTIF('Group Stages'!$J$8:$Q$80,BX271)+COUNTIF('Knock Out Stages'!$K$7:$R$45,BX271)</f>
        <v>0</v>
      </c>
      <c r="BZ271" s="253" t="str">
        <f t="shared" si="431"/>
        <v>'Player Database'!b14</v>
      </c>
      <c r="CA271" s="253" t="str">
        <f t="shared" ca="1" si="432"/>
        <v>Andraž Šporar</v>
      </c>
      <c r="CS271" s="252">
        <f t="shared" si="425"/>
        <v>268</v>
      </c>
      <c r="CT271" s="252">
        <f t="shared" si="426"/>
        <v>7</v>
      </c>
      <c r="CU271" s="252" t="str">
        <f t="shared" si="423"/>
        <v>CR19</v>
      </c>
      <c r="CV271" s="252" t="str">
        <f t="shared" ca="1" si="427"/>
        <v/>
      </c>
      <c r="CW271" s="252">
        <f t="shared" ca="1" si="433"/>
        <v>0</v>
      </c>
    </row>
    <row r="272" spans="72:101" x14ac:dyDescent="0.2">
      <c r="BT272" s="253" t="str">
        <f t="shared" ca="1" si="424"/>
        <v>Slovenia</v>
      </c>
      <c r="BU272" s="253">
        <f t="shared" si="434"/>
        <v>270</v>
      </c>
      <c r="BV272" s="253" t="str">
        <f t="shared" si="428"/>
        <v>A12</v>
      </c>
      <c r="BW272" s="253">
        <f t="shared" si="429"/>
        <v>11</v>
      </c>
      <c r="BX272" s="253" t="str">
        <f t="shared" ca="1" si="430"/>
        <v>Timi Max Elšnik</v>
      </c>
      <c r="BY272" s="253">
        <f ca="1">COUNTIF('Group Stages'!$J$8:$Q$80,BX272)+COUNTIF('Knock Out Stages'!$K$7:$R$45,BX272)</f>
        <v>0</v>
      </c>
      <c r="BZ272" s="253" t="str">
        <f t="shared" si="431"/>
        <v>'Player Database'!b15</v>
      </c>
      <c r="CA272" s="253" t="str">
        <f t="shared" ca="1" si="432"/>
        <v>Timi Max Elšnik</v>
      </c>
      <c r="CS272" s="252">
        <f t="shared" si="425"/>
        <v>269</v>
      </c>
      <c r="CT272" s="252">
        <f t="shared" si="426"/>
        <v>7</v>
      </c>
      <c r="CU272" s="252" t="str">
        <f t="shared" si="423"/>
        <v>CR20</v>
      </c>
      <c r="CV272" s="252" t="str">
        <f t="shared" ca="1" si="427"/>
        <v/>
      </c>
      <c r="CW272" s="252">
        <f t="shared" ca="1" si="433"/>
        <v>0</v>
      </c>
    </row>
    <row r="273" spans="72:101" x14ac:dyDescent="0.2">
      <c r="BT273" s="253" t="str">
        <f t="shared" ca="1" si="424"/>
        <v>Slovenia</v>
      </c>
      <c r="BU273" s="253">
        <f t="shared" si="434"/>
        <v>271</v>
      </c>
      <c r="BV273" s="253" t="str">
        <f t="shared" si="428"/>
        <v>A13</v>
      </c>
      <c r="BW273" s="253">
        <f t="shared" si="429"/>
        <v>11</v>
      </c>
      <c r="BX273" s="253" t="str">
        <f t="shared" ca="1" si="430"/>
        <v>Benjamin Šeško</v>
      </c>
      <c r="BY273" s="253">
        <f ca="1">COUNTIF('Group Stages'!$J$8:$Q$80,BX273)+COUNTIF('Knock Out Stages'!$K$7:$R$45,BX273)</f>
        <v>0</v>
      </c>
      <c r="BZ273" s="253" t="str">
        <f t="shared" si="431"/>
        <v>'Player Database'!b16</v>
      </c>
      <c r="CA273" s="253" t="str">
        <f t="shared" ca="1" si="432"/>
        <v>Benjamin Šeško</v>
      </c>
      <c r="CS273" s="252">
        <f t="shared" si="425"/>
        <v>270</v>
      </c>
      <c r="CT273" s="252">
        <f t="shared" si="426"/>
        <v>7</v>
      </c>
      <c r="CU273" s="252" t="str">
        <f t="shared" si="423"/>
        <v>CR21</v>
      </c>
      <c r="CV273" s="252" t="str">
        <f t="shared" ca="1" si="427"/>
        <v/>
      </c>
      <c r="CW273" s="252">
        <f t="shared" ca="1" si="433"/>
        <v>0</v>
      </c>
    </row>
    <row r="274" spans="72:101" x14ac:dyDescent="0.2">
      <c r="BT274" s="253" t="str">
        <f t="shared" ca="1" si="424"/>
        <v>Slovenia</v>
      </c>
      <c r="BU274" s="253">
        <f t="shared" si="434"/>
        <v>272</v>
      </c>
      <c r="BV274" s="253" t="str">
        <f t="shared" si="428"/>
        <v>A14</v>
      </c>
      <c r="BW274" s="253">
        <f t="shared" si="429"/>
        <v>11</v>
      </c>
      <c r="BX274" s="253" t="str">
        <f t="shared" ca="1" si="430"/>
        <v>Vid Belec</v>
      </c>
      <c r="BY274" s="253">
        <f ca="1">COUNTIF('Group Stages'!$J$8:$Q$80,BX274)+COUNTIF('Knock Out Stages'!$K$7:$R$45,BX274)</f>
        <v>0</v>
      </c>
      <c r="BZ274" s="253" t="str">
        <f t="shared" si="431"/>
        <v>'Player Database'!b17</v>
      </c>
      <c r="CA274" s="253" t="str">
        <f t="shared" ca="1" si="432"/>
        <v>Vid Belec</v>
      </c>
      <c r="CS274" s="252">
        <f t="shared" si="425"/>
        <v>271</v>
      </c>
      <c r="CT274" s="252">
        <f t="shared" si="426"/>
        <v>7</v>
      </c>
      <c r="CU274" s="252" t="str">
        <f t="shared" si="423"/>
        <v>CR22</v>
      </c>
      <c r="CV274" s="252" t="str">
        <f t="shared" ca="1" si="427"/>
        <v/>
      </c>
      <c r="CW274" s="252">
        <f t="shared" ca="1" si="433"/>
        <v>0</v>
      </c>
    </row>
    <row r="275" spans="72:101" x14ac:dyDescent="0.2">
      <c r="BT275" s="253" t="str">
        <f t="shared" ca="1" si="424"/>
        <v>Slovenia</v>
      </c>
      <c r="BU275" s="253">
        <f t="shared" si="434"/>
        <v>273</v>
      </c>
      <c r="BV275" s="253" t="str">
        <f t="shared" si="428"/>
        <v>A15</v>
      </c>
      <c r="BW275" s="253">
        <f t="shared" si="429"/>
        <v>11</v>
      </c>
      <c r="BX275" s="253" t="str">
        <f t="shared" ca="1" si="430"/>
        <v>Erik Janža</v>
      </c>
      <c r="BY275" s="253">
        <f ca="1">COUNTIF('Group Stages'!$J$8:$Q$80,BX275)+COUNTIF('Knock Out Stages'!$K$7:$R$45,BX275)</f>
        <v>0</v>
      </c>
      <c r="BZ275" s="253" t="str">
        <f t="shared" si="431"/>
        <v>'Player Database'!b18</v>
      </c>
      <c r="CA275" s="253" t="str">
        <f t="shared" ca="1" si="432"/>
        <v>Erik Janža</v>
      </c>
      <c r="CS275" s="252">
        <f t="shared" si="425"/>
        <v>272</v>
      </c>
      <c r="CT275" s="252">
        <f t="shared" si="426"/>
        <v>7</v>
      </c>
      <c r="CU275" s="252" t="str">
        <f t="shared" si="423"/>
        <v>CR23</v>
      </c>
      <c r="CV275" s="252" t="str">
        <f t="shared" ca="1" si="427"/>
        <v/>
      </c>
      <c r="CW275" s="252">
        <f t="shared" ca="1" si="433"/>
        <v>0</v>
      </c>
    </row>
    <row r="276" spans="72:101" x14ac:dyDescent="0.2">
      <c r="BT276" s="253" t="str">
        <f t="shared" ca="1" si="424"/>
        <v>Slovenia</v>
      </c>
      <c r="BU276" s="253">
        <f t="shared" si="434"/>
        <v>274</v>
      </c>
      <c r="BV276" s="253" t="str">
        <f t="shared" si="428"/>
        <v>A16</v>
      </c>
      <c r="BW276" s="253">
        <f t="shared" si="429"/>
        <v>11</v>
      </c>
      <c r="BX276" s="253" t="str">
        <f t="shared" ca="1" si="430"/>
        <v>Jasmin Kurtić</v>
      </c>
      <c r="BY276" s="253">
        <f ca="1">COUNTIF('Group Stages'!$J$8:$Q$80,BX276)+COUNTIF('Knock Out Stages'!$K$7:$R$45,BX276)</f>
        <v>0</v>
      </c>
      <c r="BZ276" s="253" t="str">
        <f t="shared" si="431"/>
        <v>'Player Database'!b19</v>
      </c>
      <c r="CA276" s="253" t="str">
        <f t="shared" ca="1" si="432"/>
        <v>Jasmin Kurtić</v>
      </c>
      <c r="CS276" s="252">
        <f t="shared" si="425"/>
        <v>273</v>
      </c>
      <c r="CT276" s="252">
        <f t="shared" si="426"/>
        <v>7</v>
      </c>
      <c r="CU276" s="252" t="str">
        <f t="shared" si="423"/>
        <v>CR24</v>
      </c>
      <c r="CV276" s="252" t="str">
        <f t="shared" ca="1" si="427"/>
        <v/>
      </c>
      <c r="CW276" s="252">
        <f t="shared" ca="1" si="433"/>
        <v>0</v>
      </c>
    </row>
    <row r="277" spans="72:101" x14ac:dyDescent="0.2">
      <c r="BT277" s="253" t="str">
        <f t="shared" ca="1" si="424"/>
        <v>Slovenia</v>
      </c>
      <c r="BU277" s="253">
        <f t="shared" si="434"/>
        <v>275</v>
      </c>
      <c r="BV277" s="253" t="str">
        <f t="shared" si="428"/>
        <v>A17</v>
      </c>
      <c r="BW277" s="253">
        <f t="shared" si="429"/>
        <v>11</v>
      </c>
      <c r="BX277" s="253" t="str">
        <f t="shared" ca="1" si="430"/>
        <v>Tomi Horvat</v>
      </c>
      <c r="BY277" s="253">
        <f ca="1">COUNTIF('Group Stages'!$J$8:$Q$80,BX277)+COUNTIF('Knock Out Stages'!$K$7:$R$45,BX277)</f>
        <v>0</v>
      </c>
      <c r="BZ277" s="253" t="str">
        <f t="shared" si="431"/>
        <v>'Player Database'!b20</v>
      </c>
      <c r="CA277" s="253" t="str">
        <f t="shared" ca="1" si="432"/>
        <v>Tomi Horvat</v>
      </c>
      <c r="CS277" s="252">
        <f t="shared" si="425"/>
        <v>274</v>
      </c>
      <c r="CT277" s="252">
        <f t="shared" si="426"/>
        <v>7</v>
      </c>
      <c r="CU277" s="252" t="str">
        <f t="shared" si="423"/>
        <v>CR25</v>
      </c>
      <c r="CV277" s="252" t="str">
        <f t="shared" ca="1" si="427"/>
        <v/>
      </c>
      <c r="CW277" s="252">
        <f t="shared" ca="1" si="433"/>
        <v>0</v>
      </c>
    </row>
    <row r="278" spans="72:101" x14ac:dyDescent="0.2">
      <c r="BT278" s="253" t="str">
        <f t="shared" ca="1" si="424"/>
        <v>Slovenia</v>
      </c>
      <c r="BU278" s="253">
        <f t="shared" si="434"/>
        <v>276</v>
      </c>
      <c r="BV278" s="253" t="str">
        <f t="shared" si="428"/>
        <v>A18</v>
      </c>
      <c r="BW278" s="253">
        <f t="shared" si="429"/>
        <v>11</v>
      </c>
      <c r="BX278" s="253" t="str">
        <f t="shared" ca="1" si="430"/>
        <v>Igor Vekić</v>
      </c>
      <c r="BY278" s="253">
        <f ca="1">COUNTIF('Group Stages'!$J$8:$Q$80,BX278)+COUNTIF('Knock Out Stages'!$K$7:$R$45,BX278)</f>
        <v>0</v>
      </c>
      <c r="BZ278" s="253" t="str">
        <f t="shared" si="431"/>
        <v>'Player Database'!b21</v>
      </c>
      <c r="CA278" s="253" t="str">
        <f t="shared" ca="1" si="432"/>
        <v>Igor Vekić</v>
      </c>
      <c r="CS278" s="252">
        <f t="shared" si="425"/>
        <v>275</v>
      </c>
      <c r="CT278" s="252">
        <f t="shared" si="426"/>
        <v>7</v>
      </c>
      <c r="CU278" s="252" t="str">
        <f t="shared" si="423"/>
        <v>CR26</v>
      </c>
      <c r="CV278" s="252" t="str">
        <f t="shared" ca="1" si="427"/>
        <v/>
      </c>
      <c r="CW278" s="252">
        <f t="shared" ca="1" si="433"/>
        <v>0</v>
      </c>
    </row>
    <row r="279" spans="72:101" x14ac:dyDescent="0.2">
      <c r="BT279" s="253" t="str">
        <f t="shared" ca="1" si="424"/>
        <v>Slovenia</v>
      </c>
      <c r="BU279" s="253">
        <f t="shared" si="434"/>
        <v>277</v>
      </c>
      <c r="BV279" s="253" t="str">
        <f t="shared" si="428"/>
        <v>A19</v>
      </c>
      <c r="BW279" s="253">
        <f t="shared" si="429"/>
        <v>11</v>
      </c>
      <c r="BX279" s="253" t="str">
        <f t="shared" ca="1" si="430"/>
        <v>Jan Mlakar</v>
      </c>
      <c r="BY279" s="253">
        <f ca="1">COUNTIF('Group Stages'!$J$8:$Q$80,BX279)+COUNTIF('Knock Out Stages'!$K$7:$R$45,BX279)</f>
        <v>0</v>
      </c>
      <c r="BZ279" s="253" t="str">
        <f t="shared" si="431"/>
        <v>'Player Database'!b22</v>
      </c>
      <c r="CA279" s="253" t="str">
        <f t="shared" ca="1" si="432"/>
        <v>Jan Mlakar</v>
      </c>
      <c r="CS279" s="252">
        <f t="shared" si="425"/>
        <v>276</v>
      </c>
      <c r="CT279" s="252">
        <f t="shared" si="426"/>
        <v>7</v>
      </c>
      <c r="CU279" s="252" t="str">
        <f t="shared" si="423"/>
        <v>CR27</v>
      </c>
      <c r="CV279" s="252" t="str">
        <f t="shared" ca="1" si="427"/>
        <v/>
      </c>
      <c r="CW279" s="252">
        <f t="shared" ca="1" si="433"/>
        <v>0</v>
      </c>
    </row>
    <row r="280" spans="72:101" x14ac:dyDescent="0.2">
      <c r="BT280" s="253" t="str">
        <f t="shared" ca="1" si="424"/>
        <v>Slovenia</v>
      </c>
      <c r="BU280" s="253">
        <f t="shared" si="434"/>
        <v>278</v>
      </c>
      <c r="BV280" s="253" t="str">
        <f t="shared" si="428"/>
        <v>A20</v>
      </c>
      <c r="BW280" s="253">
        <f t="shared" si="429"/>
        <v>11</v>
      </c>
      <c r="BX280" s="253" t="str">
        <f t="shared" ca="1" si="430"/>
        <v>Žan Vipotnik</v>
      </c>
      <c r="BY280" s="253">
        <f ca="1">COUNTIF('Group Stages'!$J$8:$Q$80,BX280)+COUNTIF('Knock Out Stages'!$K$7:$R$45,BX280)</f>
        <v>0</v>
      </c>
      <c r="BZ280" s="253" t="str">
        <f t="shared" si="431"/>
        <v>'Player Database'!b23</v>
      </c>
      <c r="CA280" s="253" t="str">
        <f t="shared" ca="1" si="432"/>
        <v>Žan Vipotnik</v>
      </c>
      <c r="CS280" s="252">
        <f t="shared" si="425"/>
        <v>277</v>
      </c>
      <c r="CT280" s="252">
        <f t="shared" si="426"/>
        <v>7</v>
      </c>
      <c r="CU280" s="252" t="str">
        <f t="shared" si="423"/>
        <v>CR28</v>
      </c>
      <c r="CV280" s="252" t="str">
        <f t="shared" ca="1" si="427"/>
        <v/>
      </c>
      <c r="CW280" s="252">
        <f t="shared" ca="1" si="433"/>
        <v>0</v>
      </c>
    </row>
    <row r="281" spans="72:101" x14ac:dyDescent="0.2">
      <c r="BT281" s="253" t="str">
        <f t="shared" ca="1" si="424"/>
        <v>Slovenia</v>
      </c>
      <c r="BU281" s="253">
        <f t="shared" si="434"/>
        <v>279</v>
      </c>
      <c r="BV281" s="253" t="str">
        <f t="shared" si="428"/>
        <v>A21</v>
      </c>
      <c r="BW281" s="253">
        <f t="shared" si="429"/>
        <v>11</v>
      </c>
      <c r="BX281" s="253" t="str">
        <f t="shared" ca="1" si="430"/>
        <v>Žan Celar</v>
      </c>
      <c r="BY281" s="253">
        <f ca="1">COUNTIF('Group Stages'!$J$8:$Q$80,BX281)+COUNTIF('Knock Out Stages'!$K$7:$R$45,BX281)</f>
        <v>0</v>
      </c>
      <c r="BZ281" s="253" t="str">
        <f t="shared" si="431"/>
        <v>'Player Database'!b24</v>
      </c>
      <c r="CA281" s="253" t="str">
        <f t="shared" ca="1" si="432"/>
        <v>Žan Celar</v>
      </c>
      <c r="CS281" s="252">
        <f t="shared" si="425"/>
        <v>278</v>
      </c>
      <c r="CT281" s="252">
        <f t="shared" si="426"/>
        <v>7</v>
      </c>
      <c r="CU281" s="252" t="str">
        <f t="shared" ref="CU281:CU344" si="435">CU239</f>
        <v>CR29</v>
      </c>
      <c r="CV281" s="252" t="str">
        <f t="shared" ca="1" si="427"/>
        <v/>
      </c>
      <c r="CW281" s="252">
        <f t="shared" ca="1" si="433"/>
        <v>0</v>
      </c>
    </row>
    <row r="282" spans="72:101" x14ac:dyDescent="0.2">
      <c r="BT282" s="253" t="str">
        <f t="shared" ca="1" si="424"/>
        <v>Slovenia</v>
      </c>
      <c r="BU282" s="253">
        <f t="shared" si="434"/>
        <v>280</v>
      </c>
      <c r="BV282" s="253" t="str">
        <f t="shared" si="428"/>
        <v>A22</v>
      </c>
      <c r="BW282" s="253">
        <f t="shared" si="429"/>
        <v>11</v>
      </c>
      <c r="BX282" s="253" t="str">
        <f t="shared" ca="1" si="430"/>
        <v>Petar Stojanović</v>
      </c>
      <c r="BY282" s="253">
        <f ca="1">COUNTIF('Group Stages'!$J$8:$Q$80,BX282)+COUNTIF('Knock Out Stages'!$K$7:$R$45,BX282)</f>
        <v>0</v>
      </c>
      <c r="BZ282" s="253" t="str">
        <f t="shared" si="431"/>
        <v>'Player Database'!b25</v>
      </c>
      <c r="CA282" s="253" t="str">
        <f t="shared" ca="1" si="432"/>
        <v>Petar Stojanović</v>
      </c>
      <c r="CS282" s="252">
        <f t="shared" si="425"/>
        <v>279</v>
      </c>
      <c r="CT282" s="252">
        <f t="shared" si="426"/>
        <v>7</v>
      </c>
      <c r="CU282" s="252" t="str">
        <f t="shared" si="435"/>
        <v>CR30</v>
      </c>
      <c r="CV282" s="252" t="str">
        <f t="shared" ca="1" si="427"/>
        <v/>
      </c>
      <c r="CW282" s="252">
        <f t="shared" ca="1" si="433"/>
        <v>0</v>
      </c>
    </row>
    <row r="283" spans="72:101" x14ac:dyDescent="0.2">
      <c r="BT283" s="253" t="str">
        <f t="shared" ca="1" si="424"/>
        <v>Slovenia</v>
      </c>
      <c r="BU283" s="253">
        <f t="shared" si="434"/>
        <v>281</v>
      </c>
      <c r="BV283" s="253" t="str">
        <f t="shared" si="428"/>
        <v>A23</v>
      </c>
      <c r="BW283" s="253">
        <f t="shared" si="429"/>
        <v>11</v>
      </c>
      <c r="BX283" s="253" t="str">
        <f t="shared" ca="1" si="430"/>
        <v>Vanja Drkušić</v>
      </c>
      <c r="BY283" s="253">
        <f ca="1">COUNTIF('Group Stages'!$J$8:$Q$80,BX283)+COUNTIF('Knock Out Stages'!$K$7:$R$45,BX283)</f>
        <v>0</v>
      </c>
      <c r="BZ283" s="253" t="str">
        <f t="shared" si="431"/>
        <v>'Player Database'!b26</v>
      </c>
      <c r="CA283" s="253" t="str">
        <f t="shared" ca="1" si="432"/>
        <v>Vanja Drkušić</v>
      </c>
      <c r="CS283" s="252">
        <f t="shared" si="425"/>
        <v>280</v>
      </c>
      <c r="CT283" s="252">
        <f t="shared" si="426"/>
        <v>7</v>
      </c>
      <c r="CU283" s="252" t="str">
        <f t="shared" si="435"/>
        <v>CR31</v>
      </c>
      <c r="CV283" s="252" t="str">
        <f t="shared" ca="1" si="427"/>
        <v/>
      </c>
      <c r="CW283" s="252">
        <f t="shared" ca="1" si="433"/>
        <v>0</v>
      </c>
    </row>
    <row r="284" spans="72:101" x14ac:dyDescent="0.2">
      <c r="BT284" s="253" t="str">
        <f t="shared" ca="1" si="424"/>
        <v>Slovenia</v>
      </c>
      <c r="BU284" s="253">
        <f t="shared" si="434"/>
        <v>282</v>
      </c>
      <c r="BV284" s="253" t="str">
        <f t="shared" si="428"/>
        <v>A24</v>
      </c>
      <c r="BW284" s="253">
        <f t="shared" si="429"/>
        <v>11</v>
      </c>
      <c r="BX284" s="253" t="str">
        <f t="shared" ca="1" si="430"/>
        <v>Adam Gnezda Čerin</v>
      </c>
      <c r="BY284" s="253">
        <f ca="1">COUNTIF('Group Stages'!$J$8:$Q$80,BX284)+COUNTIF('Knock Out Stages'!$K$7:$R$45,BX284)</f>
        <v>0</v>
      </c>
      <c r="BZ284" s="253" t="str">
        <f t="shared" si="431"/>
        <v>'Player Database'!b27</v>
      </c>
      <c r="CA284" s="253" t="str">
        <f t="shared" ca="1" si="432"/>
        <v>Adam Gnezda Čerin</v>
      </c>
      <c r="CS284" s="252">
        <f t="shared" si="425"/>
        <v>281</v>
      </c>
      <c r="CT284" s="252">
        <f t="shared" si="426"/>
        <v>7</v>
      </c>
      <c r="CU284" s="252" t="str">
        <f t="shared" si="435"/>
        <v>CR32</v>
      </c>
      <c r="CV284" s="252" t="str">
        <f t="shared" ca="1" si="427"/>
        <v/>
      </c>
      <c r="CW284" s="252">
        <f t="shared" ca="1" si="433"/>
        <v>0</v>
      </c>
    </row>
    <row r="285" spans="72:101" x14ac:dyDescent="0.2">
      <c r="BT285" s="253" t="str">
        <f t="shared" ca="1" si="424"/>
        <v>Slovenia</v>
      </c>
      <c r="BU285" s="253">
        <f t="shared" si="434"/>
        <v>283</v>
      </c>
      <c r="BV285" s="253" t="str">
        <f t="shared" si="428"/>
        <v>A25</v>
      </c>
      <c r="BW285" s="253">
        <f t="shared" si="429"/>
        <v>11</v>
      </c>
      <c r="BX285" s="253" t="str">
        <f t="shared" ca="1" si="430"/>
        <v>David Brekalo</v>
      </c>
      <c r="BY285" s="253">
        <f ca="1">COUNTIF('Group Stages'!$J$8:$Q$80,BX285)+COUNTIF('Knock Out Stages'!$K$7:$R$45,BX285)</f>
        <v>0</v>
      </c>
      <c r="BZ285" s="253" t="str">
        <f t="shared" si="431"/>
        <v>'Player Database'!b28</v>
      </c>
      <c r="CA285" s="253" t="str">
        <f t="shared" ca="1" si="432"/>
        <v>David Brekalo</v>
      </c>
      <c r="CS285" s="252">
        <f t="shared" si="425"/>
        <v>282</v>
      </c>
      <c r="CT285" s="252">
        <f t="shared" si="426"/>
        <v>7</v>
      </c>
      <c r="CU285" s="252" t="str">
        <f t="shared" si="435"/>
        <v>CR33</v>
      </c>
      <c r="CV285" s="252" t="str">
        <f t="shared" ca="1" si="427"/>
        <v/>
      </c>
      <c r="CW285" s="252">
        <f t="shared" ca="1" si="433"/>
        <v>0</v>
      </c>
    </row>
    <row r="286" spans="72:101" x14ac:dyDescent="0.2">
      <c r="BT286" s="253" t="str">
        <f t="shared" ca="1" si="424"/>
        <v>Slovenia</v>
      </c>
      <c r="BU286" s="253">
        <f t="shared" si="434"/>
        <v>284</v>
      </c>
      <c r="BV286" s="253" t="str">
        <f t="shared" si="428"/>
        <v>A26</v>
      </c>
      <c r="BW286" s="253">
        <f t="shared" si="429"/>
        <v>11</v>
      </c>
      <c r="BX286" s="253" t="str">
        <f t="shared" ca="1" si="430"/>
        <v>Nino Žugelj</v>
      </c>
      <c r="BY286" s="253">
        <f ca="1">COUNTIF('Group Stages'!$J$8:$Q$80,BX286)+COUNTIF('Knock Out Stages'!$K$7:$R$45,BX286)</f>
        <v>0</v>
      </c>
      <c r="BZ286" s="253" t="str">
        <f t="shared" si="431"/>
        <v>'Player Database'!b29</v>
      </c>
      <c r="CA286" s="253" t="str">
        <f t="shared" ca="1" si="432"/>
        <v>Nino Žugelj</v>
      </c>
      <c r="CS286" s="252">
        <f t="shared" si="425"/>
        <v>283</v>
      </c>
      <c r="CT286" s="252">
        <f t="shared" si="426"/>
        <v>7</v>
      </c>
      <c r="CU286" s="252" t="str">
        <f t="shared" si="435"/>
        <v>CR34</v>
      </c>
      <c r="CV286" s="252" t="str">
        <f t="shared" ca="1" si="427"/>
        <v/>
      </c>
      <c r="CW286" s="252">
        <f t="shared" ca="1" si="433"/>
        <v>0</v>
      </c>
    </row>
    <row r="287" spans="72:101" x14ac:dyDescent="0.2">
      <c r="BT287" s="253" t="str">
        <f t="shared" ca="1" si="424"/>
        <v>Slovenia</v>
      </c>
      <c r="BU287" s="253">
        <f t="shared" si="434"/>
        <v>285</v>
      </c>
      <c r="BV287" s="253" t="str">
        <f t="shared" si="428"/>
        <v>A27</v>
      </c>
      <c r="BW287" s="253">
        <f t="shared" si="429"/>
        <v>11</v>
      </c>
      <c r="BX287" s="253" t="str">
        <f t="shared" ca="1" si="430"/>
        <v>Adrian Zeljković</v>
      </c>
      <c r="BY287" s="253">
        <f ca="1">COUNTIF('Group Stages'!$J$8:$Q$80,BX287)+COUNTIF('Knock Out Stages'!$K$7:$R$45,BX287)</f>
        <v>0</v>
      </c>
      <c r="BZ287" s="253" t="str">
        <f t="shared" si="431"/>
        <v>'Player Database'!b30</v>
      </c>
      <c r="CA287" s="253" t="str">
        <f t="shared" ca="1" si="432"/>
        <v>Adrian Zeljković</v>
      </c>
      <c r="CS287" s="252">
        <f t="shared" si="425"/>
        <v>284</v>
      </c>
      <c r="CT287" s="252">
        <f t="shared" si="426"/>
        <v>7</v>
      </c>
      <c r="CU287" s="252" t="str">
        <f t="shared" si="435"/>
        <v>CR35</v>
      </c>
      <c r="CV287" s="252" t="str">
        <f t="shared" ca="1" si="427"/>
        <v/>
      </c>
      <c r="CW287" s="252">
        <f t="shared" ca="1" si="433"/>
        <v>0</v>
      </c>
    </row>
    <row r="288" spans="72:101" x14ac:dyDescent="0.2">
      <c r="BT288" s="253" t="str">
        <f t="shared" ca="1" si="424"/>
        <v>Slovenia</v>
      </c>
      <c r="BU288" s="253">
        <f t="shared" si="434"/>
        <v>286</v>
      </c>
      <c r="BV288" s="253" t="str">
        <f t="shared" si="428"/>
        <v>A28</v>
      </c>
      <c r="BW288" s="253">
        <f t="shared" si="429"/>
        <v>11</v>
      </c>
      <c r="BX288" s="253" t="str">
        <f t="shared" ca="1" si="430"/>
        <v>Josip Iličić</v>
      </c>
      <c r="BY288" s="253">
        <f ca="1">COUNTIF('Group Stages'!$J$8:$Q$80,BX288)+COUNTIF('Knock Out Stages'!$K$7:$R$45,BX288)</f>
        <v>0</v>
      </c>
      <c r="BZ288" s="253" t="str">
        <f t="shared" si="431"/>
        <v>'Player Database'!b31</v>
      </c>
      <c r="CA288" s="253" t="str">
        <f t="shared" ca="1" si="432"/>
        <v>Josip Iličić</v>
      </c>
      <c r="CS288" s="252">
        <f t="shared" si="425"/>
        <v>285</v>
      </c>
      <c r="CT288" s="252">
        <f t="shared" si="426"/>
        <v>7</v>
      </c>
      <c r="CU288" s="252" t="str">
        <f t="shared" si="435"/>
        <v>CR36</v>
      </c>
      <c r="CV288" s="252" t="str">
        <f t="shared" ca="1" si="427"/>
        <v/>
      </c>
      <c r="CW288" s="252">
        <f t="shared" ca="1" si="433"/>
        <v>0</v>
      </c>
    </row>
    <row r="289" spans="72:101" x14ac:dyDescent="0.2">
      <c r="BT289" s="253" t="str">
        <f t="shared" ca="1" si="424"/>
        <v>Denmark</v>
      </c>
      <c r="BU289" s="253">
        <f t="shared" si="434"/>
        <v>287</v>
      </c>
      <c r="BV289" s="253" t="str">
        <f t="shared" si="428"/>
        <v>A3</v>
      </c>
      <c r="BW289" s="253">
        <f t="shared" si="429"/>
        <v>12</v>
      </c>
      <c r="BX289" s="253" t="str">
        <f t="shared" ca="1" si="430"/>
        <v>Kasper Schmeichel</v>
      </c>
      <c r="BY289" s="253">
        <f ca="1">COUNTIF('Group Stages'!$J$8:$Q$80,BX289)+COUNTIF('Knock Out Stages'!$K$7:$R$45,BX289)</f>
        <v>0</v>
      </c>
      <c r="BZ289" s="253" t="str">
        <f t="shared" si="431"/>
        <v>'Player Database'!b6</v>
      </c>
      <c r="CA289" s="253" t="str">
        <f t="shared" ca="1" si="432"/>
        <v>Kasper Schmeichel</v>
      </c>
      <c r="CS289" s="252">
        <f t="shared" si="425"/>
        <v>286</v>
      </c>
      <c r="CT289" s="252">
        <f t="shared" si="426"/>
        <v>7</v>
      </c>
      <c r="CU289" s="252" t="str">
        <f t="shared" si="435"/>
        <v>CR37</v>
      </c>
      <c r="CV289" s="252" t="str">
        <f t="shared" ca="1" si="427"/>
        <v/>
      </c>
      <c r="CW289" s="252">
        <f t="shared" ca="1" si="433"/>
        <v>0</v>
      </c>
    </row>
    <row r="290" spans="72:101" x14ac:dyDescent="0.2">
      <c r="BT290" s="253" t="str">
        <f t="shared" ca="1" si="424"/>
        <v>Denmark</v>
      </c>
      <c r="BU290" s="253">
        <f t="shared" si="434"/>
        <v>288</v>
      </c>
      <c r="BV290" s="253" t="str">
        <f t="shared" si="428"/>
        <v>A4</v>
      </c>
      <c r="BW290" s="253">
        <f t="shared" si="429"/>
        <v>12</v>
      </c>
      <c r="BX290" s="253" t="str">
        <f t="shared" ca="1" si="430"/>
        <v>Joachim Andersen</v>
      </c>
      <c r="BY290" s="253">
        <f ca="1">COUNTIF('Group Stages'!$J$8:$Q$80,BX290)+COUNTIF('Knock Out Stages'!$K$7:$R$45,BX290)</f>
        <v>0</v>
      </c>
      <c r="BZ290" s="253" t="str">
        <f t="shared" si="431"/>
        <v>'Player Database'!b7</v>
      </c>
      <c r="CA290" s="253" t="str">
        <f t="shared" ca="1" si="432"/>
        <v>Joachim Andersen</v>
      </c>
      <c r="CS290" s="252">
        <f t="shared" si="425"/>
        <v>287</v>
      </c>
      <c r="CT290" s="252">
        <f t="shared" si="426"/>
        <v>7</v>
      </c>
      <c r="CU290" s="252" t="str">
        <f t="shared" si="435"/>
        <v>CR38</v>
      </c>
      <c r="CV290" s="252" t="str">
        <f t="shared" ca="1" si="427"/>
        <v/>
      </c>
      <c r="CW290" s="252">
        <f t="shared" ca="1" si="433"/>
        <v>0</v>
      </c>
    </row>
    <row r="291" spans="72:101" x14ac:dyDescent="0.2">
      <c r="BT291" s="253" t="str">
        <f t="shared" ca="1" si="424"/>
        <v>Denmark</v>
      </c>
      <c r="BU291" s="253">
        <f t="shared" si="434"/>
        <v>289</v>
      </c>
      <c r="BV291" s="253" t="str">
        <f t="shared" si="428"/>
        <v>A5</v>
      </c>
      <c r="BW291" s="253">
        <f t="shared" si="429"/>
        <v>12</v>
      </c>
      <c r="BX291" s="253" t="str">
        <f t="shared" ca="1" si="430"/>
        <v>Jannik Vestergaard</v>
      </c>
      <c r="BY291" s="253">
        <f ca="1">COUNTIF('Group Stages'!$J$8:$Q$80,BX291)+COUNTIF('Knock Out Stages'!$K$7:$R$45,BX291)</f>
        <v>0</v>
      </c>
      <c r="BZ291" s="253" t="str">
        <f t="shared" si="431"/>
        <v>'Player Database'!b8</v>
      </c>
      <c r="CA291" s="253" t="str">
        <f t="shared" ca="1" si="432"/>
        <v>Jannik Vestergaard</v>
      </c>
      <c r="CS291" s="252">
        <f t="shared" si="425"/>
        <v>288</v>
      </c>
      <c r="CT291" s="252">
        <f t="shared" si="426"/>
        <v>7</v>
      </c>
      <c r="CU291" s="252" t="str">
        <f t="shared" si="435"/>
        <v>CR39</v>
      </c>
      <c r="CV291" s="252" t="str">
        <f t="shared" ca="1" si="427"/>
        <v/>
      </c>
      <c r="CW291" s="252">
        <f t="shared" ca="1" si="433"/>
        <v>0</v>
      </c>
    </row>
    <row r="292" spans="72:101" x14ac:dyDescent="0.2">
      <c r="BT292" s="253" t="str">
        <f t="shared" ref="BT292:BT355" ca="1" si="436">OFFSET($A$2,0,BW292)</f>
        <v>Denmark</v>
      </c>
      <c r="BU292" s="253">
        <f t="shared" si="434"/>
        <v>290</v>
      </c>
      <c r="BV292" s="253" t="str">
        <f t="shared" si="428"/>
        <v>A6</v>
      </c>
      <c r="BW292" s="253">
        <f t="shared" si="429"/>
        <v>12</v>
      </c>
      <c r="BX292" s="253" t="str">
        <f t="shared" ca="1" si="430"/>
        <v>Simon Kjær</v>
      </c>
      <c r="BY292" s="253">
        <f ca="1">COUNTIF('Group Stages'!$J$8:$Q$80,BX292)+COUNTIF('Knock Out Stages'!$K$7:$R$45,BX292)</f>
        <v>0</v>
      </c>
      <c r="BZ292" s="253" t="str">
        <f t="shared" si="431"/>
        <v>'Player Database'!b9</v>
      </c>
      <c r="CA292" s="253" t="str">
        <f t="shared" ca="1" si="432"/>
        <v>Simon Kjær</v>
      </c>
      <c r="CS292" s="252">
        <f t="shared" si="425"/>
        <v>289</v>
      </c>
      <c r="CT292" s="252">
        <f t="shared" si="426"/>
        <v>7</v>
      </c>
      <c r="CU292" s="252" t="str">
        <f t="shared" si="435"/>
        <v>CR40</v>
      </c>
      <c r="CV292" s="252" t="str">
        <f t="shared" ca="1" si="427"/>
        <v/>
      </c>
      <c r="CW292" s="252">
        <f t="shared" ca="1" si="433"/>
        <v>0</v>
      </c>
    </row>
    <row r="293" spans="72:101" x14ac:dyDescent="0.2">
      <c r="BT293" s="253" t="str">
        <f t="shared" ca="1" si="436"/>
        <v>Denmark</v>
      </c>
      <c r="BU293" s="253">
        <f t="shared" si="434"/>
        <v>291</v>
      </c>
      <c r="BV293" s="253" t="str">
        <f t="shared" si="428"/>
        <v>A7</v>
      </c>
      <c r="BW293" s="253">
        <f t="shared" si="429"/>
        <v>12</v>
      </c>
      <c r="BX293" s="253" t="str">
        <f t="shared" ca="1" si="430"/>
        <v>Joakim Mæhle</v>
      </c>
      <c r="BY293" s="253">
        <f ca="1">COUNTIF('Group Stages'!$J$8:$Q$80,BX293)+COUNTIF('Knock Out Stages'!$K$7:$R$45,BX293)</f>
        <v>0</v>
      </c>
      <c r="BZ293" s="253" t="str">
        <f t="shared" si="431"/>
        <v>'Player Database'!b10</v>
      </c>
      <c r="CA293" s="253" t="str">
        <f t="shared" ca="1" si="432"/>
        <v>Joakim Mæhle</v>
      </c>
      <c r="CS293" s="252">
        <f t="shared" si="425"/>
        <v>290</v>
      </c>
      <c r="CT293" s="252">
        <f t="shared" si="426"/>
        <v>7</v>
      </c>
      <c r="CU293" s="252" t="str">
        <f t="shared" si="435"/>
        <v>CR41</v>
      </c>
      <c r="CV293" s="252" t="str">
        <f t="shared" ca="1" si="427"/>
        <v/>
      </c>
      <c r="CW293" s="252">
        <f t="shared" ca="1" si="433"/>
        <v>0</v>
      </c>
    </row>
    <row r="294" spans="72:101" x14ac:dyDescent="0.2">
      <c r="BT294" s="253" t="str">
        <f t="shared" ca="1" si="436"/>
        <v>Denmark</v>
      </c>
      <c r="BU294" s="253">
        <f t="shared" si="434"/>
        <v>292</v>
      </c>
      <c r="BV294" s="253" t="str">
        <f t="shared" si="428"/>
        <v>A8</v>
      </c>
      <c r="BW294" s="253">
        <f t="shared" si="429"/>
        <v>12</v>
      </c>
      <c r="BX294" s="253" t="str">
        <f t="shared" ca="1" si="430"/>
        <v>Andreas Christensen</v>
      </c>
      <c r="BY294" s="253">
        <f ca="1">COUNTIF('Group Stages'!$J$8:$Q$80,BX294)+COUNTIF('Knock Out Stages'!$K$7:$R$45,BX294)</f>
        <v>0</v>
      </c>
      <c r="BZ294" s="253" t="str">
        <f t="shared" si="431"/>
        <v>'Player Database'!b11</v>
      </c>
      <c r="CA294" s="253" t="str">
        <f t="shared" ca="1" si="432"/>
        <v>Andreas Christensen</v>
      </c>
      <c r="CS294" s="252">
        <f t="shared" si="425"/>
        <v>291</v>
      </c>
      <c r="CT294" s="252">
        <f t="shared" si="426"/>
        <v>7</v>
      </c>
      <c r="CU294" s="252" t="str">
        <f t="shared" si="435"/>
        <v>CR42</v>
      </c>
      <c r="CV294" s="252" t="str">
        <f t="shared" ca="1" si="427"/>
        <v/>
      </c>
      <c r="CW294" s="252">
        <f t="shared" ca="1" si="433"/>
        <v>0</v>
      </c>
    </row>
    <row r="295" spans="72:101" x14ac:dyDescent="0.2">
      <c r="BT295" s="253" t="str">
        <f t="shared" ca="1" si="436"/>
        <v>Denmark</v>
      </c>
      <c r="BU295" s="253">
        <f t="shared" si="434"/>
        <v>293</v>
      </c>
      <c r="BV295" s="253" t="str">
        <f t="shared" si="428"/>
        <v>A9</v>
      </c>
      <c r="BW295" s="253">
        <f t="shared" si="429"/>
        <v>12</v>
      </c>
      <c r="BX295" s="253" t="str">
        <f t="shared" ca="1" si="430"/>
        <v>Mathias Jensen</v>
      </c>
      <c r="BY295" s="253">
        <f ca="1">COUNTIF('Group Stages'!$J$8:$Q$80,BX295)+COUNTIF('Knock Out Stages'!$K$7:$R$45,BX295)</f>
        <v>0</v>
      </c>
      <c r="BZ295" s="253" t="str">
        <f t="shared" si="431"/>
        <v>'Player Database'!b12</v>
      </c>
      <c r="CA295" s="253" t="str">
        <f t="shared" ca="1" si="432"/>
        <v>Mathias Jensen</v>
      </c>
      <c r="CS295" s="252">
        <f t="shared" si="425"/>
        <v>292</v>
      </c>
      <c r="CT295" s="252">
        <f t="shared" si="426"/>
        <v>7</v>
      </c>
      <c r="CU295" s="252" t="str">
        <f t="shared" si="435"/>
        <v>CR43</v>
      </c>
      <c r="CV295" s="252" t="str">
        <f t="shared" ca="1" si="427"/>
        <v/>
      </c>
      <c r="CW295" s="252">
        <f t="shared" ca="1" si="433"/>
        <v>0</v>
      </c>
    </row>
    <row r="296" spans="72:101" x14ac:dyDescent="0.2">
      <c r="BT296" s="253" t="str">
        <f t="shared" ca="1" si="436"/>
        <v>Denmark</v>
      </c>
      <c r="BU296" s="253">
        <f t="shared" si="434"/>
        <v>294</v>
      </c>
      <c r="BV296" s="253" t="str">
        <f t="shared" si="428"/>
        <v>A10</v>
      </c>
      <c r="BW296" s="253">
        <f t="shared" si="429"/>
        <v>12</v>
      </c>
      <c r="BX296" s="253" t="str">
        <f t="shared" ca="1" si="430"/>
        <v>Thomas Delaney</v>
      </c>
      <c r="BY296" s="253">
        <f ca="1">COUNTIF('Group Stages'!$J$8:$Q$80,BX296)+COUNTIF('Knock Out Stages'!$K$7:$R$45,BX296)</f>
        <v>0</v>
      </c>
      <c r="BZ296" s="253" t="str">
        <f t="shared" si="431"/>
        <v>'Player Database'!b13</v>
      </c>
      <c r="CA296" s="253" t="str">
        <f t="shared" ca="1" si="432"/>
        <v>Thomas Delaney</v>
      </c>
      <c r="CS296" s="252">
        <f t="shared" si="425"/>
        <v>293</v>
      </c>
      <c r="CT296" s="252">
        <f t="shared" si="426"/>
        <v>7</v>
      </c>
      <c r="CU296" s="252" t="str">
        <f t="shared" si="435"/>
        <v>CR44</v>
      </c>
      <c r="CV296" s="252" t="str">
        <f t="shared" ca="1" si="427"/>
        <v/>
      </c>
      <c r="CW296" s="252">
        <f t="shared" ca="1" si="433"/>
        <v>0</v>
      </c>
    </row>
    <row r="297" spans="72:101" x14ac:dyDescent="0.2">
      <c r="BT297" s="253" t="str">
        <f t="shared" ca="1" si="436"/>
        <v>Denmark</v>
      </c>
      <c r="BU297" s="253">
        <f t="shared" si="434"/>
        <v>295</v>
      </c>
      <c r="BV297" s="253" t="str">
        <f t="shared" si="428"/>
        <v>A11</v>
      </c>
      <c r="BW297" s="253">
        <f t="shared" si="429"/>
        <v>12</v>
      </c>
      <c r="BX297" s="253" t="str">
        <f t="shared" ca="1" si="430"/>
        <v>Rasmus Højlund</v>
      </c>
      <c r="BY297" s="253">
        <f ca="1">COUNTIF('Group Stages'!$J$8:$Q$80,BX297)+COUNTIF('Knock Out Stages'!$K$7:$R$45,BX297)</f>
        <v>0</v>
      </c>
      <c r="BZ297" s="253" t="str">
        <f t="shared" si="431"/>
        <v>'Player Database'!b14</v>
      </c>
      <c r="CA297" s="253" t="str">
        <f t="shared" ca="1" si="432"/>
        <v>Rasmus Højlund</v>
      </c>
      <c r="CS297" s="252">
        <f t="shared" si="425"/>
        <v>294</v>
      </c>
      <c r="CT297" s="252">
        <f t="shared" si="426"/>
        <v>7</v>
      </c>
      <c r="CU297" s="252" t="str">
        <f t="shared" si="435"/>
        <v>CR45</v>
      </c>
      <c r="CV297" s="252" t="str">
        <f t="shared" ca="1" si="427"/>
        <v/>
      </c>
      <c r="CW297" s="252">
        <f t="shared" ca="1" si="433"/>
        <v>0</v>
      </c>
    </row>
    <row r="298" spans="72:101" x14ac:dyDescent="0.2">
      <c r="BT298" s="253" t="str">
        <f t="shared" ca="1" si="436"/>
        <v>Denmark</v>
      </c>
      <c r="BU298" s="253">
        <f t="shared" si="434"/>
        <v>296</v>
      </c>
      <c r="BV298" s="253" t="str">
        <f t="shared" si="428"/>
        <v>A12</v>
      </c>
      <c r="BW298" s="253">
        <f t="shared" si="429"/>
        <v>12</v>
      </c>
      <c r="BX298" s="253" t="str">
        <f t="shared" ca="1" si="430"/>
        <v>Christian Eriksen</v>
      </c>
      <c r="BY298" s="253">
        <f ca="1">COUNTIF('Group Stages'!$J$8:$Q$80,BX298)+COUNTIF('Knock Out Stages'!$K$7:$R$45,BX298)</f>
        <v>0</v>
      </c>
      <c r="BZ298" s="253" t="str">
        <f t="shared" si="431"/>
        <v>'Player Database'!b15</v>
      </c>
      <c r="CA298" s="253" t="str">
        <f t="shared" ca="1" si="432"/>
        <v>Christian Eriksen</v>
      </c>
      <c r="CS298" s="252">
        <f t="shared" si="425"/>
        <v>295</v>
      </c>
      <c r="CT298" s="252">
        <f t="shared" si="426"/>
        <v>8</v>
      </c>
      <c r="CU298" s="252" t="str">
        <f t="shared" si="435"/>
        <v>CR4</v>
      </c>
      <c r="CV298" s="252" t="str">
        <f t="shared" ca="1" si="427"/>
        <v/>
      </c>
      <c r="CW298" s="252">
        <f t="shared" ca="1" si="433"/>
        <v>0</v>
      </c>
    </row>
    <row r="299" spans="72:101" x14ac:dyDescent="0.2">
      <c r="BT299" s="253" t="str">
        <f t="shared" ca="1" si="436"/>
        <v>Denmark</v>
      </c>
      <c r="BU299" s="253">
        <f t="shared" si="434"/>
        <v>297</v>
      </c>
      <c r="BV299" s="253" t="str">
        <f t="shared" si="428"/>
        <v>A13</v>
      </c>
      <c r="BW299" s="253">
        <f t="shared" si="429"/>
        <v>12</v>
      </c>
      <c r="BX299" s="253" t="str">
        <f t="shared" ca="1" si="430"/>
        <v>Andreas Skov Olsen</v>
      </c>
      <c r="BY299" s="253">
        <f ca="1">COUNTIF('Group Stages'!$J$8:$Q$80,BX299)+COUNTIF('Knock Out Stages'!$K$7:$R$45,BX299)</f>
        <v>0</v>
      </c>
      <c r="BZ299" s="253" t="str">
        <f t="shared" si="431"/>
        <v>'Player Database'!b16</v>
      </c>
      <c r="CA299" s="253" t="str">
        <f t="shared" ca="1" si="432"/>
        <v>Andreas Skov Olsen</v>
      </c>
      <c r="CS299" s="252">
        <f t="shared" si="425"/>
        <v>296</v>
      </c>
      <c r="CT299" s="252">
        <f t="shared" si="426"/>
        <v>8</v>
      </c>
      <c r="CU299" s="252" t="str">
        <f t="shared" si="435"/>
        <v>CR5</v>
      </c>
      <c r="CV299" s="252" t="str">
        <f t="shared" ca="1" si="427"/>
        <v/>
      </c>
      <c r="CW299" s="252">
        <f t="shared" ca="1" si="433"/>
        <v>0</v>
      </c>
    </row>
    <row r="300" spans="72:101" x14ac:dyDescent="0.2">
      <c r="BT300" s="253" t="str">
        <f t="shared" ca="1" si="436"/>
        <v>Denmark</v>
      </c>
      <c r="BU300" s="253">
        <f t="shared" si="434"/>
        <v>298</v>
      </c>
      <c r="BV300" s="253" t="str">
        <f t="shared" si="428"/>
        <v>A14</v>
      </c>
      <c r="BW300" s="253">
        <f t="shared" si="429"/>
        <v>12</v>
      </c>
      <c r="BX300" s="253" t="str">
        <f t="shared" ca="1" si="430"/>
        <v>Kasper Dolberg</v>
      </c>
      <c r="BY300" s="253">
        <f ca="1">COUNTIF('Group Stages'!$J$8:$Q$80,BX300)+COUNTIF('Knock Out Stages'!$K$7:$R$45,BX300)</f>
        <v>0</v>
      </c>
      <c r="BZ300" s="253" t="str">
        <f t="shared" si="431"/>
        <v>'Player Database'!b17</v>
      </c>
      <c r="CA300" s="253" t="str">
        <f t="shared" ca="1" si="432"/>
        <v>Kasper Dolberg</v>
      </c>
      <c r="CS300" s="252">
        <f t="shared" si="425"/>
        <v>297</v>
      </c>
      <c r="CT300" s="252">
        <f t="shared" si="426"/>
        <v>8</v>
      </c>
      <c r="CU300" s="252" t="str">
        <f t="shared" si="435"/>
        <v>CR6</v>
      </c>
      <c r="CV300" s="252" t="str">
        <f t="shared" ca="1" si="427"/>
        <v/>
      </c>
      <c r="CW300" s="252">
        <f t="shared" ca="1" si="433"/>
        <v>0</v>
      </c>
    </row>
    <row r="301" spans="72:101" x14ac:dyDescent="0.2">
      <c r="BT301" s="253" t="str">
        <f t="shared" ca="1" si="436"/>
        <v>Denmark</v>
      </c>
      <c r="BU301" s="253">
        <f t="shared" si="434"/>
        <v>299</v>
      </c>
      <c r="BV301" s="253" t="str">
        <f t="shared" si="428"/>
        <v>A15</v>
      </c>
      <c r="BW301" s="253">
        <f t="shared" si="429"/>
        <v>12</v>
      </c>
      <c r="BX301" s="253" t="str">
        <f t="shared" ca="1" si="430"/>
        <v>Mathias Jørgensen</v>
      </c>
      <c r="BY301" s="253">
        <f ca="1">COUNTIF('Group Stages'!$J$8:$Q$80,BX301)+COUNTIF('Knock Out Stages'!$K$7:$R$45,BX301)</f>
        <v>0</v>
      </c>
      <c r="BZ301" s="253" t="str">
        <f t="shared" si="431"/>
        <v>'Player Database'!b18</v>
      </c>
      <c r="CA301" s="253" t="str">
        <f t="shared" ca="1" si="432"/>
        <v>Mathias Jørgensen</v>
      </c>
      <c r="CS301" s="252">
        <f t="shared" si="425"/>
        <v>298</v>
      </c>
      <c r="CT301" s="252">
        <f t="shared" si="426"/>
        <v>8</v>
      </c>
      <c r="CU301" s="252" t="str">
        <f t="shared" si="435"/>
        <v>CR7</v>
      </c>
      <c r="CV301" s="252" t="str">
        <f t="shared" ca="1" si="427"/>
        <v/>
      </c>
      <c r="CW301" s="252">
        <f t="shared" ca="1" si="433"/>
        <v>0</v>
      </c>
    </row>
    <row r="302" spans="72:101" x14ac:dyDescent="0.2">
      <c r="BT302" s="253" t="str">
        <f t="shared" ca="1" si="436"/>
        <v>Denmark</v>
      </c>
      <c r="BU302" s="253">
        <f t="shared" si="434"/>
        <v>300</v>
      </c>
      <c r="BV302" s="253" t="str">
        <f t="shared" si="428"/>
        <v>A16</v>
      </c>
      <c r="BW302" s="253">
        <f t="shared" si="429"/>
        <v>12</v>
      </c>
      <c r="BX302" s="253" t="str">
        <f t="shared" ca="1" si="430"/>
        <v>Mikkel Damsgaard</v>
      </c>
      <c r="BY302" s="253">
        <f ca="1">COUNTIF('Group Stages'!$J$8:$Q$80,BX302)+COUNTIF('Knock Out Stages'!$K$7:$R$45,BX302)</f>
        <v>0</v>
      </c>
      <c r="BZ302" s="253" t="str">
        <f t="shared" si="431"/>
        <v>'Player Database'!b19</v>
      </c>
      <c r="CA302" s="253" t="str">
        <f t="shared" ca="1" si="432"/>
        <v>Mikkel Damsgaard</v>
      </c>
      <c r="CS302" s="252">
        <f t="shared" si="425"/>
        <v>299</v>
      </c>
      <c r="CT302" s="252">
        <f t="shared" si="426"/>
        <v>8</v>
      </c>
      <c r="CU302" s="252" t="str">
        <f t="shared" si="435"/>
        <v>CR8</v>
      </c>
      <c r="CV302" s="252" t="str">
        <f t="shared" ca="1" si="427"/>
        <v/>
      </c>
      <c r="CW302" s="252">
        <f t="shared" ca="1" si="433"/>
        <v>0</v>
      </c>
    </row>
    <row r="303" spans="72:101" x14ac:dyDescent="0.2">
      <c r="BT303" s="253" t="str">
        <f t="shared" ca="1" si="436"/>
        <v>Denmark</v>
      </c>
      <c r="BU303" s="253">
        <f t="shared" si="434"/>
        <v>301</v>
      </c>
      <c r="BV303" s="253" t="str">
        <f t="shared" si="428"/>
        <v>A17</v>
      </c>
      <c r="BW303" s="253">
        <f t="shared" si="429"/>
        <v>12</v>
      </c>
      <c r="BX303" s="253" t="str">
        <f t="shared" ca="1" si="430"/>
        <v>Christian Nørgaard</v>
      </c>
      <c r="BY303" s="253">
        <f ca="1">COUNTIF('Group Stages'!$J$8:$Q$80,BX303)+COUNTIF('Knock Out Stages'!$K$7:$R$45,BX303)</f>
        <v>0</v>
      </c>
      <c r="BZ303" s="253" t="str">
        <f t="shared" si="431"/>
        <v>'Player Database'!b20</v>
      </c>
      <c r="CA303" s="253" t="str">
        <f t="shared" ca="1" si="432"/>
        <v>Christian Nørgaard</v>
      </c>
      <c r="CS303" s="252">
        <f t="shared" si="425"/>
        <v>300</v>
      </c>
      <c r="CT303" s="252">
        <f t="shared" si="426"/>
        <v>8</v>
      </c>
      <c r="CU303" s="252" t="str">
        <f t="shared" si="435"/>
        <v>CR9</v>
      </c>
      <c r="CV303" s="252" t="str">
        <f t="shared" ca="1" si="427"/>
        <v/>
      </c>
      <c r="CW303" s="252">
        <f t="shared" ca="1" si="433"/>
        <v>0</v>
      </c>
    </row>
    <row r="304" spans="72:101" x14ac:dyDescent="0.2">
      <c r="BT304" s="253" t="str">
        <f t="shared" ca="1" si="436"/>
        <v>Denmark</v>
      </c>
      <c r="BU304" s="253">
        <f t="shared" si="434"/>
        <v>302</v>
      </c>
      <c r="BV304" s="253" t="str">
        <f t="shared" si="428"/>
        <v>A18</v>
      </c>
      <c r="BW304" s="253">
        <f t="shared" si="429"/>
        <v>12</v>
      </c>
      <c r="BX304" s="253" t="str">
        <f t="shared" ca="1" si="430"/>
        <v>Mads Hermansen</v>
      </c>
      <c r="BY304" s="253">
        <f ca="1">COUNTIF('Group Stages'!$J$8:$Q$80,BX304)+COUNTIF('Knock Out Stages'!$K$7:$R$45,BX304)</f>
        <v>0</v>
      </c>
      <c r="BZ304" s="253" t="str">
        <f t="shared" si="431"/>
        <v>'Player Database'!b21</v>
      </c>
      <c r="CA304" s="253" t="str">
        <f t="shared" ca="1" si="432"/>
        <v>Mads Hermansen</v>
      </c>
      <c r="CS304" s="252">
        <f t="shared" ref="CS304:CS367" si="437">CS303+1</f>
        <v>301</v>
      </c>
      <c r="CT304" s="252">
        <f t="shared" ref="CT304:CT367" si="438">CT262+1</f>
        <v>8</v>
      </c>
      <c r="CU304" s="252" t="str">
        <f t="shared" si="435"/>
        <v>CR10</v>
      </c>
      <c r="CV304" s="252" t="str">
        <f t="shared" ref="CV304:CV367" ca="1" si="439">OFFSET(INDIRECT(CU304),0,-CT304)</f>
        <v/>
      </c>
      <c r="CW304" s="252">
        <f t="shared" ca="1" si="433"/>
        <v>0</v>
      </c>
    </row>
    <row r="305" spans="72:101" x14ac:dyDescent="0.2">
      <c r="BT305" s="253" t="str">
        <f t="shared" ca="1" si="436"/>
        <v>Denmark</v>
      </c>
      <c r="BU305" s="253">
        <f t="shared" si="434"/>
        <v>303</v>
      </c>
      <c r="BV305" s="253" t="str">
        <f t="shared" si="428"/>
        <v>A19</v>
      </c>
      <c r="BW305" s="253">
        <f t="shared" si="429"/>
        <v>12</v>
      </c>
      <c r="BX305" s="253" t="str">
        <f t="shared" ca="1" si="430"/>
        <v>Victor Kristiansen</v>
      </c>
      <c r="BY305" s="253">
        <f ca="1">COUNTIF('Group Stages'!$J$8:$Q$80,BX305)+COUNTIF('Knock Out Stages'!$K$7:$R$45,BX305)</f>
        <v>0</v>
      </c>
      <c r="BZ305" s="253" t="str">
        <f t="shared" si="431"/>
        <v>'Player Database'!b22</v>
      </c>
      <c r="CA305" s="253" t="str">
        <f t="shared" ca="1" si="432"/>
        <v>Victor Kristiansen</v>
      </c>
      <c r="CS305" s="252">
        <f t="shared" si="437"/>
        <v>302</v>
      </c>
      <c r="CT305" s="252">
        <f t="shared" si="438"/>
        <v>8</v>
      </c>
      <c r="CU305" s="252" t="str">
        <f t="shared" si="435"/>
        <v>CR11</v>
      </c>
      <c r="CV305" s="252" t="str">
        <f t="shared" ca="1" si="439"/>
        <v/>
      </c>
      <c r="CW305" s="252">
        <f t="shared" ca="1" si="433"/>
        <v>0</v>
      </c>
    </row>
    <row r="306" spans="72:101" x14ac:dyDescent="0.2">
      <c r="BT306" s="253" t="str">
        <f t="shared" ca="1" si="436"/>
        <v>Denmark</v>
      </c>
      <c r="BU306" s="253">
        <f t="shared" si="434"/>
        <v>304</v>
      </c>
      <c r="BV306" s="253" t="str">
        <f t="shared" si="428"/>
        <v>A20</v>
      </c>
      <c r="BW306" s="253">
        <f t="shared" si="429"/>
        <v>12</v>
      </c>
      <c r="BX306" s="253" t="str">
        <f t="shared" ca="1" si="430"/>
        <v>Alexander Bah</v>
      </c>
      <c r="BY306" s="253">
        <f ca="1">COUNTIF('Group Stages'!$J$8:$Q$80,BX306)+COUNTIF('Knock Out Stages'!$K$7:$R$45,BX306)</f>
        <v>0</v>
      </c>
      <c r="BZ306" s="253" t="str">
        <f t="shared" si="431"/>
        <v>'Player Database'!b23</v>
      </c>
      <c r="CA306" s="253" t="str">
        <f t="shared" ca="1" si="432"/>
        <v>Alexander Bah</v>
      </c>
      <c r="CS306" s="252">
        <f t="shared" si="437"/>
        <v>303</v>
      </c>
      <c r="CT306" s="252">
        <f t="shared" si="438"/>
        <v>8</v>
      </c>
      <c r="CU306" s="252" t="str">
        <f t="shared" si="435"/>
        <v>CR12</v>
      </c>
      <c r="CV306" s="252" t="str">
        <f t="shared" ca="1" si="439"/>
        <v/>
      </c>
      <c r="CW306" s="252">
        <f t="shared" ca="1" si="433"/>
        <v>0</v>
      </c>
    </row>
    <row r="307" spans="72:101" x14ac:dyDescent="0.2">
      <c r="BT307" s="253" t="str">
        <f t="shared" ca="1" si="436"/>
        <v>Denmark</v>
      </c>
      <c r="BU307" s="253">
        <f t="shared" si="434"/>
        <v>305</v>
      </c>
      <c r="BV307" s="253" t="str">
        <f t="shared" si="428"/>
        <v>A21</v>
      </c>
      <c r="BW307" s="253">
        <f t="shared" si="429"/>
        <v>12</v>
      </c>
      <c r="BX307" s="253" t="str">
        <f t="shared" ca="1" si="430"/>
        <v>Jonas Wind</v>
      </c>
      <c r="BY307" s="253">
        <f ca="1">COUNTIF('Group Stages'!$J$8:$Q$80,BX307)+COUNTIF('Knock Out Stages'!$K$7:$R$45,BX307)</f>
        <v>0</v>
      </c>
      <c r="BZ307" s="253" t="str">
        <f t="shared" si="431"/>
        <v>'Player Database'!b24</v>
      </c>
      <c r="CA307" s="253" t="str">
        <f t="shared" ca="1" si="432"/>
        <v>Jonas Wind</v>
      </c>
      <c r="CS307" s="252">
        <f t="shared" si="437"/>
        <v>304</v>
      </c>
      <c r="CT307" s="252">
        <f t="shared" si="438"/>
        <v>8</v>
      </c>
      <c r="CU307" s="252" t="str">
        <f t="shared" si="435"/>
        <v>CR13</v>
      </c>
      <c r="CV307" s="252" t="str">
        <f t="shared" ca="1" si="439"/>
        <v/>
      </c>
      <c r="CW307" s="252">
        <f t="shared" ca="1" si="433"/>
        <v>0</v>
      </c>
    </row>
    <row r="308" spans="72:101" x14ac:dyDescent="0.2">
      <c r="BT308" s="253" t="str">
        <f t="shared" ca="1" si="436"/>
        <v>Denmark</v>
      </c>
      <c r="BU308" s="253">
        <f t="shared" si="434"/>
        <v>306</v>
      </c>
      <c r="BV308" s="253" t="str">
        <f t="shared" si="428"/>
        <v>A22</v>
      </c>
      <c r="BW308" s="253">
        <f t="shared" si="429"/>
        <v>12</v>
      </c>
      <c r="BX308" s="253" t="str">
        <f t="shared" ca="1" si="430"/>
        <v>Yussuf Poulsen</v>
      </c>
      <c r="BY308" s="253">
        <f ca="1">COUNTIF('Group Stages'!$J$8:$Q$80,BX308)+COUNTIF('Knock Out Stages'!$K$7:$R$45,BX308)</f>
        <v>0</v>
      </c>
      <c r="BZ308" s="253" t="str">
        <f t="shared" si="431"/>
        <v>'Player Database'!b25</v>
      </c>
      <c r="CA308" s="253" t="str">
        <f t="shared" ca="1" si="432"/>
        <v>Yussuf Poulsen</v>
      </c>
      <c r="CS308" s="252">
        <f t="shared" si="437"/>
        <v>305</v>
      </c>
      <c r="CT308" s="252">
        <f t="shared" si="438"/>
        <v>8</v>
      </c>
      <c r="CU308" s="252" t="str">
        <f t="shared" si="435"/>
        <v>CR14</v>
      </c>
      <c r="CV308" s="252" t="str">
        <f t="shared" ca="1" si="439"/>
        <v/>
      </c>
      <c r="CW308" s="252">
        <f t="shared" ca="1" si="433"/>
        <v>0</v>
      </c>
    </row>
    <row r="309" spans="72:101" x14ac:dyDescent="0.2">
      <c r="BT309" s="253" t="str">
        <f t="shared" ca="1" si="436"/>
        <v>Denmark</v>
      </c>
      <c r="BU309" s="253">
        <f t="shared" si="434"/>
        <v>307</v>
      </c>
      <c r="BV309" s="253" t="str">
        <f t="shared" si="428"/>
        <v>A23</v>
      </c>
      <c r="BW309" s="253">
        <f t="shared" si="429"/>
        <v>12</v>
      </c>
      <c r="BX309" s="253" t="str">
        <f t="shared" ca="1" si="430"/>
        <v>Morten Hjulmand</v>
      </c>
      <c r="BY309" s="253">
        <f ca="1">COUNTIF('Group Stages'!$J$8:$Q$80,BX309)+COUNTIF('Knock Out Stages'!$K$7:$R$45,BX309)</f>
        <v>0</v>
      </c>
      <c r="BZ309" s="253" t="str">
        <f t="shared" si="431"/>
        <v>'Player Database'!b26</v>
      </c>
      <c r="CA309" s="253" t="str">
        <f t="shared" ca="1" si="432"/>
        <v>Morten Hjulmand</v>
      </c>
      <c r="CS309" s="252">
        <f t="shared" si="437"/>
        <v>306</v>
      </c>
      <c r="CT309" s="252">
        <f t="shared" si="438"/>
        <v>8</v>
      </c>
      <c r="CU309" s="252" t="str">
        <f t="shared" si="435"/>
        <v>CR15</v>
      </c>
      <c r="CV309" s="252" t="str">
        <f t="shared" ca="1" si="439"/>
        <v/>
      </c>
      <c r="CW309" s="252">
        <f t="shared" ca="1" si="433"/>
        <v>0</v>
      </c>
    </row>
    <row r="310" spans="72:101" x14ac:dyDescent="0.2">
      <c r="BT310" s="253" t="str">
        <f t="shared" ca="1" si="436"/>
        <v>Denmark</v>
      </c>
      <c r="BU310" s="253">
        <f t="shared" si="434"/>
        <v>308</v>
      </c>
      <c r="BV310" s="253" t="str">
        <f t="shared" si="428"/>
        <v>A24</v>
      </c>
      <c r="BW310" s="253">
        <f t="shared" si="429"/>
        <v>12</v>
      </c>
      <c r="BX310" s="253" t="str">
        <f t="shared" ca="1" si="430"/>
        <v>Frederik Rønnow</v>
      </c>
      <c r="BY310" s="253">
        <f ca="1">COUNTIF('Group Stages'!$J$8:$Q$80,BX310)+COUNTIF('Knock Out Stages'!$K$7:$R$45,BX310)</f>
        <v>0</v>
      </c>
      <c r="BZ310" s="253" t="str">
        <f t="shared" si="431"/>
        <v>'Player Database'!b27</v>
      </c>
      <c r="CA310" s="253" t="str">
        <f t="shared" ca="1" si="432"/>
        <v>Frederik Rønnow</v>
      </c>
      <c r="CS310" s="252">
        <f t="shared" si="437"/>
        <v>307</v>
      </c>
      <c r="CT310" s="252">
        <f t="shared" si="438"/>
        <v>8</v>
      </c>
      <c r="CU310" s="252" t="str">
        <f t="shared" si="435"/>
        <v>CR16</v>
      </c>
      <c r="CV310" s="252" t="str">
        <f t="shared" ca="1" si="439"/>
        <v/>
      </c>
      <c r="CW310" s="252">
        <f t="shared" ca="1" si="433"/>
        <v>0</v>
      </c>
    </row>
    <row r="311" spans="72:101" x14ac:dyDescent="0.2">
      <c r="BT311" s="253" t="str">
        <f t="shared" ca="1" si="436"/>
        <v>Denmark</v>
      </c>
      <c r="BU311" s="253">
        <f t="shared" si="434"/>
        <v>309</v>
      </c>
      <c r="BV311" s="253" t="str">
        <f t="shared" si="428"/>
        <v>A25</v>
      </c>
      <c r="BW311" s="253">
        <f t="shared" si="429"/>
        <v>12</v>
      </c>
      <c r="BX311" s="253" t="str">
        <f t="shared" ca="1" si="430"/>
        <v>Pierre-Emile Højbjerg</v>
      </c>
      <c r="BY311" s="253">
        <f ca="1">COUNTIF('Group Stages'!$J$8:$Q$80,BX311)+COUNTIF('Knock Out Stages'!$K$7:$R$45,BX311)</f>
        <v>0</v>
      </c>
      <c r="BZ311" s="253" t="str">
        <f t="shared" si="431"/>
        <v>'Player Database'!b28</v>
      </c>
      <c r="CA311" s="253" t="str">
        <f t="shared" ca="1" si="432"/>
        <v>Pierre-Emile Højbjerg</v>
      </c>
      <c r="CS311" s="252">
        <f t="shared" si="437"/>
        <v>308</v>
      </c>
      <c r="CT311" s="252">
        <f t="shared" si="438"/>
        <v>8</v>
      </c>
      <c r="CU311" s="252" t="str">
        <f t="shared" si="435"/>
        <v>CR17</v>
      </c>
      <c r="CV311" s="252" t="str">
        <f t="shared" ca="1" si="439"/>
        <v/>
      </c>
      <c r="CW311" s="252">
        <f t="shared" ca="1" si="433"/>
        <v>0</v>
      </c>
    </row>
    <row r="312" spans="72:101" x14ac:dyDescent="0.2">
      <c r="BT312" s="253" t="str">
        <f t="shared" ca="1" si="436"/>
        <v>Denmark</v>
      </c>
      <c r="BU312" s="253">
        <f t="shared" si="434"/>
        <v>310</v>
      </c>
      <c r="BV312" s="253" t="str">
        <f t="shared" ref="BV312:BV375" si="440">BV286</f>
        <v>A26</v>
      </c>
      <c r="BW312" s="253">
        <f t="shared" ref="BW312:BW375" si="441">BW286+1</f>
        <v>12</v>
      </c>
      <c r="BX312" s="253" t="str">
        <f t="shared" ref="BX312:BX375" ca="1" si="442">OFFSET(INDIRECT(BV312),0,BW312)</f>
        <v>Anders Dreyer</v>
      </c>
      <c r="BY312" s="253">
        <f ca="1">COUNTIF('Group Stages'!$J$8:$Q$80,BX312)+COUNTIF('Knock Out Stages'!$K$7:$R$45,BX312)</f>
        <v>0</v>
      </c>
      <c r="BZ312" s="253" t="str">
        <f t="shared" ref="BZ312:BZ375" si="443">BZ286</f>
        <v>'Player Database'!b29</v>
      </c>
      <c r="CA312" s="253" t="str">
        <f t="shared" ref="CA312:CA375" ca="1" si="444">OFFSET(INDIRECT(BZ312),0,BW312)</f>
        <v>Anders Dreyer</v>
      </c>
      <c r="CS312" s="252">
        <f t="shared" si="437"/>
        <v>309</v>
      </c>
      <c r="CT312" s="252">
        <f t="shared" si="438"/>
        <v>8</v>
      </c>
      <c r="CU312" s="252" t="str">
        <f t="shared" si="435"/>
        <v>CR18</v>
      </c>
      <c r="CV312" s="252" t="str">
        <f t="shared" ca="1" si="439"/>
        <v/>
      </c>
      <c r="CW312" s="252">
        <f t="shared" ca="1" si="433"/>
        <v>0</v>
      </c>
    </row>
    <row r="313" spans="72:101" x14ac:dyDescent="0.2">
      <c r="BT313" s="253" t="str">
        <f t="shared" ca="1" si="436"/>
        <v>Denmark</v>
      </c>
      <c r="BU313" s="253">
        <f t="shared" si="434"/>
        <v>311</v>
      </c>
      <c r="BV313" s="253" t="str">
        <f t="shared" si="440"/>
        <v>A27</v>
      </c>
      <c r="BW313" s="253">
        <f t="shared" si="441"/>
        <v>12</v>
      </c>
      <c r="BX313" s="253" t="str">
        <f t="shared" ca="1" si="442"/>
        <v>Rasmus Kristensen</v>
      </c>
      <c r="BY313" s="253">
        <f ca="1">COUNTIF('Group Stages'!$J$8:$Q$80,BX313)+COUNTIF('Knock Out Stages'!$K$7:$R$45,BX313)</f>
        <v>0</v>
      </c>
      <c r="BZ313" s="253" t="str">
        <f t="shared" si="443"/>
        <v>'Player Database'!b30</v>
      </c>
      <c r="CA313" s="253" t="str">
        <f t="shared" ca="1" si="444"/>
        <v>Rasmus Kristensen</v>
      </c>
      <c r="CS313" s="252">
        <f t="shared" si="437"/>
        <v>310</v>
      </c>
      <c r="CT313" s="252">
        <f t="shared" si="438"/>
        <v>8</v>
      </c>
      <c r="CU313" s="252" t="str">
        <f t="shared" si="435"/>
        <v>CR19</v>
      </c>
      <c r="CV313" s="252" t="str">
        <f t="shared" ca="1" si="439"/>
        <v/>
      </c>
      <c r="CW313" s="252">
        <f t="shared" ca="1" si="433"/>
        <v>0</v>
      </c>
    </row>
    <row r="314" spans="72:101" x14ac:dyDescent="0.2">
      <c r="BT314" s="253" t="str">
        <f t="shared" ca="1" si="436"/>
        <v>Denmark</v>
      </c>
      <c r="BU314" s="253">
        <f t="shared" si="434"/>
        <v>312</v>
      </c>
      <c r="BV314" s="253" t="str">
        <f t="shared" si="440"/>
        <v>A28</v>
      </c>
      <c r="BW314" s="253">
        <f t="shared" si="441"/>
        <v>12</v>
      </c>
      <c r="BX314" s="253" t="str">
        <f t="shared" ca="1" si="442"/>
        <v>Jacob Bruun Larsen</v>
      </c>
      <c r="BY314" s="253">
        <f ca="1">COUNTIF('Group Stages'!$J$8:$Q$80,BX314)+COUNTIF('Knock Out Stages'!$K$7:$R$45,BX314)</f>
        <v>0</v>
      </c>
      <c r="BZ314" s="253" t="str">
        <f t="shared" si="443"/>
        <v>'Player Database'!b31</v>
      </c>
      <c r="CA314" s="253" t="str">
        <f t="shared" ca="1" si="444"/>
        <v>Jacob Bruun Larsen</v>
      </c>
      <c r="CS314" s="252">
        <f t="shared" si="437"/>
        <v>311</v>
      </c>
      <c r="CT314" s="252">
        <f t="shared" si="438"/>
        <v>8</v>
      </c>
      <c r="CU314" s="252" t="str">
        <f t="shared" si="435"/>
        <v>CR20</v>
      </c>
      <c r="CV314" s="252" t="str">
        <f t="shared" ca="1" si="439"/>
        <v/>
      </c>
      <c r="CW314" s="252">
        <f t="shared" ca="1" si="433"/>
        <v>0</v>
      </c>
    </row>
    <row r="315" spans="72:101" x14ac:dyDescent="0.2">
      <c r="BT315" s="253" t="str">
        <f t="shared" ca="1" si="436"/>
        <v>Poland</v>
      </c>
      <c r="BU315" s="253">
        <f t="shared" si="434"/>
        <v>313</v>
      </c>
      <c r="BV315" s="253" t="str">
        <f t="shared" si="440"/>
        <v>A3</v>
      </c>
      <c r="BW315" s="253">
        <f t="shared" si="441"/>
        <v>13</v>
      </c>
      <c r="BX315" s="253" t="str">
        <f t="shared" ca="1" si="442"/>
        <v>Wojciech Szczęsny</v>
      </c>
      <c r="BY315" s="253">
        <f ca="1">COUNTIF('Group Stages'!$J$8:$Q$80,BX315)+COUNTIF('Knock Out Stages'!$K$7:$R$45,BX315)</f>
        <v>0</v>
      </c>
      <c r="BZ315" s="253" t="str">
        <f t="shared" si="443"/>
        <v>'Player Database'!b6</v>
      </c>
      <c r="CA315" s="253" t="str">
        <f t="shared" ca="1" si="444"/>
        <v>Wojciech Szczęsny</v>
      </c>
      <c r="CS315" s="252">
        <f t="shared" si="437"/>
        <v>312</v>
      </c>
      <c r="CT315" s="252">
        <f t="shared" si="438"/>
        <v>8</v>
      </c>
      <c r="CU315" s="252" t="str">
        <f t="shared" si="435"/>
        <v>CR21</v>
      </c>
      <c r="CV315" s="252" t="str">
        <f t="shared" ca="1" si="439"/>
        <v/>
      </c>
      <c r="CW315" s="252">
        <f t="shared" ca="1" si="433"/>
        <v>0</v>
      </c>
    </row>
    <row r="316" spans="72:101" x14ac:dyDescent="0.2">
      <c r="BT316" s="253" t="str">
        <f t="shared" ca="1" si="436"/>
        <v>Poland</v>
      </c>
      <c r="BU316" s="253">
        <f t="shared" si="434"/>
        <v>314</v>
      </c>
      <c r="BV316" s="253" t="str">
        <f t="shared" si="440"/>
        <v>A4</v>
      </c>
      <c r="BW316" s="253">
        <f t="shared" si="441"/>
        <v>13</v>
      </c>
      <c r="BX316" s="253" t="str">
        <f t="shared" ca="1" si="442"/>
        <v>Bartosz Salamon</v>
      </c>
      <c r="BY316" s="253">
        <f ca="1">COUNTIF('Group Stages'!$J$8:$Q$80,BX316)+COUNTIF('Knock Out Stages'!$K$7:$R$45,BX316)</f>
        <v>0</v>
      </c>
      <c r="BZ316" s="253" t="str">
        <f t="shared" si="443"/>
        <v>'Player Database'!b7</v>
      </c>
      <c r="CA316" s="253" t="str">
        <f t="shared" ca="1" si="444"/>
        <v>Bartosz Salamon</v>
      </c>
      <c r="CS316" s="252">
        <f t="shared" si="437"/>
        <v>313</v>
      </c>
      <c r="CT316" s="252">
        <f t="shared" si="438"/>
        <v>8</v>
      </c>
      <c r="CU316" s="252" t="str">
        <f t="shared" si="435"/>
        <v>CR22</v>
      </c>
      <c r="CV316" s="252" t="str">
        <f t="shared" ca="1" si="439"/>
        <v/>
      </c>
      <c r="CW316" s="252">
        <f t="shared" ca="1" si="433"/>
        <v>0</v>
      </c>
    </row>
    <row r="317" spans="72:101" x14ac:dyDescent="0.2">
      <c r="BT317" s="253" t="str">
        <f t="shared" ca="1" si="436"/>
        <v>Poland</v>
      </c>
      <c r="BU317" s="253">
        <f t="shared" si="434"/>
        <v>315</v>
      </c>
      <c r="BV317" s="253" t="str">
        <f t="shared" si="440"/>
        <v>A5</v>
      </c>
      <c r="BW317" s="253">
        <f t="shared" si="441"/>
        <v>13</v>
      </c>
      <c r="BX317" s="253" t="str">
        <f t="shared" ca="1" si="442"/>
        <v>Paweł Dawidowicz</v>
      </c>
      <c r="BY317" s="253">
        <f ca="1">COUNTIF('Group Stages'!$J$8:$Q$80,BX317)+COUNTIF('Knock Out Stages'!$K$7:$R$45,BX317)</f>
        <v>0</v>
      </c>
      <c r="BZ317" s="253" t="str">
        <f t="shared" si="443"/>
        <v>'Player Database'!b8</v>
      </c>
      <c r="CA317" s="253" t="str">
        <f t="shared" ca="1" si="444"/>
        <v>Paweł Dawidowicz</v>
      </c>
      <c r="CS317" s="252">
        <f t="shared" si="437"/>
        <v>314</v>
      </c>
      <c r="CT317" s="252">
        <f t="shared" si="438"/>
        <v>8</v>
      </c>
      <c r="CU317" s="252" t="str">
        <f t="shared" si="435"/>
        <v>CR23</v>
      </c>
      <c r="CV317" s="252" t="str">
        <f t="shared" ca="1" si="439"/>
        <v/>
      </c>
      <c r="CW317" s="252">
        <f t="shared" ca="1" si="433"/>
        <v>0</v>
      </c>
    </row>
    <row r="318" spans="72:101" x14ac:dyDescent="0.2">
      <c r="BT318" s="253" t="str">
        <f t="shared" ca="1" si="436"/>
        <v>Poland</v>
      </c>
      <c r="BU318" s="253">
        <f t="shared" si="434"/>
        <v>316</v>
      </c>
      <c r="BV318" s="253" t="str">
        <f t="shared" si="440"/>
        <v>A6</v>
      </c>
      <c r="BW318" s="253">
        <f t="shared" si="441"/>
        <v>13</v>
      </c>
      <c r="BX318" s="253" t="str">
        <f t="shared" ca="1" si="442"/>
        <v>Sebastian Walukiewicz</v>
      </c>
      <c r="BY318" s="253">
        <f ca="1">COUNTIF('Group Stages'!$J$8:$Q$80,BX318)+COUNTIF('Knock Out Stages'!$K$7:$R$45,BX318)</f>
        <v>0</v>
      </c>
      <c r="BZ318" s="253" t="str">
        <f t="shared" si="443"/>
        <v>'Player Database'!b9</v>
      </c>
      <c r="CA318" s="253" t="str">
        <f t="shared" ca="1" si="444"/>
        <v>Sebastian Walukiewicz</v>
      </c>
      <c r="CS318" s="252">
        <f t="shared" si="437"/>
        <v>315</v>
      </c>
      <c r="CT318" s="252">
        <f t="shared" si="438"/>
        <v>8</v>
      </c>
      <c r="CU318" s="252" t="str">
        <f t="shared" si="435"/>
        <v>CR24</v>
      </c>
      <c r="CV318" s="252" t="str">
        <f t="shared" ca="1" si="439"/>
        <v/>
      </c>
      <c r="CW318" s="252">
        <f t="shared" ca="1" si="433"/>
        <v>0</v>
      </c>
    </row>
    <row r="319" spans="72:101" x14ac:dyDescent="0.2">
      <c r="BT319" s="253" t="str">
        <f t="shared" ca="1" si="436"/>
        <v>Poland</v>
      </c>
      <c r="BU319" s="253">
        <f t="shared" si="434"/>
        <v>317</v>
      </c>
      <c r="BV319" s="253" t="str">
        <f t="shared" si="440"/>
        <v>A7</v>
      </c>
      <c r="BW319" s="253">
        <f t="shared" si="441"/>
        <v>13</v>
      </c>
      <c r="BX319" s="253" t="str">
        <f t="shared" ca="1" si="442"/>
        <v>Jan Bednarek</v>
      </c>
      <c r="BY319" s="253">
        <f ca="1">COUNTIF('Group Stages'!$J$8:$Q$80,BX319)+COUNTIF('Knock Out Stages'!$K$7:$R$45,BX319)</f>
        <v>0</v>
      </c>
      <c r="BZ319" s="253" t="str">
        <f t="shared" si="443"/>
        <v>'Player Database'!b10</v>
      </c>
      <c r="CA319" s="253" t="str">
        <f t="shared" ca="1" si="444"/>
        <v>Jan Bednarek</v>
      </c>
      <c r="CS319" s="252">
        <f t="shared" si="437"/>
        <v>316</v>
      </c>
      <c r="CT319" s="252">
        <f t="shared" si="438"/>
        <v>8</v>
      </c>
      <c r="CU319" s="252" t="str">
        <f t="shared" si="435"/>
        <v>CR25</v>
      </c>
      <c r="CV319" s="252" t="str">
        <f t="shared" ca="1" si="439"/>
        <v/>
      </c>
      <c r="CW319" s="252">
        <f t="shared" ca="1" si="433"/>
        <v>0</v>
      </c>
    </row>
    <row r="320" spans="72:101" x14ac:dyDescent="0.2">
      <c r="BT320" s="253" t="str">
        <f t="shared" ca="1" si="436"/>
        <v>Poland</v>
      </c>
      <c r="BU320" s="253">
        <f t="shared" si="434"/>
        <v>318</v>
      </c>
      <c r="BV320" s="253" t="str">
        <f t="shared" si="440"/>
        <v>A8</v>
      </c>
      <c r="BW320" s="253">
        <f t="shared" si="441"/>
        <v>13</v>
      </c>
      <c r="BX320" s="253" t="str">
        <f t="shared" ca="1" si="442"/>
        <v>Jakub Piotrowski</v>
      </c>
      <c r="BY320" s="253">
        <f ca="1">COUNTIF('Group Stages'!$J$8:$Q$80,BX320)+COUNTIF('Knock Out Stages'!$K$7:$R$45,BX320)</f>
        <v>0</v>
      </c>
      <c r="BZ320" s="253" t="str">
        <f t="shared" si="443"/>
        <v>'Player Database'!b11</v>
      </c>
      <c r="CA320" s="253" t="str">
        <f t="shared" ca="1" si="444"/>
        <v>Jakub Piotrowski</v>
      </c>
      <c r="CS320" s="252">
        <f t="shared" si="437"/>
        <v>317</v>
      </c>
      <c r="CT320" s="252">
        <f t="shared" si="438"/>
        <v>8</v>
      </c>
      <c r="CU320" s="252" t="str">
        <f t="shared" si="435"/>
        <v>CR26</v>
      </c>
      <c r="CV320" s="252" t="str">
        <f t="shared" ca="1" si="439"/>
        <v/>
      </c>
      <c r="CW320" s="252">
        <f t="shared" ca="1" si="433"/>
        <v>0</v>
      </c>
    </row>
    <row r="321" spans="72:101" x14ac:dyDescent="0.2">
      <c r="BT321" s="253" t="str">
        <f t="shared" ca="1" si="436"/>
        <v>Poland</v>
      </c>
      <c r="BU321" s="253">
        <f t="shared" si="434"/>
        <v>319</v>
      </c>
      <c r="BV321" s="253" t="str">
        <f t="shared" si="440"/>
        <v>A9</v>
      </c>
      <c r="BW321" s="253">
        <f t="shared" si="441"/>
        <v>13</v>
      </c>
      <c r="BX321" s="253" t="str">
        <f t="shared" ca="1" si="442"/>
        <v>Karol Świderski</v>
      </c>
      <c r="BY321" s="253">
        <f ca="1">COUNTIF('Group Stages'!$J$8:$Q$80,BX321)+COUNTIF('Knock Out Stages'!$K$7:$R$45,BX321)</f>
        <v>0</v>
      </c>
      <c r="BZ321" s="253" t="str">
        <f t="shared" si="443"/>
        <v>'Player Database'!b12</v>
      </c>
      <c r="CA321" s="253" t="str">
        <f t="shared" ca="1" si="444"/>
        <v>Karol Świderski</v>
      </c>
      <c r="CS321" s="252">
        <f t="shared" si="437"/>
        <v>318</v>
      </c>
      <c r="CT321" s="252">
        <f t="shared" si="438"/>
        <v>8</v>
      </c>
      <c r="CU321" s="252" t="str">
        <f t="shared" si="435"/>
        <v>CR27</v>
      </c>
      <c r="CV321" s="252" t="str">
        <f t="shared" ca="1" si="439"/>
        <v/>
      </c>
      <c r="CW321" s="252">
        <f t="shared" ca="1" si="433"/>
        <v>0</v>
      </c>
    </row>
    <row r="322" spans="72:101" x14ac:dyDescent="0.2">
      <c r="BT322" s="253" t="str">
        <f t="shared" ca="1" si="436"/>
        <v>Poland</v>
      </c>
      <c r="BU322" s="253">
        <f t="shared" si="434"/>
        <v>320</v>
      </c>
      <c r="BV322" s="253" t="str">
        <f t="shared" si="440"/>
        <v>A10</v>
      </c>
      <c r="BW322" s="253">
        <f t="shared" si="441"/>
        <v>13</v>
      </c>
      <c r="BX322" s="253" t="str">
        <f t="shared" ca="1" si="442"/>
        <v>Jakub Moder</v>
      </c>
      <c r="BY322" s="253">
        <f ca="1">COUNTIF('Group Stages'!$J$8:$Q$80,BX322)+COUNTIF('Knock Out Stages'!$K$7:$R$45,BX322)</f>
        <v>0</v>
      </c>
      <c r="BZ322" s="253" t="str">
        <f t="shared" si="443"/>
        <v>'Player Database'!b13</v>
      </c>
      <c r="CA322" s="253" t="str">
        <f t="shared" ca="1" si="444"/>
        <v>Jakub Moder</v>
      </c>
      <c r="CS322" s="252">
        <f t="shared" si="437"/>
        <v>319</v>
      </c>
      <c r="CT322" s="252">
        <f t="shared" si="438"/>
        <v>8</v>
      </c>
      <c r="CU322" s="252" t="str">
        <f t="shared" si="435"/>
        <v>CR28</v>
      </c>
      <c r="CV322" s="252" t="str">
        <f t="shared" ca="1" si="439"/>
        <v/>
      </c>
      <c r="CW322" s="252">
        <f t="shared" ca="1" si="433"/>
        <v>0</v>
      </c>
    </row>
    <row r="323" spans="72:101" x14ac:dyDescent="0.2">
      <c r="BT323" s="253" t="str">
        <f t="shared" ca="1" si="436"/>
        <v>Poland</v>
      </c>
      <c r="BU323" s="253">
        <f t="shared" si="434"/>
        <v>321</v>
      </c>
      <c r="BV323" s="253" t="str">
        <f t="shared" si="440"/>
        <v>A11</v>
      </c>
      <c r="BW323" s="253">
        <f t="shared" si="441"/>
        <v>13</v>
      </c>
      <c r="BX323" s="253" t="str">
        <f t="shared" ca="1" si="442"/>
        <v>Robert Lewandowski</v>
      </c>
      <c r="BY323" s="253">
        <f ca="1">COUNTIF('Group Stages'!$J$8:$Q$80,BX323)+COUNTIF('Knock Out Stages'!$K$7:$R$45,BX323)</f>
        <v>0</v>
      </c>
      <c r="BZ323" s="253" t="str">
        <f t="shared" si="443"/>
        <v>'Player Database'!b14</v>
      </c>
      <c r="CA323" s="253" t="str">
        <f t="shared" ca="1" si="444"/>
        <v>Robert Lewandowski</v>
      </c>
      <c r="CS323" s="252">
        <f t="shared" si="437"/>
        <v>320</v>
      </c>
      <c r="CT323" s="252">
        <f t="shared" si="438"/>
        <v>8</v>
      </c>
      <c r="CU323" s="252" t="str">
        <f t="shared" si="435"/>
        <v>CR29</v>
      </c>
      <c r="CV323" s="252" t="str">
        <f t="shared" ca="1" si="439"/>
        <v/>
      </c>
      <c r="CW323" s="252">
        <f t="shared" ca="1" si="433"/>
        <v>0</v>
      </c>
    </row>
    <row r="324" spans="72:101" x14ac:dyDescent="0.2">
      <c r="BT324" s="253" t="str">
        <f t="shared" ca="1" si="436"/>
        <v>Poland</v>
      </c>
      <c r="BU324" s="253">
        <f t="shared" si="434"/>
        <v>322</v>
      </c>
      <c r="BV324" s="253" t="str">
        <f t="shared" si="440"/>
        <v>A12</v>
      </c>
      <c r="BW324" s="253">
        <f t="shared" si="441"/>
        <v>13</v>
      </c>
      <c r="BX324" s="253" t="str">
        <f t="shared" ca="1" si="442"/>
        <v>Piotr Zieliński</v>
      </c>
      <c r="BY324" s="253">
        <f ca="1">COUNTIF('Group Stages'!$J$8:$Q$80,BX324)+COUNTIF('Knock Out Stages'!$K$7:$R$45,BX324)</f>
        <v>0</v>
      </c>
      <c r="BZ324" s="253" t="str">
        <f t="shared" si="443"/>
        <v>'Player Database'!b15</v>
      </c>
      <c r="CA324" s="253" t="str">
        <f t="shared" ca="1" si="444"/>
        <v>Piotr Zieliński</v>
      </c>
      <c r="CS324" s="252">
        <f t="shared" si="437"/>
        <v>321</v>
      </c>
      <c r="CT324" s="252">
        <f t="shared" si="438"/>
        <v>8</v>
      </c>
      <c r="CU324" s="252" t="str">
        <f t="shared" si="435"/>
        <v>CR30</v>
      </c>
      <c r="CV324" s="252" t="str">
        <f t="shared" ca="1" si="439"/>
        <v/>
      </c>
      <c r="CW324" s="252">
        <f t="shared" ca="1" si="433"/>
        <v>0</v>
      </c>
    </row>
    <row r="325" spans="72:101" x14ac:dyDescent="0.2">
      <c r="BT325" s="253" t="str">
        <f t="shared" ca="1" si="436"/>
        <v>Poland</v>
      </c>
      <c r="BU325" s="253">
        <f t="shared" si="434"/>
        <v>323</v>
      </c>
      <c r="BV325" s="253" t="str">
        <f t="shared" si="440"/>
        <v>A13</v>
      </c>
      <c r="BW325" s="253">
        <f t="shared" si="441"/>
        <v>13</v>
      </c>
      <c r="BX325" s="253" t="str">
        <f t="shared" ca="1" si="442"/>
        <v>Kamil Grosicki</v>
      </c>
      <c r="BY325" s="253">
        <f ca="1">COUNTIF('Group Stages'!$J$8:$Q$80,BX325)+COUNTIF('Knock Out Stages'!$K$7:$R$45,BX325)</f>
        <v>0</v>
      </c>
      <c r="BZ325" s="253" t="str">
        <f t="shared" si="443"/>
        <v>'Player Database'!b16</v>
      </c>
      <c r="CA325" s="253" t="str">
        <f t="shared" ca="1" si="444"/>
        <v>Kamil Grosicki</v>
      </c>
      <c r="CS325" s="252">
        <f t="shared" si="437"/>
        <v>322</v>
      </c>
      <c r="CT325" s="252">
        <f t="shared" si="438"/>
        <v>8</v>
      </c>
      <c r="CU325" s="252" t="str">
        <f t="shared" si="435"/>
        <v>CR31</v>
      </c>
      <c r="CV325" s="252" t="str">
        <f t="shared" ca="1" si="439"/>
        <v/>
      </c>
      <c r="CW325" s="252">
        <f t="shared" ref="CW325:CW388" ca="1" si="445">IF(CV325&lt;&gt;"",CW324+1,CW324)</f>
        <v>0</v>
      </c>
    </row>
    <row r="326" spans="72:101" x14ac:dyDescent="0.2">
      <c r="BT326" s="253" t="str">
        <f t="shared" ca="1" si="436"/>
        <v>Poland</v>
      </c>
      <c r="BU326" s="253">
        <f t="shared" si="434"/>
        <v>324</v>
      </c>
      <c r="BV326" s="253" t="str">
        <f t="shared" si="440"/>
        <v>A14</v>
      </c>
      <c r="BW326" s="253">
        <f t="shared" si="441"/>
        <v>13</v>
      </c>
      <c r="BX326" s="253" t="str">
        <f t="shared" ca="1" si="442"/>
        <v>Łukasz Skorupski</v>
      </c>
      <c r="BY326" s="253">
        <f ca="1">COUNTIF('Group Stages'!$J$8:$Q$80,BX326)+COUNTIF('Knock Out Stages'!$K$7:$R$45,BX326)</f>
        <v>0</v>
      </c>
      <c r="BZ326" s="253" t="str">
        <f t="shared" si="443"/>
        <v>'Player Database'!b17</v>
      </c>
      <c r="CA326" s="253" t="str">
        <f t="shared" ca="1" si="444"/>
        <v>Łukasz Skorupski</v>
      </c>
      <c r="CS326" s="252">
        <f t="shared" si="437"/>
        <v>323</v>
      </c>
      <c r="CT326" s="252">
        <f t="shared" si="438"/>
        <v>8</v>
      </c>
      <c r="CU326" s="252" t="str">
        <f t="shared" si="435"/>
        <v>CR32</v>
      </c>
      <c r="CV326" s="252" t="str">
        <f t="shared" ca="1" si="439"/>
        <v/>
      </c>
      <c r="CW326" s="252">
        <f t="shared" ca="1" si="445"/>
        <v>0</v>
      </c>
    </row>
    <row r="327" spans="72:101" x14ac:dyDescent="0.2">
      <c r="BT327" s="253" t="str">
        <f t="shared" ca="1" si="436"/>
        <v>Poland</v>
      </c>
      <c r="BU327" s="253">
        <f t="shared" si="434"/>
        <v>325</v>
      </c>
      <c r="BV327" s="253" t="str">
        <f t="shared" si="440"/>
        <v>A15</v>
      </c>
      <c r="BW327" s="253">
        <f t="shared" si="441"/>
        <v>13</v>
      </c>
      <c r="BX327" s="253" t="str">
        <f t="shared" ca="1" si="442"/>
        <v>Taras Romanczuk</v>
      </c>
      <c r="BY327" s="253">
        <f ca="1">COUNTIF('Group Stages'!$J$8:$Q$80,BX327)+COUNTIF('Knock Out Stages'!$K$7:$R$45,BX327)</f>
        <v>0</v>
      </c>
      <c r="BZ327" s="253" t="str">
        <f t="shared" si="443"/>
        <v>'Player Database'!b18</v>
      </c>
      <c r="CA327" s="253" t="str">
        <f t="shared" ca="1" si="444"/>
        <v>Taras Romanczuk</v>
      </c>
      <c r="CS327" s="252">
        <f t="shared" si="437"/>
        <v>324</v>
      </c>
      <c r="CT327" s="252">
        <f t="shared" si="438"/>
        <v>8</v>
      </c>
      <c r="CU327" s="252" t="str">
        <f t="shared" si="435"/>
        <v>CR33</v>
      </c>
      <c r="CV327" s="252" t="str">
        <f t="shared" ca="1" si="439"/>
        <v/>
      </c>
      <c r="CW327" s="252">
        <f t="shared" ca="1" si="445"/>
        <v>0</v>
      </c>
    </row>
    <row r="328" spans="72:101" x14ac:dyDescent="0.2">
      <c r="BT328" s="253" t="str">
        <f t="shared" ca="1" si="436"/>
        <v>Poland</v>
      </c>
      <c r="BU328" s="253">
        <f t="shared" si="434"/>
        <v>326</v>
      </c>
      <c r="BV328" s="253" t="str">
        <f t="shared" si="440"/>
        <v>A16</v>
      </c>
      <c r="BW328" s="253">
        <f t="shared" si="441"/>
        <v>13</v>
      </c>
      <c r="BX328" s="253" t="str">
        <f t="shared" ca="1" si="442"/>
        <v>Jakub Kiwior</v>
      </c>
      <c r="BY328" s="253">
        <f ca="1">COUNTIF('Group Stages'!$J$8:$Q$80,BX328)+COUNTIF('Knock Out Stages'!$K$7:$R$45,BX328)</f>
        <v>0</v>
      </c>
      <c r="BZ328" s="253" t="str">
        <f t="shared" si="443"/>
        <v>'Player Database'!b19</v>
      </c>
      <c r="CA328" s="253" t="str">
        <f t="shared" ca="1" si="444"/>
        <v>Jakub Kiwior</v>
      </c>
      <c r="CS328" s="252">
        <f t="shared" si="437"/>
        <v>325</v>
      </c>
      <c r="CT328" s="252">
        <f t="shared" si="438"/>
        <v>8</v>
      </c>
      <c r="CU328" s="252" t="str">
        <f t="shared" si="435"/>
        <v>CR34</v>
      </c>
      <c r="CV328" s="252" t="str">
        <f t="shared" ca="1" si="439"/>
        <v/>
      </c>
      <c r="CW328" s="252">
        <f t="shared" ca="1" si="445"/>
        <v>0</v>
      </c>
    </row>
    <row r="329" spans="72:101" x14ac:dyDescent="0.2">
      <c r="BT329" s="253" t="str">
        <f t="shared" ca="1" si="436"/>
        <v>Poland</v>
      </c>
      <c r="BU329" s="253">
        <f t="shared" si="434"/>
        <v>327</v>
      </c>
      <c r="BV329" s="253" t="str">
        <f t="shared" si="440"/>
        <v>A17</v>
      </c>
      <c r="BW329" s="253">
        <f t="shared" si="441"/>
        <v>13</v>
      </c>
      <c r="BX329" s="253" t="str">
        <f t="shared" ca="1" si="442"/>
        <v>Tymoteusz Puchacz</v>
      </c>
      <c r="BY329" s="253">
        <f ca="1">COUNTIF('Group Stages'!$J$8:$Q$80,BX329)+COUNTIF('Knock Out Stages'!$K$7:$R$45,BX329)</f>
        <v>0</v>
      </c>
      <c r="BZ329" s="253" t="str">
        <f t="shared" si="443"/>
        <v>'Player Database'!b20</v>
      </c>
      <c r="CA329" s="253" t="str">
        <f t="shared" ca="1" si="444"/>
        <v>Tymoteusz Puchacz</v>
      </c>
      <c r="CS329" s="252">
        <f t="shared" si="437"/>
        <v>326</v>
      </c>
      <c r="CT329" s="252">
        <f t="shared" si="438"/>
        <v>8</v>
      </c>
      <c r="CU329" s="252" t="str">
        <f t="shared" si="435"/>
        <v>CR35</v>
      </c>
      <c r="CV329" s="252" t="str">
        <f t="shared" ca="1" si="439"/>
        <v/>
      </c>
      <c r="CW329" s="252">
        <f t="shared" ca="1" si="445"/>
        <v>0</v>
      </c>
    </row>
    <row r="330" spans="72:101" x14ac:dyDescent="0.2">
      <c r="BT330" s="253" t="str">
        <f t="shared" ca="1" si="436"/>
        <v>Poland</v>
      </c>
      <c r="BU330" s="253">
        <f t="shared" si="434"/>
        <v>328</v>
      </c>
      <c r="BV330" s="253" t="str">
        <f t="shared" si="440"/>
        <v>A18</v>
      </c>
      <c r="BW330" s="253">
        <f t="shared" si="441"/>
        <v>13</v>
      </c>
      <c r="BX330" s="253" t="str">
        <f t="shared" ca="1" si="442"/>
        <v>Adam Buksa</v>
      </c>
      <c r="BY330" s="253">
        <f ca="1">COUNTIF('Group Stages'!$J$8:$Q$80,BX330)+COUNTIF('Knock Out Stages'!$K$7:$R$45,BX330)</f>
        <v>0</v>
      </c>
      <c r="BZ330" s="253" t="str">
        <f t="shared" si="443"/>
        <v>'Player Database'!b21</v>
      </c>
      <c r="CA330" s="253" t="str">
        <f t="shared" ca="1" si="444"/>
        <v>Adam Buksa</v>
      </c>
      <c r="CS330" s="252">
        <f t="shared" si="437"/>
        <v>327</v>
      </c>
      <c r="CT330" s="252">
        <f t="shared" si="438"/>
        <v>8</v>
      </c>
      <c r="CU330" s="252" t="str">
        <f t="shared" si="435"/>
        <v>CR36</v>
      </c>
      <c r="CV330" s="252" t="str">
        <f t="shared" ca="1" si="439"/>
        <v/>
      </c>
      <c r="CW330" s="252">
        <f t="shared" ca="1" si="445"/>
        <v>0</v>
      </c>
    </row>
    <row r="331" spans="72:101" x14ac:dyDescent="0.2">
      <c r="BT331" s="253" t="str">
        <f t="shared" ca="1" si="436"/>
        <v>Poland</v>
      </c>
      <c r="BU331" s="253">
        <f t="shared" ref="BU331:BU394" si="446">BU330+1</f>
        <v>329</v>
      </c>
      <c r="BV331" s="253" t="str">
        <f t="shared" si="440"/>
        <v>A19</v>
      </c>
      <c r="BW331" s="253">
        <f t="shared" si="441"/>
        <v>13</v>
      </c>
      <c r="BX331" s="253" t="str">
        <f t="shared" ca="1" si="442"/>
        <v>Damian Szymański</v>
      </c>
      <c r="BY331" s="253">
        <f ca="1">COUNTIF('Group Stages'!$J$8:$Q$80,BX331)+COUNTIF('Knock Out Stages'!$K$7:$R$45,BX331)</f>
        <v>0</v>
      </c>
      <c r="BZ331" s="253" t="str">
        <f t="shared" si="443"/>
        <v>'Player Database'!b22</v>
      </c>
      <c r="CA331" s="253" t="str">
        <f t="shared" ca="1" si="444"/>
        <v>Damian Szymański</v>
      </c>
      <c r="CS331" s="252">
        <f t="shared" si="437"/>
        <v>328</v>
      </c>
      <c r="CT331" s="252">
        <f t="shared" si="438"/>
        <v>8</v>
      </c>
      <c r="CU331" s="252" t="str">
        <f t="shared" si="435"/>
        <v>CR37</v>
      </c>
      <c r="CV331" s="252" t="str">
        <f t="shared" ca="1" si="439"/>
        <v/>
      </c>
      <c r="CW331" s="252">
        <f t="shared" ca="1" si="445"/>
        <v>0</v>
      </c>
    </row>
    <row r="332" spans="72:101" x14ac:dyDescent="0.2">
      <c r="BT332" s="253" t="str">
        <f t="shared" ca="1" si="436"/>
        <v>Poland</v>
      </c>
      <c r="BU332" s="253">
        <f t="shared" si="446"/>
        <v>330</v>
      </c>
      <c r="BV332" s="253" t="str">
        <f t="shared" si="440"/>
        <v>A20</v>
      </c>
      <c r="BW332" s="253">
        <f t="shared" si="441"/>
        <v>13</v>
      </c>
      <c r="BX332" s="253" t="str">
        <f t="shared" ca="1" si="442"/>
        <v>Bartosz Bereszyński</v>
      </c>
      <c r="BY332" s="253">
        <f ca="1">COUNTIF('Group Stages'!$J$8:$Q$80,BX332)+COUNTIF('Knock Out Stages'!$K$7:$R$45,BX332)</f>
        <v>0</v>
      </c>
      <c r="BZ332" s="253" t="str">
        <f t="shared" si="443"/>
        <v>'Player Database'!b23</v>
      </c>
      <c r="CA332" s="253" t="str">
        <f t="shared" ca="1" si="444"/>
        <v>Bartosz Bereszyński</v>
      </c>
      <c r="CS332" s="252">
        <f t="shared" si="437"/>
        <v>329</v>
      </c>
      <c r="CT332" s="252">
        <f t="shared" si="438"/>
        <v>8</v>
      </c>
      <c r="CU332" s="252" t="str">
        <f t="shared" si="435"/>
        <v>CR38</v>
      </c>
      <c r="CV332" s="252" t="str">
        <f t="shared" ca="1" si="439"/>
        <v/>
      </c>
      <c r="CW332" s="252">
        <f t="shared" ca="1" si="445"/>
        <v>0</v>
      </c>
    </row>
    <row r="333" spans="72:101" x14ac:dyDescent="0.2">
      <c r="BT333" s="253" t="str">
        <f t="shared" ca="1" si="436"/>
        <v>Poland</v>
      </c>
      <c r="BU333" s="253">
        <f t="shared" si="446"/>
        <v>331</v>
      </c>
      <c r="BV333" s="253" t="str">
        <f t="shared" si="440"/>
        <v>A21</v>
      </c>
      <c r="BW333" s="253">
        <f t="shared" si="441"/>
        <v>13</v>
      </c>
      <c r="BX333" s="253" t="str">
        <f t="shared" ca="1" si="442"/>
        <v>Przemysław Frankowski</v>
      </c>
      <c r="BY333" s="253">
        <f ca="1">COUNTIF('Group Stages'!$J$8:$Q$80,BX333)+COUNTIF('Knock Out Stages'!$K$7:$R$45,BX333)</f>
        <v>0</v>
      </c>
      <c r="BZ333" s="253" t="str">
        <f t="shared" si="443"/>
        <v>'Player Database'!b24</v>
      </c>
      <c r="CA333" s="253" t="str">
        <f t="shared" ca="1" si="444"/>
        <v>Przemysław Frankowski</v>
      </c>
      <c r="CS333" s="252">
        <f t="shared" si="437"/>
        <v>330</v>
      </c>
      <c r="CT333" s="252">
        <f t="shared" si="438"/>
        <v>8</v>
      </c>
      <c r="CU333" s="252" t="str">
        <f t="shared" si="435"/>
        <v>CR39</v>
      </c>
      <c r="CV333" s="252" t="str">
        <f t="shared" ca="1" si="439"/>
        <v/>
      </c>
      <c r="CW333" s="252">
        <f t="shared" ca="1" si="445"/>
        <v>0</v>
      </c>
    </row>
    <row r="334" spans="72:101" x14ac:dyDescent="0.2">
      <c r="BT334" s="253" t="str">
        <f t="shared" ca="1" si="436"/>
        <v>Poland</v>
      </c>
      <c r="BU334" s="253">
        <f t="shared" si="446"/>
        <v>332</v>
      </c>
      <c r="BV334" s="253" t="str">
        <f t="shared" si="440"/>
        <v>A22</v>
      </c>
      <c r="BW334" s="253">
        <f t="shared" si="441"/>
        <v>13</v>
      </c>
      <c r="BX334" s="253" t="str">
        <f t="shared" ca="1" si="442"/>
        <v>Sebastian Szymański</v>
      </c>
      <c r="BY334" s="253">
        <f ca="1">COUNTIF('Group Stages'!$J$8:$Q$80,BX334)+COUNTIF('Knock Out Stages'!$K$7:$R$45,BX334)</f>
        <v>0</v>
      </c>
      <c r="BZ334" s="253" t="str">
        <f t="shared" si="443"/>
        <v>'Player Database'!b25</v>
      </c>
      <c r="CA334" s="253" t="str">
        <f t="shared" ca="1" si="444"/>
        <v>Sebastian Szymański</v>
      </c>
      <c r="CS334" s="252">
        <f t="shared" si="437"/>
        <v>331</v>
      </c>
      <c r="CT334" s="252">
        <f t="shared" si="438"/>
        <v>8</v>
      </c>
      <c r="CU334" s="252" t="str">
        <f t="shared" si="435"/>
        <v>CR40</v>
      </c>
      <c r="CV334" s="252" t="str">
        <f t="shared" ca="1" si="439"/>
        <v/>
      </c>
      <c r="CW334" s="252">
        <f t="shared" ca="1" si="445"/>
        <v>0</v>
      </c>
    </row>
    <row r="335" spans="72:101" x14ac:dyDescent="0.2">
      <c r="BT335" s="253" t="str">
        <f t="shared" ca="1" si="436"/>
        <v>Poland</v>
      </c>
      <c r="BU335" s="253">
        <f t="shared" si="446"/>
        <v>333</v>
      </c>
      <c r="BV335" s="253" t="str">
        <f t="shared" si="440"/>
        <v>A23</v>
      </c>
      <c r="BW335" s="253">
        <f t="shared" si="441"/>
        <v>13</v>
      </c>
      <c r="BX335" s="253" t="str">
        <f t="shared" ca="1" si="442"/>
        <v>Nicola Zalewski</v>
      </c>
      <c r="BY335" s="253">
        <f ca="1">COUNTIF('Group Stages'!$J$8:$Q$80,BX335)+COUNTIF('Knock Out Stages'!$K$7:$R$45,BX335)</f>
        <v>0</v>
      </c>
      <c r="BZ335" s="253" t="str">
        <f t="shared" si="443"/>
        <v>'Player Database'!b26</v>
      </c>
      <c r="CA335" s="253" t="str">
        <f t="shared" ca="1" si="444"/>
        <v>Nicola Zalewski</v>
      </c>
      <c r="CS335" s="252">
        <f t="shared" si="437"/>
        <v>332</v>
      </c>
      <c r="CT335" s="252">
        <f t="shared" si="438"/>
        <v>8</v>
      </c>
      <c r="CU335" s="252" t="str">
        <f t="shared" si="435"/>
        <v>CR41</v>
      </c>
      <c r="CV335" s="252" t="str">
        <f t="shared" ca="1" si="439"/>
        <v/>
      </c>
      <c r="CW335" s="252">
        <f t="shared" ca="1" si="445"/>
        <v>0</v>
      </c>
    </row>
    <row r="336" spans="72:101" x14ac:dyDescent="0.2">
      <c r="BT336" s="253" t="str">
        <f t="shared" ca="1" si="436"/>
        <v>Poland</v>
      </c>
      <c r="BU336" s="253">
        <f t="shared" si="446"/>
        <v>334</v>
      </c>
      <c r="BV336" s="253" t="str">
        <f t="shared" si="440"/>
        <v>A24</v>
      </c>
      <c r="BW336" s="253">
        <f t="shared" si="441"/>
        <v>13</v>
      </c>
      <c r="BX336" s="253" t="str">
        <f t="shared" ca="1" si="442"/>
        <v>Marcin Bułka</v>
      </c>
      <c r="BY336" s="253">
        <f ca="1">COUNTIF('Group Stages'!$J$8:$Q$80,BX336)+COUNTIF('Knock Out Stages'!$K$7:$R$45,BX336)</f>
        <v>0</v>
      </c>
      <c r="BZ336" s="253" t="str">
        <f t="shared" si="443"/>
        <v>'Player Database'!b27</v>
      </c>
      <c r="CA336" s="253" t="str">
        <f t="shared" ca="1" si="444"/>
        <v>Marcin Bułka</v>
      </c>
      <c r="CS336" s="252">
        <f t="shared" si="437"/>
        <v>333</v>
      </c>
      <c r="CT336" s="252">
        <f t="shared" si="438"/>
        <v>8</v>
      </c>
      <c r="CU336" s="252" t="str">
        <f t="shared" si="435"/>
        <v>CR42</v>
      </c>
      <c r="CV336" s="252" t="str">
        <f t="shared" ca="1" si="439"/>
        <v/>
      </c>
      <c r="CW336" s="252">
        <f t="shared" ca="1" si="445"/>
        <v>0</v>
      </c>
    </row>
    <row r="337" spans="72:101" x14ac:dyDescent="0.2">
      <c r="BT337" s="253" t="str">
        <f t="shared" ca="1" si="436"/>
        <v>Poland</v>
      </c>
      <c r="BU337" s="253">
        <f t="shared" si="446"/>
        <v>335</v>
      </c>
      <c r="BV337" s="253" t="str">
        <f t="shared" si="440"/>
        <v>A25</v>
      </c>
      <c r="BW337" s="253">
        <f t="shared" si="441"/>
        <v>13</v>
      </c>
      <c r="BX337" s="253" t="str">
        <f t="shared" ca="1" si="442"/>
        <v>Krzysztof Piątek</v>
      </c>
      <c r="BY337" s="253">
        <f ca="1">COUNTIF('Group Stages'!$J$8:$Q$80,BX337)+COUNTIF('Knock Out Stages'!$K$7:$R$45,BX337)</f>
        <v>0</v>
      </c>
      <c r="BZ337" s="253" t="str">
        <f t="shared" si="443"/>
        <v>'Player Database'!b28</v>
      </c>
      <c r="CA337" s="253" t="str">
        <f t="shared" ca="1" si="444"/>
        <v>Krzysztof Piątek</v>
      </c>
      <c r="CS337" s="252">
        <f t="shared" si="437"/>
        <v>334</v>
      </c>
      <c r="CT337" s="252">
        <f t="shared" si="438"/>
        <v>8</v>
      </c>
      <c r="CU337" s="252" t="str">
        <f t="shared" si="435"/>
        <v>CR43</v>
      </c>
      <c r="CV337" s="252" t="str">
        <f t="shared" ca="1" si="439"/>
        <v/>
      </c>
      <c r="CW337" s="252">
        <f t="shared" ca="1" si="445"/>
        <v>0</v>
      </c>
    </row>
    <row r="338" spans="72:101" x14ac:dyDescent="0.2">
      <c r="BT338" s="253" t="str">
        <f t="shared" ca="1" si="436"/>
        <v>Poland</v>
      </c>
      <c r="BU338" s="253">
        <f t="shared" si="446"/>
        <v>336</v>
      </c>
      <c r="BV338" s="253" t="str">
        <f t="shared" si="440"/>
        <v>A26</v>
      </c>
      <c r="BW338" s="253">
        <f t="shared" si="441"/>
        <v>13</v>
      </c>
      <c r="BX338" s="253" t="str">
        <f t="shared" ca="1" si="442"/>
        <v>Bartosz Slisz</v>
      </c>
      <c r="BY338" s="253">
        <f ca="1">COUNTIF('Group Stages'!$J$8:$Q$80,BX338)+COUNTIF('Knock Out Stages'!$K$7:$R$45,BX338)</f>
        <v>0</v>
      </c>
      <c r="BZ338" s="253" t="str">
        <f t="shared" si="443"/>
        <v>'Player Database'!b29</v>
      </c>
      <c r="CA338" s="253" t="str">
        <f t="shared" ca="1" si="444"/>
        <v>Bartosz Slisz</v>
      </c>
      <c r="CS338" s="252">
        <f t="shared" si="437"/>
        <v>335</v>
      </c>
      <c r="CT338" s="252">
        <f t="shared" si="438"/>
        <v>8</v>
      </c>
      <c r="CU338" s="252" t="str">
        <f t="shared" si="435"/>
        <v>CR44</v>
      </c>
      <c r="CV338" s="252" t="str">
        <f t="shared" ca="1" si="439"/>
        <v/>
      </c>
      <c r="CW338" s="252">
        <f t="shared" ca="1" si="445"/>
        <v>0</v>
      </c>
    </row>
    <row r="339" spans="72:101" x14ac:dyDescent="0.2">
      <c r="BT339" s="253" t="str">
        <f t="shared" ca="1" si="436"/>
        <v>Poland</v>
      </c>
      <c r="BU339" s="253">
        <f t="shared" si="446"/>
        <v>337</v>
      </c>
      <c r="BV339" s="253" t="str">
        <f t="shared" si="440"/>
        <v>A27</v>
      </c>
      <c r="BW339" s="253">
        <f t="shared" si="441"/>
        <v>13</v>
      </c>
      <c r="BX339" s="253" t="str">
        <f t="shared" ca="1" si="442"/>
        <v>Michał Skóraś</v>
      </c>
      <c r="BY339" s="253">
        <f ca="1">COUNTIF('Group Stages'!$J$8:$Q$80,BX339)+COUNTIF('Knock Out Stages'!$K$7:$R$45,BX339)</f>
        <v>0</v>
      </c>
      <c r="BZ339" s="253" t="str">
        <f t="shared" si="443"/>
        <v>'Player Database'!b30</v>
      </c>
      <c r="CA339" s="253" t="str">
        <f t="shared" ca="1" si="444"/>
        <v>Michał Skóraś</v>
      </c>
      <c r="CS339" s="252">
        <f t="shared" si="437"/>
        <v>336</v>
      </c>
      <c r="CT339" s="252">
        <f t="shared" si="438"/>
        <v>8</v>
      </c>
      <c r="CU339" s="252" t="str">
        <f t="shared" si="435"/>
        <v>CR45</v>
      </c>
      <c r="CV339" s="252" t="str">
        <f t="shared" ca="1" si="439"/>
        <v/>
      </c>
      <c r="CW339" s="252">
        <f t="shared" ca="1" si="445"/>
        <v>0</v>
      </c>
    </row>
    <row r="340" spans="72:101" x14ac:dyDescent="0.2">
      <c r="BT340" s="253" t="str">
        <f t="shared" ca="1" si="436"/>
        <v>Poland</v>
      </c>
      <c r="BU340" s="253">
        <f t="shared" si="446"/>
        <v>338</v>
      </c>
      <c r="BV340" s="253" t="str">
        <f t="shared" si="440"/>
        <v>A28</v>
      </c>
      <c r="BW340" s="253">
        <f t="shared" si="441"/>
        <v>13</v>
      </c>
      <c r="BX340" s="253" t="str">
        <f t="shared" ca="1" si="442"/>
        <v>Kacper Urbański</v>
      </c>
      <c r="BY340" s="253">
        <f ca="1">COUNTIF('Group Stages'!$J$8:$Q$80,BX340)+COUNTIF('Knock Out Stages'!$K$7:$R$45,BX340)</f>
        <v>0</v>
      </c>
      <c r="BZ340" s="253" t="str">
        <f t="shared" si="443"/>
        <v>'Player Database'!b31</v>
      </c>
      <c r="CA340" s="253" t="str">
        <f t="shared" ca="1" si="444"/>
        <v>Kacper Urbański</v>
      </c>
      <c r="CS340" s="252">
        <f t="shared" si="437"/>
        <v>337</v>
      </c>
      <c r="CT340" s="252">
        <f t="shared" si="438"/>
        <v>9</v>
      </c>
      <c r="CU340" s="252" t="str">
        <f t="shared" si="435"/>
        <v>CR4</v>
      </c>
      <c r="CV340" s="252" t="str">
        <f t="shared" ca="1" si="439"/>
        <v/>
      </c>
      <c r="CW340" s="252">
        <f t="shared" ca="1" si="445"/>
        <v>0</v>
      </c>
    </row>
    <row r="341" spans="72:101" x14ac:dyDescent="0.2">
      <c r="BT341" s="253" t="str">
        <f t="shared" ca="1" si="436"/>
        <v>Netherlands</v>
      </c>
      <c r="BU341" s="253">
        <f t="shared" si="446"/>
        <v>339</v>
      </c>
      <c r="BV341" s="253" t="str">
        <f t="shared" si="440"/>
        <v>A3</v>
      </c>
      <c r="BW341" s="253">
        <f t="shared" si="441"/>
        <v>14</v>
      </c>
      <c r="BX341" s="253" t="str">
        <f t="shared" ca="1" si="442"/>
        <v>Bart Verbruggen</v>
      </c>
      <c r="BY341" s="253">
        <f ca="1">COUNTIF('Group Stages'!$J$8:$Q$80,BX341)+COUNTIF('Knock Out Stages'!$K$7:$R$45,BX341)</f>
        <v>0</v>
      </c>
      <c r="BZ341" s="253" t="str">
        <f t="shared" si="443"/>
        <v>'Player Database'!b6</v>
      </c>
      <c r="CA341" s="253" t="str">
        <f t="shared" ca="1" si="444"/>
        <v>Bart Verbruggen</v>
      </c>
      <c r="CS341" s="252">
        <f t="shared" si="437"/>
        <v>338</v>
      </c>
      <c r="CT341" s="252">
        <f t="shared" si="438"/>
        <v>9</v>
      </c>
      <c r="CU341" s="252" t="str">
        <f t="shared" si="435"/>
        <v>CR5</v>
      </c>
      <c r="CV341" s="252" t="str">
        <f t="shared" ca="1" si="439"/>
        <v/>
      </c>
      <c r="CW341" s="252">
        <f t="shared" ca="1" si="445"/>
        <v>0</v>
      </c>
    </row>
    <row r="342" spans="72:101" x14ac:dyDescent="0.2">
      <c r="BT342" s="253" t="str">
        <f t="shared" ca="1" si="436"/>
        <v>Netherlands</v>
      </c>
      <c r="BU342" s="253">
        <f t="shared" si="446"/>
        <v>340</v>
      </c>
      <c r="BV342" s="253" t="str">
        <f t="shared" si="440"/>
        <v>A4</v>
      </c>
      <c r="BW342" s="253">
        <f t="shared" si="441"/>
        <v>14</v>
      </c>
      <c r="BX342" s="253" t="str">
        <f t="shared" ca="1" si="442"/>
        <v>Lutsharel Geertruida</v>
      </c>
      <c r="BY342" s="253">
        <f ca="1">COUNTIF('Group Stages'!$J$8:$Q$80,BX342)+COUNTIF('Knock Out Stages'!$K$7:$R$45,BX342)</f>
        <v>0</v>
      </c>
      <c r="BZ342" s="253" t="str">
        <f t="shared" si="443"/>
        <v>'Player Database'!b7</v>
      </c>
      <c r="CA342" s="253" t="str">
        <f t="shared" ca="1" si="444"/>
        <v>Lutsharel Geertruida</v>
      </c>
      <c r="CS342" s="252">
        <f t="shared" si="437"/>
        <v>339</v>
      </c>
      <c r="CT342" s="252">
        <f t="shared" si="438"/>
        <v>9</v>
      </c>
      <c r="CU342" s="252" t="str">
        <f t="shared" si="435"/>
        <v>CR6</v>
      </c>
      <c r="CV342" s="252" t="str">
        <f t="shared" ca="1" si="439"/>
        <v/>
      </c>
      <c r="CW342" s="252">
        <f t="shared" ca="1" si="445"/>
        <v>0</v>
      </c>
    </row>
    <row r="343" spans="72:101" x14ac:dyDescent="0.2">
      <c r="BT343" s="253" t="str">
        <f t="shared" ca="1" si="436"/>
        <v>Netherlands</v>
      </c>
      <c r="BU343" s="253">
        <f t="shared" si="446"/>
        <v>341</v>
      </c>
      <c r="BV343" s="253" t="str">
        <f t="shared" si="440"/>
        <v>A5</v>
      </c>
      <c r="BW343" s="253">
        <f t="shared" si="441"/>
        <v>14</v>
      </c>
      <c r="BX343" s="253" t="str">
        <f t="shared" ca="1" si="442"/>
        <v>Matthijs de Ligt</v>
      </c>
      <c r="BY343" s="253">
        <f ca="1">COUNTIF('Group Stages'!$J$8:$Q$80,BX343)+COUNTIF('Knock Out Stages'!$K$7:$R$45,BX343)</f>
        <v>0</v>
      </c>
      <c r="BZ343" s="253" t="str">
        <f t="shared" si="443"/>
        <v>'Player Database'!b8</v>
      </c>
      <c r="CA343" s="253" t="str">
        <f t="shared" ca="1" si="444"/>
        <v>Matthijs de Ligt</v>
      </c>
      <c r="CS343" s="252">
        <f t="shared" si="437"/>
        <v>340</v>
      </c>
      <c r="CT343" s="252">
        <f t="shared" si="438"/>
        <v>9</v>
      </c>
      <c r="CU343" s="252" t="str">
        <f t="shared" si="435"/>
        <v>CR7</v>
      </c>
      <c r="CV343" s="252" t="str">
        <f t="shared" ca="1" si="439"/>
        <v/>
      </c>
      <c r="CW343" s="252">
        <f t="shared" ca="1" si="445"/>
        <v>0</v>
      </c>
    </row>
    <row r="344" spans="72:101" x14ac:dyDescent="0.2">
      <c r="BT344" s="253" t="str">
        <f t="shared" ca="1" si="436"/>
        <v>Netherlands</v>
      </c>
      <c r="BU344" s="253">
        <f t="shared" si="446"/>
        <v>342</v>
      </c>
      <c r="BV344" s="253" t="str">
        <f t="shared" si="440"/>
        <v>A6</v>
      </c>
      <c r="BW344" s="253">
        <f t="shared" si="441"/>
        <v>14</v>
      </c>
      <c r="BX344" s="253" t="str">
        <f t="shared" ca="1" si="442"/>
        <v>Virgil van Dijk</v>
      </c>
      <c r="BY344" s="253">
        <f ca="1">COUNTIF('Group Stages'!$J$8:$Q$80,BX344)+COUNTIF('Knock Out Stages'!$K$7:$R$45,BX344)</f>
        <v>0</v>
      </c>
      <c r="BZ344" s="253" t="str">
        <f t="shared" si="443"/>
        <v>'Player Database'!b9</v>
      </c>
      <c r="CA344" s="253" t="str">
        <f t="shared" ca="1" si="444"/>
        <v>Virgil van Dijk</v>
      </c>
      <c r="CS344" s="252">
        <f t="shared" si="437"/>
        <v>341</v>
      </c>
      <c r="CT344" s="252">
        <f t="shared" si="438"/>
        <v>9</v>
      </c>
      <c r="CU344" s="252" t="str">
        <f t="shared" si="435"/>
        <v>CR8</v>
      </c>
      <c r="CV344" s="252" t="str">
        <f t="shared" ca="1" si="439"/>
        <v/>
      </c>
      <c r="CW344" s="252">
        <f t="shared" ca="1" si="445"/>
        <v>0</v>
      </c>
    </row>
    <row r="345" spans="72:101" x14ac:dyDescent="0.2">
      <c r="BT345" s="253" t="str">
        <f t="shared" ca="1" si="436"/>
        <v>Netherlands</v>
      </c>
      <c r="BU345" s="253">
        <f t="shared" si="446"/>
        <v>343</v>
      </c>
      <c r="BV345" s="253" t="str">
        <f t="shared" si="440"/>
        <v>A7</v>
      </c>
      <c r="BW345" s="253">
        <f t="shared" si="441"/>
        <v>14</v>
      </c>
      <c r="BX345" s="253" t="str">
        <f t="shared" ca="1" si="442"/>
        <v>Nathan Aké</v>
      </c>
      <c r="BY345" s="253">
        <f ca="1">COUNTIF('Group Stages'!$J$8:$Q$80,BX345)+COUNTIF('Knock Out Stages'!$K$7:$R$45,BX345)</f>
        <v>0</v>
      </c>
      <c r="BZ345" s="253" t="str">
        <f t="shared" si="443"/>
        <v>'Player Database'!b10</v>
      </c>
      <c r="CA345" s="253" t="str">
        <f t="shared" ca="1" si="444"/>
        <v>Nathan Aké</v>
      </c>
      <c r="CS345" s="252">
        <f t="shared" si="437"/>
        <v>342</v>
      </c>
      <c r="CT345" s="252">
        <f t="shared" si="438"/>
        <v>9</v>
      </c>
      <c r="CU345" s="252" t="str">
        <f t="shared" ref="CU345:CU408" si="447">CU303</f>
        <v>CR9</v>
      </c>
      <c r="CV345" s="252" t="str">
        <f t="shared" ca="1" si="439"/>
        <v/>
      </c>
      <c r="CW345" s="252">
        <f t="shared" ca="1" si="445"/>
        <v>0</v>
      </c>
    </row>
    <row r="346" spans="72:101" x14ac:dyDescent="0.2">
      <c r="BT346" s="253" t="str">
        <f t="shared" ca="1" si="436"/>
        <v>Netherlands</v>
      </c>
      <c r="BU346" s="253">
        <f t="shared" si="446"/>
        <v>344</v>
      </c>
      <c r="BV346" s="253" t="str">
        <f t="shared" si="440"/>
        <v>A8</v>
      </c>
      <c r="BW346" s="253">
        <f t="shared" si="441"/>
        <v>14</v>
      </c>
      <c r="BX346" s="253" t="str">
        <f t="shared" ca="1" si="442"/>
        <v>Stefan de Vrij</v>
      </c>
      <c r="BY346" s="253">
        <f ca="1">COUNTIF('Group Stages'!$J$8:$Q$80,BX346)+COUNTIF('Knock Out Stages'!$K$7:$R$45,BX346)</f>
        <v>0</v>
      </c>
      <c r="BZ346" s="253" t="str">
        <f t="shared" si="443"/>
        <v>'Player Database'!b11</v>
      </c>
      <c r="CA346" s="253" t="str">
        <f t="shared" ca="1" si="444"/>
        <v>Stefan de Vrij</v>
      </c>
      <c r="CS346" s="252">
        <f t="shared" si="437"/>
        <v>343</v>
      </c>
      <c r="CT346" s="252">
        <f t="shared" si="438"/>
        <v>9</v>
      </c>
      <c r="CU346" s="252" t="str">
        <f t="shared" si="447"/>
        <v>CR10</v>
      </c>
      <c r="CV346" s="252" t="str">
        <f t="shared" ca="1" si="439"/>
        <v/>
      </c>
      <c r="CW346" s="252">
        <f t="shared" ca="1" si="445"/>
        <v>0</v>
      </c>
    </row>
    <row r="347" spans="72:101" x14ac:dyDescent="0.2">
      <c r="BT347" s="253" t="str">
        <f t="shared" ca="1" si="436"/>
        <v>Netherlands</v>
      </c>
      <c r="BU347" s="253">
        <f t="shared" si="446"/>
        <v>345</v>
      </c>
      <c r="BV347" s="253" t="str">
        <f t="shared" si="440"/>
        <v>A9</v>
      </c>
      <c r="BW347" s="253">
        <f t="shared" si="441"/>
        <v>14</v>
      </c>
      <c r="BX347" s="253" t="str">
        <f t="shared" ca="1" si="442"/>
        <v>Xavi Simons</v>
      </c>
      <c r="BY347" s="253">
        <f ca="1">COUNTIF('Group Stages'!$J$8:$Q$80,BX347)+COUNTIF('Knock Out Stages'!$K$7:$R$45,BX347)</f>
        <v>0</v>
      </c>
      <c r="BZ347" s="253" t="str">
        <f t="shared" si="443"/>
        <v>'Player Database'!b12</v>
      </c>
      <c r="CA347" s="253" t="str">
        <f t="shared" ca="1" si="444"/>
        <v>Xavi Simons</v>
      </c>
      <c r="CS347" s="252">
        <f t="shared" si="437"/>
        <v>344</v>
      </c>
      <c r="CT347" s="252">
        <f t="shared" si="438"/>
        <v>9</v>
      </c>
      <c r="CU347" s="252" t="str">
        <f t="shared" si="447"/>
        <v>CR11</v>
      </c>
      <c r="CV347" s="252" t="str">
        <f t="shared" ca="1" si="439"/>
        <v/>
      </c>
      <c r="CW347" s="252">
        <f t="shared" ca="1" si="445"/>
        <v>0</v>
      </c>
    </row>
    <row r="348" spans="72:101" x14ac:dyDescent="0.2">
      <c r="BT348" s="253" t="str">
        <f t="shared" ca="1" si="436"/>
        <v>Netherlands</v>
      </c>
      <c r="BU348" s="253">
        <f t="shared" si="446"/>
        <v>346</v>
      </c>
      <c r="BV348" s="253" t="str">
        <f t="shared" si="440"/>
        <v>A10</v>
      </c>
      <c r="BW348" s="253">
        <f t="shared" si="441"/>
        <v>14</v>
      </c>
      <c r="BX348" s="253" t="str">
        <f t="shared" ca="1" si="442"/>
        <v>Georginio Wijnaldum</v>
      </c>
      <c r="BY348" s="253">
        <f ca="1">COUNTIF('Group Stages'!$J$8:$Q$80,BX348)+COUNTIF('Knock Out Stages'!$K$7:$R$45,BX348)</f>
        <v>0</v>
      </c>
      <c r="BZ348" s="253" t="str">
        <f t="shared" si="443"/>
        <v>'Player Database'!b13</v>
      </c>
      <c r="CA348" s="253" t="str">
        <f t="shared" ca="1" si="444"/>
        <v>Georginio Wijnaldum</v>
      </c>
      <c r="CS348" s="252">
        <f t="shared" si="437"/>
        <v>345</v>
      </c>
      <c r="CT348" s="252">
        <f t="shared" si="438"/>
        <v>9</v>
      </c>
      <c r="CU348" s="252" t="str">
        <f t="shared" si="447"/>
        <v>CR12</v>
      </c>
      <c r="CV348" s="252" t="str">
        <f t="shared" ca="1" si="439"/>
        <v/>
      </c>
      <c r="CW348" s="252">
        <f t="shared" ca="1" si="445"/>
        <v>0</v>
      </c>
    </row>
    <row r="349" spans="72:101" x14ac:dyDescent="0.2">
      <c r="BT349" s="253" t="str">
        <f t="shared" ca="1" si="436"/>
        <v>Netherlands</v>
      </c>
      <c r="BU349" s="253">
        <f t="shared" si="446"/>
        <v>347</v>
      </c>
      <c r="BV349" s="253" t="str">
        <f t="shared" si="440"/>
        <v>A11</v>
      </c>
      <c r="BW349" s="253">
        <f t="shared" si="441"/>
        <v>14</v>
      </c>
      <c r="BX349" s="253" t="str">
        <f t="shared" ca="1" si="442"/>
        <v>Wout Weghorst</v>
      </c>
      <c r="BY349" s="253">
        <f ca="1">COUNTIF('Group Stages'!$J$8:$Q$80,BX349)+COUNTIF('Knock Out Stages'!$K$7:$R$45,BX349)</f>
        <v>0</v>
      </c>
      <c r="BZ349" s="253" t="str">
        <f t="shared" si="443"/>
        <v>'Player Database'!b14</v>
      </c>
      <c r="CA349" s="253" t="str">
        <f t="shared" ca="1" si="444"/>
        <v>Wout Weghorst</v>
      </c>
      <c r="CS349" s="252">
        <f t="shared" si="437"/>
        <v>346</v>
      </c>
      <c r="CT349" s="252">
        <f t="shared" si="438"/>
        <v>9</v>
      </c>
      <c r="CU349" s="252" t="str">
        <f t="shared" si="447"/>
        <v>CR13</v>
      </c>
      <c r="CV349" s="252" t="str">
        <f t="shared" ca="1" si="439"/>
        <v/>
      </c>
      <c r="CW349" s="252">
        <f t="shared" ca="1" si="445"/>
        <v>0</v>
      </c>
    </row>
    <row r="350" spans="72:101" x14ac:dyDescent="0.2">
      <c r="BT350" s="253" t="str">
        <f t="shared" ca="1" si="436"/>
        <v>Netherlands</v>
      </c>
      <c r="BU350" s="253">
        <f t="shared" si="446"/>
        <v>348</v>
      </c>
      <c r="BV350" s="253" t="str">
        <f t="shared" si="440"/>
        <v>A12</v>
      </c>
      <c r="BW350" s="253">
        <f t="shared" si="441"/>
        <v>14</v>
      </c>
      <c r="BX350" s="253" t="str">
        <f t="shared" ca="1" si="442"/>
        <v>Memphis Depay</v>
      </c>
      <c r="BY350" s="253">
        <f ca="1">COUNTIF('Group Stages'!$J$8:$Q$80,BX350)+COUNTIF('Knock Out Stages'!$K$7:$R$45,BX350)</f>
        <v>0</v>
      </c>
      <c r="BZ350" s="253" t="str">
        <f t="shared" si="443"/>
        <v>'Player Database'!b15</v>
      </c>
      <c r="CA350" s="253" t="str">
        <f t="shared" ca="1" si="444"/>
        <v>Memphis Depay</v>
      </c>
      <c r="CS350" s="252">
        <f t="shared" si="437"/>
        <v>347</v>
      </c>
      <c r="CT350" s="252">
        <f t="shared" si="438"/>
        <v>9</v>
      </c>
      <c r="CU350" s="252" t="str">
        <f t="shared" si="447"/>
        <v>CR14</v>
      </c>
      <c r="CV350" s="252" t="str">
        <f t="shared" ca="1" si="439"/>
        <v/>
      </c>
      <c r="CW350" s="252">
        <f t="shared" ca="1" si="445"/>
        <v>0</v>
      </c>
    </row>
    <row r="351" spans="72:101" x14ac:dyDescent="0.2">
      <c r="BT351" s="253" t="str">
        <f t="shared" ca="1" si="436"/>
        <v>Netherlands</v>
      </c>
      <c r="BU351" s="253">
        <f t="shared" si="446"/>
        <v>349</v>
      </c>
      <c r="BV351" s="253" t="str">
        <f t="shared" si="440"/>
        <v>A13</v>
      </c>
      <c r="BW351" s="253">
        <f t="shared" si="441"/>
        <v>14</v>
      </c>
      <c r="BX351" s="253" t="str">
        <f t="shared" ca="1" si="442"/>
        <v>Cody Gakpo</v>
      </c>
      <c r="BY351" s="253">
        <f ca="1">COUNTIF('Group Stages'!$J$8:$Q$80,BX351)+COUNTIF('Knock Out Stages'!$K$7:$R$45,BX351)</f>
        <v>0</v>
      </c>
      <c r="BZ351" s="253" t="str">
        <f t="shared" si="443"/>
        <v>'Player Database'!b16</v>
      </c>
      <c r="CA351" s="253" t="str">
        <f t="shared" ca="1" si="444"/>
        <v>Cody Gakpo</v>
      </c>
      <c r="CS351" s="252">
        <f t="shared" si="437"/>
        <v>348</v>
      </c>
      <c r="CT351" s="252">
        <f t="shared" si="438"/>
        <v>9</v>
      </c>
      <c r="CU351" s="252" t="str">
        <f t="shared" si="447"/>
        <v>CR15</v>
      </c>
      <c r="CV351" s="252" t="str">
        <f t="shared" ca="1" si="439"/>
        <v/>
      </c>
      <c r="CW351" s="252">
        <f t="shared" ca="1" si="445"/>
        <v>0</v>
      </c>
    </row>
    <row r="352" spans="72:101" x14ac:dyDescent="0.2">
      <c r="BT352" s="253" t="str">
        <f t="shared" ca="1" si="436"/>
        <v>Netherlands</v>
      </c>
      <c r="BU352" s="253">
        <f t="shared" si="446"/>
        <v>350</v>
      </c>
      <c r="BV352" s="253" t="str">
        <f t="shared" si="440"/>
        <v>A14</v>
      </c>
      <c r="BW352" s="253">
        <f t="shared" si="441"/>
        <v>14</v>
      </c>
      <c r="BX352" s="253" t="str">
        <f t="shared" ca="1" si="442"/>
        <v>Jeremie Frimpong</v>
      </c>
      <c r="BY352" s="253">
        <f ca="1">COUNTIF('Group Stages'!$J$8:$Q$80,BX352)+COUNTIF('Knock Out Stages'!$K$7:$R$45,BX352)</f>
        <v>0</v>
      </c>
      <c r="BZ352" s="253" t="str">
        <f t="shared" si="443"/>
        <v>'Player Database'!b17</v>
      </c>
      <c r="CA352" s="253" t="str">
        <f t="shared" ca="1" si="444"/>
        <v>Jeremie Frimpong</v>
      </c>
      <c r="CS352" s="252">
        <f t="shared" si="437"/>
        <v>349</v>
      </c>
      <c r="CT352" s="252">
        <f t="shared" si="438"/>
        <v>9</v>
      </c>
      <c r="CU352" s="252" t="str">
        <f t="shared" si="447"/>
        <v>CR16</v>
      </c>
      <c r="CV352" s="252" t="str">
        <f t="shared" ca="1" si="439"/>
        <v/>
      </c>
      <c r="CW352" s="252">
        <f t="shared" ca="1" si="445"/>
        <v>0</v>
      </c>
    </row>
    <row r="353" spans="72:101" x14ac:dyDescent="0.2">
      <c r="BT353" s="253" t="str">
        <f t="shared" ca="1" si="436"/>
        <v>Netherlands</v>
      </c>
      <c r="BU353" s="253">
        <f t="shared" si="446"/>
        <v>351</v>
      </c>
      <c r="BV353" s="253" t="str">
        <f t="shared" si="440"/>
        <v>A15</v>
      </c>
      <c r="BW353" s="253">
        <f t="shared" si="441"/>
        <v>14</v>
      </c>
      <c r="BX353" s="253" t="str">
        <f t="shared" ca="1" si="442"/>
        <v>Justin Bijlow</v>
      </c>
      <c r="BY353" s="253">
        <f ca="1">COUNTIF('Group Stages'!$J$8:$Q$80,BX353)+COUNTIF('Knock Out Stages'!$K$7:$R$45,BX353)</f>
        <v>0</v>
      </c>
      <c r="BZ353" s="253" t="str">
        <f t="shared" si="443"/>
        <v>'Player Database'!b18</v>
      </c>
      <c r="CA353" s="253" t="str">
        <f t="shared" ca="1" si="444"/>
        <v>Justin Bijlow</v>
      </c>
      <c r="CS353" s="252">
        <f t="shared" si="437"/>
        <v>350</v>
      </c>
      <c r="CT353" s="252">
        <f t="shared" si="438"/>
        <v>9</v>
      </c>
      <c r="CU353" s="252" t="str">
        <f t="shared" si="447"/>
        <v>CR17</v>
      </c>
      <c r="CV353" s="252" t="str">
        <f t="shared" ca="1" si="439"/>
        <v/>
      </c>
      <c r="CW353" s="252">
        <f t="shared" ca="1" si="445"/>
        <v>0</v>
      </c>
    </row>
    <row r="354" spans="72:101" x14ac:dyDescent="0.2">
      <c r="BT354" s="253" t="str">
        <f t="shared" ca="1" si="436"/>
        <v>Netherlands</v>
      </c>
      <c r="BU354" s="253">
        <f t="shared" si="446"/>
        <v>352</v>
      </c>
      <c r="BV354" s="253" t="str">
        <f t="shared" si="440"/>
        <v>A16</v>
      </c>
      <c r="BW354" s="253">
        <f t="shared" si="441"/>
        <v>14</v>
      </c>
      <c r="BX354" s="253" t="str">
        <f t="shared" ca="1" si="442"/>
        <v>Tijjani Reijnders</v>
      </c>
      <c r="BY354" s="253">
        <f ca="1">COUNTIF('Group Stages'!$J$8:$Q$80,BX354)+COUNTIF('Knock Out Stages'!$K$7:$R$45,BX354)</f>
        <v>0</v>
      </c>
      <c r="BZ354" s="253" t="str">
        <f t="shared" si="443"/>
        <v>'Player Database'!b19</v>
      </c>
      <c r="CA354" s="253" t="str">
        <f t="shared" ca="1" si="444"/>
        <v>Tijjani Reijnders</v>
      </c>
      <c r="CS354" s="252">
        <f t="shared" si="437"/>
        <v>351</v>
      </c>
      <c r="CT354" s="252">
        <f t="shared" si="438"/>
        <v>9</v>
      </c>
      <c r="CU354" s="252" t="str">
        <f t="shared" si="447"/>
        <v>CR18</v>
      </c>
      <c r="CV354" s="252" t="str">
        <f t="shared" ca="1" si="439"/>
        <v/>
      </c>
      <c r="CW354" s="252">
        <f t="shared" ca="1" si="445"/>
        <v>0</v>
      </c>
    </row>
    <row r="355" spans="72:101" x14ac:dyDescent="0.2">
      <c r="BT355" s="253" t="str">
        <f t="shared" ca="1" si="436"/>
        <v>Netherlands</v>
      </c>
      <c r="BU355" s="253">
        <f t="shared" si="446"/>
        <v>353</v>
      </c>
      <c r="BV355" s="253" t="str">
        <f t="shared" si="440"/>
        <v>A17</v>
      </c>
      <c r="BW355" s="253">
        <f t="shared" si="441"/>
        <v>14</v>
      </c>
      <c r="BX355" s="253" t="str">
        <f t="shared" ca="1" si="442"/>
        <v>Micky van de Ven</v>
      </c>
      <c r="BY355" s="253">
        <f ca="1">COUNTIF('Group Stages'!$J$8:$Q$80,BX355)+COUNTIF('Knock Out Stages'!$K$7:$R$45,BX355)</f>
        <v>0</v>
      </c>
      <c r="BZ355" s="253" t="str">
        <f t="shared" si="443"/>
        <v>'Player Database'!b20</v>
      </c>
      <c r="CA355" s="253" t="str">
        <f t="shared" ca="1" si="444"/>
        <v>Micky van de Ven</v>
      </c>
      <c r="CS355" s="252">
        <f t="shared" si="437"/>
        <v>352</v>
      </c>
      <c r="CT355" s="252">
        <f t="shared" si="438"/>
        <v>9</v>
      </c>
      <c r="CU355" s="252" t="str">
        <f t="shared" si="447"/>
        <v>CR19</v>
      </c>
      <c r="CV355" s="252" t="str">
        <f t="shared" ca="1" si="439"/>
        <v/>
      </c>
      <c r="CW355" s="252">
        <f t="shared" ca="1" si="445"/>
        <v>0</v>
      </c>
    </row>
    <row r="356" spans="72:101" x14ac:dyDescent="0.2">
      <c r="BT356" s="253" t="str">
        <f t="shared" ref="BT356:BT419" ca="1" si="448">OFFSET($A$2,0,BW356)</f>
        <v>Netherlands</v>
      </c>
      <c r="BU356" s="253">
        <f t="shared" si="446"/>
        <v>354</v>
      </c>
      <c r="BV356" s="253" t="str">
        <f t="shared" si="440"/>
        <v>A18</v>
      </c>
      <c r="BW356" s="253">
        <f t="shared" si="441"/>
        <v>14</v>
      </c>
      <c r="BX356" s="253" t="str">
        <f t="shared" ca="1" si="442"/>
        <v>Joey Veerman</v>
      </c>
      <c r="BY356" s="253">
        <f ca="1">COUNTIF('Group Stages'!$J$8:$Q$80,BX356)+COUNTIF('Knock Out Stages'!$K$7:$R$45,BX356)</f>
        <v>0</v>
      </c>
      <c r="BZ356" s="253" t="str">
        <f t="shared" si="443"/>
        <v>'Player Database'!b21</v>
      </c>
      <c r="CA356" s="253" t="str">
        <f t="shared" ca="1" si="444"/>
        <v>Joey Veerman</v>
      </c>
      <c r="CS356" s="252">
        <f t="shared" si="437"/>
        <v>353</v>
      </c>
      <c r="CT356" s="252">
        <f t="shared" si="438"/>
        <v>9</v>
      </c>
      <c r="CU356" s="252" t="str">
        <f t="shared" si="447"/>
        <v>CR20</v>
      </c>
      <c r="CV356" s="252" t="str">
        <f t="shared" ca="1" si="439"/>
        <v/>
      </c>
      <c r="CW356" s="252">
        <f t="shared" ca="1" si="445"/>
        <v>0</v>
      </c>
    </row>
    <row r="357" spans="72:101" x14ac:dyDescent="0.2">
      <c r="BT357" s="253" t="str">
        <f t="shared" ca="1" si="448"/>
        <v>Netherlands</v>
      </c>
      <c r="BU357" s="253">
        <f t="shared" si="446"/>
        <v>355</v>
      </c>
      <c r="BV357" s="253" t="str">
        <f t="shared" si="440"/>
        <v>A19</v>
      </c>
      <c r="BW357" s="253">
        <f t="shared" si="441"/>
        <v>14</v>
      </c>
      <c r="BX357" s="253" t="str">
        <f t="shared" ca="1" si="442"/>
        <v>Daley Blind</v>
      </c>
      <c r="BY357" s="253">
        <f ca="1">COUNTIF('Group Stages'!$J$8:$Q$80,BX357)+COUNTIF('Knock Out Stages'!$K$7:$R$45,BX357)</f>
        <v>0</v>
      </c>
      <c r="BZ357" s="253" t="str">
        <f t="shared" si="443"/>
        <v>'Player Database'!b22</v>
      </c>
      <c r="CA357" s="253" t="str">
        <f t="shared" ca="1" si="444"/>
        <v>Daley Blind</v>
      </c>
      <c r="CS357" s="252">
        <f t="shared" si="437"/>
        <v>354</v>
      </c>
      <c r="CT357" s="252">
        <f t="shared" si="438"/>
        <v>9</v>
      </c>
      <c r="CU357" s="252" t="str">
        <f t="shared" si="447"/>
        <v>CR21</v>
      </c>
      <c r="CV357" s="252" t="str">
        <f t="shared" ca="1" si="439"/>
        <v/>
      </c>
      <c r="CW357" s="252">
        <f t="shared" ca="1" si="445"/>
        <v>0</v>
      </c>
    </row>
    <row r="358" spans="72:101" x14ac:dyDescent="0.2">
      <c r="BT358" s="253" t="str">
        <f t="shared" ca="1" si="448"/>
        <v>Netherlands</v>
      </c>
      <c r="BU358" s="253">
        <f t="shared" si="446"/>
        <v>356</v>
      </c>
      <c r="BV358" s="253" t="str">
        <f t="shared" si="440"/>
        <v>A20</v>
      </c>
      <c r="BW358" s="253">
        <f t="shared" si="441"/>
        <v>14</v>
      </c>
      <c r="BX358" s="253" t="str">
        <f t="shared" ca="1" si="442"/>
        <v>Donyell Malen</v>
      </c>
      <c r="BY358" s="253">
        <f ca="1">COUNTIF('Group Stages'!$J$8:$Q$80,BX358)+COUNTIF('Knock Out Stages'!$K$7:$R$45,BX358)</f>
        <v>0</v>
      </c>
      <c r="BZ358" s="253" t="str">
        <f t="shared" si="443"/>
        <v>'Player Database'!b23</v>
      </c>
      <c r="CA358" s="253" t="str">
        <f t="shared" ca="1" si="444"/>
        <v>Donyell Malen</v>
      </c>
      <c r="CS358" s="252">
        <f t="shared" si="437"/>
        <v>355</v>
      </c>
      <c r="CT358" s="252">
        <f t="shared" si="438"/>
        <v>9</v>
      </c>
      <c r="CU358" s="252" t="str">
        <f t="shared" si="447"/>
        <v>CR22</v>
      </c>
      <c r="CV358" s="252" t="str">
        <f t="shared" ca="1" si="439"/>
        <v/>
      </c>
      <c r="CW358" s="252">
        <f t="shared" ca="1" si="445"/>
        <v>0</v>
      </c>
    </row>
    <row r="359" spans="72:101" x14ac:dyDescent="0.2">
      <c r="BT359" s="253" t="str">
        <f t="shared" ca="1" si="448"/>
        <v>Netherlands</v>
      </c>
      <c r="BU359" s="253">
        <f t="shared" si="446"/>
        <v>357</v>
      </c>
      <c r="BV359" s="253" t="str">
        <f t="shared" si="440"/>
        <v>A21</v>
      </c>
      <c r="BW359" s="253">
        <f t="shared" si="441"/>
        <v>14</v>
      </c>
      <c r="BX359" s="253" t="str">
        <f t="shared" ca="1" si="442"/>
        <v>Brian Brobbey</v>
      </c>
      <c r="BY359" s="253">
        <f ca="1">COUNTIF('Group Stages'!$J$8:$Q$80,BX359)+COUNTIF('Knock Out Stages'!$K$7:$R$45,BX359)</f>
        <v>0</v>
      </c>
      <c r="BZ359" s="253" t="str">
        <f t="shared" si="443"/>
        <v>'Player Database'!b24</v>
      </c>
      <c r="CA359" s="253" t="str">
        <f t="shared" ca="1" si="444"/>
        <v>Brian Brobbey</v>
      </c>
      <c r="CS359" s="252">
        <f t="shared" si="437"/>
        <v>356</v>
      </c>
      <c r="CT359" s="252">
        <f t="shared" si="438"/>
        <v>9</v>
      </c>
      <c r="CU359" s="252" t="str">
        <f t="shared" si="447"/>
        <v>CR23</v>
      </c>
      <c r="CV359" s="252" t="str">
        <f t="shared" ca="1" si="439"/>
        <v/>
      </c>
      <c r="CW359" s="252">
        <f t="shared" ca="1" si="445"/>
        <v>0</v>
      </c>
    </row>
    <row r="360" spans="72:101" x14ac:dyDescent="0.2">
      <c r="BT360" s="253" t="str">
        <f t="shared" ca="1" si="448"/>
        <v>Netherlands</v>
      </c>
      <c r="BU360" s="253">
        <f t="shared" si="446"/>
        <v>358</v>
      </c>
      <c r="BV360" s="253" t="str">
        <f t="shared" si="440"/>
        <v>A22</v>
      </c>
      <c r="BW360" s="253">
        <f t="shared" si="441"/>
        <v>14</v>
      </c>
      <c r="BX360" s="253" t="str">
        <f t="shared" ca="1" si="442"/>
        <v>Ian Maatsen</v>
      </c>
      <c r="BY360" s="253">
        <f ca="1">COUNTIF('Group Stages'!$J$8:$Q$80,BX360)+COUNTIF('Knock Out Stages'!$K$7:$R$45,BX360)</f>
        <v>0</v>
      </c>
      <c r="BZ360" s="253" t="str">
        <f t="shared" si="443"/>
        <v>'Player Database'!b25</v>
      </c>
      <c r="CA360" s="253" t="str">
        <f t="shared" ca="1" si="444"/>
        <v>Ian Maatsen</v>
      </c>
      <c r="CS360" s="252">
        <f t="shared" si="437"/>
        <v>357</v>
      </c>
      <c r="CT360" s="252">
        <f t="shared" si="438"/>
        <v>9</v>
      </c>
      <c r="CU360" s="252" t="str">
        <f t="shared" si="447"/>
        <v>CR24</v>
      </c>
      <c r="CV360" s="252" t="str">
        <f t="shared" ca="1" si="439"/>
        <v/>
      </c>
      <c r="CW360" s="252">
        <f t="shared" ca="1" si="445"/>
        <v>0</v>
      </c>
    </row>
    <row r="361" spans="72:101" x14ac:dyDescent="0.2">
      <c r="BT361" s="253" t="str">
        <f t="shared" ca="1" si="448"/>
        <v>Netherlands</v>
      </c>
      <c r="BU361" s="253">
        <f t="shared" si="446"/>
        <v>359</v>
      </c>
      <c r="BV361" s="253" t="str">
        <f t="shared" si="440"/>
        <v>A23</v>
      </c>
      <c r="BW361" s="253">
        <f t="shared" si="441"/>
        <v>14</v>
      </c>
      <c r="BX361" s="253" t="str">
        <f t="shared" ca="1" si="442"/>
        <v>Joshua Zirkzee</v>
      </c>
      <c r="BY361" s="253">
        <f ca="1">COUNTIF('Group Stages'!$J$8:$Q$80,BX361)+COUNTIF('Knock Out Stages'!$K$7:$R$45,BX361)</f>
        <v>0</v>
      </c>
      <c r="BZ361" s="253" t="str">
        <f t="shared" si="443"/>
        <v>'Player Database'!b26</v>
      </c>
      <c r="CA361" s="253" t="str">
        <f t="shared" ca="1" si="444"/>
        <v>Joshua Zirkzee</v>
      </c>
      <c r="CS361" s="252">
        <f t="shared" si="437"/>
        <v>358</v>
      </c>
      <c r="CT361" s="252">
        <f t="shared" si="438"/>
        <v>9</v>
      </c>
      <c r="CU361" s="252" t="str">
        <f t="shared" si="447"/>
        <v>CR25</v>
      </c>
      <c r="CV361" s="252" t="str">
        <f t="shared" ca="1" si="439"/>
        <v/>
      </c>
      <c r="CW361" s="252">
        <f t="shared" ca="1" si="445"/>
        <v>0</v>
      </c>
    </row>
    <row r="362" spans="72:101" x14ac:dyDescent="0.2">
      <c r="BT362" s="253" t="str">
        <f t="shared" ca="1" si="448"/>
        <v>Netherlands</v>
      </c>
      <c r="BU362" s="253">
        <f t="shared" si="446"/>
        <v>360</v>
      </c>
      <c r="BV362" s="253" t="str">
        <f t="shared" si="440"/>
        <v>A24</v>
      </c>
      <c r="BW362" s="253">
        <f t="shared" si="441"/>
        <v>14</v>
      </c>
      <c r="BX362" s="253" t="str">
        <f t="shared" ca="1" si="442"/>
        <v>Denzel Dumfries</v>
      </c>
      <c r="BY362" s="253">
        <f ca="1">COUNTIF('Group Stages'!$J$8:$Q$80,BX362)+COUNTIF('Knock Out Stages'!$K$7:$R$45,BX362)</f>
        <v>0</v>
      </c>
      <c r="BZ362" s="253" t="str">
        <f t="shared" si="443"/>
        <v>'Player Database'!b27</v>
      </c>
      <c r="CA362" s="253" t="str">
        <f t="shared" ca="1" si="444"/>
        <v>Denzel Dumfries</v>
      </c>
      <c r="CS362" s="252">
        <f t="shared" si="437"/>
        <v>359</v>
      </c>
      <c r="CT362" s="252">
        <f t="shared" si="438"/>
        <v>9</v>
      </c>
      <c r="CU362" s="252" t="str">
        <f t="shared" si="447"/>
        <v>CR26</v>
      </c>
      <c r="CV362" s="252" t="str">
        <f t="shared" ca="1" si="439"/>
        <v/>
      </c>
      <c r="CW362" s="252">
        <f t="shared" ca="1" si="445"/>
        <v>0</v>
      </c>
    </row>
    <row r="363" spans="72:101" x14ac:dyDescent="0.2">
      <c r="BT363" s="253" t="str">
        <f t="shared" ca="1" si="448"/>
        <v>Netherlands</v>
      </c>
      <c r="BU363" s="253">
        <f t="shared" si="446"/>
        <v>361</v>
      </c>
      <c r="BV363" s="253" t="str">
        <f t="shared" si="440"/>
        <v>A25</v>
      </c>
      <c r="BW363" s="253">
        <f t="shared" si="441"/>
        <v>14</v>
      </c>
      <c r="BX363" s="253" t="str">
        <f t="shared" ca="1" si="442"/>
        <v>Mark Flekken</v>
      </c>
      <c r="BY363" s="253">
        <f ca="1">COUNTIF('Group Stages'!$J$8:$Q$80,BX363)+COUNTIF('Knock Out Stages'!$K$7:$R$45,BX363)</f>
        <v>0</v>
      </c>
      <c r="BZ363" s="253" t="str">
        <f t="shared" si="443"/>
        <v>'Player Database'!b28</v>
      </c>
      <c r="CA363" s="253" t="str">
        <f t="shared" ca="1" si="444"/>
        <v>Mark Flekken</v>
      </c>
      <c r="CS363" s="252">
        <f t="shared" si="437"/>
        <v>360</v>
      </c>
      <c r="CT363" s="252">
        <f t="shared" si="438"/>
        <v>9</v>
      </c>
      <c r="CU363" s="252" t="str">
        <f t="shared" si="447"/>
        <v>CR27</v>
      </c>
      <c r="CV363" s="252" t="str">
        <f t="shared" ca="1" si="439"/>
        <v/>
      </c>
      <c r="CW363" s="252">
        <f t="shared" ca="1" si="445"/>
        <v>0</v>
      </c>
    </row>
    <row r="364" spans="72:101" x14ac:dyDescent="0.2">
      <c r="BT364" s="253" t="str">
        <f t="shared" ca="1" si="448"/>
        <v>Netherlands</v>
      </c>
      <c r="BU364" s="253">
        <f t="shared" si="446"/>
        <v>362</v>
      </c>
      <c r="BV364" s="253" t="str">
        <f t="shared" si="440"/>
        <v>A26</v>
      </c>
      <c r="BW364" s="253">
        <f t="shared" si="441"/>
        <v>14</v>
      </c>
      <c r="BX364" s="253" t="str">
        <f t="shared" ca="1" si="442"/>
        <v>Jerdy Schouten</v>
      </c>
      <c r="BY364" s="253">
        <f ca="1">COUNTIF('Group Stages'!$J$8:$Q$80,BX364)+COUNTIF('Knock Out Stages'!$K$7:$R$45,BX364)</f>
        <v>0</v>
      </c>
      <c r="BZ364" s="253" t="str">
        <f t="shared" si="443"/>
        <v>'Player Database'!b29</v>
      </c>
      <c r="CA364" s="253" t="str">
        <f t="shared" ca="1" si="444"/>
        <v>Jerdy Schouten</v>
      </c>
      <c r="CS364" s="252">
        <f t="shared" si="437"/>
        <v>361</v>
      </c>
      <c r="CT364" s="252">
        <f t="shared" si="438"/>
        <v>9</v>
      </c>
      <c r="CU364" s="252" t="str">
        <f t="shared" si="447"/>
        <v>CR28</v>
      </c>
      <c r="CV364" s="252" t="str">
        <f t="shared" ca="1" si="439"/>
        <v/>
      </c>
      <c r="CW364" s="252">
        <f t="shared" ca="1" si="445"/>
        <v>0</v>
      </c>
    </row>
    <row r="365" spans="72:101" x14ac:dyDescent="0.2">
      <c r="BT365" s="253" t="str">
        <f t="shared" ca="1" si="448"/>
        <v>Netherlands</v>
      </c>
      <c r="BU365" s="253">
        <f t="shared" si="446"/>
        <v>363</v>
      </c>
      <c r="BV365" s="253" t="str">
        <f t="shared" si="440"/>
        <v>A27</v>
      </c>
      <c r="BW365" s="253">
        <f t="shared" si="441"/>
        <v>14</v>
      </c>
      <c r="BX365" s="253" t="str">
        <f t="shared" ca="1" si="442"/>
        <v>Steven Bergwijn</v>
      </c>
      <c r="BY365" s="253">
        <f ca="1">COUNTIF('Group Stages'!$J$8:$Q$80,BX365)+COUNTIF('Knock Out Stages'!$K$7:$R$45,BX365)</f>
        <v>0</v>
      </c>
      <c r="BZ365" s="253" t="str">
        <f t="shared" si="443"/>
        <v>'Player Database'!b30</v>
      </c>
      <c r="CA365" s="253" t="str">
        <f t="shared" ca="1" si="444"/>
        <v>Steven Bergwijn</v>
      </c>
      <c r="CS365" s="252">
        <f t="shared" si="437"/>
        <v>362</v>
      </c>
      <c r="CT365" s="252">
        <f t="shared" si="438"/>
        <v>9</v>
      </c>
      <c r="CU365" s="252" t="str">
        <f t="shared" si="447"/>
        <v>CR29</v>
      </c>
      <c r="CV365" s="252" t="str">
        <f t="shared" ca="1" si="439"/>
        <v/>
      </c>
      <c r="CW365" s="252">
        <f t="shared" ca="1" si="445"/>
        <v>0</v>
      </c>
    </row>
    <row r="366" spans="72:101" x14ac:dyDescent="0.2">
      <c r="BT366" s="253" t="str">
        <f t="shared" ca="1" si="448"/>
        <v>Netherlands</v>
      </c>
      <c r="BU366" s="253">
        <f t="shared" si="446"/>
        <v>364</v>
      </c>
      <c r="BV366" s="253" t="str">
        <f t="shared" si="440"/>
        <v>A28</v>
      </c>
      <c r="BW366" s="253">
        <f t="shared" si="441"/>
        <v>14</v>
      </c>
      <c r="BX366" s="253" t="str">
        <f t="shared" ca="1" si="442"/>
        <v>Ryan Gravenberch</v>
      </c>
      <c r="BY366" s="253">
        <f ca="1">COUNTIF('Group Stages'!$J$8:$Q$80,BX366)+COUNTIF('Knock Out Stages'!$K$7:$R$45,BX366)</f>
        <v>0</v>
      </c>
      <c r="BZ366" s="253" t="str">
        <f t="shared" si="443"/>
        <v>'Player Database'!b31</v>
      </c>
      <c r="CA366" s="253" t="str">
        <f t="shared" ca="1" si="444"/>
        <v>Ryan Gravenberch</v>
      </c>
      <c r="CS366" s="252">
        <f t="shared" si="437"/>
        <v>363</v>
      </c>
      <c r="CT366" s="252">
        <f t="shared" si="438"/>
        <v>9</v>
      </c>
      <c r="CU366" s="252" t="str">
        <f t="shared" si="447"/>
        <v>CR30</v>
      </c>
      <c r="CV366" s="252" t="str">
        <f t="shared" ca="1" si="439"/>
        <v/>
      </c>
      <c r="CW366" s="252">
        <f t="shared" ca="1" si="445"/>
        <v>0</v>
      </c>
    </row>
    <row r="367" spans="72:101" x14ac:dyDescent="0.2">
      <c r="BT367" s="253" t="str">
        <f t="shared" ca="1" si="448"/>
        <v>Austria</v>
      </c>
      <c r="BU367" s="253">
        <f t="shared" si="446"/>
        <v>365</v>
      </c>
      <c r="BV367" s="253" t="str">
        <f t="shared" si="440"/>
        <v>A3</v>
      </c>
      <c r="BW367" s="253">
        <f t="shared" si="441"/>
        <v>15</v>
      </c>
      <c r="BX367" s="253" t="str">
        <f t="shared" ca="1" si="442"/>
        <v>Heinz Lindner</v>
      </c>
      <c r="BY367" s="253">
        <f ca="1">COUNTIF('Group Stages'!$J$8:$Q$80,BX367)+COUNTIF('Knock Out Stages'!$K$7:$R$45,BX367)</f>
        <v>0</v>
      </c>
      <c r="BZ367" s="253" t="str">
        <f t="shared" si="443"/>
        <v>'Player Database'!b6</v>
      </c>
      <c r="CA367" s="253" t="str">
        <f t="shared" ca="1" si="444"/>
        <v>Heinz Lindner</v>
      </c>
      <c r="CS367" s="252">
        <f t="shared" si="437"/>
        <v>364</v>
      </c>
      <c r="CT367" s="252">
        <f t="shared" si="438"/>
        <v>9</v>
      </c>
      <c r="CU367" s="252" t="str">
        <f t="shared" si="447"/>
        <v>CR31</v>
      </c>
      <c r="CV367" s="252" t="str">
        <f t="shared" ca="1" si="439"/>
        <v/>
      </c>
      <c r="CW367" s="252">
        <f t="shared" ca="1" si="445"/>
        <v>0</v>
      </c>
    </row>
    <row r="368" spans="72:101" x14ac:dyDescent="0.2">
      <c r="BT368" s="253" t="str">
        <f t="shared" ca="1" si="448"/>
        <v>Austria</v>
      </c>
      <c r="BU368" s="253">
        <f t="shared" si="446"/>
        <v>366</v>
      </c>
      <c r="BV368" s="253" t="str">
        <f t="shared" si="440"/>
        <v>A4</v>
      </c>
      <c r="BW368" s="253">
        <f t="shared" si="441"/>
        <v>15</v>
      </c>
      <c r="BX368" s="253" t="str">
        <f t="shared" ca="1" si="442"/>
        <v>Maximilian Wöber</v>
      </c>
      <c r="BY368" s="253">
        <f ca="1">COUNTIF('Group Stages'!$J$8:$Q$80,BX368)+COUNTIF('Knock Out Stages'!$K$7:$R$45,BX368)</f>
        <v>0</v>
      </c>
      <c r="BZ368" s="253" t="str">
        <f t="shared" si="443"/>
        <v>'Player Database'!b7</v>
      </c>
      <c r="CA368" s="253" t="str">
        <f t="shared" ca="1" si="444"/>
        <v>Maximilian Wöber</v>
      </c>
      <c r="CS368" s="252">
        <f t="shared" ref="CS368:CS431" si="449">CS367+1</f>
        <v>365</v>
      </c>
      <c r="CT368" s="252">
        <f t="shared" ref="CT368:CT431" si="450">CT326+1</f>
        <v>9</v>
      </c>
      <c r="CU368" s="252" t="str">
        <f t="shared" si="447"/>
        <v>CR32</v>
      </c>
      <c r="CV368" s="252" t="str">
        <f t="shared" ref="CV368:CV431" ca="1" si="451">OFFSET(INDIRECT(CU368),0,-CT368)</f>
        <v/>
      </c>
      <c r="CW368" s="252">
        <f t="shared" ca="1" si="445"/>
        <v>0</v>
      </c>
    </row>
    <row r="369" spans="72:101" x14ac:dyDescent="0.2">
      <c r="BT369" s="253" t="str">
        <f t="shared" ca="1" si="448"/>
        <v>Austria</v>
      </c>
      <c r="BU369" s="253">
        <f t="shared" si="446"/>
        <v>367</v>
      </c>
      <c r="BV369" s="253" t="str">
        <f t="shared" si="440"/>
        <v>A5</v>
      </c>
      <c r="BW369" s="253">
        <f t="shared" si="441"/>
        <v>15</v>
      </c>
      <c r="BX369" s="253" t="str">
        <f t="shared" ca="1" si="442"/>
        <v>Gernot Trauner</v>
      </c>
      <c r="BY369" s="253">
        <f ca="1">COUNTIF('Group Stages'!$J$8:$Q$80,BX369)+COUNTIF('Knock Out Stages'!$K$7:$R$45,BX369)</f>
        <v>0</v>
      </c>
      <c r="BZ369" s="253" t="str">
        <f t="shared" si="443"/>
        <v>'Player Database'!b8</v>
      </c>
      <c r="CA369" s="253" t="str">
        <f t="shared" ca="1" si="444"/>
        <v>Gernot Trauner</v>
      </c>
      <c r="CS369" s="252">
        <f t="shared" si="449"/>
        <v>366</v>
      </c>
      <c r="CT369" s="252">
        <f t="shared" si="450"/>
        <v>9</v>
      </c>
      <c r="CU369" s="252" t="str">
        <f t="shared" si="447"/>
        <v>CR33</v>
      </c>
      <c r="CV369" s="252" t="str">
        <f t="shared" ca="1" si="451"/>
        <v/>
      </c>
      <c r="CW369" s="252">
        <f t="shared" ca="1" si="445"/>
        <v>0</v>
      </c>
    </row>
    <row r="370" spans="72:101" x14ac:dyDescent="0.2">
      <c r="BT370" s="253" t="str">
        <f t="shared" ca="1" si="448"/>
        <v>Austria</v>
      </c>
      <c r="BU370" s="253">
        <f t="shared" si="446"/>
        <v>368</v>
      </c>
      <c r="BV370" s="253" t="str">
        <f t="shared" si="440"/>
        <v>A6</v>
      </c>
      <c r="BW370" s="253">
        <f t="shared" si="441"/>
        <v>15</v>
      </c>
      <c r="BX370" s="253" t="str">
        <f t="shared" ca="1" si="442"/>
        <v>Kevin Danso</v>
      </c>
      <c r="BY370" s="253">
        <f ca="1">COUNTIF('Group Stages'!$J$8:$Q$80,BX370)+COUNTIF('Knock Out Stages'!$K$7:$R$45,BX370)</f>
        <v>0</v>
      </c>
      <c r="BZ370" s="253" t="str">
        <f t="shared" si="443"/>
        <v>'Player Database'!b9</v>
      </c>
      <c r="CA370" s="253" t="str">
        <f t="shared" ca="1" si="444"/>
        <v>Kevin Danso</v>
      </c>
      <c r="CS370" s="252">
        <f t="shared" si="449"/>
        <v>367</v>
      </c>
      <c r="CT370" s="252">
        <f t="shared" si="450"/>
        <v>9</v>
      </c>
      <c r="CU370" s="252" t="str">
        <f t="shared" si="447"/>
        <v>CR34</v>
      </c>
      <c r="CV370" s="252" t="str">
        <f t="shared" ca="1" si="451"/>
        <v/>
      </c>
      <c r="CW370" s="252">
        <f t="shared" ca="1" si="445"/>
        <v>0</v>
      </c>
    </row>
    <row r="371" spans="72:101" x14ac:dyDescent="0.2">
      <c r="BT371" s="253" t="str">
        <f t="shared" ca="1" si="448"/>
        <v>Austria</v>
      </c>
      <c r="BU371" s="253">
        <f t="shared" si="446"/>
        <v>369</v>
      </c>
      <c r="BV371" s="253" t="str">
        <f t="shared" si="440"/>
        <v>A7</v>
      </c>
      <c r="BW371" s="253">
        <f t="shared" si="441"/>
        <v>15</v>
      </c>
      <c r="BX371" s="253" t="str">
        <f t="shared" ca="1" si="442"/>
        <v>Stefan Posch</v>
      </c>
      <c r="BY371" s="253">
        <f ca="1">COUNTIF('Group Stages'!$J$8:$Q$80,BX371)+COUNTIF('Knock Out Stages'!$K$7:$R$45,BX371)</f>
        <v>0</v>
      </c>
      <c r="BZ371" s="253" t="str">
        <f t="shared" si="443"/>
        <v>'Player Database'!b10</v>
      </c>
      <c r="CA371" s="253" t="str">
        <f t="shared" ca="1" si="444"/>
        <v>Stefan Posch</v>
      </c>
      <c r="CS371" s="252">
        <f t="shared" si="449"/>
        <v>368</v>
      </c>
      <c r="CT371" s="252">
        <f t="shared" si="450"/>
        <v>9</v>
      </c>
      <c r="CU371" s="252" t="str">
        <f t="shared" si="447"/>
        <v>CR35</v>
      </c>
      <c r="CV371" s="252" t="str">
        <f t="shared" ca="1" si="451"/>
        <v/>
      </c>
      <c r="CW371" s="252">
        <f t="shared" ca="1" si="445"/>
        <v>0</v>
      </c>
    </row>
    <row r="372" spans="72:101" x14ac:dyDescent="0.2">
      <c r="BT372" s="253" t="str">
        <f t="shared" ca="1" si="448"/>
        <v>Austria</v>
      </c>
      <c r="BU372" s="253">
        <f t="shared" si="446"/>
        <v>370</v>
      </c>
      <c r="BV372" s="253" t="str">
        <f t="shared" si="440"/>
        <v>A8</v>
      </c>
      <c r="BW372" s="253">
        <f t="shared" si="441"/>
        <v>15</v>
      </c>
      <c r="BX372" s="253" t="str">
        <f t="shared" ca="1" si="442"/>
        <v>Nicolas Seiwald</v>
      </c>
      <c r="BY372" s="253">
        <f ca="1">COUNTIF('Group Stages'!$J$8:$Q$80,BX372)+COUNTIF('Knock Out Stages'!$K$7:$R$45,BX372)</f>
        <v>0</v>
      </c>
      <c r="BZ372" s="253" t="str">
        <f t="shared" si="443"/>
        <v>'Player Database'!b11</v>
      </c>
      <c r="CA372" s="253" t="str">
        <f t="shared" ca="1" si="444"/>
        <v>Nicolas Seiwald</v>
      </c>
      <c r="CS372" s="252">
        <f t="shared" si="449"/>
        <v>369</v>
      </c>
      <c r="CT372" s="252">
        <f t="shared" si="450"/>
        <v>9</v>
      </c>
      <c r="CU372" s="252" t="str">
        <f t="shared" si="447"/>
        <v>CR36</v>
      </c>
      <c r="CV372" s="252" t="str">
        <f t="shared" ca="1" si="451"/>
        <v/>
      </c>
      <c r="CW372" s="252">
        <f t="shared" ca="1" si="445"/>
        <v>0</v>
      </c>
    </row>
    <row r="373" spans="72:101" x14ac:dyDescent="0.2">
      <c r="BT373" s="253" t="str">
        <f t="shared" ca="1" si="448"/>
        <v>Austria</v>
      </c>
      <c r="BU373" s="253">
        <f t="shared" si="446"/>
        <v>371</v>
      </c>
      <c r="BV373" s="253" t="str">
        <f t="shared" si="440"/>
        <v>A9</v>
      </c>
      <c r="BW373" s="253">
        <f t="shared" si="441"/>
        <v>15</v>
      </c>
      <c r="BX373" s="253" t="str">
        <f t="shared" ca="1" si="442"/>
        <v>Marko Arnautović</v>
      </c>
      <c r="BY373" s="253">
        <f ca="1">COUNTIF('Group Stages'!$J$8:$Q$80,BX373)+COUNTIF('Knock Out Stages'!$K$7:$R$45,BX373)</f>
        <v>0</v>
      </c>
      <c r="BZ373" s="253" t="str">
        <f t="shared" si="443"/>
        <v>'Player Database'!b12</v>
      </c>
      <c r="CA373" s="253" t="str">
        <f t="shared" ca="1" si="444"/>
        <v>Marko Arnautović</v>
      </c>
      <c r="CS373" s="252">
        <f t="shared" si="449"/>
        <v>370</v>
      </c>
      <c r="CT373" s="252">
        <f t="shared" si="450"/>
        <v>9</v>
      </c>
      <c r="CU373" s="252" t="str">
        <f t="shared" si="447"/>
        <v>CR37</v>
      </c>
      <c r="CV373" s="252" t="str">
        <f t="shared" ca="1" si="451"/>
        <v/>
      </c>
      <c r="CW373" s="252">
        <f t="shared" ca="1" si="445"/>
        <v>0</v>
      </c>
    </row>
    <row r="374" spans="72:101" x14ac:dyDescent="0.2">
      <c r="BT374" s="253" t="str">
        <f t="shared" ca="1" si="448"/>
        <v>Austria</v>
      </c>
      <c r="BU374" s="253">
        <f t="shared" si="446"/>
        <v>372</v>
      </c>
      <c r="BV374" s="253" t="str">
        <f t="shared" si="440"/>
        <v>A10</v>
      </c>
      <c r="BW374" s="253">
        <f t="shared" si="441"/>
        <v>15</v>
      </c>
      <c r="BX374" s="253" t="str">
        <f t="shared" ca="1" si="442"/>
        <v>Alexander Prass</v>
      </c>
      <c r="BY374" s="253">
        <f ca="1">COUNTIF('Group Stages'!$J$8:$Q$80,BX374)+COUNTIF('Knock Out Stages'!$K$7:$R$45,BX374)</f>
        <v>0</v>
      </c>
      <c r="BZ374" s="253" t="str">
        <f t="shared" si="443"/>
        <v>'Player Database'!b13</v>
      </c>
      <c r="CA374" s="253" t="str">
        <f t="shared" ca="1" si="444"/>
        <v>Alexander Prass</v>
      </c>
      <c r="CS374" s="252">
        <f t="shared" si="449"/>
        <v>371</v>
      </c>
      <c r="CT374" s="252">
        <f t="shared" si="450"/>
        <v>9</v>
      </c>
      <c r="CU374" s="252" t="str">
        <f t="shared" si="447"/>
        <v>CR38</v>
      </c>
      <c r="CV374" s="252" t="str">
        <f t="shared" ca="1" si="451"/>
        <v/>
      </c>
      <c r="CW374" s="252">
        <f t="shared" ca="1" si="445"/>
        <v>0</v>
      </c>
    </row>
    <row r="375" spans="72:101" x14ac:dyDescent="0.2">
      <c r="BT375" s="253" t="str">
        <f t="shared" ca="1" si="448"/>
        <v>Austria</v>
      </c>
      <c r="BU375" s="253">
        <f t="shared" si="446"/>
        <v>373</v>
      </c>
      <c r="BV375" s="253" t="str">
        <f t="shared" si="440"/>
        <v>A11</v>
      </c>
      <c r="BW375" s="253">
        <f t="shared" si="441"/>
        <v>15</v>
      </c>
      <c r="BX375" s="253" t="str">
        <f t="shared" ca="1" si="442"/>
        <v>Marcel Sabitzer</v>
      </c>
      <c r="BY375" s="253">
        <f ca="1">COUNTIF('Group Stages'!$J$8:$Q$80,BX375)+COUNTIF('Knock Out Stages'!$K$7:$R$45,BX375)</f>
        <v>0</v>
      </c>
      <c r="BZ375" s="253" t="str">
        <f t="shared" si="443"/>
        <v>'Player Database'!b14</v>
      </c>
      <c r="CA375" s="253" t="str">
        <f t="shared" ca="1" si="444"/>
        <v>Marcel Sabitzer</v>
      </c>
      <c r="CS375" s="252">
        <f t="shared" si="449"/>
        <v>372</v>
      </c>
      <c r="CT375" s="252">
        <f t="shared" si="450"/>
        <v>9</v>
      </c>
      <c r="CU375" s="252" t="str">
        <f t="shared" si="447"/>
        <v>CR39</v>
      </c>
      <c r="CV375" s="252" t="str">
        <f t="shared" ca="1" si="451"/>
        <v/>
      </c>
      <c r="CW375" s="252">
        <f t="shared" ca="1" si="445"/>
        <v>0</v>
      </c>
    </row>
    <row r="376" spans="72:101" x14ac:dyDescent="0.2">
      <c r="BT376" s="253" t="str">
        <f t="shared" ca="1" si="448"/>
        <v>Austria</v>
      </c>
      <c r="BU376" s="253">
        <f t="shared" si="446"/>
        <v>374</v>
      </c>
      <c r="BV376" s="253" t="str">
        <f t="shared" ref="BV376:BV439" si="452">BV350</f>
        <v>A12</v>
      </c>
      <c r="BW376" s="253">
        <f t="shared" ref="BW376:BW439" si="453">BW350+1</f>
        <v>15</v>
      </c>
      <c r="BX376" s="253" t="str">
        <f t="shared" ref="BX376:BX439" ca="1" si="454">OFFSET(INDIRECT(BV376),0,BW376)</f>
        <v>Florian Grillitsch</v>
      </c>
      <c r="BY376" s="253">
        <f ca="1">COUNTIF('Group Stages'!$J$8:$Q$80,BX376)+COUNTIF('Knock Out Stages'!$K$7:$R$45,BX376)</f>
        <v>0</v>
      </c>
      <c r="BZ376" s="253" t="str">
        <f t="shared" ref="BZ376:BZ439" si="455">BZ350</f>
        <v>'Player Database'!b15</v>
      </c>
      <c r="CA376" s="253" t="str">
        <f t="shared" ref="CA376:CA439" ca="1" si="456">OFFSET(INDIRECT(BZ376),0,BW376)</f>
        <v>Florian Grillitsch</v>
      </c>
      <c r="CS376" s="252">
        <f t="shared" si="449"/>
        <v>373</v>
      </c>
      <c r="CT376" s="252">
        <f t="shared" si="450"/>
        <v>9</v>
      </c>
      <c r="CU376" s="252" t="str">
        <f t="shared" si="447"/>
        <v>CR40</v>
      </c>
      <c r="CV376" s="252" t="str">
        <f t="shared" ca="1" si="451"/>
        <v/>
      </c>
      <c r="CW376" s="252">
        <f t="shared" ca="1" si="445"/>
        <v>0</v>
      </c>
    </row>
    <row r="377" spans="72:101" x14ac:dyDescent="0.2">
      <c r="BT377" s="253" t="str">
        <f t="shared" ca="1" si="448"/>
        <v>Austria</v>
      </c>
      <c r="BU377" s="253">
        <f t="shared" si="446"/>
        <v>375</v>
      </c>
      <c r="BV377" s="253" t="str">
        <f t="shared" si="452"/>
        <v>A13</v>
      </c>
      <c r="BW377" s="253">
        <f t="shared" si="453"/>
        <v>15</v>
      </c>
      <c r="BX377" s="253" t="str">
        <f t="shared" ca="1" si="454"/>
        <v>Michael Gregoritsch</v>
      </c>
      <c r="BY377" s="253">
        <f ca="1">COUNTIF('Group Stages'!$J$8:$Q$80,BX377)+COUNTIF('Knock Out Stages'!$K$7:$R$45,BX377)</f>
        <v>0</v>
      </c>
      <c r="BZ377" s="253" t="str">
        <f t="shared" si="455"/>
        <v>'Player Database'!b16</v>
      </c>
      <c r="CA377" s="253" t="str">
        <f t="shared" ca="1" si="456"/>
        <v>Michael Gregoritsch</v>
      </c>
      <c r="CS377" s="252">
        <f t="shared" si="449"/>
        <v>374</v>
      </c>
      <c r="CT377" s="252">
        <f t="shared" si="450"/>
        <v>9</v>
      </c>
      <c r="CU377" s="252" t="str">
        <f t="shared" si="447"/>
        <v>CR41</v>
      </c>
      <c r="CV377" s="252" t="str">
        <f t="shared" ca="1" si="451"/>
        <v/>
      </c>
      <c r="CW377" s="252">
        <f t="shared" ca="1" si="445"/>
        <v>0</v>
      </c>
    </row>
    <row r="378" spans="72:101" x14ac:dyDescent="0.2">
      <c r="BT378" s="253" t="str">
        <f t="shared" ca="1" si="448"/>
        <v>Austria</v>
      </c>
      <c r="BU378" s="253">
        <f t="shared" si="446"/>
        <v>376</v>
      </c>
      <c r="BV378" s="253" t="str">
        <f t="shared" si="452"/>
        <v>A14</v>
      </c>
      <c r="BW378" s="253">
        <f t="shared" si="453"/>
        <v>15</v>
      </c>
      <c r="BX378" s="253" t="str">
        <f t="shared" ca="1" si="454"/>
        <v>Niklas Hedl</v>
      </c>
      <c r="BY378" s="253">
        <f ca="1">COUNTIF('Group Stages'!$J$8:$Q$80,BX378)+COUNTIF('Knock Out Stages'!$K$7:$R$45,BX378)</f>
        <v>0</v>
      </c>
      <c r="BZ378" s="253" t="str">
        <f t="shared" si="455"/>
        <v>'Player Database'!b17</v>
      </c>
      <c r="CA378" s="253" t="str">
        <f t="shared" ca="1" si="456"/>
        <v>Niklas Hedl</v>
      </c>
      <c r="CS378" s="252">
        <f t="shared" si="449"/>
        <v>375</v>
      </c>
      <c r="CT378" s="252">
        <f t="shared" si="450"/>
        <v>9</v>
      </c>
      <c r="CU378" s="252" t="str">
        <f t="shared" si="447"/>
        <v>CR42</v>
      </c>
      <c r="CV378" s="252" t="str">
        <f t="shared" ca="1" si="451"/>
        <v/>
      </c>
      <c r="CW378" s="252">
        <f t="shared" ca="1" si="445"/>
        <v>0</v>
      </c>
    </row>
    <row r="379" spans="72:101" x14ac:dyDescent="0.2">
      <c r="BT379" s="253" t="str">
        <f t="shared" ca="1" si="448"/>
        <v>Austria</v>
      </c>
      <c r="BU379" s="253">
        <f t="shared" si="446"/>
        <v>377</v>
      </c>
      <c r="BV379" s="253" t="str">
        <f t="shared" si="452"/>
        <v>A15</v>
      </c>
      <c r="BW379" s="253">
        <f t="shared" si="453"/>
        <v>15</v>
      </c>
      <c r="BX379" s="253" t="str">
        <f t="shared" ca="1" si="454"/>
        <v>Patrick Pentz</v>
      </c>
      <c r="BY379" s="253">
        <f ca="1">COUNTIF('Group Stages'!$J$8:$Q$80,BX379)+COUNTIF('Knock Out Stages'!$K$7:$R$45,BX379)</f>
        <v>0</v>
      </c>
      <c r="BZ379" s="253" t="str">
        <f t="shared" si="455"/>
        <v>'Player Database'!b18</v>
      </c>
      <c r="CA379" s="253" t="str">
        <f t="shared" ca="1" si="456"/>
        <v>Patrick Pentz</v>
      </c>
      <c r="CS379" s="252">
        <f t="shared" si="449"/>
        <v>376</v>
      </c>
      <c r="CT379" s="252">
        <f t="shared" si="450"/>
        <v>9</v>
      </c>
      <c r="CU379" s="252" t="str">
        <f t="shared" si="447"/>
        <v>CR43</v>
      </c>
      <c r="CV379" s="252" t="str">
        <f t="shared" ca="1" si="451"/>
        <v/>
      </c>
      <c r="CW379" s="252">
        <f t="shared" ca="1" si="445"/>
        <v>0</v>
      </c>
    </row>
    <row r="380" spans="72:101" x14ac:dyDescent="0.2">
      <c r="BT380" s="253" t="str">
        <f t="shared" ca="1" si="448"/>
        <v>Austria</v>
      </c>
      <c r="BU380" s="253">
        <f t="shared" si="446"/>
        <v>378</v>
      </c>
      <c r="BV380" s="253" t="str">
        <f t="shared" si="452"/>
        <v>A16</v>
      </c>
      <c r="BW380" s="253">
        <f t="shared" si="453"/>
        <v>15</v>
      </c>
      <c r="BX380" s="253" t="str">
        <f t="shared" ca="1" si="454"/>
        <v>Leopold Querfeld</v>
      </c>
      <c r="BY380" s="253">
        <f ca="1">COUNTIF('Group Stages'!$J$8:$Q$80,BX380)+COUNTIF('Knock Out Stages'!$K$7:$R$45,BX380)</f>
        <v>0</v>
      </c>
      <c r="BZ380" s="253" t="str">
        <f t="shared" si="455"/>
        <v>'Player Database'!b19</v>
      </c>
      <c r="CA380" s="253" t="str">
        <f t="shared" ca="1" si="456"/>
        <v>Leopold Querfeld</v>
      </c>
      <c r="CS380" s="252">
        <f t="shared" si="449"/>
        <v>377</v>
      </c>
      <c r="CT380" s="252">
        <f t="shared" si="450"/>
        <v>9</v>
      </c>
      <c r="CU380" s="252" t="str">
        <f t="shared" si="447"/>
        <v>CR44</v>
      </c>
      <c r="CV380" s="252" t="str">
        <f t="shared" ca="1" si="451"/>
        <v/>
      </c>
      <c r="CW380" s="252">
        <f t="shared" ca="1" si="445"/>
        <v>0</v>
      </c>
    </row>
    <row r="381" spans="72:101" x14ac:dyDescent="0.2">
      <c r="BT381" s="253" t="str">
        <f t="shared" ca="1" si="448"/>
        <v>Austria</v>
      </c>
      <c r="BU381" s="253">
        <f t="shared" si="446"/>
        <v>379</v>
      </c>
      <c r="BV381" s="253" t="str">
        <f t="shared" si="452"/>
        <v>A17</v>
      </c>
      <c r="BW381" s="253">
        <f t="shared" si="453"/>
        <v>15</v>
      </c>
      <c r="BX381" s="253" t="str">
        <f t="shared" ca="1" si="454"/>
        <v>Philipp Lienhart</v>
      </c>
      <c r="BY381" s="253">
        <f ca="1">COUNTIF('Group Stages'!$J$8:$Q$80,BX381)+COUNTIF('Knock Out Stages'!$K$7:$R$45,BX381)</f>
        <v>0</v>
      </c>
      <c r="BZ381" s="253" t="str">
        <f t="shared" si="455"/>
        <v>'Player Database'!b20</v>
      </c>
      <c r="CA381" s="253" t="str">
        <f t="shared" ca="1" si="456"/>
        <v>Philipp Lienhart</v>
      </c>
      <c r="CS381" s="252">
        <f t="shared" si="449"/>
        <v>378</v>
      </c>
      <c r="CT381" s="252">
        <f t="shared" si="450"/>
        <v>9</v>
      </c>
      <c r="CU381" s="252" t="str">
        <f t="shared" si="447"/>
        <v>CR45</v>
      </c>
      <c r="CV381" s="252" t="str">
        <f t="shared" ca="1" si="451"/>
        <v/>
      </c>
      <c r="CW381" s="252">
        <f t="shared" ca="1" si="445"/>
        <v>0</v>
      </c>
    </row>
    <row r="382" spans="72:101" x14ac:dyDescent="0.2">
      <c r="BT382" s="253" t="str">
        <f t="shared" ca="1" si="448"/>
        <v>Austria</v>
      </c>
      <c r="BU382" s="253">
        <f t="shared" si="446"/>
        <v>380</v>
      </c>
      <c r="BV382" s="253" t="str">
        <f t="shared" si="452"/>
        <v>A18</v>
      </c>
      <c r="BW382" s="253">
        <f t="shared" si="453"/>
        <v>15</v>
      </c>
      <c r="BX382" s="253" t="str">
        <f t="shared" ca="1" si="454"/>
        <v>Phillipp Mwene</v>
      </c>
      <c r="BY382" s="253">
        <f ca="1">COUNTIF('Group Stages'!$J$8:$Q$80,BX382)+COUNTIF('Knock Out Stages'!$K$7:$R$45,BX382)</f>
        <v>0</v>
      </c>
      <c r="BZ382" s="253" t="str">
        <f t="shared" si="455"/>
        <v>'Player Database'!b21</v>
      </c>
      <c r="CA382" s="253" t="str">
        <f t="shared" ca="1" si="456"/>
        <v>Phillipp Mwene</v>
      </c>
      <c r="CS382" s="252">
        <f t="shared" si="449"/>
        <v>379</v>
      </c>
      <c r="CT382" s="252">
        <f t="shared" si="450"/>
        <v>10</v>
      </c>
      <c r="CU382" s="252" t="str">
        <f t="shared" si="447"/>
        <v>CR4</v>
      </c>
      <c r="CV382" s="252" t="str">
        <f t="shared" ca="1" si="451"/>
        <v/>
      </c>
      <c r="CW382" s="252">
        <f t="shared" ca="1" si="445"/>
        <v>0</v>
      </c>
    </row>
    <row r="383" spans="72:101" x14ac:dyDescent="0.2">
      <c r="BT383" s="253" t="str">
        <f t="shared" ca="1" si="448"/>
        <v>Austria</v>
      </c>
      <c r="BU383" s="253">
        <f t="shared" si="446"/>
        <v>381</v>
      </c>
      <c r="BV383" s="253" t="str">
        <f t="shared" si="452"/>
        <v>A19</v>
      </c>
      <c r="BW383" s="253">
        <f t="shared" si="453"/>
        <v>15</v>
      </c>
      <c r="BX383" s="253" t="str">
        <f t="shared" ca="1" si="454"/>
        <v>Florian Kainz</v>
      </c>
      <c r="BY383" s="253">
        <f ca="1">COUNTIF('Group Stages'!$J$8:$Q$80,BX383)+COUNTIF('Knock Out Stages'!$K$7:$R$45,BX383)</f>
        <v>0</v>
      </c>
      <c r="BZ383" s="253" t="str">
        <f t="shared" si="455"/>
        <v>'Player Database'!b22</v>
      </c>
      <c r="CA383" s="253" t="str">
        <f t="shared" ca="1" si="456"/>
        <v>Florian Kainz</v>
      </c>
      <c r="CS383" s="252">
        <f t="shared" si="449"/>
        <v>380</v>
      </c>
      <c r="CT383" s="252">
        <f t="shared" si="450"/>
        <v>10</v>
      </c>
      <c r="CU383" s="252" t="str">
        <f t="shared" si="447"/>
        <v>CR5</v>
      </c>
      <c r="CV383" s="252" t="str">
        <f t="shared" ca="1" si="451"/>
        <v/>
      </c>
      <c r="CW383" s="252">
        <f t="shared" ca="1" si="445"/>
        <v>0</v>
      </c>
    </row>
    <row r="384" spans="72:101" x14ac:dyDescent="0.2">
      <c r="BT384" s="253" t="str">
        <f t="shared" ca="1" si="448"/>
        <v>Austria</v>
      </c>
      <c r="BU384" s="253">
        <f t="shared" si="446"/>
        <v>382</v>
      </c>
      <c r="BV384" s="253" t="str">
        <f t="shared" si="452"/>
        <v>A20</v>
      </c>
      <c r="BW384" s="253">
        <f t="shared" si="453"/>
        <v>15</v>
      </c>
      <c r="BX384" s="253" t="str">
        <f t="shared" ca="1" si="454"/>
        <v>Romano Schmid</v>
      </c>
      <c r="BY384" s="253">
        <f ca="1">COUNTIF('Group Stages'!$J$8:$Q$80,BX384)+COUNTIF('Knock Out Stages'!$K$7:$R$45,BX384)</f>
        <v>0</v>
      </c>
      <c r="BZ384" s="253" t="str">
        <f t="shared" si="455"/>
        <v>'Player Database'!b23</v>
      </c>
      <c r="CA384" s="253" t="str">
        <f t="shared" ca="1" si="456"/>
        <v>Romano Schmid</v>
      </c>
      <c r="CS384" s="252">
        <f t="shared" si="449"/>
        <v>381</v>
      </c>
      <c r="CT384" s="252">
        <f t="shared" si="450"/>
        <v>10</v>
      </c>
      <c r="CU384" s="252" t="str">
        <f t="shared" si="447"/>
        <v>CR6</v>
      </c>
      <c r="CV384" s="252" t="str">
        <f t="shared" ca="1" si="451"/>
        <v/>
      </c>
      <c r="CW384" s="252">
        <f t="shared" ca="1" si="445"/>
        <v>0</v>
      </c>
    </row>
    <row r="385" spans="72:101" x14ac:dyDescent="0.2">
      <c r="BT385" s="253" t="str">
        <f t="shared" ca="1" si="448"/>
        <v>Austria</v>
      </c>
      <c r="BU385" s="253">
        <f t="shared" si="446"/>
        <v>383</v>
      </c>
      <c r="BV385" s="253" t="str">
        <f t="shared" si="452"/>
        <v>A21</v>
      </c>
      <c r="BW385" s="253">
        <f t="shared" si="453"/>
        <v>15</v>
      </c>
      <c r="BX385" s="253" t="str">
        <f t="shared" ca="1" si="454"/>
        <v>Christoph Baumgartner</v>
      </c>
      <c r="BY385" s="253">
        <f ca="1">COUNTIF('Group Stages'!$J$8:$Q$80,BX385)+COUNTIF('Knock Out Stages'!$K$7:$R$45,BX385)</f>
        <v>0</v>
      </c>
      <c r="BZ385" s="253" t="str">
        <f t="shared" si="455"/>
        <v>'Player Database'!b24</v>
      </c>
      <c r="CA385" s="253" t="str">
        <f t="shared" ca="1" si="456"/>
        <v>Christoph Baumgartner</v>
      </c>
      <c r="CS385" s="252">
        <f t="shared" si="449"/>
        <v>382</v>
      </c>
      <c r="CT385" s="252">
        <f t="shared" si="450"/>
        <v>10</v>
      </c>
      <c r="CU385" s="252" t="str">
        <f t="shared" si="447"/>
        <v>CR7</v>
      </c>
      <c r="CV385" s="252" t="str">
        <f t="shared" ca="1" si="451"/>
        <v/>
      </c>
      <c r="CW385" s="252">
        <f t="shared" ca="1" si="445"/>
        <v>0</v>
      </c>
    </row>
    <row r="386" spans="72:101" x14ac:dyDescent="0.2">
      <c r="BT386" s="253" t="str">
        <f t="shared" ca="1" si="448"/>
        <v>Austria</v>
      </c>
      <c r="BU386" s="253">
        <f t="shared" si="446"/>
        <v>384</v>
      </c>
      <c r="BV386" s="253" t="str">
        <f t="shared" si="452"/>
        <v>A22</v>
      </c>
      <c r="BW386" s="253">
        <f t="shared" si="453"/>
        <v>15</v>
      </c>
      <c r="BX386" s="253" t="str">
        <f t="shared" ca="1" si="454"/>
        <v>Konrad Laimer</v>
      </c>
      <c r="BY386" s="253">
        <f ca="1">COUNTIF('Group Stages'!$J$8:$Q$80,BX386)+COUNTIF('Knock Out Stages'!$K$7:$R$45,BX386)</f>
        <v>0</v>
      </c>
      <c r="BZ386" s="253" t="str">
        <f t="shared" si="455"/>
        <v>'Player Database'!b25</v>
      </c>
      <c r="CA386" s="253" t="str">
        <f t="shared" ca="1" si="456"/>
        <v>Konrad Laimer</v>
      </c>
      <c r="CS386" s="252">
        <f t="shared" si="449"/>
        <v>383</v>
      </c>
      <c r="CT386" s="252">
        <f t="shared" si="450"/>
        <v>10</v>
      </c>
      <c r="CU386" s="252" t="str">
        <f t="shared" si="447"/>
        <v>CR8</v>
      </c>
      <c r="CV386" s="252" t="str">
        <f t="shared" ca="1" si="451"/>
        <v/>
      </c>
      <c r="CW386" s="252">
        <f t="shared" ca="1" si="445"/>
        <v>0</v>
      </c>
    </row>
    <row r="387" spans="72:101" x14ac:dyDescent="0.2">
      <c r="BT387" s="253" t="str">
        <f t="shared" ca="1" si="448"/>
        <v>Austria</v>
      </c>
      <c r="BU387" s="253">
        <f t="shared" si="446"/>
        <v>385</v>
      </c>
      <c r="BV387" s="253" t="str">
        <f t="shared" si="452"/>
        <v>A23</v>
      </c>
      <c r="BW387" s="253">
        <f t="shared" si="453"/>
        <v>15</v>
      </c>
      <c r="BX387" s="253" t="str">
        <f t="shared" ca="1" si="454"/>
        <v>Flavius Daniliuc</v>
      </c>
      <c r="BY387" s="253">
        <f ca="1">COUNTIF('Group Stages'!$J$8:$Q$80,BX387)+COUNTIF('Knock Out Stages'!$K$7:$R$45,BX387)</f>
        <v>0</v>
      </c>
      <c r="BZ387" s="253" t="str">
        <f t="shared" si="455"/>
        <v>'Player Database'!b26</v>
      </c>
      <c r="CA387" s="253" t="str">
        <f t="shared" ca="1" si="456"/>
        <v>Flavius Daniliuc</v>
      </c>
      <c r="CS387" s="252">
        <f t="shared" si="449"/>
        <v>384</v>
      </c>
      <c r="CT387" s="252">
        <f t="shared" si="450"/>
        <v>10</v>
      </c>
      <c r="CU387" s="252" t="str">
        <f t="shared" si="447"/>
        <v>CR9</v>
      </c>
      <c r="CV387" s="252" t="str">
        <f t="shared" ca="1" si="451"/>
        <v/>
      </c>
      <c r="CW387" s="252">
        <f t="shared" ca="1" si="445"/>
        <v>0</v>
      </c>
    </row>
    <row r="388" spans="72:101" x14ac:dyDescent="0.2">
      <c r="BT388" s="253" t="str">
        <f t="shared" ca="1" si="448"/>
        <v>Austria</v>
      </c>
      <c r="BU388" s="253">
        <f t="shared" si="446"/>
        <v>386</v>
      </c>
      <c r="BV388" s="253" t="str">
        <f t="shared" si="452"/>
        <v>A24</v>
      </c>
      <c r="BW388" s="253">
        <f t="shared" si="453"/>
        <v>15</v>
      </c>
      <c r="BX388" s="253" t="str">
        <f t="shared" ca="1" si="454"/>
        <v>Matthias Seidl</v>
      </c>
      <c r="BY388" s="253">
        <f ca="1">COUNTIF('Group Stages'!$J$8:$Q$80,BX388)+COUNTIF('Knock Out Stages'!$K$7:$R$45,BX388)</f>
        <v>0</v>
      </c>
      <c r="BZ388" s="253" t="str">
        <f t="shared" si="455"/>
        <v>'Player Database'!b27</v>
      </c>
      <c r="CA388" s="253" t="str">
        <f t="shared" ca="1" si="456"/>
        <v>Matthias Seidl</v>
      </c>
      <c r="CS388" s="252">
        <f t="shared" si="449"/>
        <v>385</v>
      </c>
      <c r="CT388" s="252">
        <f t="shared" si="450"/>
        <v>10</v>
      </c>
      <c r="CU388" s="252" t="str">
        <f t="shared" si="447"/>
        <v>CR10</v>
      </c>
      <c r="CV388" s="252" t="str">
        <f t="shared" ca="1" si="451"/>
        <v/>
      </c>
      <c r="CW388" s="252">
        <f t="shared" ca="1" si="445"/>
        <v>0</v>
      </c>
    </row>
    <row r="389" spans="72:101" x14ac:dyDescent="0.2">
      <c r="BT389" s="253" t="str">
        <f t="shared" ca="1" si="448"/>
        <v>Austria</v>
      </c>
      <c r="BU389" s="253">
        <f t="shared" si="446"/>
        <v>387</v>
      </c>
      <c r="BV389" s="253" t="str">
        <f t="shared" si="452"/>
        <v>A25</v>
      </c>
      <c r="BW389" s="253">
        <f t="shared" si="453"/>
        <v>15</v>
      </c>
      <c r="BX389" s="253" t="str">
        <f t="shared" ca="1" si="454"/>
        <v>Patrick Wimmer</v>
      </c>
      <c r="BY389" s="253">
        <f ca="1">COUNTIF('Group Stages'!$J$8:$Q$80,BX389)+COUNTIF('Knock Out Stages'!$K$7:$R$45,BX389)</f>
        <v>0</v>
      </c>
      <c r="BZ389" s="253" t="str">
        <f t="shared" si="455"/>
        <v>'Player Database'!b28</v>
      </c>
      <c r="CA389" s="253" t="str">
        <f t="shared" ca="1" si="456"/>
        <v>Patrick Wimmer</v>
      </c>
      <c r="CS389" s="252">
        <f t="shared" si="449"/>
        <v>386</v>
      </c>
      <c r="CT389" s="252">
        <f t="shared" si="450"/>
        <v>10</v>
      </c>
      <c r="CU389" s="252" t="str">
        <f t="shared" si="447"/>
        <v>CR11</v>
      </c>
      <c r="CV389" s="252" t="str">
        <f t="shared" ca="1" si="451"/>
        <v/>
      </c>
      <c r="CW389" s="252">
        <f t="shared" ref="CW389:CW452" ca="1" si="457">IF(CV389&lt;&gt;"",CW388+1,CW388)</f>
        <v>0</v>
      </c>
    </row>
    <row r="390" spans="72:101" x14ac:dyDescent="0.2">
      <c r="BT390" s="253" t="str">
        <f t="shared" ca="1" si="448"/>
        <v>Austria</v>
      </c>
      <c r="BU390" s="253">
        <f t="shared" si="446"/>
        <v>388</v>
      </c>
      <c r="BV390" s="253" t="str">
        <f t="shared" si="452"/>
        <v>A26</v>
      </c>
      <c r="BW390" s="253">
        <f t="shared" si="453"/>
        <v>15</v>
      </c>
      <c r="BX390" s="253" t="str">
        <f t="shared" ca="1" si="454"/>
        <v>Andreas Weimann</v>
      </c>
      <c r="BY390" s="253">
        <f ca="1">COUNTIF('Group Stages'!$J$8:$Q$80,BX390)+COUNTIF('Knock Out Stages'!$K$7:$R$45,BX390)</f>
        <v>0</v>
      </c>
      <c r="BZ390" s="253" t="str">
        <f t="shared" si="455"/>
        <v>'Player Database'!b29</v>
      </c>
      <c r="CA390" s="253" t="str">
        <f t="shared" ca="1" si="456"/>
        <v>Andreas Weimann</v>
      </c>
      <c r="CS390" s="252">
        <f t="shared" si="449"/>
        <v>387</v>
      </c>
      <c r="CT390" s="252">
        <f t="shared" si="450"/>
        <v>10</v>
      </c>
      <c r="CU390" s="252" t="str">
        <f t="shared" si="447"/>
        <v>CR12</v>
      </c>
      <c r="CV390" s="252" t="str">
        <f t="shared" ca="1" si="451"/>
        <v/>
      </c>
      <c r="CW390" s="252">
        <f t="shared" ca="1" si="457"/>
        <v>0</v>
      </c>
    </row>
    <row r="391" spans="72:101" x14ac:dyDescent="0.2">
      <c r="BT391" s="253" t="str">
        <f t="shared" ca="1" si="448"/>
        <v>Austria</v>
      </c>
      <c r="BU391" s="253">
        <f t="shared" si="446"/>
        <v>389</v>
      </c>
      <c r="BV391" s="253" t="str">
        <f t="shared" si="452"/>
        <v>A27</v>
      </c>
      <c r="BW391" s="253">
        <f t="shared" si="453"/>
        <v>15</v>
      </c>
      <c r="BX391" s="253" t="str">
        <f t="shared" ca="1" si="454"/>
        <v>Maximilian Entrup</v>
      </c>
      <c r="BY391" s="253">
        <f ca="1">COUNTIF('Group Stages'!$J$8:$Q$80,BX391)+COUNTIF('Knock Out Stages'!$K$7:$R$45,BX391)</f>
        <v>0</v>
      </c>
      <c r="BZ391" s="253" t="str">
        <f t="shared" si="455"/>
        <v>'Player Database'!b30</v>
      </c>
      <c r="CA391" s="253" t="str">
        <f t="shared" ca="1" si="456"/>
        <v>Maximilian Entrup</v>
      </c>
      <c r="CS391" s="252">
        <f t="shared" si="449"/>
        <v>388</v>
      </c>
      <c r="CT391" s="252">
        <f t="shared" si="450"/>
        <v>10</v>
      </c>
      <c r="CU391" s="252" t="str">
        <f t="shared" si="447"/>
        <v>CR13</v>
      </c>
      <c r="CV391" s="252" t="str">
        <f t="shared" ca="1" si="451"/>
        <v/>
      </c>
      <c r="CW391" s="252">
        <f t="shared" ca="1" si="457"/>
        <v>0</v>
      </c>
    </row>
    <row r="392" spans="72:101" x14ac:dyDescent="0.2">
      <c r="BT392" s="253" t="str">
        <f t="shared" ca="1" si="448"/>
        <v>Austria</v>
      </c>
      <c r="BU392" s="253">
        <f t="shared" si="446"/>
        <v>390</v>
      </c>
      <c r="BV392" s="253" t="str">
        <f t="shared" si="452"/>
        <v>A28</v>
      </c>
      <c r="BW392" s="253">
        <f t="shared" si="453"/>
        <v>15</v>
      </c>
      <c r="BX392" s="253" t="str">
        <f t="shared" ca="1" si="454"/>
        <v>Marco Grüll</v>
      </c>
      <c r="BY392" s="253">
        <f ca="1">COUNTIF('Group Stages'!$J$8:$Q$80,BX392)+COUNTIF('Knock Out Stages'!$K$7:$R$45,BX392)</f>
        <v>0</v>
      </c>
      <c r="BZ392" s="253" t="str">
        <f t="shared" si="455"/>
        <v>'Player Database'!b31</v>
      </c>
      <c r="CA392" s="253" t="str">
        <f t="shared" ca="1" si="456"/>
        <v>Marco Grüll</v>
      </c>
      <c r="CS392" s="252">
        <f t="shared" si="449"/>
        <v>389</v>
      </c>
      <c r="CT392" s="252">
        <f t="shared" si="450"/>
        <v>10</v>
      </c>
      <c r="CU392" s="252" t="str">
        <f t="shared" si="447"/>
        <v>CR14</v>
      </c>
      <c r="CV392" s="252" t="str">
        <f t="shared" ca="1" si="451"/>
        <v/>
      </c>
      <c r="CW392" s="252">
        <f t="shared" ca="1" si="457"/>
        <v>0</v>
      </c>
    </row>
    <row r="393" spans="72:101" x14ac:dyDescent="0.2">
      <c r="BT393" s="253" t="str">
        <f t="shared" ca="1" si="448"/>
        <v>France</v>
      </c>
      <c r="BU393" s="253">
        <f t="shared" si="446"/>
        <v>391</v>
      </c>
      <c r="BV393" s="253" t="str">
        <f t="shared" si="452"/>
        <v>A3</v>
      </c>
      <c r="BW393" s="253">
        <f t="shared" si="453"/>
        <v>16</v>
      </c>
      <c r="BX393" s="253" t="str">
        <f t="shared" ca="1" si="454"/>
        <v>Brice Samba</v>
      </c>
      <c r="BY393" s="253">
        <f ca="1">COUNTIF('Group Stages'!$J$8:$Q$80,BX393)+COUNTIF('Knock Out Stages'!$K$7:$R$45,BX393)</f>
        <v>0</v>
      </c>
      <c r="BZ393" s="253" t="str">
        <f t="shared" si="455"/>
        <v>'Player Database'!b6</v>
      </c>
      <c r="CA393" s="253" t="str">
        <f t="shared" ca="1" si="456"/>
        <v>Brice Samba</v>
      </c>
      <c r="CS393" s="252">
        <f t="shared" si="449"/>
        <v>390</v>
      </c>
      <c r="CT393" s="252">
        <f t="shared" si="450"/>
        <v>10</v>
      </c>
      <c r="CU393" s="252" t="str">
        <f t="shared" si="447"/>
        <v>CR15</v>
      </c>
      <c r="CV393" s="252" t="str">
        <f t="shared" ca="1" si="451"/>
        <v/>
      </c>
      <c r="CW393" s="252">
        <f t="shared" ca="1" si="457"/>
        <v>0</v>
      </c>
    </row>
    <row r="394" spans="72:101" x14ac:dyDescent="0.2">
      <c r="BT394" s="253" t="str">
        <f t="shared" ca="1" si="448"/>
        <v>France</v>
      </c>
      <c r="BU394" s="253">
        <f t="shared" si="446"/>
        <v>392</v>
      </c>
      <c r="BV394" s="253" t="str">
        <f t="shared" si="452"/>
        <v>A4</v>
      </c>
      <c r="BW394" s="253">
        <f t="shared" si="453"/>
        <v>16</v>
      </c>
      <c r="BX394" s="253" t="str">
        <f t="shared" ca="1" si="454"/>
        <v>Benjamin Pavard</v>
      </c>
      <c r="BY394" s="253">
        <f ca="1">COUNTIF('Group Stages'!$J$8:$Q$80,BX394)+COUNTIF('Knock Out Stages'!$K$7:$R$45,BX394)</f>
        <v>0</v>
      </c>
      <c r="BZ394" s="253" t="str">
        <f t="shared" si="455"/>
        <v>'Player Database'!b7</v>
      </c>
      <c r="CA394" s="253" t="str">
        <f t="shared" ca="1" si="456"/>
        <v>Benjamin Pavard</v>
      </c>
      <c r="CS394" s="252">
        <f t="shared" si="449"/>
        <v>391</v>
      </c>
      <c r="CT394" s="252">
        <f t="shared" si="450"/>
        <v>10</v>
      </c>
      <c r="CU394" s="252" t="str">
        <f t="shared" si="447"/>
        <v>CR16</v>
      </c>
      <c r="CV394" s="252" t="str">
        <f t="shared" ca="1" si="451"/>
        <v/>
      </c>
      <c r="CW394" s="252">
        <f t="shared" ca="1" si="457"/>
        <v>0</v>
      </c>
    </row>
    <row r="395" spans="72:101" x14ac:dyDescent="0.2">
      <c r="BT395" s="253" t="str">
        <f t="shared" ca="1" si="448"/>
        <v>France</v>
      </c>
      <c r="BU395" s="253">
        <f t="shared" ref="BU395:BU458" si="458">BU394+1</f>
        <v>393</v>
      </c>
      <c r="BV395" s="253" t="str">
        <f t="shared" si="452"/>
        <v>A5</v>
      </c>
      <c r="BW395" s="253">
        <f t="shared" si="453"/>
        <v>16</v>
      </c>
      <c r="BX395" s="253" t="str">
        <f t="shared" ca="1" si="454"/>
        <v>Ferland Mendy</v>
      </c>
      <c r="BY395" s="253">
        <f ca="1">COUNTIF('Group Stages'!$J$8:$Q$80,BX395)+COUNTIF('Knock Out Stages'!$K$7:$R$45,BX395)</f>
        <v>0</v>
      </c>
      <c r="BZ395" s="253" t="str">
        <f t="shared" si="455"/>
        <v>'Player Database'!b8</v>
      </c>
      <c r="CA395" s="253" t="str">
        <f t="shared" ca="1" si="456"/>
        <v>Ferland Mendy</v>
      </c>
      <c r="CS395" s="252">
        <f t="shared" si="449"/>
        <v>392</v>
      </c>
      <c r="CT395" s="252">
        <f t="shared" si="450"/>
        <v>10</v>
      </c>
      <c r="CU395" s="252" t="str">
        <f t="shared" si="447"/>
        <v>CR17</v>
      </c>
      <c r="CV395" s="252" t="str">
        <f t="shared" ca="1" si="451"/>
        <v/>
      </c>
      <c r="CW395" s="252">
        <f t="shared" ca="1" si="457"/>
        <v>0</v>
      </c>
    </row>
    <row r="396" spans="72:101" x14ac:dyDescent="0.2">
      <c r="BT396" s="253" t="str">
        <f t="shared" ca="1" si="448"/>
        <v>France</v>
      </c>
      <c r="BU396" s="253">
        <f t="shared" si="458"/>
        <v>394</v>
      </c>
      <c r="BV396" s="253" t="str">
        <f t="shared" si="452"/>
        <v>A6</v>
      </c>
      <c r="BW396" s="253">
        <f t="shared" si="453"/>
        <v>16</v>
      </c>
      <c r="BX396" s="253" t="str">
        <f t="shared" ca="1" si="454"/>
        <v>Dayot Upamecano</v>
      </c>
      <c r="BY396" s="253">
        <f ca="1">COUNTIF('Group Stages'!$J$8:$Q$80,BX396)+COUNTIF('Knock Out Stages'!$K$7:$R$45,BX396)</f>
        <v>0</v>
      </c>
      <c r="BZ396" s="253" t="str">
        <f t="shared" si="455"/>
        <v>'Player Database'!b9</v>
      </c>
      <c r="CA396" s="253" t="str">
        <f t="shared" ca="1" si="456"/>
        <v>Dayot Upamecano</v>
      </c>
      <c r="CS396" s="252">
        <f t="shared" si="449"/>
        <v>393</v>
      </c>
      <c r="CT396" s="252">
        <f t="shared" si="450"/>
        <v>10</v>
      </c>
      <c r="CU396" s="252" t="str">
        <f t="shared" si="447"/>
        <v>CR18</v>
      </c>
      <c r="CV396" s="252" t="str">
        <f t="shared" ca="1" si="451"/>
        <v/>
      </c>
      <c r="CW396" s="252">
        <f t="shared" ca="1" si="457"/>
        <v>0</v>
      </c>
    </row>
    <row r="397" spans="72:101" x14ac:dyDescent="0.2">
      <c r="BT397" s="253" t="str">
        <f t="shared" ca="1" si="448"/>
        <v>France</v>
      </c>
      <c r="BU397" s="253">
        <f t="shared" si="458"/>
        <v>395</v>
      </c>
      <c r="BV397" s="253" t="str">
        <f t="shared" si="452"/>
        <v>A7</v>
      </c>
      <c r="BW397" s="253">
        <f t="shared" si="453"/>
        <v>16</v>
      </c>
      <c r="BX397" s="253" t="str">
        <f t="shared" ca="1" si="454"/>
        <v>Jules Koundé</v>
      </c>
      <c r="BY397" s="253">
        <f ca="1">COUNTIF('Group Stages'!$J$8:$Q$80,BX397)+COUNTIF('Knock Out Stages'!$K$7:$R$45,BX397)</f>
        <v>0</v>
      </c>
      <c r="BZ397" s="253" t="str">
        <f t="shared" si="455"/>
        <v>'Player Database'!b10</v>
      </c>
      <c r="CA397" s="253" t="str">
        <f t="shared" ca="1" si="456"/>
        <v>Jules Koundé</v>
      </c>
      <c r="CS397" s="252">
        <f t="shared" si="449"/>
        <v>394</v>
      </c>
      <c r="CT397" s="252">
        <f t="shared" si="450"/>
        <v>10</v>
      </c>
      <c r="CU397" s="252" t="str">
        <f t="shared" si="447"/>
        <v>CR19</v>
      </c>
      <c r="CV397" s="252" t="str">
        <f t="shared" ca="1" si="451"/>
        <v/>
      </c>
      <c r="CW397" s="252">
        <f t="shared" ca="1" si="457"/>
        <v>0</v>
      </c>
    </row>
    <row r="398" spans="72:101" x14ac:dyDescent="0.2">
      <c r="BT398" s="253" t="str">
        <f t="shared" ca="1" si="448"/>
        <v>France</v>
      </c>
      <c r="BU398" s="253">
        <f t="shared" si="458"/>
        <v>396</v>
      </c>
      <c r="BV398" s="253" t="str">
        <f t="shared" si="452"/>
        <v>A8</v>
      </c>
      <c r="BW398" s="253">
        <f t="shared" si="453"/>
        <v>16</v>
      </c>
      <c r="BX398" s="253" t="str">
        <f t="shared" ca="1" si="454"/>
        <v>Eduardo Camavinga</v>
      </c>
      <c r="BY398" s="253">
        <f ca="1">COUNTIF('Group Stages'!$J$8:$Q$80,BX398)+COUNTIF('Knock Out Stages'!$K$7:$R$45,BX398)</f>
        <v>0</v>
      </c>
      <c r="BZ398" s="253" t="str">
        <f t="shared" si="455"/>
        <v>'Player Database'!b11</v>
      </c>
      <c r="CA398" s="253" t="str">
        <f t="shared" ca="1" si="456"/>
        <v>Eduardo Camavinga</v>
      </c>
      <c r="CS398" s="252">
        <f t="shared" si="449"/>
        <v>395</v>
      </c>
      <c r="CT398" s="252">
        <f t="shared" si="450"/>
        <v>10</v>
      </c>
      <c r="CU398" s="252" t="str">
        <f t="shared" si="447"/>
        <v>CR20</v>
      </c>
      <c r="CV398" s="252" t="str">
        <f t="shared" ca="1" si="451"/>
        <v/>
      </c>
      <c r="CW398" s="252">
        <f t="shared" ca="1" si="457"/>
        <v>0</v>
      </c>
    </row>
    <row r="399" spans="72:101" x14ac:dyDescent="0.2">
      <c r="BT399" s="253" t="str">
        <f t="shared" ca="1" si="448"/>
        <v>France</v>
      </c>
      <c r="BU399" s="253">
        <f t="shared" si="458"/>
        <v>397</v>
      </c>
      <c r="BV399" s="253" t="str">
        <f t="shared" si="452"/>
        <v>A9</v>
      </c>
      <c r="BW399" s="253">
        <f t="shared" si="453"/>
        <v>16</v>
      </c>
      <c r="BX399" s="253" t="str">
        <f t="shared" ca="1" si="454"/>
        <v>Antoine Griezmann</v>
      </c>
      <c r="BY399" s="253">
        <f ca="1">COUNTIF('Group Stages'!$J$8:$Q$80,BX399)+COUNTIF('Knock Out Stages'!$K$7:$R$45,BX399)</f>
        <v>0</v>
      </c>
      <c r="BZ399" s="253" t="str">
        <f t="shared" si="455"/>
        <v>'Player Database'!b12</v>
      </c>
      <c r="CA399" s="253" t="str">
        <f t="shared" ca="1" si="456"/>
        <v>Antoine Griezmann</v>
      </c>
      <c r="CS399" s="252">
        <f t="shared" si="449"/>
        <v>396</v>
      </c>
      <c r="CT399" s="252">
        <f t="shared" si="450"/>
        <v>10</v>
      </c>
      <c r="CU399" s="252" t="str">
        <f t="shared" si="447"/>
        <v>CR21</v>
      </c>
      <c r="CV399" s="252" t="str">
        <f t="shared" ca="1" si="451"/>
        <v/>
      </c>
      <c r="CW399" s="252">
        <f t="shared" ca="1" si="457"/>
        <v>0</v>
      </c>
    </row>
    <row r="400" spans="72:101" x14ac:dyDescent="0.2">
      <c r="BT400" s="253" t="str">
        <f t="shared" ca="1" si="448"/>
        <v>France</v>
      </c>
      <c r="BU400" s="253">
        <f t="shared" si="458"/>
        <v>398</v>
      </c>
      <c r="BV400" s="253" t="str">
        <f t="shared" si="452"/>
        <v>A10</v>
      </c>
      <c r="BW400" s="253">
        <f t="shared" si="453"/>
        <v>16</v>
      </c>
      <c r="BX400" s="253" t="str">
        <f t="shared" ca="1" si="454"/>
        <v>Aurélien Tchouaméni</v>
      </c>
      <c r="BY400" s="253">
        <f ca="1">COUNTIF('Group Stages'!$J$8:$Q$80,BX400)+COUNTIF('Knock Out Stages'!$K$7:$R$45,BX400)</f>
        <v>0</v>
      </c>
      <c r="BZ400" s="253" t="str">
        <f t="shared" si="455"/>
        <v>'Player Database'!b13</v>
      </c>
      <c r="CA400" s="253" t="str">
        <f t="shared" ca="1" si="456"/>
        <v>Aurélien Tchouaméni</v>
      </c>
      <c r="CS400" s="252">
        <f t="shared" si="449"/>
        <v>397</v>
      </c>
      <c r="CT400" s="252">
        <f t="shared" si="450"/>
        <v>10</v>
      </c>
      <c r="CU400" s="252" t="str">
        <f t="shared" si="447"/>
        <v>CR22</v>
      </c>
      <c r="CV400" s="252" t="str">
        <f t="shared" ca="1" si="451"/>
        <v/>
      </c>
      <c r="CW400" s="252">
        <f t="shared" ca="1" si="457"/>
        <v>0</v>
      </c>
    </row>
    <row r="401" spans="72:101" x14ac:dyDescent="0.2">
      <c r="BT401" s="253" t="str">
        <f t="shared" ca="1" si="448"/>
        <v>France</v>
      </c>
      <c r="BU401" s="253">
        <f t="shared" si="458"/>
        <v>399</v>
      </c>
      <c r="BV401" s="253" t="str">
        <f t="shared" si="452"/>
        <v>A11</v>
      </c>
      <c r="BW401" s="253">
        <f t="shared" si="453"/>
        <v>16</v>
      </c>
      <c r="BX401" s="253" t="str">
        <f t="shared" ca="1" si="454"/>
        <v>Olivier Giroud</v>
      </c>
      <c r="BY401" s="253">
        <f ca="1">COUNTIF('Group Stages'!$J$8:$Q$80,BX401)+COUNTIF('Knock Out Stages'!$K$7:$R$45,BX401)</f>
        <v>0</v>
      </c>
      <c r="BZ401" s="253" t="str">
        <f t="shared" si="455"/>
        <v>'Player Database'!b14</v>
      </c>
      <c r="CA401" s="253" t="str">
        <f t="shared" ca="1" si="456"/>
        <v>Olivier Giroud</v>
      </c>
      <c r="CS401" s="252">
        <f t="shared" si="449"/>
        <v>398</v>
      </c>
      <c r="CT401" s="252">
        <f t="shared" si="450"/>
        <v>10</v>
      </c>
      <c r="CU401" s="252" t="str">
        <f t="shared" si="447"/>
        <v>CR23</v>
      </c>
      <c r="CV401" s="252" t="str">
        <f t="shared" ca="1" si="451"/>
        <v/>
      </c>
      <c r="CW401" s="252">
        <f t="shared" ca="1" si="457"/>
        <v>0</v>
      </c>
    </row>
    <row r="402" spans="72:101" x14ac:dyDescent="0.2">
      <c r="BT402" s="253" t="str">
        <f t="shared" ca="1" si="448"/>
        <v>France</v>
      </c>
      <c r="BU402" s="253">
        <f t="shared" si="458"/>
        <v>400</v>
      </c>
      <c r="BV402" s="253" t="str">
        <f t="shared" si="452"/>
        <v>A12</v>
      </c>
      <c r="BW402" s="253">
        <f t="shared" si="453"/>
        <v>16</v>
      </c>
      <c r="BX402" s="253" t="str">
        <f t="shared" ca="1" si="454"/>
        <v>Kylian Mbappé</v>
      </c>
      <c r="BY402" s="253">
        <f ca="1">COUNTIF('Group Stages'!$J$8:$Q$80,BX402)+COUNTIF('Knock Out Stages'!$K$7:$R$45,BX402)</f>
        <v>0</v>
      </c>
      <c r="BZ402" s="253" t="str">
        <f t="shared" si="455"/>
        <v>'Player Database'!b15</v>
      </c>
      <c r="CA402" s="253" t="str">
        <f t="shared" ca="1" si="456"/>
        <v>Kylian Mbappé</v>
      </c>
      <c r="CS402" s="252">
        <f t="shared" si="449"/>
        <v>399</v>
      </c>
      <c r="CT402" s="252">
        <f t="shared" si="450"/>
        <v>10</v>
      </c>
      <c r="CU402" s="252" t="str">
        <f t="shared" si="447"/>
        <v>CR24</v>
      </c>
      <c r="CV402" s="252" t="str">
        <f t="shared" ca="1" si="451"/>
        <v/>
      </c>
      <c r="CW402" s="252">
        <f t="shared" ca="1" si="457"/>
        <v>0</v>
      </c>
    </row>
    <row r="403" spans="72:101" x14ac:dyDescent="0.2">
      <c r="BT403" s="253" t="str">
        <f t="shared" ca="1" si="448"/>
        <v>France</v>
      </c>
      <c r="BU403" s="253">
        <f t="shared" si="458"/>
        <v>401</v>
      </c>
      <c r="BV403" s="253" t="str">
        <f t="shared" si="452"/>
        <v>A13</v>
      </c>
      <c r="BW403" s="253">
        <f t="shared" si="453"/>
        <v>16</v>
      </c>
      <c r="BX403" s="253" t="str">
        <f t="shared" ca="1" si="454"/>
        <v>Ousmane Dembélé</v>
      </c>
      <c r="BY403" s="253">
        <f ca="1">COUNTIF('Group Stages'!$J$8:$Q$80,BX403)+COUNTIF('Knock Out Stages'!$K$7:$R$45,BX403)</f>
        <v>0</v>
      </c>
      <c r="BZ403" s="253" t="str">
        <f t="shared" si="455"/>
        <v>'Player Database'!b16</v>
      </c>
      <c r="CA403" s="253" t="str">
        <f t="shared" ca="1" si="456"/>
        <v>Ousmane Dembélé</v>
      </c>
      <c r="CS403" s="252">
        <f t="shared" si="449"/>
        <v>400</v>
      </c>
      <c r="CT403" s="252">
        <f t="shared" si="450"/>
        <v>10</v>
      </c>
      <c r="CU403" s="252" t="str">
        <f t="shared" si="447"/>
        <v>CR25</v>
      </c>
      <c r="CV403" s="252" t="str">
        <f t="shared" ca="1" si="451"/>
        <v/>
      </c>
      <c r="CW403" s="252">
        <f t="shared" ca="1" si="457"/>
        <v>0</v>
      </c>
    </row>
    <row r="404" spans="72:101" x14ac:dyDescent="0.2">
      <c r="BT404" s="253" t="str">
        <f t="shared" ca="1" si="448"/>
        <v>France</v>
      </c>
      <c r="BU404" s="253">
        <f t="shared" si="458"/>
        <v>402</v>
      </c>
      <c r="BV404" s="253" t="str">
        <f t="shared" si="452"/>
        <v>A14</v>
      </c>
      <c r="BW404" s="253">
        <f t="shared" si="453"/>
        <v>16</v>
      </c>
      <c r="BX404" s="253" t="str">
        <f t="shared" ca="1" si="454"/>
        <v>Randal Kolo Muani</v>
      </c>
      <c r="BY404" s="253">
        <f ca="1">COUNTIF('Group Stages'!$J$8:$Q$80,BX404)+COUNTIF('Knock Out Stages'!$K$7:$R$45,BX404)</f>
        <v>0</v>
      </c>
      <c r="BZ404" s="253" t="str">
        <f t="shared" si="455"/>
        <v>'Player Database'!b17</v>
      </c>
      <c r="CA404" s="253" t="str">
        <f t="shared" ca="1" si="456"/>
        <v>Randal Kolo Muani</v>
      </c>
      <c r="CS404" s="252">
        <f t="shared" si="449"/>
        <v>401</v>
      </c>
      <c r="CT404" s="252">
        <f t="shared" si="450"/>
        <v>10</v>
      </c>
      <c r="CU404" s="252" t="str">
        <f t="shared" si="447"/>
        <v>CR26</v>
      </c>
      <c r="CV404" s="252" t="str">
        <f t="shared" ca="1" si="451"/>
        <v/>
      </c>
      <c r="CW404" s="252">
        <f t="shared" ca="1" si="457"/>
        <v>0</v>
      </c>
    </row>
    <row r="405" spans="72:101" x14ac:dyDescent="0.2">
      <c r="BT405" s="253" t="str">
        <f t="shared" ca="1" si="448"/>
        <v>France</v>
      </c>
      <c r="BU405" s="253">
        <f t="shared" si="458"/>
        <v>403</v>
      </c>
      <c r="BV405" s="253" t="str">
        <f t="shared" si="452"/>
        <v>A15</v>
      </c>
      <c r="BW405" s="253">
        <f t="shared" si="453"/>
        <v>16</v>
      </c>
      <c r="BX405" s="253" t="str">
        <f t="shared" ca="1" si="454"/>
        <v>N'Golo Kanté</v>
      </c>
      <c r="BY405" s="253">
        <f ca="1">COUNTIF('Group Stages'!$J$8:$Q$80,BX405)+COUNTIF('Knock Out Stages'!$K$7:$R$45,BX405)</f>
        <v>0</v>
      </c>
      <c r="BZ405" s="253" t="str">
        <f t="shared" si="455"/>
        <v>'Player Database'!b18</v>
      </c>
      <c r="CA405" s="253" t="str">
        <f t="shared" ca="1" si="456"/>
        <v>N'Golo Kanté</v>
      </c>
      <c r="CS405" s="252">
        <f t="shared" si="449"/>
        <v>402</v>
      </c>
      <c r="CT405" s="252">
        <f t="shared" si="450"/>
        <v>10</v>
      </c>
      <c r="CU405" s="252" t="str">
        <f t="shared" si="447"/>
        <v>CR27</v>
      </c>
      <c r="CV405" s="252" t="str">
        <f t="shared" ca="1" si="451"/>
        <v/>
      </c>
      <c r="CW405" s="252">
        <f t="shared" ca="1" si="457"/>
        <v>0</v>
      </c>
    </row>
    <row r="406" spans="72:101" x14ac:dyDescent="0.2">
      <c r="BT406" s="253" t="str">
        <f t="shared" ca="1" si="448"/>
        <v>France</v>
      </c>
      <c r="BU406" s="253">
        <f t="shared" si="458"/>
        <v>404</v>
      </c>
      <c r="BV406" s="253" t="str">
        <f t="shared" si="452"/>
        <v>A16</v>
      </c>
      <c r="BW406" s="253">
        <f t="shared" si="453"/>
        <v>16</v>
      </c>
      <c r="BX406" s="253" t="str">
        <f t="shared" ca="1" si="454"/>
        <v>Adrien Rabiot</v>
      </c>
      <c r="BY406" s="253">
        <f ca="1">COUNTIF('Group Stages'!$J$8:$Q$80,BX406)+COUNTIF('Knock Out Stages'!$K$7:$R$45,BX406)</f>
        <v>0</v>
      </c>
      <c r="BZ406" s="253" t="str">
        <f t="shared" si="455"/>
        <v>'Player Database'!b19</v>
      </c>
      <c r="CA406" s="253" t="str">
        <f t="shared" ca="1" si="456"/>
        <v>Adrien Rabiot</v>
      </c>
      <c r="CS406" s="252">
        <f t="shared" si="449"/>
        <v>403</v>
      </c>
      <c r="CT406" s="252">
        <f t="shared" si="450"/>
        <v>10</v>
      </c>
      <c r="CU406" s="252" t="str">
        <f t="shared" si="447"/>
        <v>CR28</v>
      </c>
      <c r="CV406" s="252" t="str">
        <f t="shared" ca="1" si="451"/>
        <v/>
      </c>
      <c r="CW406" s="252">
        <f t="shared" ca="1" si="457"/>
        <v>0</v>
      </c>
    </row>
    <row r="407" spans="72:101" x14ac:dyDescent="0.2">
      <c r="BT407" s="253" t="str">
        <f t="shared" ca="1" si="448"/>
        <v>France</v>
      </c>
      <c r="BU407" s="253">
        <f t="shared" si="458"/>
        <v>405</v>
      </c>
      <c r="BV407" s="253" t="str">
        <f t="shared" si="452"/>
        <v>A17</v>
      </c>
      <c r="BW407" s="253">
        <f t="shared" si="453"/>
        <v>16</v>
      </c>
      <c r="BX407" s="253" t="str">
        <f t="shared" ca="1" si="454"/>
        <v>Marcus Thuram</v>
      </c>
      <c r="BY407" s="253">
        <f ca="1">COUNTIF('Group Stages'!$J$8:$Q$80,BX407)+COUNTIF('Knock Out Stages'!$K$7:$R$45,BX407)</f>
        <v>0</v>
      </c>
      <c r="BZ407" s="253" t="str">
        <f t="shared" si="455"/>
        <v>'Player Database'!b20</v>
      </c>
      <c r="CA407" s="253" t="str">
        <f t="shared" ca="1" si="456"/>
        <v>Marcus Thuram</v>
      </c>
      <c r="CS407" s="252">
        <f t="shared" si="449"/>
        <v>404</v>
      </c>
      <c r="CT407" s="252">
        <f t="shared" si="450"/>
        <v>10</v>
      </c>
      <c r="CU407" s="252" t="str">
        <f t="shared" si="447"/>
        <v>CR29</v>
      </c>
      <c r="CV407" s="252" t="str">
        <f t="shared" ca="1" si="451"/>
        <v/>
      </c>
      <c r="CW407" s="252">
        <f t="shared" ca="1" si="457"/>
        <v>0</v>
      </c>
    </row>
    <row r="408" spans="72:101" x14ac:dyDescent="0.2">
      <c r="BT408" s="253" t="str">
        <f t="shared" ca="1" si="448"/>
        <v>France</v>
      </c>
      <c r="BU408" s="253">
        <f t="shared" si="458"/>
        <v>406</v>
      </c>
      <c r="BV408" s="253" t="str">
        <f t="shared" si="452"/>
        <v>A18</v>
      </c>
      <c r="BW408" s="253">
        <f t="shared" si="453"/>
        <v>16</v>
      </c>
      <c r="BX408" s="253" t="str">
        <f t="shared" ca="1" si="454"/>
        <v>Mike Maignan</v>
      </c>
      <c r="BY408" s="253">
        <f ca="1">COUNTIF('Group Stages'!$J$8:$Q$80,BX408)+COUNTIF('Knock Out Stages'!$K$7:$R$45,BX408)</f>
        <v>0</v>
      </c>
      <c r="BZ408" s="253" t="str">
        <f t="shared" si="455"/>
        <v>'Player Database'!b21</v>
      </c>
      <c r="CA408" s="253" t="str">
        <f t="shared" ca="1" si="456"/>
        <v>Mike Maignan</v>
      </c>
      <c r="CS408" s="252">
        <f t="shared" si="449"/>
        <v>405</v>
      </c>
      <c r="CT408" s="252">
        <f t="shared" si="450"/>
        <v>10</v>
      </c>
      <c r="CU408" s="252" t="str">
        <f t="shared" si="447"/>
        <v>CR30</v>
      </c>
      <c r="CV408" s="252" t="str">
        <f t="shared" ca="1" si="451"/>
        <v/>
      </c>
      <c r="CW408" s="252">
        <f t="shared" ca="1" si="457"/>
        <v>0</v>
      </c>
    </row>
    <row r="409" spans="72:101" x14ac:dyDescent="0.2">
      <c r="BT409" s="253" t="str">
        <f t="shared" ca="1" si="448"/>
        <v>France</v>
      </c>
      <c r="BU409" s="253">
        <f t="shared" si="458"/>
        <v>407</v>
      </c>
      <c r="BV409" s="253" t="str">
        <f t="shared" si="452"/>
        <v>A19</v>
      </c>
      <c r="BW409" s="253">
        <f t="shared" si="453"/>
        <v>16</v>
      </c>
      <c r="BX409" s="253" t="str">
        <f t="shared" ca="1" si="454"/>
        <v>William Saliba</v>
      </c>
      <c r="BY409" s="253">
        <f ca="1">COUNTIF('Group Stages'!$J$8:$Q$80,BX409)+COUNTIF('Knock Out Stages'!$K$7:$R$45,BX409)</f>
        <v>0</v>
      </c>
      <c r="BZ409" s="253" t="str">
        <f t="shared" si="455"/>
        <v>'Player Database'!b22</v>
      </c>
      <c r="CA409" s="253" t="str">
        <f t="shared" ca="1" si="456"/>
        <v>William Saliba</v>
      </c>
      <c r="CS409" s="252">
        <f t="shared" si="449"/>
        <v>406</v>
      </c>
      <c r="CT409" s="252">
        <f t="shared" si="450"/>
        <v>10</v>
      </c>
      <c r="CU409" s="252" t="str">
        <f t="shared" ref="CU409:CU472" si="459">CU367</f>
        <v>CR31</v>
      </c>
      <c r="CV409" s="252" t="str">
        <f t="shared" ca="1" si="451"/>
        <v/>
      </c>
      <c r="CW409" s="252">
        <f t="shared" ca="1" si="457"/>
        <v>0</v>
      </c>
    </row>
    <row r="410" spans="72:101" x14ac:dyDescent="0.2">
      <c r="BT410" s="253" t="str">
        <f t="shared" ca="1" si="448"/>
        <v>France</v>
      </c>
      <c r="BU410" s="253">
        <f t="shared" si="458"/>
        <v>408</v>
      </c>
      <c r="BV410" s="253" t="str">
        <f t="shared" si="452"/>
        <v>A20</v>
      </c>
      <c r="BW410" s="253">
        <f t="shared" si="453"/>
        <v>16</v>
      </c>
      <c r="BX410" s="253" t="str">
        <f t="shared" ca="1" si="454"/>
        <v>Warren Zaïre-Emery</v>
      </c>
      <c r="BY410" s="253">
        <f ca="1">COUNTIF('Group Stages'!$J$8:$Q$80,BX410)+COUNTIF('Knock Out Stages'!$K$7:$R$45,BX410)</f>
        <v>0</v>
      </c>
      <c r="BZ410" s="253" t="str">
        <f t="shared" si="455"/>
        <v>'Player Database'!b23</v>
      </c>
      <c r="CA410" s="253" t="str">
        <f t="shared" ca="1" si="456"/>
        <v>Warren Zaïre-Emery</v>
      </c>
      <c r="CS410" s="252">
        <f t="shared" si="449"/>
        <v>407</v>
      </c>
      <c r="CT410" s="252">
        <f t="shared" si="450"/>
        <v>10</v>
      </c>
      <c r="CU410" s="252" t="str">
        <f t="shared" si="459"/>
        <v>CR32</v>
      </c>
      <c r="CV410" s="252" t="str">
        <f t="shared" ca="1" si="451"/>
        <v/>
      </c>
      <c r="CW410" s="252">
        <f t="shared" ca="1" si="457"/>
        <v>0</v>
      </c>
    </row>
    <row r="411" spans="72:101" x14ac:dyDescent="0.2">
      <c r="BT411" s="253" t="str">
        <f t="shared" ca="1" si="448"/>
        <v>France</v>
      </c>
      <c r="BU411" s="253">
        <f t="shared" si="458"/>
        <v>409</v>
      </c>
      <c r="BV411" s="253" t="str">
        <f t="shared" si="452"/>
        <v>A21</v>
      </c>
      <c r="BW411" s="253">
        <f t="shared" si="453"/>
        <v>16</v>
      </c>
      <c r="BX411" s="253" t="str">
        <f t="shared" ca="1" si="454"/>
        <v>Youssouf Fofana</v>
      </c>
      <c r="BY411" s="253">
        <f ca="1">COUNTIF('Group Stages'!$J$8:$Q$80,BX411)+COUNTIF('Knock Out Stages'!$K$7:$R$45,BX411)</f>
        <v>0</v>
      </c>
      <c r="BZ411" s="253" t="str">
        <f t="shared" si="455"/>
        <v>'Player Database'!b24</v>
      </c>
      <c r="CA411" s="253" t="str">
        <f t="shared" ca="1" si="456"/>
        <v>Youssouf Fofana</v>
      </c>
      <c r="CS411" s="252">
        <f t="shared" si="449"/>
        <v>408</v>
      </c>
      <c r="CT411" s="252">
        <f t="shared" si="450"/>
        <v>10</v>
      </c>
      <c r="CU411" s="252" t="str">
        <f t="shared" si="459"/>
        <v>CR33</v>
      </c>
      <c r="CV411" s="252" t="str">
        <f t="shared" ca="1" si="451"/>
        <v/>
      </c>
      <c r="CW411" s="252">
        <f t="shared" ca="1" si="457"/>
        <v>0</v>
      </c>
    </row>
    <row r="412" spans="72:101" x14ac:dyDescent="0.2">
      <c r="BT412" s="253" t="str">
        <f t="shared" ca="1" si="448"/>
        <v>France</v>
      </c>
      <c r="BU412" s="253">
        <f t="shared" si="458"/>
        <v>410</v>
      </c>
      <c r="BV412" s="253" t="str">
        <f t="shared" si="452"/>
        <v>A22</v>
      </c>
      <c r="BW412" s="253">
        <f t="shared" si="453"/>
        <v>16</v>
      </c>
      <c r="BX412" s="253" t="str">
        <f t="shared" ca="1" si="454"/>
        <v>Kingsley Coman</v>
      </c>
      <c r="BY412" s="253">
        <f ca="1">COUNTIF('Group Stages'!$J$8:$Q$80,BX412)+COUNTIF('Knock Out Stages'!$K$7:$R$45,BX412)</f>
        <v>0</v>
      </c>
      <c r="BZ412" s="253" t="str">
        <f t="shared" si="455"/>
        <v>'Player Database'!b25</v>
      </c>
      <c r="CA412" s="253" t="str">
        <f t="shared" ca="1" si="456"/>
        <v>Kingsley Coman</v>
      </c>
      <c r="CS412" s="252">
        <f t="shared" si="449"/>
        <v>409</v>
      </c>
      <c r="CT412" s="252">
        <f t="shared" si="450"/>
        <v>10</v>
      </c>
      <c r="CU412" s="252" t="str">
        <f t="shared" si="459"/>
        <v>CR34</v>
      </c>
      <c r="CV412" s="252" t="str">
        <f t="shared" ca="1" si="451"/>
        <v/>
      </c>
      <c r="CW412" s="252">
        <f t="shared" ca="1" si="457"/>
        <v>0</v>
      </c>
    </row>
    <row r="413" spans="72:101" x14ac:dyDescent="0.2">
      <c r="BT413" s="253" t="str">
        <f t="shared" ca="1" si="448"/>
        <v>France</v>
      </c>
      <c r="BU413" s="253">
        <f t="shared" si="458"/>
        <v>411</v>
      </c>
      <c r="BV413" s="253" t="str">
        <f t="shared" si="452"/>
        <v>A23</v>
      </c>
      <c r="BW413" s="253">
        <f t="shared" si="453"/>
        <v>16</v>
      </c>
      <c r="BX413" s="253" t="str">
        <f t="shared" ca="1" si="454"/>
        <v>Jonathan Clauss</v>
      </c>
      <c r="BY413" s="253">
        <f ca="1">COUNTIF('Group Stages'!$J$8:$Q$80,BX413)+COUNTIF('Knock Out Stages'!$K$7:$R$45,BX413)</f>
        <v>0</v>
      </c>
      <c r="BZ413" s="253" t="str">
        <f t="shared" si="455"/>
        <v>'Player Database'!b26</v>
      </c>
      <c r="CA413" s="253" t="str">
        <f t="shared" ca="1" si="456"/>
        <v>Jonathan Clauss</v>
      </c>
      <c r="CS413" s="252">
        <f t="shared" si="449"/>
        <v>410</v>
      </c>
      <c r="CT413" s="252">
        <f t="shared" si="450"/>
        <v>10</v>
      </c>
      <c r="CU413" s="252" t="str">
        <f t="shared" si="459"/>
        <v>CR35</v>
      </c>
      <c r="CV413" s="252" t="str">
        <f t="shared" ca="1" si="451"/>
        <v/>
      </c>
      <c r="CW413" s="252">
        <f t="shared" ca="1" si="457"/>
        <v>0</v>
      </c>
    </row>
    <row r="414" spans="72:101" x14ac:dyDescent="0.2">
      <c r="BT414" s="253" t="str">
        <f t="shared" ca="1" si="448"/>
        <v>France</v>
      </c>
      <c r="BU414" s="253">
        <f t="shared" si="458"/>
        <v>412</v>
      </c>
      <c r="BV414" s="253" t="str">
        <f t="shared" si="452"/>
        <v>A24</v>
      </c>
      <c r="BW414" s="253">
        <f t="shared" si="453"/>
        <v>16</v>
      </c>
      <c r="BX414" s="253" t="str">
        <f t="shared" ca="1" si="454"/>
        <v>Théo Hernandez</v>
      </c>
      <c r="BY414" s="253">
        <f ca="1">COUNTIF('Group Stages'!$J$8:$Q$80,BX414)+COUNTIF('Knock Out Stages'!$K$7:$R$45,BX414)</f>
        <v>0</v>
      </c>
      <c r="BZ414" s="253" t="str">
        <f t="shared" si="455"/>
        <v>'Player Database'!b27</v>
      </c>
      <c r="CA414" s="253" t="str">
        <f t="shared" ca="1" si="456"/>
        <v>Théo Hernandez</v>
      </c>
      <c r="CS414" s="252">
        <f t="shared" si="449"/>
        <v>411</v>
      </c>
      <c r="CT414" s="252">
        <f t="shared" si="450"/>
        <v>10</v>
      </c>
      <c r="CU414" s="252" t="str">
        <f t="shared" si="459"/>
        <v>CR36</v>
      </c>
      <c r="CV414" s="252" t="str">
        <f t="shared" ca="1" si="451"/>
        <v/>
      </c>
      <c r="CW414" s="252">
        <f t="shared" ca="1" si="457"/>
        <v>0</v>
      </c>
    </row>
    <row r="415" spans="72:101" x14ac:dyDescent="0.2">
      <c r="BT415" s="253" t="str">
        <f t="shared" ca="1" si="448"/>
        <v>France</v>
      </c>
      <c r="BU415" s="253">
        <f t="shared" si="458"/>
        <v>413</v>
      </c>
      <c r="BV415" s="253" t="str">
        <f t="shared" si="452"/>
        <v>A25</v>
      </c>
      <c r="BW415" s="253">
        <f t="shared" si="453"/>
        <v>16</v>
      </c>
      <c r="BX415" s="253" t="str">
        <f t="shared" ca="1" si="454"/>
        <v>Alphonse Areola</v>
      </c>
      <c r="BY415" s="253">
        <f ca="1">COUNTIF('Group Stages'!$J$8:$Q$80,BX415)+COUNTIF('Knock Out Stages'!$K$7:$R$45,BX415)</f>
        <v>0</v>
      </c>
      <c r="BZ415" s="253" t="str">
        <f t="shared" si="455"/>
        <v>'Player Database'!b28</v>
      </c>
      <c r="CA415" s="253" t="str">
        <f t="shared" ca="1" si="456"/>
        <v>Alphonse Areola</v>
      </c>
      <c r="CS415" s="252">
        <f t="shared" si="449"/>
        <v>412</v>
      </c>
      <c r="CT415" s="252">
        <f t="shared" si="450"/>
        <v>10</v>
      </c>
      <c r="CU415" s="252" t="str">
        <f t="shared" si="459"/>
        <v>CR37</v>
      </c>
      <c r="CV415" s="252" t="str">
        <f t="shared" ca="1" si="451"/>
        <v/>
      </c>
      <c r="CW415" s="252">
        <f t="shared" ca="1" si="457"/>
        <v>0</v>
      </c>
    </row>
    <row r="416" spans="72:101" x14ac:dyDescent="0.2">
      <c r="BT416" s="253" t="str">
        <f t="shared" ca="1" si="448"/>
        <v>France</v>
      </c>
      <c r="BU416" s="253">
        <f t="shared" si="458"/>
        <v>414</v>
      </c>
      <c r="BV416" s="253" t="str">
        <f t="shared" si="452"/>
        <v>A26</v>
      </c>
      <c r="BW416" s="253">
        <f t="shared" si="453"/>
        <v>16</v>
      </c>
      <c r="BX416" s="253" t="str">
        <f t="shared" ca="1" si="454"/>
        <v>Ibrahima Konaté</v>
      </c>
      <c r="BY416" s="253">
        <f ca="1">COUNTIF('Group Stages'!$J$8:$Q$80,BX416)+COUNTIF('Knock Out Stages'!$K$7:$R$45,BX416)</f>
        <v>0</v>
      </c>
      <c r="BZ416" s="253" t="str">
        <f t="shared" si="455"/>
        <v>'Player Database'!b29</v>
      </c>
      <c r="CA416" s="253" t="str">
        <f t="shared" ca="1" si="456"/>
        <v>Ibrahima Konaté</v>
      </c>
      <c r="CS416" s="252">
        <f t="shared" si="449"/>
        <v>413</v>
      </c>
      <c r="CT416" s="252">
        <f t="shared" si="450"/>
        <v>10</v>
      </c>
      <c r="CU416" s="252" t="str">
        <f t="shared" si="459"/>
        <v>CR38</v>
      </c>
      <c r="CV416" s="252" t="str">
        <f t="shared" ca="1" si="451"/>
        <v/>
      </c>
      <c r="CW416" s="252">
        <f t="shared" ca="1" si="457"/>
        <v>0</v>
      </c>
    </row>
    <row r="417" spans="72:101" x14ac:dyDescent="0.2">
      <c r="BT417" s="253" t="str">
        <f t="shared" ca="1" si="448"/>
        <v>France</v>
      </c>
      <c r="BU417" s="253">
        <f t="shared" si="458"/>
        <v>415</v>
      </c>
      <c r="BV417" s="253" t="str">
        <f t="shared" si="452"/>
        <v>A27</v>
      </c>
      <c r="BW417" s="253">
        <f t="shared" si="453"/>
        <v>16</v>
      </c>
      <c r="BX417" s="253" t="str">
        <f t="shared" ca="1" si="454"/>
        <v>Bradley Barcola</v>
      </c>
      <c r="BY417" s="253">
        <f ca="1">COUNTIF('Group Stages'!$J$8:$Q$80,BX417)+COUNTIF('Knock Out Stages'!$K$7:$R$45,BX417)</f>
        <v>0</v>
      </c>
      <c r="BZ417" s="253" t="str">
        <f t="shared" si="455"/>
        <v>'Player Database'!b30</v>
      </c>
      <c r="CA417" s="253" t="str">
        <f t="shared" ca="1" si="456"/>
        <v>Bradley Barcola</v>
      </c>
      <c r="CS417" s="252">
        <f t="shared" si="449"/>
        <v>414</v>
      </c>
      <c r="CT417" s="252">
        <f t="shared" si="450"/>
        <v>10</v>
      </c>
      <c r="CU417" s="252" t="str">
        <f t="shared" si="459"/>
        <v>CR39</v>
      </c>
      <c r="CV417" s="252" t="str">
        <f t="shared" ca="1" si="451"/>
        <v/>
      </c>
      <c r="CW417" s="252">
        <f t="shared" ca="1" si="457"/>
        <v>0</v>
      </c>
    </row>
    <row r="418" spans="72:101" x14ac:dyDescent="0.2">
      <c r="BT418" s="253" t="str">
        <f t="shared" ca="1" si="448"/>
        <v>France</v>
      </c>
      <c r="BU418" s="253">
        <f t="shared" si="458"/>
        <v>416</v>
      </c>
      <c r="BV418" s="253" t="str">
        <f t="shared" si="452"/>
        <v>A28</v>
      </c>
      <c r="BW418" s="253">
        <f t="shared" si="453"/>
        <v>16</v>
      </c>
      <c r="BX418" s="253">
        <f t="shared" ca="1" si="454"/>
        <v>0</v>
      </c>
      <c r="BY418" s="253">
        <f ca="1">COUNTIF('Group Stages'!$J$8:$Q$80,BX418)+COUNTIF('Knock Out Stages'!$K$7:$R$45,BX418)</f>
        <v>0</v>
      </c>
      <c r="BZ418" s="253" t="str">
        <f t="shared" si="455"/>
        <v>'Player Database'!b31</v>
      </c>
      <c r="CA418" s="253">
        <f t="shared" ca="1" si="456"/>
        <v>0</v>
      </c>
      <c r="CS418" s="252">
        <f t="shared" si="449"/>
        <v>415</v>
      </c>
      <c r="CT418" s="252">
        <f t="shared" si="450"/>
        <v>10</v>
      </c>
      <c r="CU418" s="252" t="str">
        <f t="shared" si="459"/>
        <v>CR40</v>
      </c>
      <c r="CV418" s="252" t="str">
        <f t="shared" ca="1" si="451"/>
        <v/>
      </c>
      <c r="CW418" s="252">
        <f t="shared" ca="1" si="457"/>
        <v>0</v>
      </c>
    </row>
    <row r="419" spans="72:101" x14ac:dyDescent="0.2">
      <c r="BT419" s="253" t="str">
        <f t="shared" ca="1" si="448"/>
        <v>Belgium</v>
      </c>
      <c r="BU419" s="253">
        <f t="shared" si="458"/>
        <v>417</v>
      </c>
      <c r="BV419" s="253" t="str">
        <f t="shared" si="452"/>
        <v>A3</v>
      </c>
      <c r="BW419" s="253">
        <f t="shared" si="453"/>
        <v>17</v>
      </c>
      <c r="BX419" s="253" t="str">
        <f t="shared" ca="1" si="454"/>
        <v>Koen Casteels</v>
      </c>
      <c r="BY419" s="253">
        <f ca="1">COUNTIF('Group Stages'!$J$8:$Q$80,BX419)+COUNTIF('Knock Out Stages'!$K$7:$R$45,BX419)</f>
        <v>0</v>
      </c>
      <c r="BZ419" s="253" t="str">
        <f t="shared" si="455"/>
        <v>'Player Database'!b6</v>
      </c>
      <c r="CA419" s="253" t="str">
        <f t="shared" ca="1" si="456"/>
        <v>Koen Casteels</v>
      </c>
      <c r="CS419" s="252">
        <f t="shared" si="449"/>
        <v>416</v>
      </c>
      <c r="CT419" s="252">
        <f t="shared" si="450"/>
        <v>10</v>
      </c>
      <c r="CU419" s="252" t="str">
        <f t="shared" si="459"/>
        <v>CR41</v>
      </c>
      <c r="CV419" s="252" t="str">
        <f t="shared" ca="1" si="451"/>
        <v/>
      </c>
      <c r="CW419" s="252">
        <f t="shared" ca="1" si="457"/>
        <v>0</v>
      </c>
    </row>
    <row r="420" spans="72:101" x14ac:dyDescent="0.2">
      <c r="BT420" s="253" t="str">
        <f t="shared" ref="BT420:BT483" ca="1" si="460">OFFSET($A$2,0,BW420)</f>
        <v>Belgium</v>
      </c>
      <c r="BU420" s="253">
        <f t="shared" si="458"/>
        <v>418</v>
      </c>
      <c r="BV420" s="253" t="str">
        <f t="shared" si="452"/>
        <v>A4</v>
      </c>
      <c r="BW420" s="253">
        <f t="shared" si="453"/>
        <v>17</v>
      </c>
      <c r="BX420" s="253" t="str">
        <f t="shared" ca="1" si="454"/>
        <v>Zeno Debast</v>
      </c>
      <c r="BY420" s="253">
        <f ca="1">COUNTIF('Group Stages'!$J$8:$Q$80,BX420)+COUNTIF('Knock Out Stages'!$K$7:$R$45,BX420)</f>
        <v>0</v>
      </c>
      <c r="BZ420" s="253" t="str">
        <f t="shared" si="455"/>
        <v>'Player Database'!b7</v>
      </c>
      <c r="CA420" s="253" t="str">
        <f t="shared" ca="1" si="456"/>
        <v>Zeno Debast</v>
      </c>
      <c r="CS420" s="252">
        <f t="shared" si="449"/>
        <v>417</v>
      </c>
      <c r="CT420" s="252">
        <f t="shared" si="450"/>
        <v>10</v>
      </c>
      <c r="CU420" s="252" t="str">
        <f t="shared" si="459"/>
        <v>CR42</v>
      </c>
      <c r="CV420" s="252" t="str">
        <f t="shared" ca="1" si="451"/>
        <v/>
      </c>
      <c r="CW420" s="252">
        <f t="shared" ca="1" si="457"/>
        <v>0</v>
      </c>
    </row>
    <row r="421" spans="72:101" x14ac:dyDescent="0.2">
      <c r="BT421" s="253" t="str">
        <f t="shared" ca="1" si="460"/>
        <v>Belgium</v>
      </c>
      <c r="BU421" s="253">
        <f t="shared" si="458"/>
        <v>419</v>
      </c>
      <c r="BV421" s="253" t="str">
        <f t="shared" si="452"/>
        <v>A5</v>
      </c>
      <c r="BW421" s="253">
        <f t="shared" si="453"/>
        <v>17</v>
      </c>
      <c r="BX421" s="253" t="str">
        <f t="shared" ca="1" si="454"/>
        <v>Arthur Theate</v>
      </c>
      <c r="BY421" s="253">
        <f ca="1">COUNTIF('Group Stages'!$J$8:$Q$80,BX421)+COUNTIF('Knock Out Stages'!$K$7:$R$45,BX421)</f>
        <v>0</v>
      </c>
      <c r="BZ421" s="253" t="str">
        <f t="shared" si="455"/>
        <v>'Player Database'!b8</v>
      </c>
      <c r="CA421" s="253" t="str">
        <f t="shared" ca="1" si="456"/>
        <v>Arthur Theate</v>
      </c>
      <c r="CS421" s="252">
        <f t="shared" si="449"/>
        <v>418</v>
      </c>
      <c r="CT421" s="252">
        <f t="shared" si="450"/>
        <v>10</v>
      </c>
      <c r="CU421" s="252" t="str">
        <f t="shared" si="459"/>
        <v>CR43</v>
      </c>
      <c r="CV421" s="252" t="str">
        <f t="shared" ca="1" si="451"/>
        <v/>
      </c>
      <c r="CW421" s="252">
        <f t="shared" ca="1" si="457"/>
        <v>0</v>
      </c>
    </row>
    <row r="422" spans="72:101" x14ac:dyDescent="0.2">
      <c r="BT422" s="253" t="str">
        <f t="shared" ca="1" si="460"/>
        <v>Belgium</v>
      </c>
      <c r="BU422" s="253">
        <f t="shared" si="458"/>
        <v>420</v>
      </c>
      <c r="BV422" s="253" t="str">
        <f t="shared" si="452"/>
        <v>A6</v>
      </c>
      <c r="BW422" s="253">
        <f t="shared" si="453"/>
        <v>17</v>
      </c>
      <c r="BX422" s="253" t="str">
        <f t="shared" ca="1" si="454"/>
        <v>Wout Faes</v>
      </c>
      <c r="BY422" s="253">
        <f ca="1">COUNTIF('Group Stages'!$J$8:$Q$80,BX422)+COUNTIF('Knock Out Stages'!$K$7:$R$45,BX422)</f>
        <v>0</v>
      </c>
      <c r="BZ422" s="253" t="str">
        <f t="shared" si="455"/>
        <v>'Player Database'!b9</v>
      </c>
      <c r="CA422" s="253" t="str">
        <f t="shared" ca="1" si="456"/>
        <v>Wout Faes</v>
      </c>
      <c r="CS422" s="252">
        <f t="shared" si="449"/>
        <v>419</v>
      </c>
      <c r="CT422" s="252">
        <f t="shared" si="450"/>
        <v>10</v>
      </c>
      <c r="CU422" s="252" t="str">
        <f t="shared" si="459"/>
        <v>CR44</v>
      </c>
      <c r="CV422" s="252" t="str">
        <f t="shared" ca="1" si="451"/>
        <v/>
      </c>
      <c r="CW422" s="252">
        <f t="shared" ca="1" si="457"/>
        <v>0</v>
      </c>
    </row>
    <row r="423" spans="72:101" x14ac:dyDescent="0.2">
      <c r="BT423" s="253" t="str">
        <f t="shared" ca="1" si="460"/>
        <v>Belgium</v>
      </c>
      <c r="BU423" s="253">
        <f t="shared" si="458"/>
        <v>421</v>
      </c>
      <c r="BV423" s="253" t="str">
        <f t="shared" si="452"/>
        <v>A7</v>
      </c>
      <c r="BW423" s="253">
        <f t="shared" si="453"/>
        <v>17</v>
      </c>
      <c r="BX423" s="253" t="str">
        <f t="shared" ca="1" si="454"/>
        <v>Jan Vertonghen</v>
      </c>
      <c r="BY423" s="253">
        <f ca="1">COUNTIF('Group Stages'!$J$8:$Q$80,BX423)+COUNTIF('Knock Out Stages'!$K$7:$R$45,BX423)</f>
        <v>0</v>
      </c>
      <c r="BZ423" s="253" t="str">
        <f t="shared" si="455"/>
        <v>'Player Database'!b10</v>
      </c>
      <c r="CA423" s="253" t="str">
        <f t="shared" ca="1" si="456"/>
        <v>Jan Vertonghen</v>
      </c>
      <c r="CS423" s="252">
        <f t="shared" si="449"/>
        <v>420</v>
      </c>
      <c r="CT423" s="252">
        <f t="shared" si="450"/>
        <v>10</v>
      </c>
      <c r="CU423" s="252" t="str">
        <f t="shared" si="459"/>
        <v>CR45</v>
      </c>
      <c r="CV423" s="252" t="str">
        <f t="shared" ca="1" si="451"/>
        <v/>
      </c>
      <c r="CW423" s="252">
        <f t="shared" ca="1" si="457"/>
        <v>0</v>
      </c>
    </row>
    <row r="424" spans="72:101" x14ac:dyDescent="0.2">
      <c r="BT424" s="253" t="str">
        <f t="shared" ca="1" si="460"/>
        <v>Belgium</v>
      </c>
      <c r="BU424" s="253">
        <f t="shared" si="458"/>
        <v>422</v>
      </c>
      <c r="BV424" s="253" t="str">
        <f t="shared" si="452"/>
        <v>A8</v>
      </c>
      <c r="BW424" s="253">
        <f t="shared" si="453"/>
        <v>17</v>
      </c>
      <c r="BX424" s="253" t="str">
        <f t="shared" ca="1" si="454"/>
        <v>Axel Witsel</v>
      </c>
      <c r="BY424" s="253">
        <f ca="1">COUNTIF('Group Stages'!$J$8:$Q$80,BX424)+COUNTIF('Knock Out Stages'!$K$7:$R$45,BX424)</f>
        <v>0</v>
      </c>
      <c r="BZ424" s="253" t="str">
        <f t="shared" si="455"/>
        <v>'Player Database'!b11</v>
      </c>
      <c r="CA424" s="253" t="str">
        <f t="shared" ca="1" si="456"/>
        <v>Axel Witsel</v>
      </c>
      <c r="CS424" s="252">
        <f t="shared" si="449"/>
        <v>421</v>
      </c>
      <c r="CT424" s="252">
        <f t="shared" si="450"/>
        <v>11</v>
      </c>
      <c r="CU424" s="252" t="str">
        <f t="shared" si="459"/>
        <v>CR4</v>
      </c>
      <c r="CV424" s="252" t="str">
        <f t="shared" ca="1" si="451"/>
        <v/>
      </c>
      <c r="CW424" s="252">
        <f t="shared" ca="1" si="457"/>
        <v>0</v>
      </c>
    </row>
    <row r="425" spans="72:101" x14ac:dyDescent="0.2">
      <c r="BT425" s="253" t="str">
        <f t="shared" ca="1" si="460"/>
        <v>Belgium</v>
      </c>
      <c r="BU425" s="253">
        <f t="shared" si="458"/>
        <v>423</v>
      </c>
      <c r="BV425" s="253" t="str">
        <f t="shared" si="452"/>
        <v>A9</v>
      </c>
      <c r="BW425" s="253">
        <f t="shared" si="453"/>
        <v>17</v>
      </c>
      <c r="BX425" s="253" t="str">
        <f t="shared" ca="1" si="454"/>
        <v>Kevin De Bruyne</v>
      </c>
      <c r="BY425" s="253">
        <f ca="1">COUNTIF('Group Stages'!$J$8:$Q$80,BX425)+COUNTIF('Knock Out Stages'!$K$7:$R$45,BX425)</f>
        <v>0</v>
      </c>
      <c r="BZ425" s="253" t="str">
        <f t="shared" si="455"/>
        <v>'Player Database'!b12</v>
      </c>
      <c r="CA425" s="253" t="str">
        <f t="shared" ca="1" si="456"/>
        <v>Kevin De Bruyne</v>
      </c>
      <c r="CS425" s="252">
        <f t="shared" si="449"/>
        <v>422</v>
      </c>
      <c r="CT425" s="252">
        <f t="shared" si="450"/>
        <v>11</v>
      </c>
      <c r="CU425" s="252" t="str">
        <f t="shared" si="459"/>
        <v>CR5</v>
      </c>
      <c r="CV425" s="252" t="str">
        <f t="shared" ca="1" si="451"/>
        <v/>
      </c>
      <c r="CW425" s="252">
        <f t="shared" ca="1" si="457"/>
        <v>0</v>
      </c>
    </row>
    <row r="426" spans="72:101" x14ac:dyDescent="0.2">
      <c r="BT426" s="253" t="str">
        <f t="shared" ca="1" si="460"/>
        <v>Belgium</v>
      </c>
      <c r="BU426" s="253">
        <f t="shared" si="458"/>
        <v>424</v>
      </c>
      <c r="BV426" s="253" t="str">
        <f t="shared" si="452"/>
        <v>A10</v>
      </c>
      <c r="BW426" s="253">
        <f t="shared" si="453"/>
        <v>17</v>
      </c>
      <c r="BX426" s="253" t="str">
        <f t="shared" ca="1" si="454"/>
        <v>Youri Tielemans</v>
      </c>
      <c r="BY426" s="253">
        <f ca="1">COUNTIF('Group Stages'!$J$8:$Q$80,BX426)+COUNTIF('Knock Out Stages'!$K$7:$R$45,BX426)</f>
        <v>0</v>
      </c>
      <c r="BZ426" s="253" t="str">
        <f t="shared" si="455"/>
        <v>'Player Database'!b13</v>
      </c>
      <c r="CA426" s="253" t="str">
        <f t="shared" ca="1" si="456"/>
        <v>Youri Tielemans</v>
      </c>
      <c r="CS426" s="252">
        <f t="shared" si="449"/>
        <v>423</v>
      </c>
      <c r="CT426" s="252">
        <f t="shared" si="450"/>
        <v>11</v>
      </c>
      <c r="CU426" s="252" t="str">
        <f t="shared" si="459"/>
        <v>CR6</v>
      </c>
      <c r="CV426" s="252" t="str">
        <f t="shared" ca="1" si="451"/>
        <v/>
      </c>
      <c r="CW426" s="252">
        <f t="shared" ca="1" si="457"/>
        <v>0</v>
      </c>
    </row>
    <row r="427" spans="72:101" x14ac:dyDescent="0.2">
      <c r="BT427" s="253" t="str">
        <f t="shared" ca="1" si="460"/>
        <v>Belgium</v>
      </c>
      <c r="BU427" s="253">
        <f t="shared" si="458"/>
        <v>425</v>
      </c>
      <c r="BV427" s="253" t="str">
        <f t="shared" si="452"/>
        <v>A11</v>
      </c>
      <c r="BW427" s="253">
        <f t="shared" si="453"/>
        <v>17</v>
      </c>
      <c r="BX427" s="253" t="str">
        <f t="shared" ca="1" si="454"/>
        <v>Leandro Trossard</v>
      </c>
      <c r="BY427" s="253">
        <f ca="1">COUNTIF('Group Stages'!$J$8:$Q$80,BX427)+COUNTIF('Knock Out Stages'!$K$7:$R$45,BX427)</f>
        <v>0</v>
      </c>
      <c r="BZ427" s="253" t="str">
        <f t="shared" si="455"/>
        <v>'Player Database'!b14</v>
      </c>
      <c r="CA427" s="253" t="str">
        <f t="shared" ca="1" si="456"/>
        <v>Leandro Trossard</v>
      </c>
      <c r="CS427" s="252">
        <f t="shared" si="449"/>
        <v>424</v>
      </c>
      <c r="CT427" s="252">
        <f t="shared" si="450"/>
        <v>11</v>
      </c>
      <c r="CU427" s="252" t="str">
        <f t="shared" si="459"/>
        <v>CR7</v>
      </c>
      <c r="CV427" s="252" t="str">
        <f t="shared" ca="1" si="451"/>
        <v/>
      </c>
      <c r="CW427" s="252">
        <f t="shared" ca="1" si="457"/>
        <v>0</v>
      </c>
    </row>
    <row r="428" spans="72:101" x14ac:dyDescent="0.2">
      <c r="BT428" s="253" t="str">
        <f t="shared" ca="1" si="460"/>
        <v>Belgium</v>
      </c>
      <c r="BU428" s="253">
        <f t="shared" si="458"/>
        <v>426</v>
      </c>
      <c r="BV428" s="253" t="str">
        <f t="shared" si="452"/>
        <v>A12</v>
      </c>
      <c r="BW428" s="253">
        <f t="shared" si="453"/>
        <v>17</v>
      </c>
      <c r="BX428" s="253" t="str">
        <f t="shared" ca="1" si="454"/>
        <v>Romelu Lukaku</v>
      </c>
      <c r="BY428" s="253">
        <f ca="1">COUNTIF('Group Stages'!$J$8:$Q$80,BX428)+COUNTIF('Knock Out Stages'!$K$7:$R$45,BX428)</f>
        <v>0</v>
      </c>
      <c r="BZ428" s="253" t="str">
        <f t="shared" si="455"/>
        <v>'Player Database'!b15</v>
      </c>
      <c r="CA428" s="253" t="str">
        <f t="shared" ca="1" si="456"/>
        <v>Romelu Lukaku</v>
      </c>
      <c r="CS428" s="252">
        <f t="shared" si="449"/>
        <v>425</v>
      </c>
      <c r="CT428" s="252">
        <f t="shared" si="450"/>
        <v>11</v>
      </c>
      <c r="CU428" s="252" t="str">
        <f t="shared" si="459"/>
        <v>CR8</v>
      </c>
      <c r="CV428" s="252" t="str">
        <f t="shared" ca="1" si="451"/>
        <v/>
      </c>
      <c r="CW428" s="252">
        <f t="shared" ca="1" si="457"/>
        <v>0</v>
      </c>
    </row>
    <row r="429" spans="72:101" x14ac:dyDescent="0.2">
      <c r="BT429" s="253" t="str">
        <f t="shared" ca="1" si="460"/>
        <v>Belgium</v>
      </c>
      <c r="BU429" s="253">
        <f t="shared" si="458"/>
        <v>427</v>
      </c>
      <c r="BV429" s="253" t="str">
        <f t="shared" si="452"/>
        <v>A13</v>
      </c>
      <c r="BW429" s="253">
        <f t="shared" si="453"/>
        <v>17</v>
      </c>
      <c r="BX429" s="253" t="str">
        <f t="shared" ca="1" si="454"/>
        <v>Yannick Carrasco</v>
      </c>
      <c r="BY429" s="253">
        <f ca="1">COUNTIF('Group Stages'!$J$8:$Q$80,BX429)+COUNTIF('Knock Out Stages'!$K$7:$R$45,BX429)</f>
        <v>0</v>
      </c>
      <c r="BZ429" s="253" t="str">
        <f t="shared" si="455"/>
        <v>'Player Database'!b16</v>
      </c>
      <c r="CA429" s="253" t="str">
        <f t="shared" ca="1" si="456"/>
        <v>Yannick Carrasco</v>
      </c>
      <c r="CS429" s="252">
        <f t="shared" si="449"/>
        <v>426</v>
      </c>
      <c r="CT429" s="252">
        <f t="shared" si="450"/>
        <v>11</v>
      </c>
      <c r="CU429" s="252" t="str">
        <f t="shared" si="459"/>
        <v>CR9</v>
      </c>
      <c r="CV429" s="252" t="str">
        <f t="shared" ca="1" si="451"/>
        <v/>
      </c>
      <c r="CW429" s="252">
        <f t="shared" ca="1" si="457"/>
        <v>0</v>
      </c>
    </row>
    <row r="430" spans="72:101" x14ac:dyDescent="0.2">
      <c r="BT430" s="253" t="str">
        <f t="shared" ca="1" si="460"/>
        <v>Belgium</v>
      </c>
      <c r="BU430" s="253">
        <f t="shared" si="458"/>
        <v>428</v>
      </c>
      <c r="BV430" s="253" t="str">
        <f t="shared" si="452"/>
        <v>A14</v>
      </c>
      <c r="BW430" s="253">
        <f t="shared" si="453"/>
        <v>17</v>
      </c>
      <c r="BX430" s="253" t="str">
        <f t="shared" ca="1" si="454"/>
        <v>Thomas Kaminski</v>
      </c>
      <c r="BY430" s="253">
        <f ca="1">COUNTIF('Group Stages'!$J$8:$Q$80,BX430)+COUNTIF('Knock Out Stages'!$K$7:$R$45,BX430)</f>
        <v>0</v>
      </c>
      <c r="BZ430" s="253" t="str">
        <f t="shared" si="455"/>
        <v>'Player Database'!b17</v>
      </c>
      <c r="CA430" s="253" t="str">
        <f t="shared" ca="1" si="456"/>
        <v>Thomas Kaminski</v>
      </c>
      <c r="CS430" s="252">
        <f t="shared" si="449"/>
        <v>427</v>
      </c>
      <c r="CT430" s="252">
        <f t="shared" si="450"/>
        <v>11</v>
      </c>
      <c r="CU430" s="252" t="str">
        <f t="shared" si="459"/>
        <v>CR10</v>
      </c>
      <c r="CV430" s="252" t="str">
        <f t="shared" ca="1" si="451"/>
        <v/>
      </c>
      <c r="CW430" s="252">
        <f t="shared" ca="1" si="457"/>
        <v>0</v>
      </c>
    </row>
    <row r="431" spans="72:101" x14ac:dyDescent="0.2">
      <c r="BT431" s="253" t="str">
        <f t="shared" ca="1" si="460"/>
        <v>Belgium</v>
      </c>
      <c r="BU431" s="253">
        <f t="shared" si="458"/>
        <v>429</v>
      </c>
      <c r="BV431" s="253" t="str">
        <f t="shared" si="452"/>
        <v>A15</v>
      </c>
      <c r="BW431" s="253">
        <f t="shared" si="453"/>
        <v>17</v>
      </c>
      <c r="BX431" s="253" t="str">
        <f t="shared" ca="1" si="454"/>
        <v>Matz Sels</v>
      </c>
      <c r="BY431" s="253">
        <f ca="1">COUNTIF('Group Stages'!$J$8:$Q$80,BX431)+COUNTIF('Knock Out Stages'!$K$7:$R$45,BX431)</f>
        <v>0</v>
      </c>
      <c r="BZ431" s="253" t="str">
        <f t="shared" si="455"/>
        <v>'Player Database'!b18</v>
      </c>
      <c r="CA431" s="253" t="str">
        <f t="shared" ca="1" si="456"/>
        <v>Matz Sels</v>
      </c>
      <c r="CS431" s="252">
        <f t="shared" si="449"/>
        <v>428</v>
      </c>
      <c r="CT431" s="252">
        <f t="shared" si="450"/>
        <v>11</v>
      </c>
      <c r="CU431" s="252" t="str">
        <f t="shared" si="459"/>
        <v>CR11</v>
      </c>
      <c r="CV431" s="252" t="str">
        <f t="shared" ca="1" si="451"/>
        <v/>
      </c>
      <c r="CW431" s="252">
        <f t="shared" ca="1" si="457"/>
        <v>0</v>
      </c>
    </row>
    <row r="432" spans="72:101" x14ac:dyDescent="0.2">
      <c r="BT432" s="253" t="str">
        <f t="shared" ca="1" si="460"/>
        <v>Belgium</v>
      </c>
      <c r="BU432" s="253">
        <f t="shared" si="458"/>
        <v>430</v>
      </c>
      <c r="BV432" s="253" t="str">
        <f t="shared" si="452"/>
        <v>A16</v>
      </c>
      <c r="BW432" s="253">
        <f t="shared" si="453"/>
        <v>17</v>
      </c>
      <c r="BX432" s="253" t="str">
        <f t="shared" ca="1" si="454"/>
        <v>Dodi Lukebakio</v>
      </c>
      <c r="BY432" s="253">
        <f ca="1">COUNTIF('Group Stages'!$J$8:$Q$80,BX432)+COUNTIF('Knock Out Stages'!$K$7:$R$45,BX432)</f>
        <v>0</v>
      </c>
      <c r="BZ432" s="253" t="str">
        <f t="shared" si="455"/>
        <v>'Player Database'!b19</v>
      </c>
      <c r="CA432" s="253" t="str">
        <f t="shared" ca="1" si="456"/>
        <v>Dodi Lukebakio</v>
      </c>
      <c r="CS432" s="252">
        <f t="shared" ref="CS432:CS495" si="461">CS431+1</f>
        <v>429</v>
      </c>
      <c r="CT432" s="252">
        <f t="shared" ref="CT432:CT495" si="462">CT390+1</f>
        <v>11</v>
      </c>
      <c r="CU432" s="252" t="str">
        <f t="shared" si="459"/>
        <v>CR12</v>
      </c>
      <c r="CV432" s="252" t="str">
        <f t="shared" ref="CV432:CV495" ca="1" si="463">OFFSET(INDIRECT(CU432),0,-CT432)</f>
        <v/>
      </c>
      <c r="CW432" s="252">
        <f t="shared" ca="1" si="457"/>
        <v>0</v>
      </c>
    </row>
    <row r="433" spans="72:101" x14ac:dyDescent="0.2">
      <c r="BT433" s="253" t="str">
        <f t="shared" ca="1" si="460"/>
        <v>Belgium</v>
      </c>
      <c r="BU433" s="253">
        <f t="shared" si="458"/>
        <v>431</v>
      </c>
      <c r="BV433" s="253" t="str">
        <f t="shared" si="452"/>
        <v>A17</v>
      </c>
      <c r="BW433" s="253">
        <f t="shared" si="453"/>
        <v>17</v>
      </c>
      <c r="BX433" s="253" t="str">
        <f t="shared" ca="1" si="454"/>
        <v>Thomas Meunier</v>
      </c>
      <c r="BY433" s="253">
        <f ca="1">COUNTIF('Group Stages'!$J$8:$Q$80,BX433)+COUNTIF('Knock Out Stages'!$K$7:$R$45,BX433)</f>
        <v>0</v>
      </c>
      <c r="BZ433" s="253" t="str">
        <f t="shared" si="455"/>
        <v>'Player Database'!b20</v>
      </c>
      <c r="CA433" s="253" t="str">
        <f t="shared" ca="1" si="456"/>
        <v>Thomas Meunier</v>
      </c>
      <c r="CS433" s="252">
        <f t="shared" si="461"/>
        <v>430</v>
      </c>
      <c r="CT433" s="252">
        <f t="shared" si="462"/>
        <v>11</v>
      </c>
      <c r="CU433" s="252" t="str">
        <f t="shared" si="459"/>
        <v>CR13</v>
      </c>
      <c r="CV433" s="252" t="str">
        <f t="shared" ca="1" si="463"/>
        <v/>
      </c>
      <c r="CW433" s="252">
        <f t="shared" ca="1" si="457"/>
        <v>0</v>
      </c>
    </row>
    <row r="434" spans="72:101" x14ac:dyDescent="0.2">
      <c r="BT434" s="253" t="str">
        <f t="shared" ca="1" si="460"/>
        <v>Belgium</v>
      </c>
      <c r="BU434" s="253">
        <f t="shared" si="458"/>
        <v>432</v>
      </c>
      <c r="BV434" s="253" t="str">
        <f t="shared" si="452"/>
        <v>A18</v>
      </c>
      <c r="BW434" s="253">
        <f t="shared" si="453"/>
        <v>17</v>
      </c>
      <c r="BX434" s="253" t="str">
        <f t="shared" ca="1" si="454"/>
        <v>Aster Vranckx</v>
      </c>
      <c r="BY434" s="253">
        <f ca="1">COUNTIF('Group Stages'!$J$8:$Q$80,BX434)+COUNTIF('Knock Out Stages'!$K$7:$R$45,BX434)</f>
        <v>0</v>
      </c>
      <c r="BZ434" s="253" t="str">
        <f t="shared" si="455"/>
        <v>'Player Database'!b21</v>
      </c>
      <c r="CA434" s="253" t="str">
        <f t="shared" ca="1" si="456"/>
        <v>Aster Vranckx</v>
      </c>
      <c r="CS434" s="252">
        <f t="shared" si="461"/>
        <v>431</v>
      </c>
      <c r="CT434" s="252">
        <f t="shared" si="462"/>
        <v>11</v>
      </c>
      <c r="CU434" s="252" t="str">
        <f t="shared" si="459"/>
        <v>CR14</v>
      </c>
      <c r="CV434" s="252" t="str">
        <f t="shared" ca="1" si="463"/>
        <v/>
      </c>
      <c r="CW434" s="252">
        <f t="shared" ca="1" si="457"/>
        <v>0</v>
      </c>
    </row>
    <row r="435" spans="72:101" x14ac:dyDescent="0.2">
      <c r="BT435" s="253" t="str">
        <f t="shared" ca="1" si="460"/>
        <v>Belgium</v>
      </c>
      <c r="BU435" s="253">
        <f t="shared" si="458"/>
        <v>433</v>
      </c>
      <c r="BV435" s="253" t="str">
        <f t="shared" si="452"/>
        <v>A19</v>
      </c>
      <c r="BW435" s="253">
        <f t="shared" si="453"/>
        <v>17</v>
      </c>
      <c r="BX435" s="253" t="str">
        <f t="shared" ca="1" si="454"/>
        <v>Charles De Ketelaere</v>
      </c>
      <c r="BY435" s="253">
        <f ca="1">COUNTIF('Group Stages'!$J$8:$Q$80,BX435)+COUNTIF('Knock Out Stages'!$K$7:$R$45,BX435)</f>
        <v>0</v>
      </c>
      <c r="BZ435" s="253" t="str">
        <f t="shared" si="455"/>
        <v>'Player Database'!b22</v>
      </c>
      <c r="CA435" s="253" t="str">
        <f t="shared" ca="1" si="456"/>
        <v>Charles De Ketelaere</v>
      </c>
      <c r="CS435" s="252">
        <f t="shared" si="461"/>
        <v>432</v>
      </c>
      <c r="CT435" s="252">
        <f t="shared" si="462"/>
        <v>11</v>
      </c>
      <c r="CU435" s="252" t="str">
        <f t="shared" si="459"/>
        <v>CR15</v>
      </c>
      <c r="CV435" s="252" t="str">
        <f t="shared" ca="1" si="463"/>
        <v/>
      </c>
      <c r="CW435" s="252">
        <f t="shared" ca="1" si="457"/>
        <v>0</v>
      </c>
    </row>
    <row r="436" spans="72:101" x14ac:dyDescent="0.2">
      <c r="BT436" s="253" t="str">
        <f t="shared" ca="1" si="460"/>
        <v>Belgium</v>
      </c>
      <c r="BU436" s="253">
        <f t="shared" si="458"/>
        <v>434</v>
      </c>
      <c r="BV436" s="253" t="str">
        <f t="shared" si="452"/>
        <v>A20</v>
      </c>
      <c r="BW436" s="253">
        <f t="shared" si="453"/>
        <v>17</v>
      </c>
      <c r="BX436" s="253" t="str">
        <f t="shared" ca="1" si="454"/>
        <v>Orel Mangala</v>
      </c>
      <c r="BY436" s="253">
        <f ca="1">COUNTIF('Group Stages'!$J$8:$Q$80,BX436)+COUNTIF('Knock Out Stages'!$K$7:$R$45,BX436)</f>
        <v>0</v>
      </c>
      <c r="BZ436" s="253" t="str">
        <f t="shared" si="455"/>
        <v>'Player Database'!b23</v>
      </c>
      <c r="CA436" s="253" t="str">
        <f t="shared" ca="1" si="456"/>
        <v>Orel Mangala</v>
      </c>
      <c r="CS436" s="252">
        <f t="shared" si="461"/>
        <v>433</v>
      </c>
      <c r="CT436" s="252">
        <f t="shared" si="462"/>
        <v>11</v>
      </c>
      <c r="CU436" s="252" t="str">
        <f t="shared" si="459"/>
        <v>CR16</v>
      </c>
      <c r="CV436" s="252" t="str">
        <f t="shared" ca="1" si="463"/>
        <v/>
      </c>
      <c r="CW436" s="252">
        <f t="shared" ca="1" si="457"/>
        <v>0</v>
      </c>
    </row>
    <row r="437" spans="72:101" x14ac:dyDescent="0.2">
      <c r="BT437" s="253" t="str">
        <f t="shared" ca="1" si="460"/>
        <v>Belgium</v>
      </c>
      <c r="BU437" s="253">
        <f t="shared" si="458"/>
        <v>435</v>
      </c>
      <c r="BV437" s="253" t="str">
        <f t="shared" si="452"/>
        <v>A21</v>
      </c>
      <c r="BW437" s="253">
        <f t="shared" si="453"/>
        <v>17</v>
      </c>
      <c r="BX437" s="253" t="str">
        <f t="shared" ca="1" si="454"/>
        <v>Johan Bakayoko</v>
      </c>
      <c r="BY437" s="253">
        <f ca="1">COUNTIF('Group Stages'!$J$8:$Q$80,BX437)+COUNTIF('Knock Out Stages'!$K$7:$R$45,BX437)</f>
        <v>0</v>
      </c>
      <c r="BZ437" s="253" t="str">
        <f t="shared" si="455"/>
        <v>'Player Database'!b24</v>
      </c>
      <c r="CA437" s="253" t="str">
        <f t="shared" ca="1" si="456"/>
        <v>Johan Bakayoko</v>
      </c>
      <c r="CS437" s="252">
        <f t="shared" si="461"/>
        <v>434</v>
      </c>
      <c r="CT437" s="252">
        <f t="shared" si="462"/>
        <v>11</v>
      </c>
      <c r="CU437" s="252" t="str">
        <f t="shared" si="459"/>
        <v>CR17</v>
      </c>
      <c r="CV437" s="252" t="str">
        <f t="shared" ca="1" si="463"/>
        <v/>
      </c>
      <c r="CW437" s="252">
        <f t="shared" ca="1" si="457"/>
        <v>0</v>
      </c>
    </row>
    <row r="438" spans="72:101" x14ac:dyDescent="0.2">
      <c r="BT438" s="253" t="str">
        <f t="shared" ca="1" si="460"/>
        <v>Belgium</v>
      </c>
      <c r="BU438" s="253">
        <f t="shared" si="458"/>
        <v>436</v>
      </c>
      <c r="BV438" s="253" t="str">
        <f t="shared" si="452"/>
        <v>A22</v>
      </c>
      <c r="BW438" s="253">
        <f t="shared" si="453"/>
        <v>17</v>
      </c>
      <c r="BX438" s="253" t="str">
        <f t="shared" ca="1" si="454"/>
        <v>Loïs Openda</v>
      </c>
      <c r="BY438" s="253">
        <f ca="1">COUNTIF('Group Stages'!$J$8:$Q$80,BX438)+COUNTIF('Knock Out Stages'!$K$7:$R$45,BX438)</f>
        <v>0</v>
      </c>
      <c r="BZ438" s="253" t="str">
        <f t="shared" si="455"/>
        <v>'Player Database'!b25</v>
      </c>
      <c r="CA438" s="253" t="str">
        <f t="shared" ca="1" si="456"/>
        <v>Loïs Openda</v>
      </c>
      <c r="CS438" s="252">
        <f t="shared" si="461"/>
        <v>435</v>
      </c>
      <c r="CT438" s="252">
        <f t="shared" si="462"/>
        <v>11</v>
      </c>
      <c r="CU438" s="252" t="str">
        <f t="shared" si="459"/>
        <v>CR18</v>
      </c>
      <c r="CV438" s="252" t="str">
        <f t="shared" ca="1" si="463"/>
        <v/>
      </c>
      <c r="CW438" s="252">
        <f t="shared" ca="1" si="457"/>
        <v>0</v>
      </c>
    </row>
    <row r="439" spans="72:101" x14ac:dyDescent="0.2">
      <c r="BT439" s="253" t="str">
        <f t="shared" ca="1" si="460"/>
        <v>Belgium</v>
      </c>
      <c r="BU439" s="253">
        <f t="shared" si="458"/>
        <v>437</v>
      </c>
      <c r="BV439" s="253" t="str">
        <f t="shared" si="452"/>
        <v>A23</v>
      </c>
      <c r="BW439" s="253">
        <f t="shared" si="453"/>
        <v>17</v>
      </c>
      <c r="BX439" s="253" t="str">
        <f t="shared" ca="1" si="454"/>
        <v>Timothy Castagne</v>
      </c>
      <c r="BY439" s="253">
        <f ca="1">COUNTIF('Group Stages'!$J$8:$Q$80,BX439)+COUNTIF('Knock Out Stages'!$K$7:$R$45,BX439)</f>
        <v>0</v>
      </c>
      <c r="BZ439" s="253" t="str">
        <f t="shared" si="455"/>
        <v>'Player Database'!b26</v>
      </c>
      <c r="CA439" s="253" t="str">
        <f t="shared" ca="1" si="456"/>
        <v>Timothy Castagne</v>
      </c>
      <c r="CS439" s="252">
        <f t="shared" si="461"/>
        <v>436</v>
      </c>
      <c r="CT439" s="252">
        <f t="shared" si="462"/>
        <v>11</v>
      </c>
      <c r="CU439" s="252" t="str">
        <f t="shared" si="459"/>
        <v>CR19</v>
      </c>
      <c r="CV439" s="252" t="str">
        <f t="shared" ca="1" si="463"/>
        <v/>
      </c>
      <c r="CW439" s="252">
        <f t="shared" ca="1" si="457"/>
        <v>0</v>
      </c>
    </row>
    <row r="440" spans="72:101" x14ac:dyDescent="0.2">
      <c r="BT440" s="253" t="str">
        <f t="shared" ca="1" si="460"/>
        <v>Belgium</v>
      </c>
      <c r="BU440" s="253">
        <f t="shared" si="458"/>
        <v>438</v>
      </c>
      <c r="BV440" s="253" t="str">
        <f t="shared" ref="BV440:BV503" si="464">BV414</f>
        <v>A24</v>
      </c>
      <c r="BW440" s="253">
        <f t="shared" ref="BW440:BW503" si="465">BW414+1</f>
        <v>17</v>
      </c>
      <c r="BX440" s="253" t="str">
        <f t="shared" ref="BX440:BX503" ca="1" si="466">OFFSET(INDIRECT(BV440),0,BW440)</f>
        <v>Jérémy Doku</v>
      </c>
      <c r="BY440" s="253">
        <f ca="1">COUNTIF('Group Stages'!$J$8:$Q$80,BX440)+COUNTIF('Knock Out Stages'!$K$7:$R$45,BX440)</f>
        <v>0</v>
      </c>
      <c r="BZ440" s="253" t="str">
        <f t="shared" ref="BZ440:BZ503" si="467">BZ414</f>
        <v>'Player Database'!b27</v>
      </c>
      <c r="CA440" s="253" t="str">
        <f t="shared" ref="CA440:CA503" ca="1" si="468">OFFSET(INDIRECT(BZ440),0,BW440)</f>
        <v>Jérémy Doku</v>
      </c>
      <c r="CS440" s="252">
        <f t="shared" si="461"/>
        <v>437</v>
      </c>
      <c r="CT440" s="252">
        <f t="shared" si="462"/>
        <v>11</v>
      </c>
      <c r="CU440" s="252" t="str">
        <f t="shared" si="459"/>
        <v>CR20</v>
      </c>
      <c r="CV440" s="252" t="str">
        <f t="shared" ca="1" si="463"/>
        <v/>
      </c>
      <c r="CW440" s="252">
        <f t="shared" ca="1" si="457"/>
        <v>0</v>
      </c>
    </row>
    <row r="441" spans="72:101" x14ac:dyDescent="0.2">
      <c r="BT441" s="253" t="str">
        <f t="shared" ca="1" si="460"/>
        <v>Belgium</v>
      </c>
      <c r="BU441" s="253">
        <f t="shared" si="458"/>
        <v>439</v>
      </c>
      <c r="BV441" s="253" t="str">
        <f t="shared" si="464"/>
        <v>A25</v>
      </c>
      <c r="BW441" s="253">
        <f t="shared" si="465"/>
        <v>17</v>
      </c>
      <c r="BX441" s="253" t="str">
        <f t="shared" ca="1" si="466"/>
        <v>Arthur Vermeeren</v>
      </c>
      <c r="BY441" s="253">
        <f ca="1">COUNTIF('Group Stages'!$J$8:$Q$80,BX441)+COUNTIF('Knock Out Stages'!$K$7:$R$45,BX441)</f>
        <v>0</v>
      </c>
      <c r="BZ441" s="253" t="str">
        <f t="shared" si="467"/>
        <v>'Player Database'!b28</v>
      </c>
      <c r="CA441" s="253" t="str">
        <f t="shared" ca="1" si="468"/>
        <v>Arthur Vermeeren</v>
      </c>
      <c r="CS441" s="252">
        <f t="shared" si="461"/>
        <v>438</v>
      </c>
      <c r="CT441" s="252">
        <f t="shared" si="462"/>
        <v>11</v>
      </c>
      <c r="CU441" s="252" t="str">
        <f t="shared" si="459"/>
        <v>CR21</v>
      </c>
      <c r="CV441" s="252" t="str">
        <f t="shared" ca="1" si="463"/>
        <v/>
      </c>
      <c r="CW441" s="252">
        <f t="shared" ca="1" si="457"/>
        <v>0</v>
      </c>
    </row>
    <row r="442" spans="72:101" x14ac:dyDescent="0.2">
      <c r="BT442" s="253" t="str">
        <f t="shared" ca="1" si="460"/>
        <v>Belgium</v>
      </c>
      <c r="BU442" s="253">
        <f t="shared" si="458"/>
        <v>440</v>
      </c>
      <c r="BV442" s="253" t="str">
        <f t="shared" si="464"/>
        <v>A26</v>
      </c>
      <c r="BW442" s="253">
        <f t="shared" si="465"/>
        <v>17</v>
      </c>
      <c r="BX442" s="253" t="str">
        <f t="shared" ca="1" si="466"/>
        <v>Amadou Onana</v>
      </c>
      <c r="BY442" s="253">
        <f ca="1">COUNTIF('Group Stages'!$J$8:$Q$80,BX442)+COUNTIF('Knock Out Stages'!$K$7:$R$45,BX442)</f>
        <v>0</v>
      </c>
      <c r="BZ442" s="253" t="str">
        <f t="shared" si="467"/>
        <v>'Player Database'!b29</v>
      </c>
      <c r="CA442" s="253" t="str">
        <f t="shared" ca="1" si="468"/>
        <v>Amadou Onana</v>
      </c>
      <c r="CS442" s="252">
        <f t="shared" si="461"/>
        <v>439</v>
      </c>
      <c r="CT442" s="252">
        <f t="shared" si="462"/>
        <v>11</v>
      </c>
      <c r="CU442" s="252" t="str">
        <f t="shared" si="459"/>
        <v>CR22</v>
      </c>
      <c r="CV442" s="252" t="str">
        <f t="shared" ca="1" si="463"/>
        <v/>
      </c>
      <c r="CW442" s="252">
        <f t="shared" ca="1" si="457"/>
        <v>0</v>
      </c>
    </row>
    <row r="443" spans="72:101" x14ac:dyDescent="0.2">
      <c r="BT443" s="253" t="str">
        <f t="shared" ca="1" si="460"/>
        <v>Belgium</v>
      </c>
      <c r="BU443" s="253">
        <f t="shared" si="458"/>
        <v>441</v>
      </c>
      <c r="BV443" s="253" t="str">
        <f t="shared" si="464"/>
        <v>A27</v>
      </c>
      <c r="BW443" s="253">
        <f t="shared" si="465"/>
        <v>17</v>
      </c>
      <c r="BX443" s="253" t="str">
        <f t="shared" ca="1" si="466"/>
        <v>Maxim De Cuyper</v>
      </c>
      <c r="BY443" s="253">
        <f ca="1">COUNTIF('Group Stages'!$J$8:$Q$80,BX443)+COUNTIF('Knock Out Stages'!$K$7:$R$45,BX443)</f>
        <v>0</v>
      </c>
      <c r="BZ443" s="253" t="str">
        <f t="shared" si="467"/>
        <v>'Player Database'!b30</v>
      </c>
      <c r="CA443" s="253" t="str">
        <f t="shared" ca="1" si="468"/>
        <v>Maxim De Cuyper</v>
      </c>
      <c r="CS443" s="252">
        <f t="shared" si="461"/>
        <v>440</v>
      </c>
      <c r="CT443" s="252">
        <f t="shared" si="462"/>
        <v>11</v>
      </c>
      <c r="CU443" s="252" t="str">
        <f t="shared" si="459"/>
        <v>CR23</v>
      </c>
      <c r="CV443" s="252" t="str">
        <f t="shared" ca="1" si="463"/>
        <v/>
      </c>
      <c r="CW443" s="252">
        <f t="shared" ca="1" si="457"/>
        <v>0</v>
      </c>
    </row>
    <row r="444" spans="72:101" x14ac:dyDescent="0.2">
      <c r="BT444" s="253" t="str">
        <f t="shared" ca="1" si="460"/>
        <v>Belgium</v>
      </c>
      <c r="BU444" s="253">
        <f t="shared" si="458"/>
        <v>442</v>
      </c>
      <c r="BV444" s="253" t="str">
        <f t="shared" si="464"/>
        <v>A28</v>
      </c>
      <c r="BW444" s="253">
        <f t="shared" si="465"/>
        <v>17</v>
      </c>
      <c r="BX444" s="253">
        <f t="shared" ca="1" si="466"/>
        <v>0</v>
      </c>
      <c r="BY444" s="253">
        <f ca="1">COUNTIF('Group Stages'!$J$8:$Q$80,BX444)+COUNTIF('Knock Out Stages'!$K$7:$R$45,BX444)</f>
        <v>0</v>
      </c>
      <c r="BZ444" s="253" t="str">
        <f t="shared" si="467"/>
        <v>'Player Database'!b31</v>
      </c>
      <c r="CA444" s="253">
        <f t="shared" ca="1" si="468"/>
        <v>0</v>
      </c>
      <c r="CS444" s="252">
        <f t="shared" si="461"/>
        <v>441</v>
      </c>
      <c r="CT444" s="252">
        <f t="shared" si="462"/>
        <v>11</v>
      </c>
      <c r="CU444" s="252" t="str">
        <f t="shared" si="459"/>
        <v>CR24</v>
      </c>
      <c r="CV444" s="252" t="str">
        <f t="shared" ca="1" si="463"/>
        <v/>
      </c>
      <c r="CW444" s="252">
        <f t="shared" ca="1" si="457"/>
        <v>0</v>
      </c>
    </row>
    <row r="445" spans="72:101" x14ac:dyDescent="0.2">
      <c r="BT445" s="253" t="str">
        <f t="shared" ca="1" si="460"/>
        <v>Slovakia</v>
      </c>
      <c r="BU445" s="253">
        <f t="shared" si="458"/>
        <v>443</v>
      </c>
      <c r="BV445" s="253" t="str">
        <f t="shared" si="464"/>
        <v>A3</v>
      </c>
      <c r="BW445" s="253">
        <f t="shared" si="465"/>
        <v>18</v>
      </c>
      <c r="BX445" s="253" t="str">
        <f t="shared" ca="1" si="466"/>
        <v>Martin Dúbravka</v>
      </c>
      <c r="BY445" s="253">
        <f ca="1">COUNTIF('Group Stages'!$J$8:$Q$80,BX445)+COUNTIF('Knock Out Stages'!$K$7:$R$45,BX445)</f>
        <v>0</v>
      </c>
      <c r="BZ445" s="253" t="str">
        <f t="shared" si="467"/>
        <v>'Player Database'!b6</v>
      </c>
      <c r="CA445" s="253" t="str">
        <f t="shared" ca="1" si="468"/>
        <v>Martin Dúbravka</v>
      </c>
      <c r="CS445" s="252">
        <f t="shared" si="461"/>
        <v>442</v>
      </c>
      <c r="CT445" s="252">
        <f t="shared" si="462"/>
        <v>11</v>
      </c>
      <c r="CU445" s="252" t="str">
        <f t="shared" si="459"/>
        <v>CR25</v>
      </c>
      <c r="CV445" s="252" t="str">
        <f t="shared" ca="1" si="463"/>
        <v/>
      </c>
      <c r="CW445" s="252">
        <f t="shared" ca="1" si="457"/>
        <v>0</v>
      </c>
    </row>
    <row r="446" spans="72:101" x14ac:dyDescent="0.2">
      <c r="BT446" s="253" t="str">
        <f t="shared" ca="1" si="460"/>
        <v>Slovakia</v>
      </c>
      <c r="BU446" s="253">
        <f t="shared" si="458"/>
        <v>444</v>
      </c>
      <c r="BV446" s="253" t="str">
        <f t="shared" si="464"/>
        <v>A4</v>
      </c>
      <c r="BW446" s="253">
        <f t="shared" si="465"/>
        <v>18</v>
      </c>
      <c r="BX446" s="253" t="str">
        <f t="shared" ca="1" si="466"/>
        <v>Peter Pekarík</v>
      </c>
      <c r="BY446" s="253">
        <f ca="1">COUNTIF('Group Stages'!$J$8:$Q$80,BX446)+COUNTIF('Knock Out Stages'!$K$7:$R$45,BX446)</f>
        <v>0</v>
      </c>
      <c r="BZ446" s="253" t="str">
        <f t="shared" si="467"/>
        <v>'Player Database'!b7</v>
      </c>
      <c r="CA446" s="253" t="str">
        <f t="shared" ca="1" si="468"/>
        <v>Peter Pekarík</v>
      </c>
      <c r="CS446" s="252">
        <f t="shared" si="461"/>
        <v>443</v>
      </c>
      <c r="CT446" s="252">
        <f t="shared" si="462"/>
        <v>11</v>
      </c>
      <c r="CU446" s="252" t="str">
        <f t="shared" si="459"/>
        <v>CR26</v>
      </c>
      <c r="CV446" s="252" t="str">
        <f t="shared" ca="1" si="463"/>
        <v/>
      </c>
      <c r="CW446" s="252">
        <f t="shared" ca="1" si="457"/>
        <v>0</v>
      </c>
    </row>
    <row r="447" spans="72:101" x14ac:dyDescent="0.2">
      <c r="BT447" s="253" t="str">
        <f t="shared" ca="1" si="460"/>
        <v>Slovakia</v>
      </c>
      <c r="BU447" s="253">
        <f t="shared" si="458"/>
        <v>445</v>
      </c>
      <c r="BV447" s="253" t="str">
        <f t="shared" si="464"/>
        <v>A5</v>
      </c>
      <c r="BW447" s="253">
        <f t="shared" si="465"/>
        <v>18</v>
      </c>
      <c r="BX447" s="253" t="str">
        <f t="shared" ca="1" si="466"/>
        <v>Denis Vavro</v>
      </c>
      <c r="BY447" s="253">
        <f ca="1">COUNTIF('Group Stages'!$J$8:$Q$80,BX447)+COUNTIF('Knock Out Stages'!$K$7:$R$45,BX447)</f>
        <v>0</v>
      </c>
      <c r="BZ447" s="253" t="str">
        <f t="shared" si="467"/>
        <v>'Player Database'!b8</v>
      </c>
      <c r="CA447" s="253" t="str">
        <f t="shared" ca="1" si="468"/>
        <v>Denis Vavro</v>
      </c>
      <c r="CS447" s="252">
        <f t="shared" si="461"/>
        <v>444</v>
      </c>
      <c r="CT447" s="252">
        <f t="shared" si="462"/>
        <v>11</v>
      </c>
      <c r="CU447" s="252" t="str">
        <f t="shared" si="459"/>
        <v>CR27</v>
      </c>
      <c r="CV447" s="252" t="str">
        <f t="shared" ca="1" si="463"/>
        <v/>
      </c>
      <c r="CW447" s="252">
        <f t="shared" ca="1" si="457"/>
        <v>0</v>
      </c>
    </row>
    <row r="448" spans="72:101" x14ac:dyDescent="0.2">
      <c r="BT448" s="253" t="str">
        <f t="shared" ca="1" si="460"/>
        <v>Slovakia</v>
      </c>
      <c r="BU448" s="253">
        <f t="shared" si="458"/>
        <v>446</v>
      </c>
      <c r="BV448" s="253" t="str">
        <f t="shared" si="464"/>
        <v>A6</v>
      </c>
      <c r="BW448" s="253">
        <f t="shared" si="465"/>
        <v>18</v>
      </c>
      <c r="BX448" s="253" t="str">
        <f t="shared" ca="1" si="466"/>
        <v>Adam Obert</v>
      </c>
      <c r="BY448" s="253">
        <f ca="1">COUNTIF('Group Stages'!$J$8:$Q$80,BX448)+COUNTIF('Knock Out Stages'!$K$7:$R$45,BX448)</f>
        <v>0</v>
      </c>
      <c r="BZ448" s="253" t="str">
        <f t="shared" si="467"/>
        <v>'Player Database'!b9</v>
      </c>
      <c r="CA448" s="253" t="str">
        <f t="shared" ca="1" si="468"/>
        <v>Adam Obert</v>
      </c>
      <c r="CS448" s="252">
        <f t="shared" si="461"/>
        <v>445</v>
      </c>
      <c r="CT448" s="252">
        <f t="shared" si="462"/>
        <v>11</v>
      </c>
      <c r="CU448" s="252" t="str">
        <f t="shared" si="459"/>
        <v>CR28</v>
      </c>
      <c r="CV448" s="252" t="str">
        <f t="shared" ca="1" si="463"/>
        <v/>
      </c>
      <c r="CW448" s="252">
        <f t="shared" ca="1" si="457"/>
        <v>0</v>
      </c>
    </row>
    <row r="449" spans="72:101" x14ac:dyDescent="0.2">
      <c r="BT449" s="253" t="str">
        <f t="shared" ca="1" si="460"/>
        <v>Slovakia</v>
      </c>
      <c r="BU449" s="253">
        <f t="shared" si="458"/>
        <v>447</v>
      </c>
      <c r="BV449" s="253" t="str">
        <f t="shared" si="464"/>
        <v>A7</v>
      </c>
      <c r="BW449" s="253">
        <f t="shared" si="465"/>
        <v>18</v>
      </c>
      <c r="BX449" s="253" t="str">
        <f t="shared" ca="1" si="466"/>
        <v>Tomáš Rigo</v>
      </c>
      <c r="BY449" s="253">
        <f ca="1">COUNTIF('Group Stages'!$J$8:$Q$80,BX449)+COUNTIF('Knock Out Stages'!$K$7:$R$45,BX449)</f>
        <v>0</v>
      </c>
      <c r="BZ449" s="253" t="str">
        <f t="shared" si="467"/>
        <v>'Player Database'!b10</v>
      </c>
      <c r="CA449" s="253" t="str">
        <f t="shared" ca="1" si="468"/>
        <v>Tomáš Rigo</v>
      </c>
      <c r="CS449" s="252">
        <f t="shared" si="461"/>
        <v>446</v>
      </c>
      <c r="CT449" s="252">
        <f t="shared" si="462"/>
        <v>11</v>
      </c>
      <c r="CU449" s="252" t="str">
        <f t="shared" si="459"/>
        <v>CR29</v>
      </c>
      <c r="CV449" s="252" t="str">
        <f t="shared" ca="1" si="463"/>
        <v/>
      </c>
      <c r="CW449" s="252">
        <f t="shared" ca="1" si="457"/>
        <v>0</v>
      </c>
    </row>
    <row r="450" spans="72:101" x14ac:dyDescent="0.2">
      <c r="BT450" s="253" t="str">
        <f t="shared" ca="1" si="460"/>
        <v>Slovakia</v>
      </c>
      <c r="BU450" s="253">
        <f t="shared" si="458"/>
        <v>448</v>
      </c>
      <c r="BV450" s="253" t="str">
        <f t="shared" si="464"/>
        <v>A8</v>
      </c>
      <c r="BW450" s="253">
        <f t="shared" si="465"/>
        <v>18</v>
      </c>
      <c r="BX450" s="253" t="str">
        <f t="shared" ca="1" si="466"/>
        <v>Norbert Gyömbér</v>
      </c>
      <c r="BY450" s="253">
        <f ca="1">COUNTIF('Group Stages'!$J$8:$Q$80,BX450)+COUNTIF('Knock Out Stages'!$K$7:$R$45,BX450)</f>
        <v>0</v>
      </c>
      <c r="BZ450" s="253" t="str">
        <f t="shared" si="467"/>
        <v>'Player Database'!b11</v>
      </c>
      <c r="CA450" s="253" t="str">
        <f t="shared" ca="1" si="468"/>
        <v>Norbert Gyömbér</v>
      </c>
      <c r="CS450" s="252">
        <f t="shared" si="461"/>
        <v>447</v>
      </c>
      <c r="CT450" s="252">
        <f t="shared" si="462"/>
        <v>11</v>
      </c>
      <c r="CU450" s="252" t="str">
        <f t="shared" si="459"/>
        <v>CR30</v>
      </c>
      <c r="CV450" s="252" t="str">
        <f t="shared" ca="1" si="463"/>
        <v/>
      </c>
      <c r="CW450" s="252">
        <f t="shared" ca="1" si="457"/>
        <v>0</v>
      </c>
    </row>
    <row r="451" spans="72:101" x14ac:dyDescent="0.2">
      <c r="BT451" s="253" t="str">
        <f t="shared" ca="1" si="460"/>
        <v>Slovakia</v>
      </c>
      <c r="BU451" s="253">
        <f t="shared" si="458"/>
        <v>449</v>
      </c>
      <c r="BV451" s="253" t="str">
        <f t="shared" si="464"/>
        <v>A9</v>
      </c>
      <c r="BW451" s="253">
        <f t="shared" si="465"/>
        <v>18</v>
      </c>
      <c r="BX451" s="253" t="str">
        <f t="shared" ca="1" si="466"/>
        <v>Tomáš Suslov</v>
      </c>
      <c r="BY451" s="253">
        <f ca="1">COUNTIF('Group Stages'!$J$8:$Q$80,BX451)+COUNTIF('Knock Out Stages'!$K$7:$R$45,BX451)</f>
        <v>0</v>
      </c>
      <c r="BZ451" s="253" t="str">
        <f t="shared" si="467"/>
        <v>'Player Database'!b12</v>
      </c>
      <c r="CA451" s="253" t="str">
        <f t="shared" ca="1" si="468"/>
        <v>Tomáš Suslov</v>
      </c>
      <c r="CS451" s="252">
        <f t="shared" si="461"/>
        <v>448</v>
      </c>
      <c r="CT451" s="252">
        <f t="shared" si="462"/>
        <v>11</v>
      </c>
      <c r="CU451" s="252" t="str">
        <f t="shared" si="459"/>
        <v>CR31</v>
      </c>
      <c r="CV451" s="252" t="str">
        <f t="shared" ca="1" si="463"/>
        <v/>
      </c>
      <c r="CW451" s="252">
        <f t="shared" ca="1" si="457"/>
        <v>0</v>
      </c>
    </row>
    <row r="452" spans="72:101" x14ac:dyDescent="0.2">
      <c r="BT452" s="253" t="str">
        <f t="shared" ca="1" si="460"/>
        <v>Slovakia</v>
      </c>
      <c r="BU452" s="253">
        <f t="shared" si="458"/>
        <v>450</v>
      </c>
      <c r="BV452" s="253" t="str">
        <f t="shared" si="464"/>
        <v>A10</v>
      </c>
      <c r="BW452" s="253">
        <f t="shared" si="465"/>
        <v>18</v>
      </c>
      <c r="BX452" s="253" t="str">
        <f t="shared" ca="1" si="466"/>
        <v>Ondrej Duda</v>
      </c>
      <c r="BY452" s="253">
        <f ca="1">COUNTIF('Group Stages'!$J$8:$Q$80,BX452)+COUNTIF('Knock Out Stages'!$K$7:$R$45,BX452)</f>
        <v>0</v>
      </c>
      <c r="BZ452" s="253" t="str">
        <f t="shared" si="467"/>
        <v>'Player Database'!b13</v>
      </c>
      <c r="CA452" s="253" t="str">
        <f t="shared" ca="1" si="468"/>
        <v>Ondrej Duda</v>
      </c>
      <c r="CS452" s="252">
        <f t="shared" si="461"/>
        <v>449</v>
      </c>
      <c r="CT452" s="252">
        <f t="shared" si="462"/>
        <v>11</v>
      </c>
      <c r="CU452" s="252" t="str">
        <f t="shared" si="459"/>
        <v>CR32</v>
      </c>
      <c r="CV452" s="252" t="str">
        <f t="shared" ca="1" si="463"/>
        <v/>
      </c>
      <c r="CW452" s="252">
        <f t="shared" ca="1" si="457"/>
        <v>0</v>
      </c>
    </row>
    <row r="453" spans="72:101" x14ac:dyDescent="0.2">
      <c r="BT453" s="253" t="str">
        <f t="shared" ca="1" si="460"/>
        <v>Slovakia</v>
      </c>
      <c r="BU453" s="253">
        <f t="shared" si="458"/>
        <v>451</v>
      </c>
      <c r="BV453" s="253" t="str">
        <f t="shared" si="464"/>
        <v>A11</v>
      </c>
      <c r="BW453" s="253">
        <f t="shared" si="465"/>
        <v>18</v>
      </c>
      <c r="BX453" s="253" t="str">
        <f t="shared" ca="1" si="466"/>
        <v>Róbert Boženík</v>
      </c>
      <c r="BY453" s="253">
        <f ca="1">COUNTIF('Group Stages'!$J$8:$Q$80,BX453)+COUNTIF('Knock Out Stages'!$K$7:$R$45,BX453)</f>
        <v>0</v>
      </c>
      <c r="BZ453" s="253" t="str">
        <f t="shared" si="467"/>
        <v>'Player Database'!b14</v>
      </c>
      <c r="CA453" s="253" t="str">
        <f t="shared" ca="1" si="468"/>
        <v>Róbert Boženík</v>
      </c>
      <c r="CS453" s="252">
        <f t="shared" si="461"/>
        <v>450</v>
      </c>
      <c r="CT453" s="252">
        <f t="shared" si="462"/>
        <v>11</v>
      </c>
      <c r="CU453" s="252" t="str">
        <f t="shared" si="459"/>
        <v>CR33</v>
      </c>
      <c r="CV453" s="252" t="str">
        <f t="shared" ca="1" si="463"/>
        <v/>
      </c>
      <c r="CW453" s="252">
        <f t="shared" ref="CW453:CW516" ca="1" si="469">IF(CV453&lt;&gt;"",CW452+1,CW452)</f>
        <v>0</v>
      </c>
    </row>
    <row r="454" spans="72:101" x14ac:dyDescent="0.2">
      <c r="BT454" s="253" t="str">
        <f t="shared" ca="1" si="460"/>
        <v>Slovakia</v>
      </c>
      <c r="BU454" s="253">
        <f t="shared" si="458"/>
        <v>452</v>
      </c>
      <c r="BV454" s="253" t="str">
        <f t="shared" si="464"/>
        <v>A12</v>
      </c>
      <c r="BW454" s="253">
        <f t="shared" si="465"/>
        <v>18</v>
      </c>
      <c r="BX454" s="253" t="str">
        <f t="shared" ca="1" si="466"/>
        <v>Ľubomír Tupta</v>
      </c>
      <c r="BY454" s="253">
        <f ca="1">COUNTIF('Group Stages'!$J$8:$Q$80,BX454)+COUNTIF('Knock Out Stages'!$K$7:$R$45,BX454)</f>
        <v>0</v>
      </c>
      <c r="BZ454" s="253" t="str">
        <f t="shared" si="467"/>
        <v>'Player Database'!b15</v>
      </c>
      <c r="CA454" s="253" t="str">
        <f t="shared" ca="1" si="468"/>
        <v>Ľubomír Tupta</v>
      </c>
      <c r="CS454" s="252">
        <f t="shared" si="461"/>
        <v>451</v>
      </c>
      <c r="CT454" s="252">
        <f t="shared" si="462"/>
        <v>11</v>
      </c>
      <c r="CU454" s="252" t="str">
        <f t="shared" si="459"/>
        <v>CR34</v>
      </c>
      <c r="CV454" s="252" t="str">
        <f t="shared" ca="1" si="463"/>
        <v/>
      </c>
      <c r="CW454" s="252">
        <f t="shared" ca="1" si="469"/>
        <v>0</v>
      </c>
    </row>
    <row r="455" spans="72:101" x14ac:dyDescent="0.2">
      <c r="BT455" s="253" t="str">
        <f t="shared" ca="1" si="460"/>
        <v>Slovakia</v>
      </c>
      <c r="BU455" s="253">
        <f t="shared" si="458"/>
        <v>453</v>
      </c>
      <c r="BV455" s="253" t="str">
        <f t="shared" si="464"/>
        <v>A13</v>
      </c>
      <c r="BW455" s="253">
        <f t="shared" si="465"/>
        <v>18</v>
      </c>
      <c r="BX455" s="253" t="str">
        <f t="shared" ca="1" si="466"/>
        <v>László Bénes</v>
      </c>
      <c r="BY455" s="253">
        <f ca="1">COUNTIF('Group Stages'!$J$8:$Q$80,BX455)+COUNTIF('Knock Out Stages'!$K$7:$R$45,BX455)</f>
        <v>0</v>
      </c>
      <c r="BZ455" s="253" t="str">
        <f t="shared" si="467"/>
        <v>'Player Database'!b16</v>
      </c>
      <c r="CA455" s="253" t="str">
        <f t="shared" ca="1" si="468"/>
        <v>László Bénes</v>
      </c>
      <c r="CS455" s="252">
        <f t="shared" si="461"/>
        <v>452</v>
      </c>
      <c r="CT455" s="252">
        <f t="shared" si="462"/>
        <v>11</v>
      </c>
      <c r="CU455" s="252" t="str">
        <f t="shared" si="459"/>
        <v>CR35</v>
      </c>
      <c r="CV455" s="252" t="str">
        <f t="shared" ca="1" si="463"/>
        <v/>
      </c>
      <c r="CW455" s="252">
        <f t="shared" ca="1" si="469"/>
        <v>0</v>
      </c>
    </row>
    <row r="456" spans="72:101" x14ac:dyDescent="0.2">
      <c r="BT456" s="253" t="str">
        <f t="shared" ca="1" si="460"/>
        <v>Slovakia</v>
      </c>
      <c r="BU456" s="253">
        <f t="shared" si="458"/>
        <v>454</v>
      </c>
      <c r="BV456" s="253" t="str">
        <f t="shared" si="464"/>
        <v>A14</v>
      </c>
      <c r="BW456" s="253">
        <f t="shared" si="465"/>
        <v>18</v>
      </c>
      <c r="BX456" s="253" t="str">
        <f t="shared" ca="1" si="466"/>
        <v>Marek Rodák</v>
      </c>
      <c r="BY456" s="253">
        <f ca="1">COUNTIF('Group Stages'!$J$8:$Q$80,BX456)+COUNTIF('Knock Out Stages'!$K$7:$R$45,BX456)</f>
        <v>0</v>
      </c>
      <c r="BZ456" s="253" t="str">
        <f t="shared" si="467"/>
        <v>'Player Database'!b17</v>
      </c>
      <c r="CA456" s="253" t="str">
        <f t="shared" ca="1" si="468"/>
        <v>Marek Rodák</v>
      </c>
      <c r="CS456" s="252">
        <f t="shared" si="461"/>
        <v>453</v>
      </c>
      <c r="CT456" s="252">
        <f t="shared" si="462"/>
        <v>11</v>
      </c>
      <c r="CU456" s="252" t="str">
        <f t="shared" si="459"/>
        <v>CR36</v>
      </c>
      <c r="CV456" s="252" t="str">
        <f t="shared" ca="1" si="463"/>
        <v/>
      </c>
      <c r="CW456" s="252">
        <f t="shared" ca="1" si="469"/>
        <v>0</v>
      </c>
    </row>
    <row r="457" spans="72:101" x14ac:dyDescent="0.2">
      <c r="BT457" s="253" t="str">
        <f t="shared" ca="1" si="460"/>
        <v>Slovakia</v>
      </c>
      <c r="BU457" s="253">
        <f t="shared" si="458"/>
        <v>455</v>
      </c>
      <c r="BV457" s="253" t="str">
        <f t="shared" si="464"/>
        <v>A15</v>
      </c>
      <c r="BW457" s="253">
        <f t="shared" si="465"/>
        <v>18</v>
      </c>
      <c r="BX457" s="253" t="str">
        <f t="shared" ca="1" si="466"/>
        <v>Patrik Hrošovský</v>
      </c>
      <c r="BY457" s="253">
        <f ca="1">COUNTIF('Group Stages'!$J$8:$Q$80,BX457)+COUNTIF('Knock Out Stages'!$K$7:$R$45,BX457)</f>
        <v>0</v>
      </c>
      <c r="BZ457" s="253" t="str">
        <f t="shared" si="467"/>
        <v>'Player Database'!b18</v>
      </c>
      <c r="CA457" s="253" t="str">
        <f t="shared" ca="1" si="468"/>
        <v>Patrik Hrošovský</v>
      </c>
      <c r="CS457" s="252">
        <f t="shared" si="461"/>
        <v>454</v>
      </c>
      <c r="CT457" s="252">
        <f t="shared" si="462"/>
        <v>11</v>
      </c>
      <c r="CU457" s="252" t="str">
        <f t="shared" si="459"/>
        <v>CR37</v>
      </c>
      <c r="CV457" s="252" t="str">
        <f t="shared" ca="1" si="463"/>
        <v/>
      </c>
      <c r="CW457" s="252">
        <f t="shared" ca="1" si="469"/>
        <v>0</v>
      </c>
    </row>
    <row r="458" spans="72:101" x14ac:dyDescent="0.2">
      <c r="BT458" s="253" t="str">
        <f t="shared" ca="1" si="460"/>
        <v>Slovakia</v>
      </c>
      <c r="BU458" s="253">
        <f t="shared" si="458"/>
        <v>456</v>
      </c>
      <c r="BV458" s="253" t="str">
        <f t="shared" si="464"/>
        <v>A16</v>
      </c>
      <c r="BW458" s="253">
        <f t="shared" si="465"/>
        <v>18</v>
      </c>
      <c r="BX458" s="253" t="str">
        <f t="shared" ca="1" si="466"/>
        <v>Milan Škriniar</v>
      </c>
      <c r="BY458" s="253">
        <f ca="1">COUNTIF('Group Stages'!$J$8:$Q$80,BX458)+COUNTIF('Knock Out Stages'!$K$7:$R$45,BX458)</f>
        <v>0</v>
      </c>
      <c r="BZ458" s="253" t="str">
        <f t="shared" si="467"/>
        <v>'Player Database'!b19</v>
      </c>
      <c r="CA458" s="253" t="str">
        <f t="shared" ca="1" si="468"/>
        <v>Milan Škriniar</v>
      </c>
      <c r="CS458" s="252">
        <f t="shared" si="461"/>
        <v>455</v>
      </c>
      <c r="CT458" s="252">
        <f t="shared" si="462"/>
        <v>11</v>
      </c>
      <c r="CU458" s="252" t="str">
        <f t="shared" si="459"/>
        <v>CR38</v>
      </c>
      <c r="CV458" s="252" t="str">
        <f t="shared" ca="1" si="463"/>
        <v/>
      </c>
      <c r="CW458" s="252">
        <f t="shared" ca="1" si="469"/>
        <v>0</v>
      </c>
    </row>
    <row r="459" spans="72:101" x14ac:dyDescent="0.2">
      <c r="BT459" s="253" t="str">
        <f t="shared" ca="1" si="460"/>
        <v>Slovakia</v>
      </c>
      <c r="BU459" s="253">
        <f t="shared" ref="BU459:BU522" si="470">BU458+1</f>
        <v>457</v>
      </c>
      <c r="BV459" s="253" t="str">
        <f t="shared" si="464"/>
        <v>A17</v>
      </c>
      <c r="BW459" s="253">
        <f t="shared" si="465"/>
        <v>18</v>
      </c>
      <c r="BX459" s="253" t="str">
        <f t="shared" ca="1" si="466"/>
        <v>Vernon De Marco</v>
      </c>
      <c r="BY459" s="253">
        <f ca="1">COUNTIF('Group Stages'!$J$8:$Q$80,BX459)+COUNTIF('Knock Out Stages'!$K$7:$R$45,BX459)</f>
        <v>0</v>
      </c>
      <c r="BZ459" s="253" t="str">
        <f t="shared" si="467"/>
        <v>'Player Database'!b20</v>
      </c>
      <c r="CA459" s="253" t="str">
        <f t="shared" ca="1" si="468"/>
        <v>Vernon De Marco</v>
      </c>
      <c r="CS459" s="252">
        <f t="shared" si="461"/>
        <v>456</v>
      </c>
      <c r="CT459" s="252">
        <f t="shared" si="462"/>
        <v>11</v>
      </c>
      <c r="CU459" s="252" t="str">
        <f t="shared" si="459"/>
        <v>CR39</v>
      </c>
      <c r="CV459" s="252" t="str">
        <f t="shared" ca="1" si="463"/>
        <v/>
      </c>
      <c r="CW459" s="252">
        <f t="shared" ca="1" si="469"/>
        <v>0</v>
      </c>
    </row>
    <row r="460" spans="72:101" x14ac:dyDescent="0.2">
      <c r="BT460" s="253" t="str">
        <f t="shared" ca="1" si="460"/>
        <v>Slovakia</v>
      </c>
      <c r="BU460" s="253">
        <f t="shared" si="470"/>
        <v>458</v>
      </c>
      <c r="BV460" s="253" t="str">
        <f t="shared" si="464"/>
        <v>A18</v>
      </c>
      <c r="BW460" s="253">
        <f t="shared" si="465"/>
        <v>18</v>
      </c>
      <c r="BX460" s="253" t="str">
        <f t="shared" ca="1" si="466"/>
        <v>Dávid Hancko</v>
      </c>
      <c r="BY460" s="253">
        <f ca="1">COUNTIF('Group Stages'!$J$8:$Q$80,BX460)+COUNTIF('Knock Out Stages'!$K$7:$R$45,BX460)</f>
        <v>0</v>
      </c>
      <c r="BZ460" s="253" t="str">
        <f t="shared" si="467"/>
        <v>'Player Database'!b21</v>
      </c>
      <c r="CA460" s="253" t="str">
        <f t="shared" ca="1" si="468"/>
        <v>Dávid Hancko</v>
      </c>
      <c r="CS460" s="252">
        <f t="shared" si="461"/>
        <v>457</v>
      </c>
      <c r="CT460" s="252">
        <f t="shared" si="462"/>
        <v>11</v>
      </c>
      <c r="CU460" s="252" t="str">
        <f t="shared" si="459"/>
        <v>CR40</v>
      </c>
      <c r="CV460" s="252" t="str">
        <f t="shared" ca="1" si="463"/>
        <v/>
      </c>
      <c r="CW460" s="252">
        <f t="shared" ca="1" si="469"/>
        <v>0</v>
      </c>
    </row>
    <row r="461" spans="72:101" x14ac:dyDescent="0.2">
      <c r="BT461" s="253" t="str">
        <f t="shared" ca="1" si="460"/>
        <v>Slovakia</v>
      </c>
      <c r="BU461" s="253">
        <f t="shared" si="470"/>
        <v>459</v>
      </c>
      <c r="BV461" s="253" t="str">
        <f t="shared" si="464"/>
        <v>A19</v>
      </c>
      <c r="BW461" s="253">
        <f t="shared" si="465"/>
        <v>18</v>
      </c>
      <c r="BX461" s="253" t="str">
        <f t="shared" ca="1" si="466"/>
        <v>Lukáš Haraslín</v>
      </c>
      <c r="BY461" s="253">
        <f ca="1">COUNTIF('Group Stages'!$J$8:$Q$80,BX461)+COUNTIF('Knock Out Stages'!$K$7:$R$45,BX461)</f>
        <v>0</v>
      </c>
      <c r="BZ461" s="253" t="str">
        <f t="shared" si="467"/>
        <v>'Player Database'!b22</v>
      </c>
      <c r="CA461" s="253" t="str">
        <f t="shared" ca="1" si="468"/>
        <v>Lukáš Haraslín</v>
      </c>
      <c r="CS461" s="252">
        <f t="shared" si="461"/>
        <v>458</v>
      </c>
      <c r="CT461" s="252">
        <f t="shared" si="462"/>
        <v>11</v>
      </c>
      <c r="CU461" s="252" t="str">
        <f t="shared" si="459"/>
        <v>CR41</v>
      </c>
      <c r="CV461" s="252" t="str">
        <f t="shared" ca="1" si="463"/>
        <v/>
      </c>
      <c r="CW461" s="252">
        <f t="shared" ca="1" si="469"/>
        <v>0</v>
      </c>
    </row>
    <row r="462" spans="72:101" x14ac:dyDescent="0.2">
      <c r="BT462" s="253" t="str">
        <f t="shared" ca="1" si="460"/>
        <v>Slovakia</v>
      </c>
      <c r="BU462" s="253">
        <f t="shared" si="470"/>
        <v>460</v>
      </c>
      <c r="BV462" s="253" t="str">
        <f t="shared" si="464"/>
        <v>A20</v>
      </c>
      <c r="BW462" s="253">
        <f t="shared" si="465"/>
        <v>18</v>
      </c>
      <c r="BX462" s="253" t="str">
        <f t="shared" ca="1" si="466"/>
        <v>David Strelec</v>
      </c>
      <c r="BY462" s="253">
        <f ca="1">COUNTIF('Group Stages'!$J$8:$Q$80,BX462)+COUNTIF('Knock Out Stages'!$K$7:$R$45,BX462)</f>
        <v>0</v>
      </c>
      <c r="BZ462" s="253" t="str">
        <f t="shared" si="467"/>
        <v>'Player Database'!b23</v>
      </c>
      <c r="CA462" s="253" t="str">
        <f t="shared" ca="1" si="468"/>
        <v>David Strelec</v>
      </c>
      <c r="CS462" s="252">
        <f t="shared" si="461"/>
        <v>459</v>
      </c>
      <c r="CT462" s="252">
        <f t="shared" si="462"/>
        <v>11</v>
      </c>
      <c r="CU462" s="252" t="str">
        <f t="shared" si="459"/>
        <v>CR42</v>
      </c>
      <c r="CV462" s="252" t="str">
        <f t="shared" ca="1" si="463"/>
        <v/>
      </c>
      <c r="CW462" s="252">
        <f t="shared" ca="1" si="469"/>
        <v>0</v>
      </c>
    </row>
    <row r="463" spans="72:101" x14ac:dyDescent="0.2">
      <c r="BT463" s="253" t="str">
        <f t="shared" ca="1" si="460"/>
        <v>Slovakia</v>
      </c>
      <c r="BU463" s="253">
        <f t="shared" si="470"/>
        <v>461</v>
      </c>
      <c r="BV463" s="253" t="str">
        <f t="shared" si="464"/>
        <v>A21</v>
      </c>
      <c r="BW463" s="253">
        <f t="shared" si="465"/>
        <v>18</v>
      </c>
      <c r="BX463" s="253" t="str">
        <f t="shared" ca="1" si="466"/>
        <v>Juraj Kucka</v>
      </c>
      <c r="BY463" s="253">
        <f ca="1">COUNTIF('Group Stages'!$J$8:$Q$80,BX463)+COUNTIF('Knock Out Stages'!$K$7:$R$45,BX463)</f>
        <v>0</v>
      </c>
      <c r="BZ463" s="253" t="str">
        <f t="shared" si="467"/>
        <v>'Player Database'!b24</v>
      </c>
      <c r="CA463" s="253" t="str">
        <f t="shared" ca="1" si="468"/>
        <v>Juraj Kucka</v>
      </c>
      <c r="CS463" s="252">
        <f t="shared" si="461"/>
        <v>460</v>
      </c>
      <c r="CT463" s="252">
        <f t="shared" si="462"/>
        <v>11</v>
      </c>
      <c r="CU463" s="252" t="str">
        <f t="shared" si="459"/>
        <v>CR43</v>
      </c>
      <c r="CV463" s="252" t="str">
        <f t="shared" ca="1" si="463"/>
        <v/>
      </c>
      <c r="CW463" s="252">
        <f t="shared" ca="1" si="469"/>
        <v>0</v>
      </c>
    </row>
    <row r="464" spans="72:101" x14ac:dyDescent="0.2">
      <c r="BT464" s="253" t="str">
        <f t="shared" ca="1" si="460"/>
        <v>Slovakia</v>
      </c>
      <c r="BU464" s="253">
        <f t="shared" si="470"/>
        <v>462</v>
      </c>
      <c r="BV464" s="253" t="str">
        <f t="shared" si="464"/>
        <v>A22</v>
      </c>
      <c r="BW464" s="253">
        <f t="shared" si="465"/>
        <v>18</v>
      </c>
      <c r="BX464" s="253" t="str">
        <f t="shared" ca="1" si="466"/>
        <v>Dávid Ďuriš</v>
      </c>
      <c r="BY464" s="253">
        <f ca="1">COUNTIF('Group Stages'!$J$8:$Q$80,BX464)+COUNTIF('Knock Out Stages'!$K$7:$R$45,BX464)</f>
        <v>0</v>
      </c>
      <c r="BZ464" s="253" t="str">
        <f t="shared" si="467"/>
        <v>'Player Database'!b25</v>
      </c>
      <c r="CA464" s="253" t="str">
        <f t="shared" ca="1" si="468"/>
        <v>Dávid Ďuriš</v>
      </c>
      <c r="CS464" s="252">
        <f t="shared" si="461"/>
        <v>461</v>
      </c>
      <c r="CT464" s="252">
        <f t="shared" si="462"/>
        <v>11</v>
      </c>
      <c r="CU464" s="252" t="str">
        <f t="shared" si="459"/>
        <v>CR44</v>
      </c>
      <c r="CV464" s="252" t="str">
        <f t="shared" ca="1" si="463"/>
        <v/>
      </c>
      <c r="CW464" s="252">
        <f t="shared" ca="1" si="469"/>
        <v>0</v>
      </c>
    </row>
    <row r="465" spans="72:101" x14ac:dyDescent="0.2">
      <c r="BT465" s="253" t="str">
        <f t="shared" ca="1" si="460"/>
        <v>Slovakia</v>
      </c>
      <c r="BU465" s="253">
        <f t="shared" si="470"/>
        <v>463</v>
      </c>
      <c r="BV465" s="253" t="str">
        <f t="shared" si="464"/>
        <v>A23</v>
      </c>
      <c r="BW465" s="253">
        <f t="shared" si="465"/>
        <v>18</v>
      </c>
      <c r="BX465" s="253" t="str">
        <f t="shared" ca="1" si="466"/>
        <v>Matúš Bero</v>
      </c>
      <c r="BY465" s="253">
        <f ca="1">COUNTIF('Group Stages'!$J$8:$Q$80,BX465)+COUNTIF('Knock Out Stages'!$K$7:$R$45,BX465)</f>
        <v>0</v>
      </c>
      <c r="BZ465" s="253" t="str">
        <f t="shared" si="467"/>
        <v>'Player Database'!b26</v>
      </c>
      <c r="CA465" s="253" t="str">
        <f t="shared" ca="1" si="468"/>
        <v>Matúš Bero</v>
      </c>
      <c r="CS465" s="252">
        <f t="shared" si="461"/>
        <v>462</v>
      </c>
      <c r="CT465" s="252">
        <f t="shared" si="462"/>
        <v>11</v>
      </c>
      <c r="CU465" s="252" t="str">
        <f t="shared" si="459"/>
        <v>CR45</v>
      </c>
      <c r="CV465" s="252" t="str">
        <f t="shared" ca="1" si="463"/>
        <v/>
      </c>
      <c r="CW465" s="252">
        <f t="shared" ca="1" si="469"/>
        <v>0</v>
      </c>
    </row>
    <row r="466" spans="72:101" x14ac:dyDescent="0.2">
      <c r="BT466" s="253" t="str">
        <f t="shared" ca="1" si="460"/>
        <v>Slovakia</v>
      </c>
      <c r="BU466" s="253">
        <f t="shared" si="470"/>
        <v>464</v>
      </c>
      <c r="BV466" s="253" t="str">
        <f t="shared" si="464"/>
        <v>A24</v>
      </c>
      <c r="BW466" s="253">
        <f t="shared" si="465"/>
        <v>18</v>
      </c>
      <c r="BX466" s="253" t="str">
        <f t="shared" ca="1" si="466"/>
        <v>Stanislav Lobotka</v>
      </c>
      <c r="BY466" s="253">
        <f ca="1">COUNTIF('Group Stages'!$J$8:$Q$80,BX466)+COUNTIF('Knock Out Stages'!$K$7:$R$45,BX466)</f>
        <v>0</v>
      </c>
      <c r="BZ466" s="253" t="str">
        <f t="shared" si="467"/>
        <v>'Player Database'!b27</v>
      </c>
      <c r="CA466" s="253" t="str">
        <f t="shared" ca="1" si="468"/>
        <v>Stanislav Lobotka</v>
      </c>
      <c r="CS466" s="252">
        <f t="shared" si="461"/>
        <v>463</v>
      </c>
      <c r="CT466" s="252">
        <f t="shared" si="462"/>
        <v>12</v>
      </c>
      <c r="CU466" s="252" t="str">
        <f t="shared" si="459"/>
        <v>CR4</v>
      </c>
      <c r="CV466" s="252" t="str">
        <f t="shared" ca="1" si="463"/>
        <v/>
      </c>
      <c r="CW466" s="252">
        <f t="shared" ca="1" si="469"/>
        <v>0</v>
      </c>
    </row>
    <row r="467" spans="72:101" x14ac:dyDescent="0.2">
      <c r="BT467" s="253" t="str">
        <f t="shared" ca="1" si="460"/>
        <v>Slovakia</v>
      </c>
      <c r="BU467" s="253">
        <f t="shared" si="470"/>
        <v>465</v>
      </c>
      <c r="BV467" s="253" t="str">
        <f t="shared" si="464"/>
        <v>A25</v>
      </c>
      <c r="BW467" s="253">
        <f t="shared" si="465"/>
        <v>18</v>
      </c>
      <c r="BX467" s="253" t="str">
        <f t="shared" ca="1" si="466"/>
        <v>Henrich Ravas</v>
      </c>
      <c r="BY467" s="253">
        <f ca="1">COUNTIF('Group Stages'!$J$8:$Q$80,BX467)+COUNTIF('Knock Out Stages'!$K$7:$R$45,BX467)</f>
        <v>0</v>
      </c>
      <c r="BZ467" s="253" t="str">
        <f t="shared" si="467"/>
        <v>'Player Database'!b28</v>
      </c>
      <c r="CA467" s="253" t="str">
        <f t="shared" ca="1" si="468"/>
        <v>Henrich Ravas</v>
      </c>
      <c r="CS467" s="252">
        <f t="shared" si="461"/>
        <v>464</v>
      </c>
      <c r="CT467" s="252">
        <f t="shared" si="462"/>
        <v>12</v>
      </c>
      <c r="CU467" s="252" t="str">
        <f t="shared" si="459"/>
        <v>CR5</v>
      </c>
      <c r="CV467" s="252" t="str">
        <f t="shared" ca="1" si="463"/>
        <v/>
      </c>
      <c r="CW467" s="252">
        <f t="shared" ca="1" si="469"/>
        <v>0</v>
      </c>
    </row>
    <row r="468" spans="72:101" x14ac:dyDescent="0.2">
      <c r="BT468" s="253" t="str">
        <f t="shared" ca="1" si="460"/>
        <v>Slovakia</v>
      </c>
      <c r="BU468" s="253">
        <f t="shared" si="470"/>
        <v>466</v>
      </c>
      <c r="BV468" s="253" t="str">
        <f t="shared" si="464"/>
        <v>A26</v>
      </c>
      <c r="BW468" s="253">
        <f t="shared" si="465"/>
        <v>18</v>
      </c>
      <c r="BX468" s="253" t="str">
        <f t="shared" ca="1" si="466"/>
        <v>Leo Sauer</v>
      </c>
      <c r="BY468" s="253">
        <f ca="1">COUNTIF('Group Stages'!$J$8:$Q$80,BX468)+COUNTIF('Knock Out Stages'!$K$7:$R$45,BX468)</f>
        <v>0</v>
      </c>
      <c r="BZ468" s="253" t="str">
        <f t="shared" si="467"/>
        <v>'Player Database'!b29</v>
      </c>
      <c r="CA468" s="253" t="str">
        <f t="shared" ca="1" si="468"/>
        <v>Leo Sauer</v>
      </c>
      <c r="CS468" s="252">
        <f t="shared" si="461"/>
        <v>465</v>
      </c>
      <c r="CT468" s="252">
        <f t="shared" si="462"/>
        <v>12</v>
      </c>
      <c r="CU468" s="252" t="str">
        <f t="shared" si="459"/>
        <v>CR6</v>
      </c>
      <c r="CV468" s="252" t="str">
        <f t="shared" ca="1" si="463"/>
        <v/>
      </c>
      <c r="CW468" s="252">
        <f t="shared" ca="1" si="469"/>
        <v>0</v>
      </c>
    </row>
    <row r="469" spans="72:101" x14ac:dyDescent="0.2">
      <c r="BT469" s="253" t="str">
        <f t="shared" ca="1" si="460"/>
        <v>Slovakia</v>
      </c>
      <c r="BU469" s="253">
        <f t="shared" si="470"/>
        <v>467</v>
      </c>
      <c r="BV469" s="253" t="str">
        <f t="shared" si="464"/>
        <v>A27</v>
      </c>
      <c r="BW469" s="253">
        <f t="shared" si="465"/>
        <v>18</v>
      </c>
      <c r="BX469" s="253" t="str">
        <f t="shared" ca="1" si="466"/>
        <v>Sebastian Kóša</v>
      </c>
      <c r="BY469" s="253">
        <f ca="1">COUNTIF('Group Stages'!$J$8:$Q$80,BX469)+COUNTIF('Knock Out Stages'!$K$7:$R$45,BX469)</f>
        <v>0</v>
      </c>
      <c r="BZ469" s="253" t="str">
        <f t="shared" si="467"/>
        <v>'Player Database'!b30</v>
      </c>
      <c r="CA469" s="253" t="str">
        <f t="shared" ca="1" si="468"/>
        <v>Sebastian Kóša</v>
      </c>
      <c r="CS469" s="252">
        <f t="shared" si="461"/>
        <v>466</v>
      </c>
      <c r="CT469" s="252">
        <f t="shared" si="462"/>
        <v>12</v>
      </c>
      <c r="CU469" s="252" t="str">
        <f t="shared" si="459"/>
        <v>CR7</v>
      </c>
      <c r="CV469" s="252" t="str">
        <f t="shared" ca="1" si="463"/>
        <v/>
      </c>
      <c r="CW469" s="252">
        <f t="shared" ca="1" si="469"/>
        <v>0</v>
      </c>
    </row>
    <row r="470" spans="72:101" x14ac:dyDescent="0.2">
      <c r="BT470" s="253" t="str">
        <f t="shared" ca="1" si="460"/>
        <v>Slovakia</v>
      </c>
      <c r="BU470" s="253">
        <f t="shared" si="470"/>
        <v>468</v>
      </c>
      <c r="BV470" s="253" t="str">
        <f t="shared" si="464"/>
        <v>A28</v>
      </c>
      <c r="BW470" s="253">
        <f t="shared" si="465"/>
        <v>18</v>
      </c>
      <c r="BX470" s="253" t="str">
        <f t="shared" ca="1" si="466"/>
        <v>Ivan Schranz</v>
      </c>
      <c r="BY470" s="253">
        <f ca="1">COUNTIF('Group Stages'!$J$8:$Q$80,BX470)+COUNTIF('Knock Out Stages'!$K$7:$R$45,BX470)</f>
        <v>0</v>
      </c>
      <c r="BZ470" s="253" t="str">
        <f t="shared" si="467"/>
        <v>'Player Database'!b31</v>
      </c>
      <c r="CA470" s="253" t="str">
        <f t="shared" ca="1" si="468"/>
        <v>Ivan Schranz</v>
      </c>
      <c r="CS470" s="252">
        <f t="shared" si="461"/>
        <v>467</v>
      </c>
      <c r="CT470" s="252">
        <f t="shared" si="462"/>
        <v>12</v>
      </c>
      <c r="CU470" s="252" t="str">
        <f t="shared" si="459"/>
        <v>CR8</v>
      </c>
      <c r="CV470" s="252" t="str">
        <f t="shared" ca="1" si="463"/>
        <v/>
      </c>
      <c r="CW470" s="252">
        <f t="shared" ca="1" si="469"/>
        <v>0</v>
      </c>
    </row>
    <row r="471" spans="72:101" x14ac:dyDescent="0.2">
      <c r="BT471" s="253" t="str">
        <f t="shared" ca="1" si="460"/>
        <v>Romania</v>
      </c>
      <c r="BU471" s="253">
        <f t="shared" si="470"/>
        <v>469</v>
      </c>
      <c r="BV471" s="253" t="str">
        <f t="shared" si="464"/>
        <v>A3</v>
      </c>
      <c r="BW471" s="253">
        <f t="shared" si="465"/>
        <v>19</v>
      </c>
      <c r="BX471" s="253" t="str">
        <f t="shared" ca="1" si="466"/>
        <v>Florin Niță</v>
      </c>
      <c r="BY471" s="253">
        <f ca="1">COUNTIF('Group Stages'!$J$8:$Q$80,BX471)+COUNTIF('Knock Out Stages'!$K$7:$R$45,BX471)</f>
        <v>0</v>
      </c>
      <c r="BZ471" s="253" t="str">
        <f t="shared" si="467"/>
        <v>'Player Database'!b6</v>
      </c>
      <c r="CA471" s="253" t="str">
        <f t="shared" ca="1" si="468"/>
        <v>Florin Niță</v>
      </c>
      <c r="CS471" s="252">
        <f t="shared" si="461"/>
        <v>468</v>
      </c>
      <c r="CT471" s="252">
        <f t="shared" si="462"/>
        <v>12</v>
      </c>
      <c r="CU471" s="252" t="str">
        <f t="shared" si="459"/>
        <v>CR9</v>
      </c>
      <c r="CV471" s="252" t="str">
        <f t="shared" ca="1" si="463"/>
        <v/>
      </c>
      <c r="CW471" s="252">
        <f t="shared" ca="1" si="469"/>
        <v>0</v>
      </c>
    </row>
    <row r="472" spans="72:101" x14ac:dyDescent="0.2">
      <c r="BT472" s="253" t="str">
        <f t="shared" ca="1" si="460"/>
        <v>Romania</v>
      </c>
      <c r="BU472" s="253">
        <f t="shared" si="470"/>
        <v>470</v>
      </c>
      <c r="BV472" s="253" t="str">
        <f t="shared" si="464"/>
        <v>A4</v>
      </c>
      <c r="BW472" s="253">
        <f t="shared" si="465"/>
        <v>19</v>
      </c>
      <c r="BX472" s="253" t="str">
        <f t="shared" ca="1" si="466"/>
        <v>Andrei Rațiu</v>
      </c>
      <c r="BY472" s="253">
        <f ca="1">COUNTIF('Group Stages'!$J$8:$Q$80,BX472)+COUNTIF('Knock Out Stages'!$K$7:$R$45,BX472)</f>
        <v>0</v>
      </c>
      <c r="BZ472" s="253" t="str">
        <f t="shared" si="467"/>
        <v>'Player Database'!b7</v>
      </c>
      <c r="CA472" s="253" t="str">
        <f t="shared" ca="1" si="468"/>
        <v>Andrei Rațiu</v>
      </c>
      <c r="CS472" s="252">
        <f t="shared" si="461"/>
        <v>469</v>
      </c>
      <c r="CT472" s="252">
        <f t="shared" si="462"/>
        <v>12</v>
      </c>
      <c r="CU472" s="252" t="str">
        <f t="shared" si="459"/>
        <v>CR10</v>
      </c>
      <c r="CV472" s="252" t="str">
        <f t="shared" ca="1" si="463"/>
        <v/>
      </c>
      <c r="CW472" s="252">
        <f t="shared" ca="1" si="469"/>
        <v>0</v>
      </c>
    </row>
    <row r="473" spans="72:101" x14ac:dyDescent="0.2">
      <c r="BT473" s="253" t="str">
        <f t="shared" ca="1" si="460"/>
        <v>Romania</v>
      </c>
      <c r="BU473" s="253">
        <f t="shared" si="470"/>
        <v>471</v>
      </c>
      <c r="BV473" s="253" t="str">
        <f t="shared" si="464"/>
        <v>A5</v>
      </c>
      <c r="BW473" s="253">
        <f t="shared" si="465"/>
        <v>19</v>
      </c>
      <c r="BX473" s="253" t="str">
        <f t="shared" ca="1" si="466"/>
        <v>Radu Drăgușin</v>
      </c>
      <c r="BY473" s="253">
        <f ca="1">COUNTIF('Group Stages'!$J$8:$Q$80,BX473)+COUNTIF('Knock Out Stages'!$K$7:$R$45,BX473)</f>
        <v>0</v>
      </c>
      <c r="BZ473" s="253" t="str">
        <f t="shared" si="467"/>
        <v>'Player Database'!b8</v>
      </c>
      <c r="CA473" s="253" t="str">
        <f t="shared" ca="1" si="468"/>
        <v>Radu Drăgușin</v>
      </c>
      <c r="CS473" s="252">
        <f t="shared" si="461"/>
        <v>470</v>
      </c>
      <c r="CT473" s="252">
        <f t="shared" si="462"/>
        <v>12</v>
      </c>
      <c r="CU473" s="252" t="str">
        <f t="shared" ref="CU473:CU536" si="471">CU431</f>
        <v>CR11</v>
      </c>
      <c r="CV473" s="252" t="str">
        <f t="shared" ca="1" si="463"/>
        <v/>
      </c>
      <c r="CW473" s="252">
        <f t="shared" ca="1" si="469"/>
        <v>0</v>
      </c>
    </row>
    <row r="474" spans="72:101" x14ac:dyDescent="0.2">
      <c r="BT474" s="253" t="str">
        <f t="shared" ca="1" si="460"/>
        <v>Romania</v>
      </c>
      <c r="BU474" s="253">
        <f t="shared" si="470"/>
        <v>472</v>
      </c>
      <c r="BV474" s="253" t="str">
        <f t="shared" si="464"/>
        <v>A6</v>
      </c>
      <c r="BW474" s="253">
        <f t="shared" si="465"/>
        <v>19</v>
      </c>
      <c r="BX474" s="253" t="str">
        <f t="shared" ca="1" si="466"/>
        <v>Adrian Rus</v>
      </c>
      <c r="BY474" s="253">
        <f ca="1">COUNTIF('Group Stages'!$J$8:$Q$80,BX474)+COUNTIF('Knock Out Stages'!$K$7:$R$45,BX474)</f>
        <v>0</v>
      </c>
      <c r="BZ474" s="253" t="str">
        <f t="shared" si="467"/>
        <v>'Player Database'!b9</v>
      </c>
      <c r="CA474" s="253" t="str">
        <f t="shared" ca="1" si="468"/>
        <v>Adrian Rus</v>
      </c>
      <c r="CS474" s="252">
        <f t="shared" si="461"/>
        <v>471</v>
      </c>
      <c r="CT474" s="252">
        <f t="shared" si="462"/>
        <v>12</v>
      </c>
      <c r="CU474" s="252" t="str">
        <f t="shared" si="471"/>
        <v>CR12</v>
      </c>
      <c r="CV474" s="252" t="str">
        <f t="shared" ca="1" si="463"/>
        <v/>
      </c>
      <c r="CW474" s="252">
        <f t="shared" ca="1" si="469"/>
        <v>0</v>
      </c>
    </row>
    <row r="475" spans="72:101" x14ac:dyDescent="0.2">
      <c r="BT475" s="253" t="str">
        <f t="shared" ca="1" si="460"/>
        <v>Romania</v>
      </c>
      <c r="BU475" s="253">
        <f t="shared" si="470"/>
        <v>473</v>
      </c>
      <c r="BV475" s="253" t="str">
        <f t="shared" si="464"/>
        <v>A7</v>
      </c>
      <c r="BW475" s="253">
        <f t="shared" si="465"/>
        <v>19</v>
      </c>
      <c r="BX475" s="253" t="str">
        <f t="shared" ca="1" si="466"/>
        <v>Ionuț Nedelcearu</v>
      </c>
      <c r="BY475" s="253">
        <f ca="1">COUNTIF('Group Stages'!$J$8:$Q$80,BX475)+COUNTIF('Knock Out Stages'!$K$7:$R$45,BX475)</f>
        <v>0</v>
      </c>
      <c r="BZ475" s="253" t="str">
        <f t="shared" si="467"/>
        <v>'Player Database'!b10</v>
      </c>
      <c r="CA475" s="253" t="str">
        <f t="shared" ca="1" si="468"/>
        <v>Ionuț Nedelcearu</v>
      </c>
      <c r="CS475" s="252">
        <f t="shared" si="461"/>
        <v>472</v>
      </c>
      <c r="CT475" s="252">
        <f t="shared" si="462"/>
        <v>12</v>
      </c>
      <c r="CU475" s="252" t="str">
        <f t="shared" si="471"/>
        <v>CR13</v>
      </c>
      <c r="CV475" s="252" t="str">
        <f t="shared" ca="1" si="463"/>
        <v/>
      </c>
      <c r="CW475" s="252">
        <f t="shared" ca="1" si="469"/>
        <v>0</v>
      </c>
    </row>
    <row r="476" spans="72:101" x14ac:dyDescent="0.2">
      <c r="BT476" s="253" t="str">
        <f t="shared" ca="1" si="460"/>
        <v>Romania</v>
      </c>
      <c r="BU476" s="253">
        <f t="shared" si="470"/>
        <v>474</v>
      </c>
      <c r="BV476" s="253" t="str">
        <f t="shared" si="464"/>
        <v>A8</v>
      </c>
      <c r="BW476" s="253">
        <f t="shared" si="465"/>
        <v>19</v>
      </c>
      <c r="BX476" s="253" t="str">
        <f t="shared" ca="1" si="466"/>
        <v>Marius Marin</v>
      </c>
      <c r="BY476" s="253">
        <f ca="1">COUNTIF('Group Stages'!$J$8:$Q$80,BX476)+COUNTIF('Knock Out Stages'!$K$7:$R$45,BX476)</f>
        <v>0</v>
      </c>
      <c r="BZ476" s="253" t="str">
        <f t="shared" si="467"/>
        <v>'Player Database'!b11</v>
      </c>
      <c r="CA476" s="253" t="str">
        <f t="shared" ca="1" si="468"/>
        <v>Marius Marin</v>
      </c>
      <c r="CS476" s="252">
        <f t="shared" si="461"/>
        <v>473</v>
      </c>
      <c r="CT476" s="252">
        <f t="shared" si="462"/>
        <v>12</v>
      </c>
      <c r="CU476" s="252" t="str">
        <f t="shared" si="471"/>
        <v>CR14</v>
      </c>
      <c r="CV476" s="252" t="str">
        <f t="shared" ca="1" si="463"/>
        <v/>
      </c>
      <c r="CW476" s="252">
        <f t="shared" ca="1" si="469"/>
        <v>0</v>
      </c>
    </row>
    <row r="477" spans="72:101" x14ac:dyDescent="0.2">
      <c r="BT477" s="253" t="str">
        <f t="shared" ca="1" si="460"/>
        <v>Romania</v>
      </c>
      <c r="BU477" s="253">
        <f t="shared" si="470"/>
        <v>475</v>
      </c>
      <c r="BV477" s="253" t="str">
        <f t="shared" si="464"/>
        <v>A9</v>
      </c>
      <c r="BW477" s="253">
        <f t="shared" si="465"/>
        <v>19</v>
      </c>
      <c r="BX477" s="253" t="str">
        <f t="shared" ca="1" si="466"/>
        <v>Denis Alibec</v>
      </c>
      <c r="BY477" s="253">
        <f ca="1">COUNTIF('Group Stages'!$J$8:$Q$80,BX477)+COUNTIF('Knock Out Stages'!$K$7:$R$45,BX477)</f>
        <v>0</v>
      </c>
      <c r="BZ477" s="253" t="str">
        <f t="shared" si="467"/>
        <v>'Player Database'!b12</v>
      </c>
      <c r="CA477" s="253" t="str">
        <f t="shared" ca="1" si="468"/>
        <v>Denis Alibec</v>
      </c>
      <c r="CS477" s="252">
        <f t="shared" si="461"/>
        <v>474</v>
      </c>
      <c r="CT477" s="252">
        <f t="shared" si="462"/>
        <v>12</v>
      </c>
      <c r="CU477" s="252" t="str">
        <f t="shared" si="471"/>
        <v>CR15</v>
      </c>
      <c r="CV477" s="252" t="str">
        <f t="shared" ca="1" si="463"/>
        <v/>
      </c>
      <c r="CW477" s="252">
        <f t="shared" ca="1" si="469"/>
        <v>0</v>
      </c>
    </row>
    <row r="478" spans="72:101" x14ac:dyDescent="0.2">
      <c r="BT478" s="253" t="str">
        <f t="shared" ca="1" si="460"/>
        <v>Romania</v>
      </c>
      <c r="BU478" s="253">
        <f t="shared" si="470"/>
        <v>476</v>
      </c>
      <c r="BV478" s="253" t="str">
        <f t="shared" si="464"/>
        <v>A10</v>
      </c>
      <c r="BW478" s="253">
        <f t="shared" si="465"/>
        <v>19</v>
      </c>
      <c r="BX478" s="253" t="str">
        <f t="shared" ca="1" si="466"/>
        <v>Alexandru Cicâldău</v>
      </c>
      <c r="BY478" s="253">
        <f ca="1">COUNTIF('Group Stages'!$J$8:$Q$80,BX478)+COUNTIF('Knock Out Stages'!$K$7:$R$45,BX478)</f>
        <v>0</v>
      </c>
      <c r="BZ478" s="253" t="str">
        <f t="shared" si="467"/>
        <v>'Player Database'!b13</v>
      </c>
      <c r="CA478" s="253" t="str">
        <f t="shared" ca="1" si="468"/>
        <v>Alexandru Cicâldău</v>
      </c>
      <c r="CS478" s="252">
        <f t="shared" si="461"/>
        <v>475</v>
      </c>
      <c r="CT478" s="252">
        <f t="shared" si="462"/>
        <v>12</v>
      </c>
      <c r="CU478" s="252" t="str">
        <f t="shared" si="471"/>
        <v>CR16</v>
      </c>
      <c r="CV478" s="252" t="str">
        <f t="shared" ca="1" si="463"/>
        <v/>
      </c>
      <c r="CW478" s="252">
        <f t="shared" ca="1" si="469"/>
        <v>0</v>
      </c>
    </row>
    <row r="479" spans="72:101" x14ac:dyDescent="0.2">
      <c r="BT479" s="253" t="str">
        <f t="shared" ca="1" si="460"/>
        <v>Romania</v>
      </c>
      <c r="BU479" s="253">
        <f t="shared" si="470"/>
        <v>477</v>
      </c>
      <c r="BV479" s="253" t="str">
        <f t="shared" si="464"/>
        <v>A11</v>
      </c>
      <c r="BW479" s="253">
        <f t="shared" si="465"/>
        <v>19</v>
      </c>
      <c r="BX479" s="253" t="str">
        <f t="shared" ca="1" si="466"/>
        <v>George Pușcaș</v>
      </c>
      <c r="BY479" s="253">
        <f ca="1">COUNTIF('Group Stages'!$J$8:$Q$80,BX479)+COUNTIF('Knock Out Stages'!$K$7:$R$45,BX479)</f>
        <v>0</v>
      </c>
      <c r="BZ479" s="253" t="str">
        <f t="shared" si="467"/>
        <v>'Player Database'!b14</v>
      </c>
      <c r="CA479" s="253" t="str">
        <f t="shared" ca="1" si="468"/>
        <v>George Pușcaș</v>
      </c>
      <c r="CS479" s="252">
        <f t="shared" si="461"/>
        <v>476</v>
      </c>
      <c r="CT479" s="252">
        <f t="shared" si="462"/>
        <v>12</v>
      </c>
      <c r="CU479" s="252" t="str">
        <f t="shared" si="471"/>
        <v>CR17</v>
      </c>
      <c r="CV479" s="252" t="str">
        <f t="shared" ca="1" si="463"/>
        <v/>
      </c>
      <c r="CW479" s="252">
        <f t="shared" ca="1" si="469"/>
        <v>0</v>
      </c>
    </row>
    <row r="480" spans="72:101" x14ac:dyDescent="0.2">
      <c r="BT480" s="253" t="str">
        <f t="shared" ca="1" si="460"/>
        <v>Romania</v>
      </c>
      <c r="BU480" s="253">
        <f t="shared" si="470"/>
        <v>478</v>
      </c>
      <c r="BV480" s="253" t="str">
        <f t="shared" si="464"/>
        <v>A12</v>
      </c>
      <c r="BW480" s="253">
        <f t="shared" si="465"/>
        <v>19</v>
      </c>
      <c r="BX480" s="253" t="str">
        <f t="shared" ca="1" si="466"/>
        <v>Ianis Hagi</v>
      </c>
      <c r="BY480" s="253">
        <f ca="1">COUNTIF('Group Stages'!$J$8:$Q$80,BX480)+COUNTIF('Knock Out Stages'!$K$7:$R$45,BX480)</f>
        <v>0</v>
      </c>
      <c r="BZ480" s="253" t="str">
        <f t="shared" si="467"/>
        <v>'Player Database'!b15</v>
      </c>
      <c r="CA480" s="253" t="str">
        <f t="shared" ca="1" si="468"/>
        <v>Ianis Hagi</v>
      </c>
      <c r="CS480" s="252">
        <f t="shared" si="461"/>
        <v>477</v>
      </c>
      <c r="CT480" s="252">
        <f t="shared" si="462"/>
        <v>12</v>
      </c>
      <c r="CU480" s="252" t="str">
        <f t="shared" si="471"/>
        <v>CR18</v>
      </c>
      <c r="CV480" s="252" t="str">
        <f t="shared" ca="1" si="463"/>
        <v/>
      </c>
      <c r="CW480" s="252">
        <f t="shared" ca="1" si="469"/>
        <v>0</v>
      </c>
    </row>
    <row r="481" spans="72:101" x14ac:dyDescent="0.2">
      <c r="BT481" s="253" t="str">
        <f t="shared" ca="1" si="460"/>
        <v>Romania</v>
      </c>
      <c r="BU481" s="253">
        <f t="shared" si="470"/>
        <v>479</v>
      </c>
      <c r="BV481" s="253" t="str">
        <f t="shared" si="464"/>
        <v>A13</v>
      </c>
      <c r="BW481" s="253">
        <f t="shared" si="465"/>
        <v>19</v>
      </c>
      <c r="BX481" s="253" t="str">
        <f t="shared" ca="1" si="466"/>
        <v>Nicușor Bancu</v>
      </c>
      <c r="BY481" s="253">
        <f ca="1">COUNTIF('Group Stages'!$J$8:$Q$80,BX481)+COUNTIF('Knock Out Stages'!$K$7:$R$45,BX481)</f>
        <v>0</v>
      </c>
      <c r="BZ481" s="253" t="str">
        <f t="shared" si="467"/>
        <v>'Player Database'!b16</v>
      </c>
      <c r="CA481" s="253" t="str">
        <f t="shared" ca="1" si="468"/>
        <v>Nicușor Bancu</v>
      </c>
      <c r="CS481" s="252">
        <f t="shared" si="461"/>
        <v>478</v>
      </c>
      <c r="CT481" s="252">
        <f t="shared" si="462"/>
        <v>12</v>
      </c>
      <c r="CU481" s="252" t="str">
        <f t="shared" si="471"/>
        <v>CR19</v>
      </c>
      <c r="CV481" s="252" t="str">
        <f t="shared" ca="1" si="463"/>
        <v/>
      </c>
      <c r="CW481" s="252">
        <f t="shared" ca="1" si="469"/>
        <v>0</v>
      </c>
    </row>
    <row r="482" spans="72:101" x14ac:dyDescent="0.2">
      <c r="BT482" s="253" t="str">
        <f t="shared" ca="1" si="460"/>
        <v>Romania</v>
      </c>
      <c r="BU482" s="253">
        <f t="shared" si="470"/>
        <v>480</v>
      </c>
      <c r="BV482" s="253" t="str">
        <f t="shared" si="464"/>
        <v>A14</v>
      </c>
      <c r="BW482" s="253">
        <f t="shared" si="465"/>
        <v>19</v>
      </c>
      <c r="BX482" s="253" t="str">
        <f t="shared" ca="1" si="466"/>
        <v>Horațiu Moldovan</v>
      </c>
      <c r="BY482" s="253">
        <f ca="1">COUNTIF('Group Stages'!$J$8:$Q$80,BX482)+COUNTIF('Knock Out Stages'!$K$7:$R$45,BX482)</f>
        <v>0</v>
      </c>
      <c r="BZ482" s="253" t="str">
        <f t="shared" si="467"/>
        <v>'Player Database'!b17</v>
      </c>
      <c r="CA482" s="253" t="str">
        <f t="shared" ca="1" si="468"/>
        <v>Horațiu Moldovan</v>
      </c>
      <c r="CS482" s="252">
        <f t="shared" si="461"/>
        <v>479</v>
      </c>
      <c r="CT482" s="252">
        <f t="shared" si="462"/>
        <v>12</v>
      </c>
      <c r="CU482" s="252" t="str">
        <f t="shared" si="471"/>
        <v>CR20</v>
      </c>
      <c r="CV482" s="252" t="str">
        <f t="shared" ca="1" si="463"/>
        <v/>
      </c>
      <c r="CW482" s="252">
        <f t="shared" ca="1" si="469"/>
        <v>0</v>
      </c>
    </row>
    <row r="483" spans="72:101" x14ac:dyDescent="0.2">
      <c r="BT483" s="253" t="str">
        <f t="shared" ca="1" si="460"/>
        <v>Romania</v>
      </c>
      <c r="BU483" s="253">
        <f t="shared" si="470"/>
        <v>481</v>
      </c>
      <c r="BV483" s="253" t="str">
        <f t="shared" si="464"/>
        <v>A15</v>
      </c>
      <c r="BW483" s="253">
        <f t="shared" si="465"/>
        <v>19</v>
      </c>
      <c r="BX483" s="253" t="str">
        <f t="shared" ca="1" si="466"/>
        <v>Valentin Mihăilă</v>
      </c>
      <c r="BY483" s="253">
        <f ca="1">COUNTIF('Group Stages'!$J$8:$Q$80,BX483)+COUNTIF('Knock Out Stages'!$K$7:$R$45,BX483)</f>
        <v>0</v>
      </c>
      <c r="BZ483" s="253" t="str">
        <f t="shared" si="467"/>
        <v>'Player Database'!b18</v>
      </c>
      <c r="CA483" s="253" t="str">
        <f t="shared" ca="1" si="468"/>
        <v>Valentin Mihăilă</v>
      </c>
      <c r="CS483" s="252">
        <f t="shared" si="461"/>
        <v>480</v>
      </c>
      <c r="CT483" s="252">
        <f t="shared" si="462"/>
        <v>12</v>
      </c>
      <c r="CU483" s="252" t="str">
        <f t="shared" si="471"/>
        <v>CR21</v>
      </c>
      <c r="CV483" s="252" t="str">
        <f t="shared" ca="1" si="463"/>
        <v/>
      </c>
      <c r="CW483" s="252">
        <f t="shared" ca="1" si="469"/>
        <v>0</v>
      </c>
    </row>
    <row r="484" spans="72:101" x14ac:dyDescent="0.2">
      <c r="BT484" s="253" t="str">
        <f t="shared" ref="BT484:BT547" ca="1" si="472">OFFSET($A$2,0,BW484)</f>
        <v>Romania</v>
      </c>
      <c r="BU484" s="253">
        <f t="shared" si="470"/>
        <v>482</v>
      </c>
      <c r="BV484" s="253" t="str">
        <f t="shared" si="464"/>
        <v>A16</v>
      </c>
      <c r="BW484" s="253">
        <f t="shared" si="465"/>
        <v>19</v>
      </c>
      <c r="BX484" s="253" t="str">
        <f t="shared" ca="1" si="466"/>
        <v>Darius Olaru</v>
      </c>
      <c r="BY484" s="253">
        <f ca="1">COUNTIF('Group Stages'!$J$8:$Q$80,BX484)+COUNTIF('Knock Out Stages'!$K$7:$R$45,BX484)</f>
        <v>0</v>
      </c>
      <c r="BZ484" s="253" t="str">
        <f t="shared" si="467"/>
        <v>'Player Database'!b19</v>
      </c>
      <c r="CA484" s="253" t="str">
        <f t="shared" ca="1" si="468"/>
        <v>Darius Olaru</v>
      </c>
      <c r="CS484" s="252">
        <f t="shared" si="461"/>
        <v>481</v>
      </c>
      <c r="CT484" s="252">
        <f t="shared" si="462"/>
        <v>12</v>
      </c>
      <c r="CU484" s="252" t="str">
        <f t="shared" si="471"/>
        <v>CR22</v>
      </c>
      <c r="CV484" s="252" t="str">
        <f t="shared" ca="1" si="463"/>
        <v/>
      </c>
      <c r="CW484" s="252">
        <f t="shared" ca="1" si="469"/>
        <v>0</v>
      </c>
    </row>
    <row r="485" spans="72:101" x14ac:dyDescent="0.2">
      <c r="BT485" s="253" t="str">
        <f t="shared" ca="1" si="472"/>
        <v>Romania</v>
      </c>
      <c r="BU485" s="253">
        <f t="shared" si="470"/>
        <v>483</v>
      </c>
      <c r="BV485" s="253" t="str">
        <f t="shared" si="464"/>
        <v>A17</v>
      </c>
      <c r="BW485" s="253">
        <f t="shared" si="465"/>
        <v>19</v>
      </c>
      <c r="BX485" s="253" t="str">
        <f t="shared" ca="1" si="466"/>
        <v>Andrei Burcă</v>
      </c>
      <c r="BY485" s="253">
        <f ca="1">COUNTIF('Group Stages'!$J$8:$Q$80,BX485)+COUNTIF('Knock Out Stages'!$K$7:$R$45,BX485)</f>
        <v>0</v>
      </c>
      <c r="BZ485" s="253" t="str">
        <f t="shared" si="467"/>
        <v>'Player Database'!b20</v>
      </c>
      <c r="CA485" s="253" t="str">
        <f t="shared" ca="1" si="468"/>
        <v>Andrei Burcă</v>
      </c>
      <c r="CS485" s="252">
        <f t="shared" si="461"/>
        <v>482</v>
      </c>
      <c r="CT485" s="252">
        <f t="shared" si="462"/>
        <v>12</v>
      </c>
      <c r="CU485" s="252" t="str">
        <f t="shared" si="471"/>
        <v>CR23</v>
      </c>
      <c r="CV485" s="252" t="str">
        <f t="shared" ca="1" si="463"/>
        <v/>
      </c>
      <c r="CW485" s="252">
        <f t="shared" ca="1" si="469"/>
        <v>0</v>
      </c>
    </row>
    <row r="486" spans="72:101" x14ac:dyDescent="0.2">
      <c r="BT486" s="253" t="str">
        <f t="shared" ca="1" si="472"/>
        <v>Romania</v>
      </c>
      <c r="BU486" s="253">
        <f t="shared" si="470"/>
        <v>484</v>
      </c>
      <c r="BV486" s="253" t="str">
        <f t="shared" si="464"/>
        <v>A18</v>
      </c>
      <c r="BW486" s="253">
        <f t="shared" si="465"/>
        <v>19</v>
      </c>
      <c r="BX486" s="253" t="str">
        <f t="shared" ca="1" si="466"/>
        <v>Ștefan Târnovanu</v>
      </c>
      <c r="BY486" s="253">
        <f ca="1">COUNTIF('Group Stages'!$J$8:$Q$80,BX486)+COUNTIF('Knock Out Stages'!$K$7:$R$45,BX486)</f>
        <v>0</v>
      </c>
      <c r="BZ486" s="253" t="str">
        <f t="shared" si="467"/>
        <v>'Player Database'!b21</v>
      </c>
      <c r="CA486" s="253" t="str">
        <f t="shared" ca="1" si="468"/>
        <v>Ștefan Târnovanu</v>
      </c>
      <c r="CS486" s="252">
        <f t="shared" si="461"/>
        <v>483</v>
      </c>
      <c r="CT486" s="252">
        <f t="shared" si="462"/>
        <v>12</v>
      </c>
      <c r="CU486" s="252" t="str">
        <f t="shared" si="471"/>
        <v>CR24</v>
      </c>
      <c r="CV486" s="252" t="str">
        <f t="shared" ca="1" si="463"/>
        <v/>
      </c>
      <c r="CW486" s="252">
        <f t="shared" ca="1" si="469"/>
        <v>0</v>
      </c>
    </row>
    <row r="487" spans="72:101" x14ac:dyDescent="0.2">
      <c r="BT487" s="253" t="str">
        <f t="shared" ca="1" si="472"/>
        <v>Romania</v>
      </c>
      <c r="BU487" s="253">
        <f t="shared" si="470"/>
        <v>485</v>
      </c>
      <c r="BV487" s="253" t="str">
        <f t="shared" si="464"/>
        <v>A19</v>
      </c>
      <c r="BW487" s="253">
        <f t="shared" si="465"/>
        <v>19</v>
      </c>
      <c r="BX487" s="253" t="str">
        <f t="shared" ca="1" si="466"/>
        <v>Florinel Coman</v>
      </c>
      <c r="BY487" s="253">
        <f ca="1">COUNTIF('Group Stages'!$J$8:$Q$80,BX487)+COUNTIF('Knock Out Stages'!$K$7:$R$45,BX487)</f>
        <v>0</v>
      </c>
      <c r="BZ487" s="253" t="str">
        <f t="shared" si="467"/>
        <v>'Player Database'!b22</v>
      </c>
      <c r="CA487" s="253" t="str">
        <f t="shared" ca="1" si="468"/>
        <v>Florinel Coman</v>
      </c>
      <c r="CS487" s="252">
        <f t="shared" si="461"/>
        <v>484</v>
      </c>
      <c r="CT487" s="252">
        <f t="shared" si="462"/>
        <v>12</v>
      </c>
      <c r="CU487" s="252" t="str">
        <f t="shared" si="471"/>
        <v>CR25</v>
      </c>
      <c r="CV487" s="252" t="str">
        <f t="shared" ca="1" si="463"/>
        <v/>
      </c>
      <c r="CW487" s="252">
        <f t="shared" ca="1" si="469"/>
        <v>0</v>
      </c>
    </row>
    <row r="488" spans="72:101" x14ac:dyDescent="0.2">
      <c r="BT488" s="253" t="str">
        <f t="shared" ca="1" si="472"/>
        <v>Romania</v>
      </c>
      <c r="BU488" s="253">
        <f t="shared" si="470"/>
        <v>486</v>
      </c>
      <c r="BV488" s="253" t="str">
        <f t="shared" si="464"/>
        <v>A20</v>
      </c>
      <c r="BW488" s="253">
        <f t="shared" si="465"/>
        <v>19</v>
      </c>
      <c r="BX488" s="253" t="str">
        <f t="shared" ca="1" si="466"/>
        <v>Răzvan Marin</v>
      </c>
      <c r="BY488" s="253">
        <f ca="1">COUNTIF('Group Stages'!$J$8:$Q$80,BX488)+COUNTIF('Knock Out Stages'!$K$7:$R$45,BX488)</f>
        <v>0</v>
      </c>
      <c r="BZ488" s="253" t="str">
        <f t="shared" si="467"/>
        <v>'Player Database'!b23</v>
      </c>
      <c r="CA488" s="253" t="str">
        <f t="shared" ca="1" si="468"/>
        <v>Răzvan Marin</v>
      </c>
      <c r="CS488" s="252">
        <f t="shared" si="461"/>
        <v>485</v>
      </c>
      <c r="CT488" s="252">
        <f t="shared" si="462"/>
        <v>12</v>
      </c>
      <c r="CU488" s="252" t="str">
        <f t="shared" si="471"/>
        <v>CR26</v>
      </c>
      <c r="CV488" s="252" t="str">
        <f t="shared" ca="1" si="463"/>
        <v/>
      </c>
      <c r="CW488" s="252">
        <f t="shared" ca="1" si="469"/>
        <v>0</v>
      </c>
    </row>
    <row r="489" spans="72:101" x14ac:dyDescent="0.2">
      <c r="BT489" s="253" t="str">
        <f t="shared" ca="1" si="472"/>
        <v>Romania</v>
      </c>
      <c r="BU489" s="253">
        <f t="shared" si="470"/>
        <v>487</v>
      </c>
      <c r="BV489" s="253" t="str">
        <f t="shared" si="464"/>
        <v>A21</v>
      </c>
      <c r="BW489" s="253">
        <f t="shared" si="465"/>
        <v>19</v>
      </c>
      <c r="BX489" s="253" t="str">
        <f t="shared" ca="1" si="466"/>
        <v>Denis Drăguș</v>
      </c>
      <c r="BY489" s="253">
        <f ca="1">COUNTIF('Group Stages'!$J$8:$Q$80,BX489)+COUNTIF('Knock Out Stages'!$K$7:$R$45,BX489)</f>
        <v>0</v>
      </c>
      <c r="BZ489" s="253" t="str">
        <f t="shared" si="467"/>
        <v>'Player Database'!b24</v>
      </c>
      <c r="CA489" s="253" t="str">
        <f t="shared" ca="1" si="468"/>
        <v>Denis Drăguș</v>
      </c>
      <c r="CS489" s="252">
        <f t="shared" si="461"/>
        <v>486</v>
      </c>
      <c r="CT489" s="252">
        <f t="shared" si="462"/>
        <v>12</v>
      </c>
      <c r="CU489" s="252" t="str">
        <f t="shared" si="471"/>
        <v>CR27</v>
      </c>
      <c r="CV489" s="252" t="str">
        <f t="shared" ca="1" si="463"/>
        <v/>
      </c>
      <c r="CW489" s="252">
        <f t="shared" ca="1" si="469"/>
        <v>0</v>
      </c>
    </row>
    <row r="490" spans="72:101" x14ac:dyDescent="0.2">
      <c r="BT490" s="253" t="str">
        <f t="shared" ca="1" si="472"/>
        <v>Romania</v>
      </c>
      <c r="BU490" s="253">
        <f t="shared" si="470"/>
        <v>488</v>
      </c>
      <c r="BV490" s="253" t="str">
        <f t="shared" si="464"/>
        <v>A22</v>
      </c>
      <c r="BW490" s="253">
        <f t="shared" si="465"/>
        <v>19</v>
      </c>
      <c r="BX490" s="253" t="str">
        <f t="shared" ca="1" si="466"/>
        <v>Dennis Man</v>
      </c>
      <c r="BY490" s="253">
        <f ca="1">COUNTIF('Group Stages'!$J$8:$Q$80,BX490)+COUNTIF('Knock Out Stages'!$K$7:$R$45,BX490)</f>
        <v>0</v>
      </c>
      <c r="BZ490" s="253" t="str">
        <f t="shared" si="467"/>
        <v>'Player Database'!b25</v>
      </c>
      <c r="CA490" s="253" t="str">
        <f t="shared" ca="1" si="468"/>
        <v>Dennis Man</v>
      </c>
      <c r="CS490" s="252">
        <f t="shared" si="461"/>
        <v>487</v>
      </c>
      <c r="CT490" s="252">
        <f t="shared" si="462"/>
        <v>12</v>
      </c>
      <c r="CU490" s="252" t="str">
        <f t="shared" si="471"/>
        <v>CR28</v>
      </c>
      <c r="CV490" s="252" t="str">
        <f t="shared" ca="1" si="463"/>
        <v/>
      </c>
      <c r="CW490" s="252">
        <f t="shared" ca="1" si="469"/>
        <v>0</v>
      </c>
    </row>
    <row r="491" spans="72:101" x14ac:dyDescent="0.2">
      <c r="BT491" s="253" t="str">
        <f t="shared" ca="1" si="472"/>
        <v>Romania</v>
      </c>
      <c r="BU491" s="253">
        <f t="shared" si="470"/>
        <v>489</v>
      </c>
      <c r="BV491" s="253" t="str">
        <f t="shared" si="464"/>
        <v>A23</v>
      </c>
      <c r="BW491" s="253">
        <f t="shared" si="465"/>
        <v>19</v>
      </c>
      <c r="BX491" s="253" t="str">
        <f t="shared" ca="1" si="466"/>
        <v>Nicolae Stanciu</v>
      </c>
      <c r="BY491" s="253">
        <f ca="1">COUNTIF('Group Stages'!$J$8:$Q$80,BX491)+COUNTIF('Knock Out Stages'!$K$7:$R$45,BX491)</f>
        <v>0</v>
      </c>
      <c r="BZ491" s="253" t="str">
        <f t="shared" si="467"/>
        <v>'Player Database'!b26</v>
      </c>
      <c r="CA491" s="253" t="str">
        <f t="shared" ca="1" si="468"/>
        <v>Nicolae Stanciu</v>
      </c>
      <c r="CS491" s="252">
        <f t="shared" si="461"/>
        <v>488</v>
      </c>
      <c r="CT491" s="252">
        <f t="shared" si="462"/>
        <v>12</v>
      </c>
      <c r="CU491" s="252" t="str">
        <f t="shared" si="471"/>
        <v>CR29</v>
      </c>
      <c r="CV491" s="252" t="str">
        <f t="shared" ca="1" si="463"/>
        <v/>
      </c>
      <c r="CW491" s="252">
        <f t="shared" ca="1" si="469"/>
        <v>0</v>
      </c>
    </row>
    <row r="492" spans="72:101" x14ac:dyDescent="0.2">
      <c r="BT492" s="253" t="str">
        <f t="shared" ca="1" si="472"/>
        <v>Romania</v>
      </c>
      <c r="BU492" s="253">
        <f t="shared" si="470"/>
        <v>490</v>
      </c>
      <c r="BV492" s="253" t="str">
        <f t="shared" si="464"/>
        <v>A24</v>
      </c>
      <c r="BW492" s="253">
        <f t="shared" si="465"/>
        <v>19</v>
      </c>
      <c r="BX492" s="253" t="str">
        <f t="shared" ca="1" si="466"/>
        <v>Vasile Mogoș</v>
      </c>
      <c r="BY492" s="253">
        <f ca="1">COUNTIF('Group Stages'!$J$8:$Q$80,BX492)+COUNTIF('Knock Out Stages'!$K$7:$R$45,BX492)</f>
        <v>0</v>
      </c>
      <c r="BZ492" s="253" t="str">
        <f t="shared" si="467"/>
        <v>'Player Database'!b27</v>
      </c>
      <c r="CA492" s="253" t="str">
        <f t="shared" ca="1" si="468"/>
        <v>Vasile Mogoș</v>
      </c>
      <c r="CS492" s="252">
        <f t="shared" si="461"/>
        <v>489</v>
      </c>
      <c r="CT492" s="252">
        <f t="shared" si="462"/>
        <v>12</v>
      </c>
      <c r="CU492" s="252" t="str">
        <f t="shared" si="471"/>
        <v>CR30</v>
      </c>
      <c r="CV492" s="252" t="str">
        <f t="shared" ca="1" si="463"/>
        <v/>
      </c>
      <c r="CW492" s="252">
        <f t="shared" ca="1" si="469"/>
        <v>0</v>
      </c>
    </row>
    <row r="493" spans="72:101" x14ac:dyDescent="0.2">
      <c r="BT493" s="253" t="str">
        <f t="shared" ca="1" si="472"/>
        <v>Romania</v>
      </c>
      <c r="BU493" s="253">
        <f t="shared" si="470"/>
        <v>491</v>
      </c>
      <c r="BV493" s="253" t="str">
        <f t="shared" si="464"/>
        <v>A25</v>
      </c>
      <c r="BW493" s="253">
        <f t="shared" si="465"/>
        <v>19</v>
      </c>
      <c r="BX493" s="253" t="str">
        <f t="shared" ca="1" si="466"/>
        <v>Deian Sorescu</v>
      </c>
      <c r="BY493" s="253">
        <f ca="1">COUNTIF('Group Stages'!$J$8:$Q$80,BX493)+COUNTIF('Knock Out Stages'!$K$7:$R$45,BX493)</f>
        <v>0</v>
      </c>
      <c r="BZ493" s="253" t="str">
        <f t="shared" si="467"/>
        <v>'Player Database'!b28</v>
      </c>
      <c r="CA493" s="253" t="str">
        <f t="shared" ca="1" si="468"/>
        <v>Deian Sorescu</v>
      </c>
      <c r="CS493" s="252">
        <f t="shared" si="461"/>
        <v>490</v>
      </c>
      <c r="CT493" s="252">
        <f t="shared" si="462"/>
        <v>12</v>
      </c>
      <c r="CU493" s="252" t="str">
        <f t="shared" si="471"/>
        <v>CR31</v>
      </c>
      <c r="CV493" s="252" t="str">
        <f t="shared" ca="1" si="463"/>
        <v/>
      </c>
      <c r="CW493" s="252">
        <f t="shared" ca="1" si="469"/>
        <v>0</v>
      </c>
    </row>
    <row r="494" spans="72:101" x14ac:dyDescent="0.2">
      <c r="BT494" s="253" t="str">
        <f t="shared" ca="1" si="472"/>
        <v>Romania</v>
      </c>
      <c r="BU494" s="253">
        <f t="shared" si="470"/>
        <v>492</v>
      </c>
      <c r="BV494" s="253" t="str">
        <f t="shared" si="464"/>
        <v>A26</v>
      </c>
      <c r="BW494" s="253">
        <f t="shared" si="465"/>
        <v>19</v>
      </c>
      <c r="BX494" s="253" t="str">
        <f t="shared" ca="1" si="466"/>
        <v>Bogdan Racovițan</v>
      </c>
      <c r="BY494" s="253">
        <f ca="1">COUNTIF('Group Stages'!$J$8:$Q$80,BX494)+COUNTIF('Knock Out Stages'!$K$7:$R$45,BX494)</f>
        <v>0</v>
      </c>
      <c r="BZ494" s="253" t="str">
        <f t="shared" si="467"/>
        <v>'Player Database'!b29</v>
      </c>
      <c r="CA494" s="253" t="str">
        <f t="shared" ca="1" si="468"/>
        <v>Bogdan Racovițan</v>
      </c>
      <c r="CS494" s="252">
        <f t="shared" si="461"/>
        <v>491</v>
      </c>
      <c r="CT494" s="252">
        <f t="shared" si="462"/>
        <v>12</v>
      </c>
      <c r="CU494" s="252" t="str">
        <f t="shared" si="471"/>
        <v>CR32</v>
      </c>
      <c r="CV494" s="252" t="str">
        <f t="shared" ca="1" si="463"/>
        <v/>
      </c>
      <c r="CW494" s="252">
        <f t="shared" ca="1" si="469"/>
        <v>0</v>
      </c>
    </row>
    <row r="495" spans="72:101" x14ac:dyDescent="0.2">
      <c r="BT495" s="253" t="str">
        <f t="shared" ca="1" si="472"/>
        <v>Romania</v>
      </c>
      <c r="BU495" s="253">
        <f t="shared" si="470"/>
        <v>493</v>
      </c>
      <c r="BV495" s="253" t="str">
        <f t="shared" si="464"/>
        <v>A27</v>
      </c>
      <c r="BW495" s="253">
        <f t="shared" si="465"/>
        <v>19</v>
      </c>
      <c r="BX495" s="253" t="str">
        <f t="shared" ca="1" si="466"/>
        <v>Daniel Bîrligea</v>
      </c>
      <c r="BY495" s="253">
        <f ca="1">COUNTIF('Group Stages'!$J$8:$Q$80,BX495)+COUNTIF('Knock Out Stages'!$K$7:$R$45,BX495)</f>
        <v>0</v>
      </c>
      <c r="BZ495" s="253" t="str">
        <f t="shared" si="467"/>
        <v>'Player Database'!b30</v>
      </c>
      <c r="CA495" s="253" t="str">
        <f t="shared" ca="1" si="468"/>
        <v>Daniel Bîrligea</v>
      </c>
      <c r="CS495" s="252">
        <f t="shared" si="461"/>
        <v>492</v>
      </c>
      <c r="CT495" s="252">
        <f t="shared" si="462"/>
        <v>12</v>
      </c>
      <c r="CU495" s="252" t="str">
        <f t="shared" si="471"/>
        <v>CR33</v>
      </c>
      <c r="CV495" s="252" t="str">
        <f t="shared" ca="1" si="463"/>
        <v/>
      </c>
      <c r="CW495" s="252">
        <f t="shared" ca="1" si="469"/>
        <v>0</v>
      </c>
    </row>
    <row r="496" spans="72:101" x14ac:dyDescent="0.2">
      <c r="BT496" s="253" t="str">
        <f t="shared" ca="1" si="472"/>
        <v>Romania</v>
      </c>
      <c r="BU496" s="253">
        <f t="shared" si="470"/>
        <v>494</v>
      </c>
      <c r="BV496" s="253" t="str">
        <f t="shared" si="464"/>
        <v>A28</v>
      </c>
      <c r="BW496" s="253">
        <f t="shared" si="465"/>
        <v>19</v>
      </c>
      <c r="BX496" s="253" t="str">
        <f t="shared" ca="1" si="466"/>
        <v>Adrian Șut</v>
      </c>
      <c r="BY496" s="253">
        <f ca="1">COUNTIF('Group Stages'!$J$8:$Q$80,BX496)+COUNTIF('Knock Out Stages'!$K$7:$R$45,BX496)</f>
        <v>0</v>
      </c>
      <c r="BZ496" s="253" t="str">
        <f t="shared" si="467"/>
        <v>'Player Database'!b31</v>
      </c>
      <c r="CA496" s="253" t="str">
        <f t="shared" ca="1" si="468"/>
        <v>Adrian Șut</v>
      </c>
      <c r="CS496" s="252">
        <f t="shared" ref="CS496:CS559" si="473">CS495+1</f>
        <v>493</v>
      </c>
      <c r="CT496" s="252">
        <f t="shared" ref="CT496:CT559" si="474">CT454+1</f>
        <v>12</v>
      </c>
      <c r="CU496" s="252" t="str">
        <f t="shared" si="471"/>
        <v>CR34</v>
      </c>
      <c r="CV496" s="252" t="str">
        <f t="shared" ref="CV496:CV559" ca="1" si="475">OFFSET(INDIRECT(CU496),0,-CT496)</f>
        <v/>
      </c>
      <c r="CW496" s="252">
        <f t="shared" ca="1" si="469"/>
        <v>0</v>
      </c>
    </row>
    <row r="497" spans="72:101" x14ac:dyDescent="0.2">
      <c r="BT497" s="253" t="str">
        <f t="shared" ca="1" si="472"/>
        <v>Ukraine</v>
      </c>
      <c r="BU497" s="253">
        <f t="shared" si="470"/>
        <v>495</v>
      </c>
      <c r="BV497" s="253" t="str">
        <f t="shared" si="464"/>
        <v>A3</v>
      </c>
      <c r="BW497" s="253">
        <f t="shared" si="465"/>
        <v>20</v>
      </c>
      <c r="BX497" s="253" t="str">
        <f t="shared" ca="1" si="466"/>
        <v>Heorhiy Bushchan</v>
      </c>
      <c r="BY497" s="253">
        <f ca="1">COUNTIF('Group Stages'!$J$8:$Q$80,BX497)+COUNTIF('Knock Out Stages'!$K$7:$R$45,BX497)</f>
        <v>0</v>
      </c>
      <c r="BZ497" s="253" t="str">
        <f t="shared" si="467"/>
        <v>'Player Database'!b6</v>
      </c>
      <c r="CA497" s="253" t="str">
        <f t="shared" ca="1" si="468"/>
        <v>Heorhiy Bushchan</v>
      </c>
      <c r="CS497" s="252">
        <f t="shared" si="473"/>
        <v>494</v>
      </c>
      <c r="CT497" s="252">
        <f t="shared" si="474"/>
        <v>12</v>
      </c>
      <c r="CU497" s="252" t="str">
        <f t="shared" si="471"/>
        <v>CR35</v>
      </c>
      <c r="CV497" s="252" t="str">
        <f t="shared" ca="1" si="475"/>
        <v/>
      </c>
      <c r="CW497" s="252">
        <f t="shared" ca="1" si="469"/>
        <v>0</v>
      </c>
    </row>
    <row r="498" spans="72:101" x14ac:dyDescent="0.2">
      <c r="BT498" s="253" t="str">
        <f t="shared" ca="1" si="472"/>
        <v>Ukraine</v>
      </c>
      <c r="BU498" s="253">
        <f t="shared" si="470"/>
        <v>496</v>
      </c>
      <c r="BV498" s="253" t="str">
        <f t="shared" si="464"/>
        <v>A4</v>
      </c>
      <c r="BW498" s="253">
        <f t="shared" si="465"/>
        <v>20</v>
      </c>
      <c r="BX498" s="253" t="str">
        <f t="shared" ca="1" si="466"/>
        <v>Yukhym Konoplya</v>
      </c>
      <c r="BY498" s="253">
        <f ca="1">COUNTIF('Group Stages'!$J$8:$Q$80,BX498)+COUNTIF('Knock Out Stages'!$K$7:$R$45,BX498)</f>
        <v>0</v>
      </c>
      <c r="BZ498" s="253" t="str">
        <f t="shared" si="467"/>
        <v>'Player Database'!b7</v>
      </c>
      <c r="CA498" s="253" t="str">
        <f t="shared" ca="1" si="468"/>
        <v>Yukhym Konoplya</v>
      </c>
      <c r="CS498" s="252">
        <f t="shared" si="473"/>
        <v>495</v>
      </c>
      <c r="CT498" s="252">
        <f t="shared" si="474"/>
        <v>12</v>
      </c>
      <c r="CU498" s="252" t="str">
        <f t="shared" si="471"/>
        <v>CR36</v>
      </c>
      <c r="CV498" s="252" t="str">
        <f t="shared" ca="1" si="475"/>
        <v/>
      </c>
      <c r="CW498" s="252">
        <f t="shared" ca="1" si="469"/>
        <v>0</v>
      </c>
    </row>
    <row r="499" spans="72:101" x14ac:dyDescent="0.2">
      <c r="BT499" s="253" t="str">
        <f t="shared" ca="1" si="472"/>
        <v>Ukraine</v>
      </c>
      <c r="BU499" s="253">
        <f t="shared" si="470"/>
        <v>497</v>
      </c>
      <c r="BV499" s="253" t="str">
        <f t="shared" si="464"/>
        <v>A5</v>
      </c>
      <c r="BW499" s="253">
        <f t="shared" si="465"/>
        <v>20</v>
      </c>
      <c r="BX499" s="253" t="str">
        <f t="shared" ca="1" si="466"/>
        <v>Oleksandr Svatok</v>
      </c>
      <c r="BY499" s="253">
        <f ca="1">COUNTIF('Group Stages'!$J$8:$Q$80,BX499)+COUNTIF('Knock Out Stages'!$K$7:$R$45,BX499)</f>
        <v>0</v>
      </c>
      <c r="BZ499" s="253" t="str">
        <f t="shared" si="467"/>
        <v>'Player Database'!b8</v>
      </c>
      <c r="CA499" s="253" t="str">
        <f t="shared" ca="1" si="468"/>
        <v>Oleksandr Svatok</v>
      </c>
      <c r="CS499" s="252">
        <f t="shared" si="473"/>
        <v>496</v>
      </c>
      <c r="CT499" s="252">
        <f t="shared" si="474"/>
        <v>12</v>
      </c>
      <c r="CU499" s="252" t="str">
        <f t="shared" si="471"/>
        <v>CR37</v>
      </c>
      <c r="CV499" s="252" t="str">
        <f t="shared" ca="1" si="475"/>
        <v/>
      </c>
      <c r="CW499" s="252">
        <f t="shared" ca="1" si="469"/>
        <v>0</v>
      </c>
    </row>
    <row r="500" spans="72:101" x14ac:dyDescent="0.2">
      <c r="BT500" s="253" t="str">
        <f t="shared" ca="1" si="472"/>
        <v>Ukraine</v>
      </c>
      <c r="BU500" s="253">
        <f t="shared" si="470"/>
        <v>498</v>
      </c>
      <c r="BV500" s="253" t="str">
        <f t="shared" si="464"/>
        <v>A6</v>
      </c>
      <c r="BW500" s="253">
        <f t="shared" si="465"/>
        <v>20</v>
      </c>
      <c r="BX500" s="253" t="str">
        <f t="shared" ca="1" si="466"/>
        <v>Maksym Taloverov</v>
      </c>
      <c r="BY500" s="253">
        <f ca="1">COUNTIF('Group Stages'!$J$8:$Q$80,BX500)+COUNTIF('Knock Out Stages'!$K$7:$R$45,BX500)</f>
        <v>0</v>
      </c>
      <c r="BZ500" s="253" t="str">
        <f t="shared" si="467"/>
        <v>'Player Database'!b9</v>
      </c>
      <c r="CA500" s="253" t="str">
        <f t="shared" ca="1" si="468"/>
        <v>Maksym Taloverov</v>
      </c>
      <c r="CS500" s="252">
        <f t="shared" si="473"/>
        <v>497</v>
      </c>
      <c r="CT500" s="252">
        <f t="shared" si="474"/>
        <v>12</v>
      </c>
      <c r="CU500" s="252" t="str">
        <f t="shared" si="471"/>
        <v>CR38</v>
      </c>
      <c r="CV500" s="252" t="str">
        <f t="shared" ca="1" si="475"/>
        <v/>
      </c>
      <c r="CW500" s="252">
        <f t="shared" ca="1" si="469"/>
        <v>0</v>
      </c>
    </row>
    <row r="501" spans="72:101" x14ac:dyDescent="0.2">
      <c r="BT501" s="253" t="str">
        <f t="shared" ca="1" si="472"/>
        <v>Ukraine</v>
      </c>
      <c r="BU501" s="253">
        <f t="shared" si="470"/>
        <v>499</v>
      </c>
      <c r="BV501" s="253" t="str">
        <f t="shared" si="464"/>
        <v>A7</v>
      </c>
      <c r="BW501" s="253">
        <f t="shared" si="465"/>
        <v>20</v>
      </c>
      <c r="BX501" s="253" t="str">
        <f t="shared" ca="1" si="466"/>
        <v>Serhiy Sydorchuk</v>
      </c>
      <c r="BY501" s="253">
        <f ca="1">COUNTIF('Group Stages'!$J$8:$Q$80,BX501)+COUNTIF('Knock Out Stages'!$K$7:$R$45,BX501)</f>
        <v>0</v>
      </c>
      <c r="BZ501" s="253" t="str">
        <f t="shared" si="467"/>
        <v>'Player Database'!b10</v>
      </c>
      <c r="CA501" s="253" t="str">
        <f t="shared" ca="1" si="468"/>
        <v>Serhiy Sydorchuk</v>
      </c>
      <c r="CS501" s="252">
        <f t="shared" si="473"/>
        <v>498</v>
      </c>
      <c r="CT501" s="252">
        <f t="shared" si="474"/>
        <v>12</v>
      </c>
      <c r="CU501" s="252" t="str">
        <f t="shared" si="471"/>
        <v>CR39</v>
      </c>
      <c r="CV501" s="252" t="str">
        <f t="shared" ca="1" si="475"/>
        <v/>
      </c>
      <c r="CW501" s="252">
        <f t="shared" ca="1" si="469"/>
        <v>0</v>
      </c>
    </row>
    <row r="502" spans="72:101" x14ac:dyDescent="0.2">
      <c r="BT502" s="253" t="str">
        <f t="shared" ca="1" si="472"/>
        <v>Ukraine</v>
      </c>
      <c r="BU502" s="253">
        <f t="shared" si="470"/>
        <v>500</v>
      </c>
      <c r="BV502" s="253" t="str">
        <f t="shared" si="464"/>
        <v>A8</v>
      </c>
      <c r="BW502" s="253">
        <f t="shared" si="465"/>
        <v>20</v>
      </c>
      <c r="BX502" s="253" t="str">
        <f t="shared" ca="1" si="466"/>
        <v>Taras Stepanenko</v>
      </c>
      <c r="BY502" s="253">
        <f ca="1">COUNTIF('Group Stages'!$J$8:$Q$80,BX502)+COUNTIF('Knock Out Stages'!$K$7:$R$45,BX502)</f>
        <v>0</v>
      </c>
      <c r="BZ502" s="253" t="str">
        <f t="shared" si="467"/>
        <v>'Player Database'!b11</v>
      </c>
      <c r="CA502" s="253" t="str">
        <f t="shared" ca="1" si="468"/>
        <v>Taras Stepanenko</v>
      </c>
      <c r="CS502" s="252">
        <f t="shared" si="473"/>
        <v>499</v>
      </c>
      <c r="CT502" s="252">
        <f t="shared" si="474"/>
        <v>12</v>
      </c>
      <c r="CU502" s="252" t="str">
        <f t="shared" si="471"/>
        <v>CR40</v>
      </c>
      <c r="CV502" s="252" t="str">
        <f t="shared" ca="1" si="475"/>
        <v/>
      </c>
      <c r="CW502" s="252">
        <f t="shared" ca="1" si="469"/>
        <v>0</v>
      </c>
    </row>
    <row r="503" spans="72:101" x14ac:dyDescent="0.2">
      <c r="BT503" s="253" t="str">
        <f t="shared" ca="1" si="472"/>
        <v>Ukraine</v>
      </c>
      <c r="BU503" s="253">
        <f t="shared" si="470"/>
        <v>501</v>
      </c>
      <c r="BV503" s="253" t="str">
        <f t="shared" si="464"/>
        <v>A9</v>
      </c>
      <c r="BW503" s="253">
        <f t="shared" si="465"/>
        <v>20</v>
      </c>
      <c r="BX503" s="253" t="str">
        <f t="shared" ca="1" si="466"/>
        <v>Andriy Yarmolenko</v>
      </c>
      <c r="BY503" s="253">
        <f ca="1">COUNTIF('Group Stages'!$J$8:$Q$80,BX503)+COUNTIF('Knock Out Stages'!$K$7:$R$45,BX503)</f>
        <v>0</v>
      </c>
      <c r="BZ503" s="253" t="str">
        <f t="shared" si="467"/>
        <v>'Player Database'!b12</v>
      </c>
      <c r="CA503" s="253" t="str">
        <f t="shared" ca="1" si="468"/>
        <v>Andriy Yarmolenko</v>
      </c>
      <c r="CS503" s="252">
        <f t="shared" si="473"/>
        <v>500</v>
      </c>
      <c r="CT503" s="252">
        <f t="shared" si="474"/>
        <v>12</v>
      </c>
      <c r="CU503" s="252" t="str">
        <f t="shared" si="471"/>
        <v>CR41</v>
      </c>
      <c r="CV503" s="252" t="str">
        <f t="shared" ca="1" si="475"/>
        <v/>
      </c>
      <c r="CW503" s="252">
        <f t="shared" ca="1" si="469"/>
        <v>0</v>
      </c>
    </row>
    <row r="504" spans="72:101" x14ac:dyDescent="0.2">
      <c r="BT504" s="253" t="str">
        <f t="shared" ca="1" si="472"/>
        <v>Ukraine</v>
      </c>
      <c r="BU504" s="253">
        <f t="shared" si="470"/>
        <v>502</v>
      </c>
      <c r="BV504" s="253" t="str">
        <f t="shared" ref="BV504:BV567" si="476">BV478</f>
        <v>A10</v>
      </c>
      <c r="BW504" s="253">
        <f t="shared" ref="BW504:BW567" si="477">BW478+1</f>
        <v>20</v>
      </c>
      <c r="BX504" s="253" t="str">
        <f t="shared" ref="BX504:BX567" ca="1" si="478">OFFSET(INDIRECT(BV504),0,BW504)</f>
        <v>Ruslan Malinovskyi</v>
      </c>
      <c r="BY504" s="253">
        <f ca="1">COUNTIF('Group Stages'!$J$8:$Q$80,BX504)+COUNTIF('Knock Out Stages'!$K$7:$R$45,BX504)</f>
        <v>0</v>
      </c>
      <c r="BZ504" s="253" t="str">
        <f t="shared" ref="BZ504:BZ567" si="479">BZ478</f>
        <v>'Player Database'!b13</v>
      </c>
      <c r="CA504" s="253" t="str">
        <f t="shared" ref="CA504:CA567" ca="1" si="480">OFFSET(INDIRECT(BZ504),0,BW504)</f>
        <v>Ruslan Malinovskyi</v>
      </c>
      <c r="CS504" s="252">
        <f t="shared" si="473"/>
        <v>501</v>
      </c>
      <c r="CT504" s="252">
        <f t="shared" si="474"/>
        <v>12</v>
      </c>
      <c r="CU504" s="252" t="str">
        <f t="shared" si="471"/>
        <v>CR42</v>
      </c>
      <c r="CV504" s="252" t="str">
        <f t="shared" ca="1" si="475"/>
        <v/>
      </c>
      <c r="CW504" s="252">
        <f t="shared" ca="1" si="469"/>
        <v>0</v>
      </c>
    </row>
    <row r="505" spans="72:101" x14ac:dyDescent="0.2">
      <c r="BT505" s="253" t="str">
        <f t="shared" ca="1" si="472"/>
        <v>Ukraine</v>
      </c>
      <c r="BU505" s="253">
        <f t="shared" si="470"/>
        <v>503</v>
      </c>
      <c r="BV505" s="253" t="str">
        <f t="shared" si="476"/>
        <v>A11</v>
      </c>
      <c r="BW505" s="253">
        <f t="shared" si="477"/>
        <v>20</v>
      </c>
      <c r="BX505" s="253" t="str">
        <f t="shared" ca="1" si="478"/>
        <v>Roman Yaremchuk</v>
      </c>
      <c r="BY505" s="253">
        <f ca="1">COUNTIF('Group Stages'!$J$8:$Q$80,BX505)+COUNTIF('Knock Out Stages'!$K$7:$R$45,BX505)</f>
        <v>0</v>
      </c>
      <c r="BZ505" s="253" t="str">
        <f t="shared" si="479"/>
        <v>'Player Database'!b14</v>
      </c>
      <c r="CA505" s="253" t="str">
        <f t="shared" ca="1" si="480"/>
        <v>Roman Yaremchuk</v>
      </c>
      <c r="CS505" s="252">
        <f t="shared" si="473"/>
        <v>502</v>
      </c>
      <c r="CT505" s="252">
        <f t="shared" si="474"/>
        <v>12</v>
      </c>
      <c r="CU505" s="252" t="str">
        <f t="shared" si="471"/>
        <v>CR43</v>
      </c>
      <c r="CV505" s="252" t="str">
        <f t="shared" ca="1" si="475"/>
        <v/>
      </c>
      <c r="CW505" s="252">
        <f t="shared" ca="1" si="469"/>
        <v>0</v>
      </c>
    </row>
    <row r="506" spans="72:101" x14ac:dyDescent="0.2">
      <c r="BT506" s="253" t="str">
        <f t="shared" ca="1" si="472"/>
        <v>Ukraine</v>
      </c>
      <c r="BU506" s="253">
        <f t="shared" si="470"/>
        <v>504</v>
      </c>
      <c r="BV506" s="253" t="str">
        <f t="shared" si="476"/>
        <v>A12</v>
      </c>
      <c r="BW506" s="253">
        <f t="shared" si="477"/>
        <v>20</v>
      </c>
      <c r="BX506" s="253" t="str">
        <f t="shared" ca="1" si="478"/>
        <v>Mykhaylo Mudryk</v>
      </c>
      <c r="BY506" s="253">
        <f ca="1">COUNTIF('Group Stages'!$J$8:$Q$80,BX506)+COUNTIF('Knock Out Stages'!$K$7:$R$45,BX506)</f>
        <v>0</v>
      </c>
      <c r="BZ506" s="253" t="str">
        <f t="shared" si="479"/>
        <v>'Player Database'!b15</v>
      </c>
      <c r="CA506" s="253" t="str">
        <f t="shared" ca="1" si="480"/>
        <v>Mykhaylo Mudryk</v>
      </c>
      <c r="CS506" s="252">
        <f t="shared" si="473"/>
        <v>503</v>
      </c>
      <c r="CT506" s="252">
        <f t="shared" si="474"/>
        <v>12</v>
      </c>
      <c r="CU506" s="252" t="str">
        <f t="shared" si="471"/>
        <v>CR44</v>
      </c>
      <c r="CV506" s="252" t="str">
        <f t="shared" ca="1" si="475"/>
        <v/>
      </c>
      <c r="CW506" s="252">
        <f t="shared" ca="1" si="469"/>
        <v>0</v>
      </c>
    </row>
    <row r="507" spans="72:101" x14ac:dyDescent="0.2">
      <c r="BT507" s="253" t="str">
        <f t="shared" ca="1" si="472"/>
        <v>Ukraine</v>
      </c>
      <c r="BU507" s="253">
        <f t="shared" si="470"/>
        <v>505</v>
      </c>
      <c r="BV507" s="253" t="str">
        <f t="shared" si="476"/>
        <v>A13</v>
      </c>
      <c r="BW507" s="253">
        <f t="shared" si="477"/>
        <v>20</v>
      </c>
      <c r="BX507" s="253" t="str">
        <f t="shared" ca="1" si="478"/>
        <v>Artem Dovbyk</v>
      </c>
      <c r="BY507" s="253">
        <f ca="1">COUNTIF('Group Stages'!$J$8:$Q$80,BX507)+COUNTIF('Knock Out Stages'!$K$7:$R$45,BX507)</f>
        <v>0</v>
      </c>
      <c r="BZ507" s="253" t="str">
        <f t="shared" si="479"/>
        <v>'Player Database'!b16</v>
      </c>
      <c r="CA507" s="253" t="str">
        <f t="shared" ca="1" si="480"/>
        <v>Artem Dovbyk</v>
      </c>
      <c r="CS507" s="252">
        <f t="shared" si="473"/>
        <v>504</v>
      </c>
      <c r="CT507" s="252">
        <f t="shared" si="474"/>
        <v>12</v>
      </c>
      <c r="CU507" s="252" t="str">
        <f t="shared" si="471"/>
        <v>CR45</v>
      </c>
      <c r="CV507" s="252" t="str">
        <f t="shared" ca="1" si="475"/>
        <v/>
      </c>
      <c r="CW507" s="252">
        <f t="shared" ca="1" si="469"/>
        <v>0</v>
      </c>
    </row>
    <row r="508" spans="72:101" x14ac:dyDescent="0.2">
      <c r="BT508" s="253" t="str">
        <f t="shared" ca="1" si="472"/>
        <v>Ukraine</v>
      </c>
      <c r="BU508" s="253">
        <f t="shared" si="470"/>
        <v>506</v>
      </c>
      <c r="BV508" s="253" t="str">
        <f t="shared" si="476"/>
        <v>A14</v>
      </c>
      <c r="BW508" s="253">
        <f t="shared" si="477"/>
        <v>20</v>
      </c>
      <c r="BX508" s="253" t="str">
        <f t="shared" ca="1" si="478"/>
        <v>Anatoliy Trubin</v>
      </c>
      <c r="BY508" s="253">
        <f ca="1">COUNTIF('Group Stages'!$J$8:$Q$80,BX508)+COUNTIF('Knock Out Stages'!$K$7:$R$45,BX508)</f>
        <v>0</v>
      </c>
      <c r="BZ508" s="253" t="str">
        <f t="shared" si="479"/>
        <v>'Player Database'!b17</v>
      </c>
      <c r="CA508" s="253" t="str">
        <f t="shared" ca="1" si="480"/>
        <v>Anatoliy Trubin</v>
      </c>
      <c r="CS508" s="252">
        <f t="shared" si="473"/>
        <v>505</v>
      </c>
      <c r="CT508" s="252">
        <f t="shared" si="474"/>
        <v>13</v>
      </c>
      <c r="CU508" s="252" t="str">
        <f t="shared" si="471"/>
        <v>CR4</v>
      </c>
      <c r="CV508" s="252" t="str">
        <f t="shared" ca="1" si="475"/>
        <v/>
      </c>
      <c r="CW508" s="252">
        <f t="shared" ca="1" si="469"/>
        <v>0</v>
      </c>
    </row>
    <row r="509" spans="72:101" x14ac:dyDescent="0.2">
      <c r="BT509" s="253" t="str">
        <f t="shared" ca="1" si="472"/>
        <v>Ukraine</v>
      </c>
      <c r="BU509" s="253">
        <f t="shared" si="470"/>
        <v>507</v>
      </c>
      <c r="BV509" s="253" t="str">
        <f t="shared" si="476"/>
        <v>A15</v>
      </c>
      <c r="BW509" s="253">
        <f t="shared" si="477"/>
        <v>20</v>
      </c>
      <c r="BX509" s="253" t="str">
        <f t="shared" ca="1" si="478"/>
        <v>Illya Zabarnyi</v>
      </c>
      <c r="BY509" s="253">
        <f ca="1">COUNTIF('Group Stages'!$J$8:$Q$80,BX509)+COUNTIF('Knock Out Stages'!$K$7:$R$45,BX509)</f>
        <v>0</v>
      </c>
      <c r="BZ509" s="253" t="str">
        <f t="shared" si="479"/>
        <v>'Player Database'!b18</v>
      </c>
      <c r="CA509" s="253" t="str">
        <f t="shared" ca="1" si="480"/>
        <v>Illya Zabarnyi</v>
      </c>
      <c r="CS509" s="252">
        <f t="shared" si="473"/>
        <v>506</v>
      </c>
      <c r="CT509" s="252">
        <f t="shared" si="474"/>
        <v>13</v>
      </c>
      <c r="CU509" s="252" t="str">
        <f t="shared" si="471"/>
        <v>CR5</v>
      </c>
      <c r="CV509" s="252" t="str">
        <f t="shared" ca="1" si="475"/>
        <v/>
      </c>
      <c r="CW509" s="252">
        <f t="shared" ca="1" si="469"/>
        <v>0</v>
      </c>
    </row>
    <row r="510" spans="72:101" x14ac:dyDescent="0.2">
      <c r="BT510" s="253" t="str">
        <f t="shared" ca="1" si="472"/>
        <v>Ukraine</v>
      </c>
      <c r="BU510" s="253">
        <f t="shared" si="470"/>
        <v>508</v>
      </c>
      <c r="BV510" s="253" t="str">
        <f t="shared" si="476"/>
        <v>A16</v>
      </c>
      <c r="BW510" s="253">
        <f t="shared" si="477"/>
        <v>20</v>
      </c>
      <c r="BX510" s="253" t="str">
        <f t="shared" ca="1" si="478"/>
        <v>Heorhiy Sudakov</v>
      </c>
      <c r="BY510" s="253">
        <f ca="1">COUNTIF('Group Stages'!$J$8:$Q$80,BX510)+COUNTIF('Knock Out Stages'!$K$7:$R$45,BX510)</f>
        <v>0</v>
      </c>
      <c r="BZ510" s="253" t="str">
        <f t="shared" si="479"/>
        <v>'Player Database'!b19</v>
      </c>
      <c r="CA510" s="253" t="str">
        <f t="shared" ca="1" si="480"/>
        <v>Heorhiy Sudakov</v>
      </c>
      <c r="CS510" s="252">
        <f t="shared" si="473"/>
        <v>507</v>
      </c>
      <c r="CT510" s="252">
        <f t="shared" si="474"/>
        <v>13</v>
      </c>
      <c r="CU510" s="252" t="str">
        <f t="shared" si="471"/>
        <v>CR6</v>
      </c>
      <c r="CV510" s="252" t="str">
        <f t="shared" ca="1" si="475"/>
        <v/>
      </c>
      <c r="CW510" s="252">
        <f t="shared" ca="1" si="469"/>
        <v>0</v>
      </c>
    </row>
    <row r="511" spans="72:101" x14ac:dyDescent="0.2">
      <c r="BT511" s="253" t="str">
        <f t="shared" ca="1" si="472"/>
        <v>Ukraine</v>
      </c>
      <c r="BU511" s="253">
        <f t="shared" si="470"/>
        <v>509</v>
      </c>
      <c r="BV511" s="253" t="str">
        <f t="shared" si="476"/>
        <v>A17</v>
      </c>
      <c r="BW511" s="253">
        <f t="shared" si="477"/>
        <v>20</v>
      </c>
      <c r="BX511" s="253" t="str">
        <f t="shared" ca="1" si="478"/>
        <v>Viktor Tsyhankov</v>
      </c>
      <c r="BY511" s="253">
        <f ca="1">COUNTIF('Group Stages'!$J$8:$Q$80,BX511)+COUNTIF('Knock Out Stages'!$K$7:$R$45,BX511)</f>
        <v>0</v>
      </c>
      <c r="BZ511" s="253" t="str">
        <f t="shared" si="479"/>
        <v>'Player Database'!b20</v>
      </c>
      <c r="CA511" s="253" t="str">
        <f t="shared" ca="1" si="480"/>
        <v>Viktor Tsyhankov</v>
      </c>
      <c r="CS511" s="252">
        <f t="shared" si="473"/>
        <v>508</v>
      </c>
      <c r="CT511" s="252">
        <f t="shared" si="474"/>
        <v>13</v>
      </c>
      <c r="CU511" s="252" t="str">
        <f t="shared" si="471"/>
        <v>CR7</v>
      </c>
      <c r="CV511" s="252" t="str">
        <f t="shared" ca="1" si="475"/>
        <v/>
      </c>
      <c r="CW511" s="252">
        <f t="shared" ca="1" si="469"/>
        <v>0</v>
      </c>
    </row>
    <row r="512" spans="72:101" x14ac:dyDescent="0.2">
      <c r="BT512" s="253" t="str">
        <f t="shared" ca="1" si="472"/>
        <v>Ukraine</v>
      </c>
      <c r="BU512" s="253">
        <f t="shared" si="470"/>
        <v>510</v>
      </c>
      <c r="BV512" s="253" t="str">
        <f t="shared" si="476"/>
        <v>A18</v>
      </c>
      <c r="BW512" s="253">
        <f t="shared" si="477"/>
        <v>20</v>
      </c>
      <c r="BX512" s="253" t="str">
        <f t="shared" ca="1" si="478"/>
        <v>Vitaliy Mykolenko</v>
      </c>
      <c r="BY512" s="253">
        <f ca="1">COUNTIF('Group Stages'!$J$8:$Q$80,BX512)+COUNTIF('Knock Out Stages'!$K$7:$R$45,BX512)</f>
        <v>0</v>
      </c>
      <c r="BZ512" s="253" t="str">
        <f t="shared" si="479"/>
        <v>'Player Database'!b21</v>
      </c>
      <c r="CA512" s="253" t="str">
        <f t="shared" ca="1" si="480"/>
        <v>Vitaliy Mykolenko</v>
      </c>
      <c r="CS512" s="252">
        <f t="shared" si="473"/>
        <v>509</v>
      </c>
      <c r="CT512" s="252">
        <f t="shared" si="474"/>
        <v>13</v>
      </c>
      <c r="CU512" s="252" t="str">
        <f t="shared" si="471"/>
        <v>CR8</v>
      </c>
      <c r="CV512" s="252" t="str">
        <f t="shared" ca="1" si="475"/>
        <v/>
      </c>
      <c r="CW512" s="252">
        <f t="shared" ca="1" si="469"/>
        <v>0</v>
      </c>
    </row>
    <row r="513" spans="72:101" x14ac:dyDescent="0.2">
      <c r="BT513" s="253" t="str">
        <f t="shared" ca="1" si="472"/>
        <v>Ukraine</v>
      </c>
      <c r="BU513" s="253">
        <f t="shared" si="470"/>
        <v>511</v>
      </c>
      <c r="BV513" s="253" t="str">
        <f t="shared" si="476"/>
        <v>A19</v>
      </c>
      <c r="BW513" s="253">
        <f t="shared" si="477"/>
        <v>20</v>
      </c>
      <c r="BX513" s="253" t="str">
        <f t="shared" ca="1" si="478"/>
        <v>Oleksandr Zinchenko</v>
      </c>
      <c r="BY513" s="253">
        <f ca="1">COUNTIF('Group Stages'!$J$8:$Q$80,BX513)+COUNTIF('Knock Out Stages'!$K$7:$R$45,BX513)</f>
        <v>0</v>
      </c>
      <c r="BZ513" s="253" t="str">
        <f t="shared" si="479"/>
        <v>'Player Database'!b22</v>
      </c>
      <c r="CA513" s="253" t="str">
        <f t="shared" ca="1" si="480"/>
        <v>Oleksandr Zinchenko</v>
      </c>
      <c r="CS513" s="252">
        <f t="shared" si="473"/>
        <v>510</v>
      </c>
      <c r="CT513" s="252">
        <f t="shared" si="474"/>
        <v>13</v>
      </c>
      <c r="CU513" s="252" t="str">
        <f t="shared" si="471"/>
        <v>CR9</v>
      </c>
      <c r="CV513" s="252" t="str">
        <f t="shared" ca="1" si="475"/>
        <v/>
      </c>
      <c r="CW513" s="252">
        <f t="shared" ca="1" si="469"/>
        <v>0</v>
      </c>
    </row>
    <row r="514" spans="72:101" x14ac:dyDescent="0.2">
      <c r="BT514" s="253" t="str">
        <f t="shared" ca="1" si="472"/>
        <v>Ukraine</v>
      </c>
      <c r="BU514" s="253">
        <f t="shared" si="470"/>
        <v>512</v>
      </c>
      <c r="BV514" s="253" t="str">
        <f t="shared" si="476"/>
        <v>A20</v>
      </c>
      <c r="BW514" s="253">
        <f t="shared" si="477"/>
        <v>20</v>
      </c>
      <c r="BX514" s="253" t="str">
        <f t="shared" ca="1" si="478"/>
        <v>Volodymyr Brazhko</v>
      </c>
      <c r="BY514" s="253">
        <f ca="1">COUNTIF('Group Stages'!$J$8:$Q$80,BX514)+COUNTIF('Knock Out Stages'!$K$7:$R$45,BX514)</f>
        <v>0</v>
      </c>
      <c r="BZ514" s="253" t="str">
        <f t="shared" si="479"/>
        <v>'Player Database'!b23</v>
      </c>
      <c r="CA514" s="253" t="str">
        <f t="shared" ca="1" si="480"/>
        <v>Volodymyr Brazhko</v>
      </c>
      <c r="CS514" s="252">
        <f t="shared" si="473"/>
        <v>511</v>
      </c>
      <c r="CT514" s="252">
        <f t="shared" si="474"/>
        <v>13</v>
      </c>
      <c r="CU514" s="252" t="str">
        <f t="shared" si="471"/>
        <v>CR10</v>
      </c>
      <c r="CV514" s="252" t="str">
        <f t="shared" ca="1" si="475"/>
        <v/>
      </c>
      <c r="CW514" s="252">
        <f t="shared" ca="1" si="469"/>
        <v>0</v>
      </c>
    </row>
    <row r="515" spans="72:101" x14ac:dyDescent="0.2">
      <c r="BT515" s="253" t="str">
        <f t="shared" ca="1" si="472"/>
        <v>Ukraine</v>
      </c>
      <c r="BU515" s="253">
        <f t="shared" si="470"/>
        <v>513</v>
      </c>
      <c r="BV515" s="253" t="str">
        <f t="shared" si="476"/>
        <v>A21</v>
      </c>
      <c r="BW515" s="253">
        <f t="shared" si="477"/>
        <v>20</v>
      </c>
      <c r="BX515" s="253" t="str">
        <f t="shared" ca="1" si="478"/>
        <v>Mykola Shaparenko</v>
      </c>
      <c r="BY515" s="253">
        <f ca="1">COUNTIF('Group Stages'!$J$8:$Q$80,BX515)+COUNTIF('Knock Out Stages'!$K$7:$R$45,BX515)</f>
        <v>0</v>
      </c>
      <c r="BZ515" s="253" t="str">
        <f t="shared" si="479"/>
        <v>'Player Database'!b24</v>
      </c>
      <c r="CA515" s="253" t="str">
        <f t="shared" ca="1" si="480"/>
        <v>Mykola Shaparenko</v>
      </c>
      <c r="CS515" s="252">
        <f t="shared" si="473"/>
        <v>512</v>
      </c>
      <c r="CT515" s="252">
        <f t="shared" si="474"/>
        <v>13</v>
      </c>
      <c r="CU515" s="252" t="str">
        <f t="shared" si="471"/>
        <v>CR11</v>
      </c>
      <c r="CV515" s="252" t="str">
        <f t="shared" ca="1" si="475"/>
        <v/>
      </c>
      <c r="CW515" s="252">
        <f t="shared" ca="1" si="469"/>
        <v>0</v>
      </c>
    </row>
    <row r="516" spans="72:101" x14ac:dyDescent="0.2">
      <c r="BT516" s="253" t="str">
        <f t="shared" ca="1" si="472"/>
        <v>Ukraine</v>
      </c>
      <c r="BU516" s="253">
        <f t="shared" si="470"/>
        <v>514</v>
      </c>
      <c r="BV516" s="253" t="str">
        <f t="shared" si="476"/>
        <v>A22</v>
      </c>
      <c r="BW516" s="253">
        <f t="shared" si="477"/>
        <v>20</v>
      </c>
      <c r="BX516" s="253" t="str">
        <f t="shared" ca="1" si="478"/>
        <v>Oleksandr Zubkov</v>
      </c>
      <c r="BY516" s="253">
        <f ca="1">COUNTIF('Group Stages'!$J$8:$Q$80,BX516)+COUNTIF('Knock Out Stages'!$K$7:$R$45,BX516)</f>
        <v>0</v>
      </c>
      <c r="BZ516" s="253" t="str">
        <f t="shared" si="479"/>
        <v>'Player Database'!b25</v>
      </c>
      <c r="CA516" s="253" t="str">
        <f t="shared" ca="1" si="480"/>
        <v>Oleksandr Zubkov</v>
      </c>
      <c r="CS516" s="252">
        <f t="shared" si="473"/>
        <v>513</v>
      </c>
      <c r="CT516" s="252">
        <f t="shared" si="474"/>
        <v>13</v>
      </c>
      <c r="CU516" s="252" t="str">
        <f t="shared" si="471"/>
        <v>CR12</v>
      </c>
      <c r="CV516" s="252" t="str">
        <f t="shared" ca="1" si="475"/>
        <v/>
      </c>
      <c r="CW516" s="252">
        <f t="shared" ca="1" si="469"/>
        <v>0</v>
      </c>
    </row>
    <row r="517" spans="72:101" x14ac:dyDescent="0.2">
      <c r="BT517" s="253" t="str">
        <f t="shared" ca="1" si="472"/>
        <v>Ukraine</v>
      </c>
      <c r="BU517" s="253">
        <f t="shared" si="470"/>
        <v>515</v>
      </c>
      <c r="BV517" s="253" t="str">
        <f t="shared" si="476"/>
        <v>A23</v>
      </c>
      <c r="BW517" s="253">
        <f t="shared" si="477"/>
        <v>20</v>
      </c>
      <c r="BX517" s="253" t="str">
        <f t="shared" ca="1" si="478"/>
        <v>Valeriy Bondar</v>
      </c>
      <c r="BY517" s="253">
        <f ca="1">COUNTIF('Group Stages'!$J$8:$Q$80,BX517)+COUNTIF('Knock Out Stages'!$K$7:$R$45,BX517)</f>
        <v>0</v>
      </c>
      <c r="BZ517" s="253" t="str">
        <f t="shared" si="479"/>
        <v>'Player Database'!b26</v>
      </c>
      <c r="CA517" s="253" t="str">
        <f t="shared" ca="1" si="480"/>
        <v>Valeriy Bondar</v>
      </c>
      <c r="CS517" s="252">
        <f t="shared" si="473"/>
        <v>514</v>
      </c>
      <c r="CT517" s="252">
        <f t="shared" si="474"/>
        <v>13</v>
      </c>
      <c r="CU517" s="252" t="str">
        <f t="shared" si="471"/>
        <v>CR13</v>
      </c>
      <c r="CV517" s="252" t="str">
        <f t="shared" ca="1" si="475"/>
        <v/>
      </c>
      <c r="CW517" s="252">
        <f t="shared" ref="CW517:CW580" ca="1" si="481">IF(CV517&lt;&gt;"",CW516+1,CW516)</f>
        <v>0</v>
      </c>
    </row>
    <row r="518" spans="72:101" x14ac:dyDescent="0.2">
      <c r="BT518" s="253" t="str">
        <f t="shared" ca="1" si="472"/>
        <v>Ukraine</v>
      </c>
      <c r="BU518" s="253">
        <f t="shared" si="470"/>
        <v>516</v>
      </c>
      <c r="BV518" s="253" t="str">
        <f t="shared" si="476"/>
        <v>A24</v>
      </c>
      <c r="BW518" s="253">
        <f t="shared" si="477"/>
        <v>20</v>
      </c>
      <c r="BX518" s="253" t="str">
        <f t="shared" ca="1" si="478"/>
        <v>Mykola Matviyenko</v>
      </c>
      <c r="BY518" s="253">
        <f ca="1">COUNTIF('Group Stages'!$J$8:$Q$80,BX518)+COUNTIF('Knock Out Stages'!$K$7:$R$45,BX518)</f>
        <v>0</v>
      </c>
      <c r="BZ518" s="253" t="str">
        <f t="shared" si="479"/>
        <v>'Player Database'!b27</v>
      </c>
      <c r="CA518" s="253" t="str">
        <f t="shared" ca="1" si="480"/>
        <v>Mykola Matviyenko</v>
      </c>
      <c r="CS518" s="252">
        <f t="shared" si="473"/>
        <v>515</v>
      </c>
      <c r="CT518" s="252">
        <f t="shared" si="474"/>
        <v>13</v>
      </c>
      <c r="CU518" s="252" t="str">
        <f t="shared" si="471"/>
        <v>CR14</v>
      </c>
      <c r="CV518" s="252" t="str">
        <f t="shared" ca="1" si="475"/>
        <v/>
      </c>
      <c r="CW518" s="252">
        <f t="shared" ca="1" si="481"/>
        <v>0</v>
      </c>
    </row>
    <row r="519" spans="72:101" x14ac:dyDescent="0.2">
      <c r="BT519" s="253" t="str">
        <f t="shared" ca="1" si="472"/>
        <v>Ukraine</v>
      </c>
      <c r="BU519" s="253">
        <f t="shared" si="470"/>
        <v>517</v>
      </c>
      <c r="BV519" s="253" t="str">
        <f t="shared" si="476"/>
        <v>A25</v>
      </c>
      <c r="BW519" s="253">
        <f t="shared" si="477"/>
        <v>20</v>
      </c>
      <c r="BX519" s="253" t="str">
        <f t="shared" ca="1" si="478"/>
        <v>Andriy Lunin</v>
      </c>
      <c r="BY519" s="253">
        <f ca="1">COUNTIF('Group Stages'!$J$8:$Q$80,BX519)+COUNTIF('Knock Out Stages'!$K$7:$R$45,BX519)</f>
        <v>0</v>
      </c>
      <c r="BZ519" s="253" t="str">
        <f t="shared" si="479"/>
        <v>'Player Database'!b28</v>
      </c>
      <c r="CA519" s="253" t="str">
        <f t="shared" ca="1" si="480"/>
        <v>Andriy Lunin</v>
      </c>
      <c r="CS519" s="252">
        <f t="shared" si="473"/>
        <v>516</v>
      </c>
      <c r="CT519" s="252">
        <f t="shared" si="474"/>
        <v>13</v>
      </c>
      <c r="CU519" s="252" t="str">
        <f t="shared" si="471"/>
        <v>CR15</v>
      </c>
      <c r="CV519" s="252" t="str">
        <f t="shared" ca="1" si="475"/>
        <v/>
      </c>
      <c r="CW519" s="252">
        <f t="shared" ca="1" si="481"/>
        <v>0</v>
      </c>
    </row>
    <row r="520" spans="72:101" x14ac:dyDescent="0.2">
      <c r="BT520" s="253" t="str">
        <f t="shared" ca="1" si="472"/>
        <v>Ukraine</v>
      </c>
      <c r="BU520" s="253">
        <f t="shared" si="470"/>
        <v>518</v>
      </c>
      <c r="BV520" s="253" t="str">
        <f t="shared" si="476"/>
        <v>A26</v>
      </c>
      <c r="BW520" s="253">
        <f t="shared" si="477"/>
        <v>20</v>
      </c>
      <c r="BX520" s="253" t="str">
        <f t="shared" ca="1" si="478"/>
        <v>Oleksandr Tymchyk</v>
      </c>
      <c r="BY520" s="253">
        <f ca="1">COUNTIF('Group Stages'!$J$8:$Q$80,BX520)+COUNTIF('Knock Out Stages'!$K$7:$R$45,BX520)</f>
        <v>0</v>
      </c>
      <c r="BZ520" s="253" t="str">
        <f t="shared" si="479"/>
        <v>'Player Database'!b29</v>
      </c>
      <c r="CA520" s="253" t="str">
        <f t="shared" ca="1" si="480"/>
        <v>Oleksandr Tymchyk</v>
      </c>
      <c r="CS520" s="252">
        <f t="shared" si="473"/>
        <v>517</v>
      </c>
      <c r="CT520" s="252">
        <f t="shared" si="474"/>
        <v>13</v>
      </c>
      <c r="CU520" s="252" t="str">
        <f t="shared" si="471"/>
        <v>CR16</v>
      </c>
      <c r="CV520" s="252" t="str">
        <f t="shared" ca="1" si="475"/>
        <v/>
      </c>
      <c r="CW520" s="252">
        <f t="shared" ca="1" si="481"/>
        <v>0</v>
      </c>
    </row>
    <row r="521" spans="72:101" x14ac:dyDescent="0.2">
      <c r="BT521" s="253" t="str">
        <f t="shared" ca="1" si="472"/>
        <v>Ukraine</v>
      </c>
      <c r="BU521" s="253">
        <f t="shared" si="470"/>
        <v>519</v>
      </c>
      <c r="BV521" s="253" t="str">
        <f t="shared" si="476"/>
        <v>A27</v>
      </c>
      <c r="BW521" s="253">
        <f t="shared" si="477"/>
        <v>20</v>
      </c>
      <c r="BX521" s="253" t="str">
        <f t="shared" ca="1" si="478"/>
        <v>Vladyslav Vanat</v>
      </c>
      <c r="BY521" s="253">
        <f ca="1">COUNTIF('Group Stages'!$J$8:$Q$80,BX521)+COUNTIF('Knock Out Stages'!$K$7:$R$45,BX521)</f>
        <v>0</v>
      </c>
      <c r="BZ521" s="253" t="str">
        <f t="shared" si="479"/>
        <v>'Player Database'!b30</v>
      </c>
      <c r="CA521" s="253" t="str">
        <f t="shared" ca="1" si="480"/>
        <v>Vladyslav Vanat</v>
      </c>
      <c r="CS521" s="252">
        <f t="shared" si="473"/>
        <v>518</v>
      </c>
      <c r="CT521" s="252">
        <f t="shared" si="474"/>
        <v>13</v>
      </c>
      <c r="CU521" s="252" t="str">
        <f t="shared" si="471"/>
        <v>CR17</v>
      </c>
      <c r="CV521" s="252" t="str">
        <f t="shared" ca="1" si="475"/>
        <v/>
      </c>
      <c r="CW521" s="252">
        <f t="shared" ca="1" si="481"/>
        <v>0</v>
      </c>
    </row>
    <row r="522" spans="72:101" x14ac:dyDescent="0.2">
      <c r="BT522" s="253" t="str">
        <f t="shared" ca="1" si="472"/>
        <v>Ukraine</v>
      </c>
      <c r="BU522" s="253">
        <f t="shared" si="470"/>
        <v>520</v>
      </c>
      <c r="BV522" s="253" t="str">
        <f t="shared" si="476"/>
        <v>A28</v>
      </c>
      <c r="BW522" s="253">
        <f t="shared" si="477"/>
        <v>20</v>
      </c>
      <c r="BX522" s="253" t="str">
        <f t="shared" ca="1" si="478"/>
        <v>Bohdan Mykhaylichenko</v>
      </c>
      <c r="BY522" s="253">
        <f ca="1">COUNTIF('Group Stages'!$J$8:$Q$80,BX522)+COUNTIF('Knock Out Stages'!$K$7:$R$45,BX522)</f>
        <v>0</v>
      </c>
      <c r="BZ522" s="253" t="str">
        <f t="shared" si="479"/>
        <v>'Player Database'!b31</v>
      </c>
      <c r="CA522" s="253" t="str">
        <f t="shared" ca="1" si="480"/>
        <v>Bohdan Mykhaylichenko</v>
      </c>
      <c r="CS522" s="252">
        <f t="shared" si="473"/>
        <v>519</v>
      </c>
      <c r="CT522" s="252">
        <f t="shared" si="474"/>
        <v>13</v>
      </c>
      <c r="CU522" s="252" t="str">
        <f t="shared" si="471"/>
        <v>CR18</v>
      </c>
      <c r="CV522" s="252" t="str">
        <f t="shared" ca="1" si="475"/>
        <v/>
      </c>
      <c r="CW522" s="252">
        <f t="shared" ca="1" si="481"/>
        <v>0</v>
      </c>
    </row>
    <row r="523" spans="72:101" x14ac:dyDescent="0.2">
      <c r="BT523" s="253" t="str">
        <f t="shared" ca="1" si="472"/>
        <v>Portugal</v>
      </c>
      <c r="BU523" s="253">
        <f t="shared" ref="BU523:BU586" si="482">BU522+1</f>
        <v>521</v>
      </c>
      <c r="BV523" s="253" t="str">
        <f t="shared" si="476"/>
        <v>A3</v>
      </c>
      <c r="BW523" s="253">
        <f t="shared" si="477"/>
        <v>21</v>
      </c>
      <c r="BX523" s="253" t="str">
        <f t="shared" ca="1" si="478"/>
        <v>Rui Patrício</v>
      </c>
      <c r="BY523" s="253">
        <f ca="1">COUNTIF('Group Stages'!$J$8:$Q$80,BX523)+COUNTIF('Knock Out Stages'!$K$7:$R$45,BX523)</f>
        <v>0</v>
      </c>
      <c r="BZ523" s="253" t="str">
        <f t="shared" si="479"/>
        <v>'Player Database'!b6</v>
      </c>
      <c r="CA523" s="253" t="str">
        <f t="shared" ca="1" si="480"/>
        <v>Rui Patrício</v>
      </c>
      <c r="CS523" s="252">
        <f t="shared" si="473"/>
        <v>520</v>
      </c>
      <c r="CT523" s="252">
        <f t="shared" si="474"/>
        <v>13</v>
      </c>
      <c r="CU523" s="252" t="str">
        <f t="shared" si="471"/>
        <v>CR19</v>
      </c>
      <c r="CV523" s="252" t="str">
        <f t="shared" ca="1" si="475"/>
        <v/>
      </c>
      <c r="CW523" s="252">
        <f t="shared" ca="1" si="481"/>
        <v>0</v>
      </c>
    </row>
    <row r="524" spans="72:101" x14ac:dyDescent="0.2">
      <c r="BT524" s="253" t="str">
        <f t="shared" ca="1" si="472"/>
        <v>Portugal</v>
      </c>
      <c r="BU524" s="253">
        <f t="shared" si="482"/>
        <v>522</v>
      </c>
      <c r="BV524" s="253" t="str">
        <f t="shared" si="476"/>
        <v>A4</v>
      </c>
      <c r="BW524" s="253">
        <f t="shared" si="477"/>
        <v>21</v>
      </c>
      <c r="BX524" s="253" t="str">
        <f t="shared" ca="1" si="478"/>
        <v>Nélson Semedo</v>
      </c>
      <c r="BY524" s="253">
        <f ca="1">COUNTIF('Group Stages'!$J$8:$Q$80,BX524)+COUNTIF('Knock Out Stages'!$K$7:$R$45,BX524)</f>
        <v>0</v>
      </c>
      <c r="BZ524" s="253" t="str">
        <f t="shared" si="479"/>
        <v>'Player Database'!b7</v>
      </c>
      <c r="CA524" s="253" t="str">
        <f t="shared" ca="1" si="480"/>
        <v>Nélson Semedo</v>
      </c>
      <c r="CS524" s="252">
        <f t="shared" si="473"/>
        <v>521</v>
      </c>
      <c r="CT524" s="252">
        <f t="shared" si="474"/>
        <v>13</v>
      </c>
      <c r="CU524" s="252" t="str">
        <f t="shared" si="471"/>
        <v>CR20</v>
      </c>
      <c r="CV524" s="252" t="str">
        <f t="shared" ca="1" si="475"/>
        <v/>
      </c>
      <c r="CW524" s="252">
        <f t="shared" ca="1" si="481"/>
        <v>0</v>
      </c>
    </row>
    <row r="525" spans="72:101" x14ac:dyDescent="0.2">
      <c r="BT525" s="253" t="str">
        <f t="shared" ca="1" si="472"/>
        <v>Portugal</v>
      </c>
      <c r="BU525" s="253">
        <f t="shared" si="482"/>
        <v>523</v>
      </c>
      <c r="BV525" s="253" t="str">
        <f t="shared" si="476"/>
        <v>A5</v>
      </c>
      <c r="BW525" s="253">
        <f t="shared" si="477"/>
        <v>21</v>
      </c>
      <c r="BX525" s="253" t="str">
        <f t="shared" ca="1" si="478"/>
        <v>Pepe</v>
      </c>
      <c r="BY525" s="253">
        <f ca="1">COUNTIF('Group Stages'!$J$8:$Q$80,BX525)+COUNTIF('Knock Out Stages'!$K$7:$R$45,BX525)</f>
        <v>0</v>
      </c>
      <c r="BZ525" s="253" t="str">
        <f t="shared" si="479"/>
        <v>'Player Database'!b8</v>
      </c>
      <c r="CA525" s="253" t="str">
        <f t="shared" ca="1" si="480"/>
        <v>Pepe</v>
      </c>
      <c r="CS525" s="252">
        <f t="shared" si="473"/>
        <v>522</v>
      </c>
      <c r="CT525" s="252">
        <f t="shared" si="474"/>
        <v>13</v>
      </c>
      <c r="CU525" s="252" t="str">
        <f t="shared" si="471"/>
        <v>CR21</v>
      </c>
      <c r="CV525" s="252" t="str">
        <f t="shared" ca="1" si="475"/>
        <v/>
      </c>
      <c r="CW525" s="252">
        <f t="shared" ca="1" si="481"/>
        <v>0</v>
      </c>
    </row>
    <row r="526" spans="72:101" x14ac:dyDescent="0.2">
      <c r="BT526" s="253" t="str">
        <f t="shared" ca="1" si="472"/>
        <v>Portugal</v>
      </c>
      <c r="BU526" s="253">
        <f t="shared" si="482"/>
        <v>524</v>
      </c>
      <c r="BV526" s="253" t="str">
        <f t="shared" si="476"/>
        <v>A6</v>
      </c>
      <c r="BW526" s="253">
        <f t="shared" si="477"/>
        <v>21</v>
      </c>
      <c r="BX526" s="253" t="str">
        <f t="shared" ca="1" si="478"/>
        <v>Rúben Dias</v>
      </c>
      <c r="BY526" s="253">
        <f ca="1">COUNTIF('Group Stages'!$J$8:$Q$80,BX526)+COUNTIF('Knock Out Stages'!$K$7:$R$45,BX526)</f>
        <v>0</v>
      </c>
      <c r="BZ526" s="253" t="str">
        <f t="shared" si="479"/>
        <v>'Player Database'!b9</v>
      </c>
      <c r="CA526" s="253" t="str">
        <f t="shared" ca="1" si="480"/>
        <v>Rúben Dias</v>
      </c>
      <c r="CS526" s="252">
        <f t="shared" si="473"/>
        <v>523</v>
      </c>
      <c r="CT526" s="252">
        <f t="shared" si="474"/>
        <v>13</v>
      </c>
      <c r="CU526" s="252" t="str">
        <f t="shared" si="471"/>
        <v>CR22</v>
      </c>
      <c r="CV526" s="252" t="str">
        <f t="shared" ca="1" si="475"/>
        <v/>
      </c>
      <c r="CW526" s="252">
        <f t="shared" ca="1" si="481"/>
        <v>0</v>
      </c>
    </row>
    <row r="527" spans="72:101" x14ac:dyDescent="0.2">
      <c r="BT527" s="253" t="str">
        <f t="shared" ca="1" si="472"/>
        <v>Portugal</v>
      </c>
      <c r="BU527" s="253">
        <f t="shared" si="482"/>
        <v>525</v>
      </c>
      <c r="BV527" s="253" t="str">
        <f t="shared" si="476"/>
        <v>A7</v>
      </c>
      <c r="BW527" s="253">
        <f t="shared" si="477"/>
        <v>21</v>
      </c>
      <c r="BX527" s="253" t="str">
        <f t="shared" ca="1" si="478"/>
        <v>Diogo Dalot</v>
      </c>
      <c r="BY527" s="253">
        <f ca="1">COUNTIF('Group Stages'!$J$8:$Q$80,BX527)+COUNTIF('Knock Out Stages'!$K$7:$R$45,BX527)</f>
        <v>0</v>
      </c>
      <c r="BZ527" s="253" t="str">
        <f t="shared" si="479"/>
        <v>'Player Database'!b10</v>
      </c>
      <c r="CA527" s="253" t="str">
        <f t="shared" ca="1" si="480"/>
        <v>Diogo Dalot</v>
      </c>
      <c r="CS527" s="252">
        <f t="shared" si="473"/>
        <v>524</v>
      </c>
      <c r="CT527" s="252">
        <f t="shared" si="474"/>
        <v>13</v>
      </c>
      <c r="CU527" s="252" t="str">
        <f t="shared" si="471"/>
        <v>CR23</v>
      </c>
      <c r="CV527" s="252" t="str">
        <f t="shared" ca="1" si="475"/>
        <v/>
      </c>
      <c r="CW527" s="252">
        <f t="shared" ca="1" si="481"/>
        <v>0</v>
      </c>
    </row>
    <row r="528" spans="72:101" x14ac:dyDescent="0.2">
      <c r="BT528" s="253" t="str">
        <f t="shared" ca="1" si="472"/>
        <v>Portugal</v>
      </c>
      <c r="BU528" s="253">
        <f t="shared" si="482"/>
        <v>526</v>
      </c>
      <c r="BV528" s="253" t="str">
        <f t="shared" si="476"/>
        <v>A8</v>
      </c>
      <c r="BW528" s="253">
        <f t="shared" si="477"/>
        <v>21</v>
      </c>
      <c r="BX528" s="253" t="str">
        <f t="shared" ca="1" si="478"/>
        <v>João Palhinha</v>
      </c>
      <c r="BY528" s="253">
        <f ca="1">COUNTIF('Group Stages'!$J$8:$Q$80,BX528)+COUNTIF('Knock Out Stages'!$K$7:$R$45,BX528)</f>
        <v>0</v>
      </c>
      <c r="BZ528" s="253" t="str">
        <f t="shared" si="479"/>
        <v>'Player Database'!b11</v>
      </c>
      <c r="CA528" s="253" t="str">
        <f t="shared" ca="1" si="480"/>
        <v>João Palhinha</v>
      </c>
      <c r="CS528" s="252">
        <f t="shared" si="473"/>
        <v>525</v>
      </c>
      <c r="CT528" s="252">
        <f t="shared" si="474"/>
        <v>13</v>
      </c>
      <c r="CU528" s="252" t="str">
        <f t="shared" si="471"/>
        <v>CR24</v>
      </c>
      <c r="CV528" s="252" t="str">
        <f t="shared" ca="1" si="475"/>
        <v/>
      </c>
      <c r="CW528" s="252">
        <f t="shared" ca="1" si="481"/>
        <v>0</v>
      </c>
    </row>
    <row r="529" spans="72:101" x14ac:dyDescent="0.2">
      <c r="BT529" s="253" t="str">
        <f t="shared" ca="1" si="472"/>
        <v>Portugal</v>
      </c>
      <c r="BU529" s="253">
        <f t="shared" si="482"/>
        <v>527</v>
      </c>
      <c r="BV529" s="253" t="str">
        <f t="shared" si="476"/>
        <v>A9</v>
      </c>
      <c r="BW529" s="253">
        <f t="shared" si="477"/>
        <v>21</v>
      </c>
      <c r="BX529" s="253" t="str">
        <f t="shared" ca="1" si="478"/>
        <v>Cristiano Ronaldo</v>
      </c>
      <c r="BY529" s="253">
        <f ca="1">COUNTIF('Group Stages'!$J$8:$Q$80,BX529)+COUNTIF('Knock Out Stages'!$K$7:$R$45,BX529)</f>
        <v>0</v>
      </c>
      <c r="BZ529" s="253" t="str">
        <f t="shared" si="479"/>
        <v>'Player Database'!b12</v>
      </c>
      <c r="CA529" s="253" t="str">
        <f t="shared" ca="1" si="480"/>
        <v>Cristiano Ronaldo</v>
      </c>
      <c r="CS529" s="252">
        <f t="shared" si="473"/>
        <v>526</v>
      </c>
      <c r="CT529" s="252">
        <f t="shared" si="474"/>
        <v>13</v>
      </c>
      <c r="CU529" s="252" t="str">
        <f t="shared" si="471"/>
        <v>CR25</v>
      </c>
      <c r="CV529" s="252" t="str">
        <f t="shared" ca="1" si="475"/>
        <v/>
      </c>
      <c r="CW529" s="252">
        <f t="shared" ca="1" si="481"/>
        <v>0</v>
      </c>
    </row>
    <row r="530" spans="72:101" x14ac:dyDescent="0.2">
      <c r="BT530" s="253" t="str">
        <f t="shared" ca="1" si="472"/>
        <v>Portugal</v>
      </c>
      <c r="BU530" s="253">
        <f t="shared" si="482"/>
        <v>528</v>
      </c>
      <c r="BV530" s="253" t="str">
        <f t="shared" si="476"/>
        <v>A10</v>
      </c>
      <c r="BW530" s="253">
        <f t="shared" si="477"/>
        <v>21</v>
      </c>
      <c r="BX530" s="253" t="str">
        <f t="shared" ca="1" si="478"/>
        <v>Bruno Fernandes</v>
      </c>
      <c r="BY530" s="253">
        <f ca="1">COUNTIF('Group Stages'!$J$8:$Q$80,BX530)+COUNTIF('Knock Out Stages'!$K$7:$R$45,BX530)</f>
        <v>0</v>
      </c>
      <c r="BZ530" s="253" t="str">
        <f t="shared" si="479"/>
        <v>'Player Database'!b13</v>
      </c>
      <c r="CA530" s="253" t="str">
        <f t="shared" ca="1" si="480"/>
        <v>Bruno Fernandes</v>
      </c>
      <c r="CS530" s="252">
        <f t="shared" si="473"/>
        <v>527</v>
      </c>
      <c r="CT530" s="252">
        <f t="shared" si="474"/>
        <v>13</v>
      </c>
      <c r="CU530" s="252" t="str">
        <f t="shared" si="471"/>
        <v>CR26</v>
      </c>
      <c r="CV530" s="252" t="str">
        <f t="shared" ca="1" si="475"/>
        <v/>
      </c>
      <c r="CW530" s="252">
        <f t="shared" ca="1" si="481"/>
        <v>0</v>
      </c>
    </row>
    <row r="531" spans="72:101" x14ac:dyDescent="0.2">
      <c r="BT531" s="253" t="str">
        <f t="shared" ca="1" si="472"/>
        <v>Portugal</v>
      </c>
      <c r="BU531" s="253">
        <f t="shared" si="482"/>
        <v>529</v>
      </c>
      <c r="BV531" s="253" t="str">
        <f t="shared" si="476"/>
        <v>A11</v>
      </c>
      <c r="BW531" s="253">
        <f t="shared" si="477"/>
        <v>21</v>
      </c>
      <c r="BX531" s="253" t="str">
        <f t="shared" ca="1" si="478"/>
        <v>Gonçalo Ramos</v>
      </c>
      <c r="BY531" s="253">
        <f ca="1">COUNTIF('Group Stages'!$J$8:$Q$80,BX531)+COUNTIF('Knock Out Stages'!$K$7:$R$45,BX531)</f>
        <v>0</v>
      </c>
      <c r="BZ531" s="253" t="str">
        <f t="shared" si="479"/>
        <v>'Player Database'!b14</v>
      </c>
      <c r="CA531" s="253" t="str">
        <f t="shared" ca="1" si="480"/>
        <v>Gonçalo Ramos</v>
      </c>
      <c r="CS531" s="252">
        <f t="shared" si="473"/>
        <v>528</v>
      </c>
      <c r="CT531" s="252">
        <f t="shared" si="474"/>
        <v>13</v>
      </c>
      <c r="CU531" s="252" t="str">
        <f t="shared" si="471"/>
        <v>CR27</v>
      </c>
      <c r="CV531" s="252" t="str">
        <f t="shared" ca="1" si="475"/>
        <v/>
      </c>
      <c r="CW531" s="252">
        <f t="shared" ca="1" si="481"/>
        <v>0</v>
      </c>
    </row>
    <row r="532" spans="72:101" x14ac:dyDescent="0.2">
      <c r="BT532" s="253" t="str">
        <f t="shared" ca="1" si="472"/>
        <v>Portugal</v>
      </c>
      <c r="BU532" s="253">
        <f t="shared" si="482"/>
        <v>530</v>
      </c>
      <c r="BV532" s="253" t="str">
        <f t="shared" si="476"/>
        <v>A12</v>
      </c>
      <c r="BW532" s="253">
        <f t="shared" si="477"/>
        <v>21</v>
      </c>
      <c r="BX532" s="253" t="str">
        <f t="shared" ca="1" si="478"/>
        <v>Bernardo Silva</v>
      </c>
      <c r="BY532" s="253">
        <f ca="1">COUNTIF('Group Stages'!$J$8:$Q$80,BX532)+COUNTIF('Knock Out Stages'!$K$7:$R$45,BX532)</f>
        <v>0</v>
      </c>
      <c r="BZ532" s="253" t="str">
        <f t="shared" si="479"/>
        <v>'Player Database'!b15</v>
      </c>
      <c r="CA532" s="253" t="str">
        <f t="shared" ca="1" si="480"/>
        <v>Bernardo Silva</v>
      </c>
      <c r="CS532" s="252">
        <f t="shared" si="473"/>
        <v>529</v>
      </c>
      <c r="CT532" s="252">
        <f t="shared" si="474"/>
        <v>13</v>
      </c>
      <c r="CU532" s="252" t="str">
        <f t="shared" si="471"/>
        <v>CR28</v>
      </c>
      <c r="CV532" s="252" t="str">
        <f t="shared" ca="1" si="475"/>
        <v/>
      </c>
      <c r="CW532" s="252">
        <f t="shared" ca="1" si="481"/>
        <v>0</v>
      </c>
    </row>
    <row r="533" spans="72:101" x14ac:dyDescent="0.2">
      <c r="BT533" s="253" t="str">
        <f t="shared" ca="1" si="472"/>
        <v>Portugal</v>
      </c>
      <c r="BU533" s="253">
        <f t="shared" si="482"/>
        <v>531</v>
      </c>
      <c r="BV533" s="253" t="str">
        <f t="shared" si="476"/>
        <v>A13</v>
      </c>
      <c r="BW533" s="253">
        <f t="shared" si="477"/>
        <v>21</v>
      </c>
      <c r="BX533" s="253" t="str">
        <f t="shared" ca="1" si="478"/>
        <v>João Félix</v>
      </c>
      <c r="BY533" s="253">
        <f ca="1">COUNTIF('Group Stages'!$J$8:$Q$80,BX533)+COUNTIF('Knock Out Stages'!$K$7:$R$45,BX533)</f>
        <v>0</v>
      </c>
      <c r="BZ533" s="253" t="str">
        <f t="shared" si="479"/>
        <v>'Player Database'!b16</v>
      </c>
      <c r="CA533" s="253" t="str">
        <f t="shared" ca="1" si="480"/>
        <v>João Félix</v>
      </c>
      <c r="CS533" s="252">
        <f t="shared" si="473"/>
        <v>530</v>
      </c>
      <c r="CT533" s="252">
        <f t="shared" si="474"/>
        <v>13</v>
      </c>
      <c r="CU533" s="252" t="str">
        <f t="shared" si="471"/>
        <v>CR29</v>
      </c>
      <c r="CV533" s="252" t="str">
        <f t="shared" ca="1" si="475"/>
        <v/>
      </c>
      <c r="CW533" s="252">
        <f t="shared" ca="1" si="481"/>
        <v>0</v>
      </c>
    </row>
    <row r="534" spans="72:101" x14ac:dyDescent="0.2">
      <c r="BT534" s="253" t="str">
        <f t="shared" ca="1" si="472"/>
        <v>Portugal</v>
      </c>
      <c r="BU534" s="253">
        <f t="shared" si="482"/>
        <v>532</v>
      </c>
      <c r="BV534" s="253" t="str">
        <f t="shared" si="476"/>
        <v>A14</v>
      </c>
      <c r="BW534" s="253">
        <f t="shared" si="477"/>
        <v>21</v>
      </c>
      <c r="BX534" s="253" t="str">
        <f t="shared" ca="1" si="478"/>
        <v>José Sá</v>
      </c>
      <c r="BY534" s="253">
        <f ca="1">COUNTIF('Group Stages'!$J$8:$Q$80,BX534)+COUNTIF('Knock Out Stages'!$K$7:$R$45,BX534)</f>
        <v>0</v>
      </c>
      <c r="BZ534" s="253" t="str">
        <f t="shared" si="479"/>
        <v>'Player Database'!b17</v>
      </c>
      <c r="CA534" s="253" t="str">
        <f t="shared" ca="1" si="480"/>
        <v>José Sá</v>
      </c>
      <c r="CS534" s="252">
        <f t="shared" si="473"/>
        <v>531</v>
      </c>
      <c r="CT534" s="252">
        <f t="shared" si="474"/>
        <v>13</v>
      </c>
      <c r="CU534" s="252" t="str">
        <f t="shared" si="471"/>
        <v>CR30</v>
      </c>
      <c r="CV534" s="252" t="str">
        <f t="shared" ca="1" si="475"/>
        <v/>
      </c>
      <c r="CW534" s="252">
        <f t="shared" ca="1" si="481"/>
        <v>0</v>
      </c>
    </row>
    <row r="535" spans="72:101" x14ac:dyDescent="0.2">
      <c r="BT535" s="253" t="str">
        <f t="shared" ca="1" si="472"/>
        <v>Portugal</v>
      </c>
      <c r="BU535" s="253">
        <f t="shared" si="482"/>
        <v>533</v>
      </c>
      <c r="BV535" s="253" t="str">
        <f t="shared" si="476"/>
        <v>A15</v>
      </c>
      <c r="BW535" s="253">
        <f t="shared" si="477"/>
        <v>21</v>
      </c>
      <c r="BX535" s="253" t="str">
        <f t="shared" ca="1" si="478"/>
        <v>Danilo Pereira</v>
      </c>
      <c r="BY535" s="253">
        <f ca="1">COUNTIF('Group Stages'!$J$8:$Q$80,BX535)+COUNTIF('Knock Out Stages'!$K$7:$R$45,BX535)</f>
        <v>0</v>
      </c>
      <c r="BZ535" s="253" t="str">
        <f t="shared" si="479"/>
        <v>'Player Database'!b18</v>
      </c>
      <c r="CA535" s="253" t="str">
        <f t="shared" ca="1" si="480"/>
        <v>Danilo Pereira</v>
      </c>
      <c r="CS535" s="252">
        <f t="shared" si="473"/>
        <v>532</v>
      </c>
      <c r="CT535" s="252">
        <f t="shared" si="474"/>
        <v>13</v>
      </c>
      <c r="CU535" s="252" t="str">
        <f t="shared" si="471"/>
        <v>CR31</v>
      </c>
      <c r="CV535" s="252" t="str">
        <f t="shared" ca="1" si="475"/>
        <v/>
      </c>
      <c r="CW535" s="252">
        <f t="shared" ca="1" si="481"/>
        <v>0</v>
      </c>
    </row>
    <row r="536" spans="72:101" x14ac:dyDescent="0.2">
      <c r="BT536" s="253" t="str">
        <f t="shared" ca="1" si="472"/>
        <v>Portugal</v>
      </c>
      <c r="BU536" s="253">
        <f t="shared" si="482"/>
        <v>534</v>
      </c>
      <c r="BV536" s="253" t="str">
        <f t="shared" si="476"/>
        <v>A16</v>
      </c>
      <c r="BW536" s="253">
        <f t="shared" si="477"/>
        <v>21</v>
      </c>
      <c r="BX536" s="253" t="str">
        <f t="shared" ca="1" si="478"/>
        <v>Gonçalo Inácio</v>
      </c>
      <c r="BY536" s="253">
        <f ca="1">COUNTIF('Group Stages'!$J$8:$Q$80,BX536)+COUNTIF('Knock Out Stages'!$K$7:$R$45,BX536)</f>
        <v>0</v>
      </c>
      <c r="BZ536" s="253" t="str">
        <f t="shared" si="479"/>
        <v>'Player Database'!b19</v>
      </c>
      <c r="CA536" s="253" t="str">
        <f t="shared" ca="1" si="480"/>
        <v>Gonçalo Inácio</v>
      </c>
      <c r="CS536" s="252">
        <f t="shared" si="473"/>
        <v>533</v>
      </c>
      <c r="CT536" s="252">
        <f t="shared" si="474"/>
        <v>13</v>
      </c>
      <c r="CU536" s="252" t="str">
        <f t="shared" si="471"/>
        <v>CR32</v>
      </c>
      <c r="CV536" s="252" t="str">
        <f t="shared" ca="1" si="475"/>
        <v/>
      </c>
      <c r="CW536" s="252">
        <f t="shared" ca="1" si="481"/>
        <v>0</v>
      </c>
    </row>
    <row r="537" spans="72:101" x14ac:dyDescent="0.2">
      <c r="BT537" s="253" t="str">
        <f t="shared" ca="1" si="472"/>
        <v>Portugal</v>
      </c>
      <c r="BU537" s="253">
        <f t="shared" si="482"/>
        <v>535</v>
      </c>
      <c r="BV537" s="253" t="str">
        <f t="shared" si="476"/>
        <v>A17</v>
      </c>
      <c r="BW537" s="253">
        <f t="shared" si="477"/>
        <v>21</v>
      </c>
      <c r="BX537" s="253" t="str">
        <f t="shared" ca="1" si="478"/>
        <v>João Neves</v>
      </c>
      <c r="BY537" s="253">
        <f ca="1">COUNTIF('Group Stages'!$J$8:$Q$80,BX537)+COUNTIF('Knock Out Stages'!$K$7:$R$45,BX537)</f>
        <v>0</v>
      </c>
      <c r="BZ537" s="253" t="str">
        <f t="shared" si="479"/>
        <v>'Player Database'!b20</v>
      </c>
      <c r="CA537" s="253" t="str">
        <f t="shared" ca="1" si="480"/>
        <v>João Neves</v>
      </c>
      <c r="CS537" s="252">
        <f t="shared" si="473"/>
        <v>534</v>
      </c>
      <c r="CT537" s="252">
        <f t="shared" si="474"/>
        <v>13</v>
      </c>
      <c r="CU537" s="252" t="str">
        <f t="shared" ref="CU537:CU600" si="483">CU495</f>
        <v>CR33</v>
      </c>
      <c r="CV537" s="252" t="str">
        <f t="shared" ca="1" si="475"/>
        <v/>
      </c>
      <c r="CW537" s="252">
        <f t="shared" ca="1" si="481"/>
        <v>0</v>
      </c>
    </row>
    <row r="538" spans="72:101" x14ac:dyDescent="0.2">
      <c r="BT538" s="253" t="str">
        <f t="shared" ca="1" si="472"/>
        <v>Portugal</v>
      </c>
      <c r="BU538" s="253">
        <f t="shared" si="482"/>
        <v>536</v>
      </c>
      <c r="BV538" s="253" t="str">
        <f t="shared" si="476"/>
        <v>A18</v>
      </c>
      <c r="BW538" s="253">
        <f t="shared" si="477"/>
        <v>21</v>
      </c>
      <c r="BX538" s="253" t="str">
        <f t="shared" ca="1" si="478"/>
        <v>Matheus Nunes</v>
      </c>
      <c r="BY538" s="253">
        <f ca="1">COUNTIF('Group Stages'!$J$8:$Q$80,BX538)+COUNTIF('Knock Out Stages'!$K$7:$R$45,BX538)</f>
        <v>0</v>
      </c>
      <c r="BZ538" s="253" t="str">
        <f t="shared" si="479"/>
        <v>'Player Database'!b21</v>
      </c>
      <c r="CA538" s="253" t="str">
        <f t="shared" ca="1" si="480"/>
        <v>Matheus Nunes</v>
      </c>
      <c r="CS538" s="252">
        <f t="shared" si="473"/>
        <v>535</v>
      </c>
      <c r="CT538" s="252">
        <f t="shared" si="474"/>
        <v>13</v>
      </c>
      <c r="CU538" s="252" t="str">
        <f t="shared" si="483"/>
        <v>CR34</v>
      </c>
      <c r="CV538" s="252" t="str">
        <f t="shared" ca="1" si="475"/>
        <v/>
      </c>
      <c r="CW538" s="252">
        <f t="shared" ca="1" si="481"/>
        <v>0</v>
      </c>
    </row>
    <row r="539" spans="72:101" x14ac:dyDescent="0.2">
      <c r="BT539" s="253" t="str">
        <f t="shared" ca="1" si="472"/>
        <v>Portugal</v>
      </c>
      <c r="BU539" s="253">
        <f t="shared" si="482"/>
        <v>537</v>
      </c>
      <c r="BV539" s="253" t="str">
        <f t="shared" si="476"/>
        <v>A19</v>
      </c>
      <c r="BW539" s="253">
        <f t="shared" si="477"/>
        <v>21</v>
      </c>
      <c r="BX539" s="253" t="str">
        <f t="shared" ca="1" si="478"/>
        <v>Rafael Leão</v>
      </c>
      <c r="BY539" s="253">
        <f ca="1">COUNTIF('Group Stages'!$J$8:$Q$80,BX539)+COUNTIF('Knock Out Stages'!$K$7:$R$45,BX539)</f>
        <v>0</v>
      </c>
      <c r="BZ539" s="253" t="str">
        <f t="shared" si="479"/>
        <v>'Player Database'!b22</v>
      </c>
      <c r="CA539" s="253" t="str">
        <f t="shared" ca="1" si="480"/>
        <v>Rafael Leão</v>
      </c>
      <c r="CS539" s="252">
        <f t="shared" si="473"/>
        <v>536</v>
      </c>
      <c r="CT539" s="252">
        <f t="shared" si="474"/>
        <v>13</v>
      </c>
      <c r="CU539" s="252" t="str">
        <f t="shared" si="483"/>
        <v>CR35</v>
      </c>
      <c r="CV539" s="252" t="str">
        <f t="shared" ca="1" si="475"/>
        <v/>
      </c>
      <c r="CW539" s="252">
        <f t="shared" ca="1" si="481"/>
        <v>0</v>
      </c>
    </row>
    <row r="540" spans="72:101" x14ac:dyDescent="0.2">
      <c r="BT540" s="253" t="str">
        <f t="shared" ca="1" si="472"/>
        <v>Portugal</v>
      </c>
      <c r="BU540" s="253">
        <f t="shared" si="482"/>
        <v>538</v>
      </c>
      <c r="BV540" s="253" t="str">
        <f t="shared" si="476"/>
        <v>A20</v>
      </c>
      <c r="BW540" s="253">
        <f t="shared" si="477"/>
        <v>21</v>
      </c>
      <c r="BX540" s="253" t="str">
        <f t="shared" ca="1" si="478"/>
        <v>Rúben Neves</v>
      </c>
      <c r="BY540" s="253">
        <f ca="1">COUNTIF('Group Stages'!$J$8:$Q$80,BX540)+COUNTIF('Knock Out Stages'!$K$7:$R$45,BX540)</f>
        <v>0</v>
      </c>
      <c r="BZ540" s="253" t="str">
        <f t="shared" si="479"/>
        <v>'Player Database'!b23</v>
      </c>
      <c r="CA540" s="253" t="str">
        <f t="shared" ca="1" si="480"/>
        <v>Rúben Neves</v>
      </c>
      <c r="CS540" s="252">
        <f t="shared" si="473"/>
        <v>537</v>
      </c>
      <c r="CT540" s="252">
        <f t="shared" si="474"/>
        <v>13</v>
      </c>
      <c r="CU540" s="252" t="str">
        <f t="shared" si="483"/>
        <v>CR36</v>
      </c>
      <c r="CV540" s="252" t="str">
        <f t="shared" ca="1" si="475"/>
        <v/>
      </c>
      <c r="CW540" s="252">
        <f t="shared" ca="1" si="481"/>
        <v>0</v>
      </c>
    </row>
    <row r="541" spans="72:101" x14ac:dyDescent="0.2">
      <c r="BT541" s="253" t="str">
        <f t="shared" ca="1" si="472"/>
        <v>Portugal</v>
      </c>
      <c r="BU541" s="253">
        <f t="shared" si="482"/>
        <v>539</v>
      </c>
      <c r="BV541" s="253" t="str">
        <f t="shared" si="476"/>
        <v>A21</v>
      </c>
      <c r="BW541" s="253">
        <f t="shared" si="477"/>
        <v>21</v>
      </c>
      <c r="BX541" s="253" t="str">
        <f t="shared" ca="1" si="478"/>
        <v>Nuno Mendes</v>
      </c>
      <c r="BY541" s="253">
        <f ca="1">COUNTIF('Group Stages'!$J$8:$Q$80,BX541)+COUNTIF('Knock Out Stages'!$K$7:$R$45,BX541)</f>
        <v>0</v>
      </c>
      <c r="BZ541" s="253" t="str">
        <f t="shared" si="479"/>
        <v>'Player Database'!b24</v>
      </c>
      <c r="CA541" s="253" t="str">
        <f t="shared" ca="1" si="480"/>
        <v>Nuno Mendes</v>
      </c>
      <c r="CS541" s="252">
        <f t="shared" si="473"/>
        <v>538</v>
      </c>
      <c r="CT541" s="252">
        <f t="shared" si="474"/>
        <v>13</v>
      </c>
      <c r="CU541" s="252" t="str">
        <f t="shared" si="483"/>
        <v>CR37</v>
      </c>
      <c r="CV541" s="252" t="str">
        <f t="shared" ca="1" si="475"/>
        <v/>
      </c>
      <c r="CW541" s="252">
        <f t="shared" ca="1" si="481"/>
        <v>0</v>
      </c>
    </row>
    <row r="542" spans="72:101" x14ac:dyDescent="0.2">
      <c r="BT542" s="253" t="str">
        <f t="shared" ca="1" si="472"/>
        <v>Portugal</v>
      </c>
      <c r="BU542" s="253">
        <f t="shared" si="482"/>
        <v>540</v>
      </c>
      <c r="BV542" s="253" t="str">
        <f t="shared" si="476"/>
        <v>A22</v>
      </c>
      <c r="BW542" s="253">
        <f t="shared" si="477"/>
        <v>21</v>
      </c>
      <c r="BX542" s="253" t="str">
        <f t="shared" ca="1" si="478"/>
        <v>João Cancelo</v>
      </c>
      <c r="BY542" s="253">
        <f ca="1">COUNTIF('Group Stages'!$J$8:$Q$80,BX542)+COUNTIF('Knock Out Stages'!$K$7:$R$45,BX542)</f>
        <v>0</v>
      </c>
      <c r="BZ542" s="253" t="str">
        <f t="shared" si="479"/>
        <v>'Player Database'!b25</v>
      </c>
      <c r="CA542" s="253" t="str">
        <f t="shared" ca="1" si="480"/>
        <v>João Cancelo</v>
      </c>
      <c r="CS542" s="252">
        <f t="shared" si="473"/>
        <v>539</v>
      </c>
      <c r="CT542" s="252">
        <f t="shared" si="474"/>
        <v>13</v>
      </c>
      <c r="CU542" s="252" t="str">
        <f t="shared" si="483"/>
        <v>CR38</v>
      </c>
      <c r="CV542" s="252" t="str">
        <f t="shared" ca="1" si="475"/>
        <v/>
      </c>
      <c r="CW542" s="252">
        <f t="shared" ca="1" si="481"/>
        <v>0</v>
      </c>
    </row>
    <row r="543" spans="72:101" x14ac:dyDescent="0.2">
      <c r="BT543" s="253" t="str">
        <f t="shared" ca="1" si="472"/>
        <v>Portugal</v>
      </c>
      <c r="BU543" s="253">
        <f t="shared" si="482"/>
        <v>541</v>
      </c>
      <c r="BV543" s="253" t="str">
        <f t="shared" si="476"/>
        <v>A23</v>
      </c>
      <c r="BW543" s="253">
        <f t="shared" si="477"/>
        <v>21</v>
      </c>
      <c r="BX543" s="253" t="str">
        <f t="shared" ca="1" si="478"/>
        <v>Diogo Jota</v>
      </c>
      <c r="BY543" s="253">
        <f ca="1">COUNTIF('Group Stages'!$J$8:$Q$80,BX543)+COUNTIF('Knock Out Stages'!$K$7:$R$45,BX543)</f>
        <v>0</v>
      </c>
      <c r="BZ543" s="253" t="str">
        <f t="shared" si="479"/>
        <v>'Player Database'!b26</v>
      </c>
      <c r="CA543" s="253" t="str">
        <f t="shared" ca="1" si="480"/>
        <v>Diogo Jota</v>
      </c>
      <c r="CS543" s="252">
        <f t="shared" si="473"/>
        <v>540</v>
      </c>
      <c r="CT543" s="252">
        <f t="shared" si="474"/>
        <v>13</v>
      </c>
      <c r="CU543" s="252" t="str">
        <f t="shared" si="483"/>
        <v>CR39</v>
      </c>
      <c r="CV543" s="252" t="str">
        <f t="shared" ca="1" si="475"/>
        <v/>
      </c>
      <c r="CW543" s="252">
        <f t="shared" ca="1" si="481"/>
        <v>0</v>
      </c>
    </row>
    <row r="544" spans="72:101" x14ac:dyDescent="0.2">
      <c r="BT544" s="253" t="str">
        <f t="shared" ca="1" si="472"/>
        <v>Portugal</v>
      </c>
      <c r="BU544" s="253">
        <f t="shared" si="482"/>
        <v>542</v>
      </c>
      <c r="BV544" s="253" t="str">
        <f t="shared" si="476"/>
        <v>A24</v>
      </c>
      <c r="BW544" s="253">
        <f t="shared" si="477"/>
        <v>21</v>
      </c>
      <c r="BX544" s="253" t="str">
        <f t="shared" ca="1" si="478"/>
        <v>Diogo Costa</v>
      </c>
      <c r="BY544" s="253">
        <f ca="1">COUNTIF('Group Stages'!$J$8:$Q$80,BX544)+COUNTIF('Knock Out Stages'!$K$7:$R$45,BX544)</f>
        <v>0</v>
      </c>
      <c r="BZ544" s="253" t="str">
        <f t="shared" si="479"/>
        <v>'Player Database'!b27</v>
      </c>
      <c r="CA544" s="253" t="str">
        <f t="shared" ca="1" si="480"/>
        <v>Diogo Costa</v>
      </c>
      <c r="CS544" s="252">
        <f t="shared" si="473"/>
        <v>541</v>
      </c>
      <c r="CT544" s="252">
        <f t="shared" si="474"/>
        <v>13</v>
      </c>
      <c r="CU544" s="252" t="str">
        <f t="shared" si="483"/>
        <v>CR40</v>
      </c>
      <c r="CV544" s="252" t="str">
        <f t="shared" ca="1" si="475"/>
        <v/>
      </c>
      <c r="CW544" s="252">
        <f t="shared" ca="1" si="481"/>
        <v>0</v>
      </c>
    </row>
    <row r="545" spans="72:101" x14ac:dyDescent="0.2">
      <c r="BT545" s="253" t="str">
        <f t="shared" ca="1" si="472"/>
        <v>Portugal</v>
      </c>
      <c r="BU545" s="253">
        <f t="shared" si="482"/>
        <v>543</v>
      </c>
      <c r="BV545" s="253" t="str">
        <f t="shared" si="476"/>
        <v>A25</v>
      </c>
      <c r="BW545" s="253">
        <f t="shared" si="477"/>
        <v>21</v>
      </c>
      <c r="BX545" s="253" t="str">
        <f t="shared" ca="1" si="478"/>
        <v>Vitinha</v>
      </c>
      <c r="BY545" s="253">
        <f ca="1">COUNTIF('Group Stages'!$J$8:$Q$80,BX545)+COUNTIF('Knock Out Stages'!$K$7:$R$45,BX545)</f>
        <v>0</v>
      </c>
      <c r="BZ545" s="253" t="str">
        <f t="shared" si="479"/>
        <v>'Player Database'!b28</v>
      </c>
      <c r="CA545" s="253" t="str">
        <f t="shared" ca="1" si="480"/>
        <v>Vitinha</v>
      </c>
      <c r="CS545" s="252">
        <f t="shared" si="473"/>
        <v>542</v>
      </c>
      <c r="CT545" s="252">
        <f t="shared" si="474"/>
        <v>13</v>
      </c>
      <c r="CU545" s="252" t="str">
        <f t="shared" si="483"/>
        <v>CR41</v>
      </c>
      <c r="CV545" s="252" t="str">
        <f t="shared" ca="1" si="475"/>
        <v/>
      </c>
      <c r="CW545" s="252">
        <f t="shared" ca="1" si="481"/>
        <v>0</v>
      </c>
    </row>
    <row r="546" spans="72:101" x14ac:dyDescent="0.2">
      <c r="BT546" s="253" t="str">
        <f t="shared" ca="1" si="472"/>
        <v>Portugal</v>
      </c>
      <c r="BU546" s="253">
        <f t="shared" si="482"/>
        <v>544</v>
      </c>
      <c r="BV546" s="253" t="str">
        <f t="shared" si="476"/>
        <v>A26</v>
      </c>
      <c r="BW546" s="253">
        <f t="shared" si="477"/>
        <v>21</v>
      </c>
      <c r="BX546" s="253" t="str">
        <f t="shared" ca="1" si="478"/>
        <v>António Silva</v>
      </c>
      <c r="BY546" s="253">
        <f ca="1">COUNTIF('Group Stages'!$J$8:$Q$80,BX546)+COUNTIF('Knock Out Stages'!$K$7:$R$45,BX546)</f>
        <v>0</v>
      </c>
      <c r="BZ546" s="253" t="str">
        <f t="shared" si="479"/>
        <v>'Player Database'!b29</v>
      </c>
      <c r="CA546" s="253" t="str">
        <f t="shared" ca="1" si="480"/>
        <v>António Silva</v>
      </c>
      <c r="CS546" s="252">
        <f t="shared" si="473"/>
        <v>543</v>
      </c>
      <c r="CT546" s="252">
        <f t="shared" si="474"/>
        <v>13</v>
      </c>
      <c r="CU546" s="252" t="str">
        <f t="shared" si="483"/>
        <v>CR42</v>
      </c>
      <c r="CV546" s="252" t="str">
        <f t="shared" ca="1" si="475"/>
        <v/>
      </c>
      <c r="CW546" s="252">
        <f t="shared" ca="1" si="481"/>
        <v>0</v>
      </c>
    </row>
    <row r="547" spans="72:101" x14ac:dyDescent="0.2">
      <c r="BT547" s="253" t="str">
        <f t="shared" ca="1" si="472"/>
        <v>Portugal</v>
      </c>
      <c r="BU547" s="253">
        <f t="shared" si="482"/>
        <v>545</v>
      </c>
      <c r="BV547" s="253" t="str">
        <f t="shared" si="476"/>
        <v>A27</v>
      </c>
      <c r="BW547" s="253">
        <f t="shared" si="477"/>
        <v>21</v>
      </c>
      <c r="BX547" s="253" t="str">
        <f t="shared" ca="1" si="478"/>
        <v>Pedro Neto</v>
      </c>
      <c r="BY547" s="253">
        <f ca="1">COUNTIF('Group Stages'!$J$8:$Q$80,BX547)+COUNTIF('Knock Out Stages'!$K$7:$R$45,BX547)</f>
        <v>0</v>
      </c>
      <c r="BZ547" s="253" t="str">
        <f t="shared" si="479"/>
        <v>'Player Database'!b30</v>
      </c>
      <c r="CA547" s="253" t="str">
        <f t="shared" ca="1" si="480"/>
        <v>Pedro Neto</v>
      </c>
      <c r="CS547" s="252">
        <f t="shared" si="473"/>
        <v>544</v>
      </c>
      <c r="CT547" s="252">
        <f t="shared" si="474"/>
        <v>13</v>
      </c>
      <c r="CU547" s="252" t="str">
        <f t="shared" si="483"/>
        <v>CR43</v>
      </c>
      <c r="CV547" s="252" t="str">
        <f t="shared" ca="1" si="475"/>
        <v/>
      </c>
      <c r="CW547" s="252">
        <f t="shared" ca="1" si="481"/>
        <v>0</v>
      </c>
    </row>
    <row r="548" spans="72:101" x14ac:dyDescent="0.2">
      <c r="BT548" s="253" t="str">
        <f t="shared" ref="BT548:BT611" ca="1" si="484">OFFSET($A$2,0,BW548)</f>
        <v>Portugal</v>
      </c>
      <c r="BU548" s="253">
        <f t="shared" si="482"/>
        <v>546</v>
      </c>
      <c r="BV548" s="253" t="str">
        <f t="shared" si="476"/>
        <v>A28</v>
      </c>
      <c r="BW548" s="253">
        <f t="shared" si="477"/>
        <v>21</v>
      </c>
      <c r="BX548" s="253" t="str">
        <f t="shared" ca="1" si="478"/>
        <v>Francisco Conceição</v>
      </c>
      <c r="BY548" s="253">
        <f ca="1">COUNTIF('Group Stages'!$J$8:$Q$80,BX548)+COUNTIF('Knock Out Stages'!$K$7:$R$45,BX548)</f>
        <v>0</v>
      </c>
      <c r="BZ548" s="253" t="str">
        <f t="shared" si="479"/>
        <v>'Player Database'!b31</v>
      </c>
      <c r="CA548" s="253" t="str">
        <f t="shared" ca="1" si="480"/>
        <v>Francisco Conceição</v>
      </c>
      <c r="CS548" s="252">
        <f t="shared" si="473"/>
        <v>545</v>
      </c>
      <c r="CT548" s="252">
        <f t="shared" si="474"/>
        <v>13</v>
      </c>
      <c r="CU548" s="252" t="str">
        <f t="shared" si="483"/>
        <v>CR44</v>
      </c>
      <c r="CV548" s="252" t="str">
        <f t="shared" ca="1" si="475"/>
        <v/>
      </c>
      <c r="CW548" s="252">
        <f t="shared" ca="1" si="481"/>
        <v>0</v>
      </c>
    </row>
    <row r="549" spans="72:101" x14ac:dyDescent="0.2">
      <c r="BT549" s="253" t="str">
        <f t="shared" ca="1" si="484"/>
        <v>Czechia</v>
      </c>
      <c r="BU549" s="253">
        <f t="shared" si="482"/>
        <v>547</v>
      </c>
      <c r="BV549" s="253" t="str">
        <f t="shared" si="476"/>
        <v>A3</v>
      </c>
      <c r="BW549" s="253">
        <f t="shared" si="477"/>
        <v>22</v>
      </c>
      <c r="BX549" s="253" t="str">
        <f t="shared" ca="1" si="478"/>
        <v>Jindřich Staněk</v>
      </c>
      <c r="BY549" s="253">
        <f ca="1">COUNTIF('Group Stages'!$J$8:$Q$80,BX549)+COUNTIF('Knock Out Stages'!$K$7:$R$45,BX549)</f>
        <v>0</v>
      </c>
      <c r="BZ549" s="253" t="str">
        <f t="shared" si="479"/>
        <v>'Player Database'!b6</v>
      </c>
      <c r="CA549" s="253" t="str">
        <f t="shared" ca="1" si="480"/>
        <v>Jindřich Staněk</v>
      </c>
      <c r="CS549" s="252">
        <f t="shared" si="473"/>
        <v>546</v>
      </c>
      <c r="CT549" s="252">
        <f t="shared" si="474"/>
        <v>13</v>
      </c>
      <c r="CU549" s="252" t="str">
        <f t="shared" si="483"/>
        <v>CR45</v>
      </c>
      <c r="CV549" s="252" t="str">
        <f t="shared" ca="1" si="475"/>
        <v/>
      </c>
      <c r="CW549" s="252">
        <f t="shared" ca="1" si="481"/>
        <v>0</v>
      </c>
    </row>
    <row r="550" spans="72:101" x14ac:dyDescent="0.2">
      <c r="BT550" s="253" t="str">
        <f t="shared" ca="1" si="484"/>
        <v>Czechia</v>
      </c>
      <c r="BU550" s="253">
        <f t="shared" si="482"/>
        <v>548</v>
      </c>
      <c r="BV550" s="253" t="str">
        <f t="shared" si="476"/>
        <v>A4</v>
      </c>
      <c r="BW550" s="253">
        <f t="shared" si="477"/>
        <v>22</v>
      </c>
      <c r="BX550" s="253" t="str">
        <f t="shared" ca="1" si="478"/>
        <v>David Zima</v>
      </c>
      <c r="BY550" s="253">
        <f ca="1">COUNTIF('Group Stages'!$J$8:$Q$80,BX550)+COUNTIF('Knock Out Stages'!$K$7:$R$45,BX550)</f>
        <v>0</v>
      </c>
      <c r="BZ550" s="253" t="str">
        <f t="shared" si="479"/>
        <v>'Player Database'!b7</v>
      </c>
      <c r="CA550" s="253" t="str">
        <f t="shared" ca="1" si="480"/>
        <v>David Zima</v>
      </c>
      <c r="CS550" s="252">
        <f t="shared" si="473"/>
        <v>547</v>
      </c>
      <c r="CT550" s="252">
        <f t="shared" si="474"/>
        <v>14</v>
      </c>
      <c r="CU550" s="252" t="str">
        <f t="shared" si="483"/>
        <v>CR4</v>
      </c>
      <c r="CV550" s="252" t="str">
        <f t="shared" ca="1" si="475"/>
        <v/>
      </c>
      <c r="CW550" s="252">
        <f t="shared" ca="1" si="481"/>
        <v>0</v>
      </c>
    </row>
    <row r="551" spans="72:101" x14ac:dyDescent="0.2">
      <c r="BT551" s="253" t="str">
        <f t="shared" ca="1" si="484"/>
        <v>Czechia</v>
      </c>
      <c r="BU551" s="253">
        <f t="shared" si="482"/>
        <v>549</v>
      </c>
      <c r="BV551" s="253" t="str">
        <f t="shared" si="476"/>
        <v>A5</v>
      </c>
      <c r="BW551" s="253">
        <f t="shared" si="477"/>
        <v>22</v>
      </c>
      <c r="BX551" s="253" t="str">
        <f t="shared" ca="1" si="478"/>
        <v>Tomáš Holeš</v>
      </c>
      <c r="BY551" s="253">
        <f ca="1">COUNTIF('Group Stages'!$J$8:$Q$80,BX551)+COUNTIF('Knock Out Stages'!$K$7:$R$45,BX551)</f>
        <v>0</v>
      </c>
      <c r="BZ551" s="253" t="str">
        <f t="shared" si="479"/>
        <v>'Player Database'!b8</v>
      </c>
      <c r="CA551" s="253" t="str">
        <f t="shared" ca="1" si="480"/>
        <v>Tomáš Holeš</v>
      </c>
      <c r="CS551" s="252">
        <f t="shared" si="473"/>
        <v>548</v>
      </c>
      <c r="CT551" s="252">
        <f t="shared" si="474"/>
        <v>14</v>
      </c>
      <c r="CU551" s="252" t="str">
        <f t="shared" si="483"/>
        <v>CR5</v>
      </c>
      <c r="CV551" s="252" t="str">
        <f t="shared" ca="1" si="475"/>
        <v/>
      </c>
      <c r="CW551" s="252">
        <f t="shared" ca="1" si="481"/>
        <v>0</v>
      </c>
    </row>
    <row r="552" spans="72:101" x14ac:dyDescent="0.2">
      <c r="BT552" s="253" t="str">
        <f t="shared" ca="1" si="484"/>
        <v>Czechia</v>
      </c>
      <c r="BU552" s="253">
        <f t="shared" si="482"/>
        <v>550</v>
      </c>
      <c r="BV552" s="253" t="str">
        <f t="shared" si="476"/>
        <v>A6</v>
      </c>
      <c r="BW552" s="253">
        <f t="shared" si="477"/>
        <v>22</v>
      </c>
      <c r="BX552" s="253" t="str">
        <f t="shared" ca="1" si="478"/>
        <v>Robin Hranáč</v>
      </c>
      <c r="BY552" s="253">
        <f ca="1">COUNTIF('Group Stages'!$J$8:$Q$80,BX552)+COUNTIF('Knock Out Stages'!$K$7:$R$45,BX552)</f>
        <v>0</v>
      </c>
      <c r="BZ552" s="253" t="str">
        <f t="shared" si="479"/>
        <v>'Player Database'!b9</v>
      </c>
      <c r="CA552" s="253" t="str">
        <f t="shared" ca="1" si="480"/>
        <v>Robin Hranáč</v>
      </c>
      <c r="CS552" s="252">
        <f t="shared" si="473"/>
        <v>549</v>
      </c>
      <c r="CT552" s="252">
        <f t="shared" si="474"/>
        <v>14</v>
      </c>
      <c r="CU552" s="252" t="str">
        <f t="shared" si="483"/>
        <v>CR6</v>
      </c>
      <c r="CV552" s="252" t="str">
        <f t="shared" ca="1" si="475"/>
        <v/>
      </c>
      <c r="CW552" s="252">
        <f t="shared" ca="1" si="481"/>
        <v>0</v>
      </c>
    </row>
    <row r="553" spans="72:101" x14ac:dyDescent="0.2">
      <c r="BT553" s="253" t="str">
        <f t="shared" ca="1" si="484"/>
        <v>Czechia</v>
      </c>
      <c r="BU553" s="253">
        <f t="shared" si="482"/>
        <v>551</v>
      </c>
      <c r="BV553" s="253" t="str">
        <f t="shared" si="476"/>
        <v>A7</v>
      </c>
      <c r="BW553" s="253">
        <f t="shared" si="477"/>
        <v>22</v>
      </c>
      <c r="BX553" s="253" t="str">
        <f t="shared" ca="1" si="478"/>
        <v>Vladimír Coufal</v>
      </c>
      <c r="BY553" s="253">
        <f ca="1">COUNTIF('Group Stages'!$J$8:$Q$80,BX553)+COUNTIF('Knock Out Stages'!$K$7:$R$45,BX553)</f>
        <v>0</v>
      </c>
      <c r="BZ553" s="253" t="str">
        <f t="shared" si="479"/>
        <v>'Player Database'!b10</v>
      </c>
      <c r="CA553" s="253" t="str">
        <f t="shared" ca="1" si="480"/>
        <v>Vladimír Coufal</v>
      </c>
      <c r="CS553" s="252">
        <f t="shared" si="473"/>
        <v>550</v>
      </c>
      <c r="CT553" s="252">
        <f t="shared" si="474"/>
        <v>14</v>
      </c>
      <c r="CU553" s="252" t="str">
        <f t="shared" si="483"/>
        <v>CR7</v>
      </c>
      <c r="CV553" s="252" t="str">
        <f t="shared" ca="1" si="475"/>
        <v/>
      </c>
      <c r="CW553" s="252">
        <f t="shared" ca="1" si="481"/>
        <v>0</v>
      </c>
    </row>
    <row r="554" spans="72:101" x14ac:dyDescent="0.2">
      <c r="BT554" s="253" t="str">
        <f t="shared" ca="1" si="484"/>
        <v>Czechia</v>
      </c>
      <c r="BU554" s="253">
        <f t="shared" si="482"/>
        <v>552</v>
      </c>
      <c r="BV554" s="253" t="str">
        <f t="shared" si="476"/>
        <v>A8</v>
      </c>
      <c r="BW554" s="253">
        <f t="shared" si="477"/>
        <v>22</v>
      </c>
      <c r="BX554" s="253" t="str">
        <f t="shared" ca="1" si="478"/>
        <v>Martin Vitík</v>
      </c>
      <c r="BY554" s="253">
        <f ca="1">COUNTIF('Group Stages'!$J$8:$Q$80,BX554)+COUNTIF('Knock Out Stages'!$K$7:$R$45,BX554)</f>
        <v>0</v>
      </c>
      <c r="BZ554" s="253" t="str">
        <f t="shared" si="479"/>
        <v>'Player Database'!b11</v>
      </c>
      <c r="CA554" s="253" t="str">
        <f t="shared" ca="1" si="480"/>
        <v>Martin Vitík</v>
      </c>
      <c r="CS554" s="252">
        <f t="shared" si="473"/>
        <v>551</v>
      </c>
      <c r="CT554" s="252">
        <f t="shared" si="474"/>
        <v>14</v>
      </c>
      <c r="CU554" s="252" t="str">
        <f t="shared" si="483"/>
        <v>CR8</v>
      </c>
      <c r="CV554" s="252" t="str">
        <f t="shared" ca="1" si="475"/>
        <v/>
      </c>
      <c r="CW554" s="252">
        <f t="shared" ca="1" si="481"/>
        <v>0</v>
      </c>
    </row>
    <row r="555" spans="72:101" x14ac:dyDescent="0.2">
      <c r="BT555" s="253" t="str">
        <f t="shared" ca="1" si="484"/>
        <v>Czechia</v>
      </c>
      <c r="BU555" s="253">
        <f t="shared" si="482"/>
        <v>553</v>
      </c>
      <c r="BV555" s="253" t="str">
        <f t="shared" si="476"/>
        <v>A9</v>
      </c>
      <c r="BW555" s="253">
        <f t="shared" si="477"/>
        <v>22</v>
      </c>
      <c r="BX555" s="253" t="str">
        <f t="shared" ca="1" si="478"/>
        <v>Antonín Barák</v>
      </c>
      <c r="BY555" s="253">
        <f ca="1">COUNTIF('Group Stages'!$J$8:$Q$80,BX555)+COUNTIF('Knock Out Stages'!$K$7:$R$45,BX555)</f>
        <v>0</v>
      </c>
      <c r="BZ555" s="253" t="str">
        <f t="shared" si="479"/>
        <v>'Player Database'!b12</v>
      </c>
      <c r="CA555" s="253" t="str">
        <f t="shared" ca="1" si="480"/>
        <v>Antonín Barák</v>
      </c>
      <c r="CS555" s="252">
        <f t="shared" si="473"/>
        <v>552</v>
      </c>
      <c r="CT555" s="252">
        <f t="shared" si="474"/>
        <v>14</v>
      </c>
      <c r="CU555" s="252" t="str">
        <f t="shared" si="483"/>
        <v>CR9</v>
      </c>
      <c r="CV555" s="252" t="str">
        <f t="shared" ca="1" si="475"/>
        <v/>
      </c>
      <c r="CW555" s="252">
        <f t="shared" ca="1" si="481"/>
        <v>0</v>
      </c>
    </row>
    <row r="556" spans="72:101" x14ac:dyDescent="0.2">
      <c r="BT556" s="253" t="str">
        <f t="shared" ca="1" si="484"/>
        <v>Czechia</v>
      </c>
      <c r="BU556" s="253">
        <f t="shared" si="482"/>
        <v>554</v>
      </c>
      <c r="BV556" s="253" t="str">
        <f t="shared" si="476"/>
        <v>A10</v>
      </c>
      <c r="BW556" s="253">
        <f t="shared" si="477"/>
        <v>22</v>
      </c>
      <c r="BX556" s="253" t="str">
        <f t="shared" ca="1" si="478"/>
        <v>Petr Ševčík</v>
      </c>
      <c r="BY556" s="253">
        <f ca="1">COUNTIF('Group Stages'!$J$8:$Q$80,BX556)+COUNTIF('Knock Out Stages'!$K$7:$R$45,BX556)</f>
        <v>0</v>
      </c>
      <c r="BZ556" s="253" t="str">
        <f t="shared" si="479"/>
        <v>'Player Database'!b13</v>
      </c>
      <c r="CA556" s="253" t="str">
        <f t="shared" ca="1" si="480"/>
        <v>Petr Ševčík</v>
      </c>
      <c r="CS556" s="252">
        <f t="shared" si="473"/>
        <v>553</v>
      </c>
      <c r="CT556" s="252">
        <f t="shared" si="474"/>
        <v>14</v>
      </c>
      <c r="CU556" s="252" t="str">
        <f t="shared" si="483"/>
        <v>CR10</v>
      </c>
      <c r="CV556" s="252" t="str">
        <f t="shared" ca="1" si="475"/>
        <v/>
      </c>
      <c r="CW556" s="252">
        <f t="shared" ca="1" si="481"/>
        <v>0</v>
      </c>
    </row>
    <row r="557" spans="72:101" x14ac:dyDescent="0.2">
      <c r="BT557" s="253" t="str">
        <f t="shared" ca="1" si="484"/>
        <v>Czechia</v>
      </c>
      <c r="BU557" s="253">
        <f t="shared" si="482"/>
        <v>555</v>
      </c>
      <c r="BV557" s="253" t="str">
        <f t="shared" si="476"/>
        <v>A11</v>
      </c>
      <c r="BW557" s="253">
        <f t="shared" si="477"/>
        <v>22</v>
      </c>
      <c r="BX557" s="253" t="str">
        <f t="shared" ca="1" si="478"/>
        <v>Adam Hložek</v>
      </c>
      <c r="BY557" s="253">
        <f ca="1">COUNTIF('Group Stages'!$J$8:$Q$80,BX557)+COUNTIF('Knock Out Stages'!$K$7:$R$45,BX557)</f>
        <v>0</v>
      </c>
      <c r="BZ557" s="253" t="str">
        <f t="shared" si="479"/>
        <v>'Player Database'!b14</v>
      </c>
      <c r="CA557" s="253" t="str">
        <f t="shared" ca="1" si="480"/>
        <v>Adam Hložek</v>
      </c>
      <c r="CS557" s="252">
        <f t="shared" si="473"/>
        <v>554</v>
      </c>
      <c r="CT557" s="252">
        <f t="shared" si="474"/>
        <v>14</v>
      </c>
      <c r="CU557" s="252" t="str">
        <f t="shared" si="483"/>
        <v>CR11</v>
      </c>
      <c r="CV557" s="252" t="str">
        <f t="shared" ca="1" si="475"/>
        <v/>
      </c>
      <c r="CW557" s="252">
        <f t="shared" ca="1" si="481"/>
        <v>0</v>
      </c>
    </row>
    <row r="558" spans="72:101" x14ac:dyDescent="0.2">
      <c r="BT558" s="253" t="str">
        <f t="shared" ca="1" si="484"/>
        <v>Czechia</v>
      </c>
      <c r="BU558" s="253">
        <f t="shared" si="482"/>
        <v>556</v>
      </c>
      <c r="BV558" s="253" t="str">
        <f t="shared" si="476"/>
        <v>A12</v>
      </c>
      <c r="BW558" s="253">
        <f t="shared" si="477"/>
        <v>22</v>
      </c>
      <c r="BX558" s="253" t="str">
        <f t="shared" ca="1" si="478"/>
        <v>Patrik Schick</v>
      </c>
      <c r="BY558" s="253">
        <f ca="1">COUNTIF('Group Stages'!$J$8:$Q$80,BX558)+COUNTIF('Knock Out Stages'!$K$7:$R$45,BX558)</f>
        <v>0</v>
      </c>
      <c r="BZ558" s="253" t="str">
        <f t="shared" si="479"/>
        <v>'Player Database'!b15</v>
      </c>
      <c r="CA558" s="253" t="str">
        <f t="shared" ca="1" si="480"/>
        <v>Patrik Schick</v>
      </c>
      <c r="CS558" s="252">
        <f t="shared" si="473"/>
        <v>555</v>
      </c>
      <c r="CT558" s="252">
        <f t="shared" si="474"/>
        <v>14</v>
      </c>
      <c r="CU558" s="252" t="str">
        <f t="shared" si="483"/>
        <v>CR12</v>
      </c>
      <c r="CV558" s="252" t="str">
        <f t="shared" ca="1" si="475"/>
        <v/>
      </c>
      <c r="CW558" s="252">
        <f t="shared" ca="1" si="481"/>
        <v>0</v>
      </c>
    </row>
    <row r="559" spans="72:101" x14ac:dyDescent="0.2">
      <c r="BT559" s="253" t="str">
        <f t="shared" ca="1" si="484"/>
        <v>Czechia</v>
      </c>
      <c r="BU559" s="253">
        <f t="shared" si="482"/>
        <v>557</v>
      </c>
      <c r="BV559" s="253" t="str">
        <f t="shared" si="476"/>
        <v>A13</v>
      </c>
      <c r="BW559" s="253">
        <f t="shared" si="477"/>
        <v>22</v>
      </c>
      <c r="BX559" s="253" t="str">
        <f t="shared" ca="1" si="478"/>
        <v>Jan Kuchta</v>
      </c>
      <c r="BY559" s="253">
        <f ca="1">COUNTIF('Group Stages'!$J$8:$Q$80,BX559)+COUNTIF('Knock Out Stages'!$K$7:$R$45,BX559)</f>
        <v>0</v>
      </c>
      <c r="BZ559" s="253" t="str">
        <f t="shared" si="479"/>
        <v>'Player Database'!b16</v>
      </c>
      <c r="CA559" s="253" t="str">
        <f t="shared" ca="1" si="480"/>
        <v>Jan Kuchta</v>
      </c>
      <c r="CS559" s="252">
        <f t="shared" si="473"/>
        <v>556</v>
      </c>
      <c r="CT559" s="252">
        <f t="shared" si="474"/>
        <v>14</v>
      </c>
      <c r="CU559" s="252" t="str">
        <f t="shared" si="483"/>
        <v>CR13</v>
      </c>
      <c r="CV559" s="252" t="str">
        <f t="shared" ca="1" si="475"/>
        <v/>
      </c>
      <c r="CW559" s="252">
        <f t="shared" ca="1" si="481"/>
        <v>0</v>
      </c>
    </row>
    <row r="560" spans="72:101" x14ac:dyDescent="0.2">
      <c r="BT560" s="253" t="str">
        <f t="shared" ca="1" si="484"/>
        <v>Czechia</v>
      </c>
      <c r="BU560" s="253">
        <f t="shared" si="482"/>
        <v>558</v>
      </c>
      <c r="BV560" s="253" t="str">
        <f t="shared" si="476"/>
        <v>A14</v>
      </c>
      <c r="BW560" s="253">
        <f t="shared" si="477"/>
        <v>22</v>
      </c>
      <c r="BX560" s="253" t="str">
        <f t="shared" ca="1" si="478"/>
        <v>David Douděra</v>
      </c>
      <c r="BY560" s="253">
        <f ca="1">COUNTIF('Group Stages'!$J$8:$Q$80,BX560)+COUNTIF('Knock Out Stages'!$K$7:$R$45,BX560)</f>
        <v>0</v>
      </c>
      <c r="BZ560" s="253" t="str">
        <f t="shared" si="479"/>
        <v>'Player Database'!b17</v>
      </c>
      <c r="CA560" s="253" t="str">
        <f t="shared" ca="1" si="480"/>
        <v>David Douděra</v>
      </c>
      <c r="CS560" s="252">
        <f t="shared" ref="CS560:CS623" si="485">CS559+1</f>
        <v>557</v>
      </c>
      <c r="CT560" s="252">
        <f t="shared" ref="CT560:CT623" si="486">CT518+1</f>
        <v>14</v>
      </c>
      <c r="CU560" s="252" t="str">
        <f t="shared" si="483"/>
        <v>CR14</v>
      </c>
      <c r="CV560" s="252" t="str">
        <f t="shared" ref="CV560:CV623" ca="1" si="487">OFFSET(INDIRECT(CU560),0,-CT560)</f>
        <v/>
      </c>
      <c r="CW560" s="252">
        <f t="shared" ca="1" si="481"/>
        <v>0</v>
      </c>
    </row>
    <row r="561" spans="72:101" x14ac:dyDescent="0.2">
      <c r="BT561" s="253" t="str">
        <f t="shared" ca="1" si="484"/>
        <v>Czechia</v>
      </c>
      <c r="BU561" s="253">
        <f t="shared" si="482"/>
        <v>559</v>
      </c>
      <c r="BV561" s="253" t="str">
        <f t="shared" si="476"/>
        <v>A15</v>
      </c>
      <c r="BW561" s="253">
        <f t="shared" si="477"/>
        <v>22</v>
      </c>
      <c r="BX561" s="253" t="str">
        <f t="shared" ca="1" si="478"/>
        <v>Mojmír Chytil</v>
      </c>
      <c r="BY561" s="253">
        <f ca="1">COUNTIF('Group Stages'!$J$8:$Q$80,BX561)+COUNTIF('Knock Out Stages'!$K$7:$R$45,BX561)</f>
        <v>0</v>
      </c>
      <c r="BZ561" s="253" t="str">
        <f t="shared" si="479"/>
        <v>'Player Database'!b18</v>
      </c>
      <c r="CA561" s="253" t="str">
        <f t="shared" ca="1" si="480"/>
        <v>Mojmír Chytil</v>
      </c>
      <c r="CS561" s="252">
        <f t="shared" si="485"/>
        <v>558</v>
      </c>
      <c r="CT561" s="252">
        <f t="shared" si="486"/>
        <v>14</v>
      </c>
      <c r="CU561" s="252" t="str">
        <f t="shared" si="483"/>
        <v>CR15</v>
      </c>
      <c r="CV561" s="252" t="str">
        <f t="shared" ca="1" si="487"/>
        <v/>
      </c>
      <c r="CW561" s="252">
        <f t="shared" ca="1" si="481"/>
        <v>0</v>
      </c>
    </row>
    <row r="562" spans="72:101" x14ac:dyDescent="0.2">
      <c r="BT562" s="253" t="str">
        <f t="shared" ca="1" si="484"/>
        <v>Czechia</v>
      </c>
      <c r="BU562" s="253">
        <f t="shared" si="482"/>
        <v>560</v>
      </c>
      <c r="BV562" s="253" t="str">
        <f t="shared" si="476"/>
        <v>A16</v>
      </c>
      <c r="BW562" s="253">
        <f t="shared" si="477"/>
        <v>22</v>
      </c>
      <c r="BX562" s="253" t="str">
        <f t="shared" ca="1" si="478"/>
        <v>Lukáš Provod</v>
      </c>
      <c r="BY562" s="253">
        <f ca="1">COUNTIF('Group Stages'!$J$8:$Q$80,BX562)+COUNTIF('Knock Out Stages'!$K$7:$R$45,BX562)</f>
        <v>0</v>
      </c>
      <c r="BZ562" s="253" t="str">
        <f t="shared" si="479"/>
        <v>'Player Database'!b19</v>
      </c>
      <c r="CA562" s="253" t="str">
        <f t="shared" ca="1" si="480"/>
        <v>Lukáš Provod</v>
      </c>
      <c r="CS562" s="252">
        <f t="shared" si="485"/>
        <v>559</v>
      </c>
      <c r="CT562" s="252">
        <f t="shared" si="486"/>
        <v>14</v>
      </c>
      <c r="CU562" s="252" t="str">
        <f t="shared" si="483"/>
        <v>CR16</v>
      </c>
      <c r="CV562" s="252" t="str">
        <f t="shared" ca="1" si="487"/>
        <v/>
      </c>
      <c r="CW562" s="252">
        <f t="shared" ca="1" si="481"/>
        <v>0</v>
      </c>
    </row>
    <row r="563" spans="72:101" x14ac:dyDescent="0.2">
      <c r="BT563" s="253" t="str">
        <f t="shared" ca="1" si="484"/>
        <v>Czechia</v>
      </c>
      <c r="BU563" s="253">
        <f t="shared" si="482"/>
        <v>561</v>
      </c>
      <c r="BV563" s="253" t="str">
        <f t="shared" si="476"/>
        <v>A17</v>
      </c>
      <c r="BW563" s="253">
        <f t="shared" si="477"/>
        <v>22</v>
      </c>
      <c r="BX563" s="253" t="str">
        <f t="shared" ca="1" si="478"/>
        <v>David Jurásek</v>
      </c>
      <c r="BY563" s="253">
        <f ca="1">COUNTIF('Group Stages'!$J$8:$Q$80,BX563)+COUNTIF('Knock Out Stages'!$K$7:$R$45,BX563)</f>
        <v>0</v>
      </c>
      <c r="BZ563" s="253" t="str">
        <f t="shared" si="479"/>
        <v>'Player Database'!b20</v>
      </c>
      <c r="CA563" s="253" t="str">
        <f t="shared" ca="1" si="480"/>
        <v>David Jurásek</v>
      </c>
      <c r="CS563" s="252">
        <f t="shared" si="485"/>
        <v>560</v>
      </c>
      <c r="CT563" s="252">
        <f t="shared" si="486"/>
        <v>14</v>
      </c>
      <c r="CU563" s="252" t="str">
        <f t="shared" si="483"/>
        <v>CR17</v>
      </c>
      <c r="CV563" s="252" t="str">
        <f t="shared" ca="1" si="487"/>
        <v/>
      </c>
      <c r="CW563" s="252">
        <f t="shared" ca="1" si="481"/>
        <v>0</v>
      </c>
    </row>
    <row r="564" spans="72:101" x14ac:dyDescent="0.2">
      <c r="BT564" s="253" t="str">
        <f t="shared" ca="1" si="484"/>
        <v>Czechia</v>
      </c>
      <c r="BU564" s="253">
        <f t="shared" si="482"/>
        <v>562</v>
      </c>
      <c r="BV564" s="253" t="str">
        <f t="shared" si="476"/>
        <v>A18</v>
      </c>
      <c r="BW564" s="253">
        <f t="shared" si="477"/>
        <v>22</v>
      </c>
      <c r="BX564" s="253" t="str">
        <f t="shared" ca="1" si="478"/>
        <v>Matěj Kovář</v>
      </c>
      <c r="BY564" s="253">
        <f ca="1">COUNTIF('Group Stages'!$J$8:$Q$80,BX564)+COUNTIF('Knock Out Stages'!$K$7:$R$45,BX564)</f>
        <v>0</v>
      </c>
      <c r="BZ564" s="253" t="str">
        <f t="shared" si="479"/>
        <v>'Player Database'!b21</v>
      </c>
      <c r="CA564" s="253" t="str">
        <f t="shared" ca="1" si="480"/>
        <v>Matěj Kovář</v>
      </c>
      <c r="CS564" s="252">
        <f t="shared" si="485"/>
        <v>561</v>
      </c>
      <c r="CT564" s="252">
        <f t="shared" si="486"/>
        <v>14</v>
      </c>
      <c r="CU564" s="252" t="str">
        <f t="shared" si="483"/>
        <v>CR18</v>
      </c>
      <c r="CV564" s="252" t="str">
        <f t="shared" ca="1" si="487"/>
        <v/>
      </c>
      <c r="CW564" s="252">
        <f t="shared" ca="1" si="481"/>
        <v>0</v>
      </c>
    </row>
    <row r="565" spans="72:101" x14ac:dyDescent="0.2">
      <c r="BT565" s="253" t="str">
        <f t="shared" ca="1" si="484"/>
        <v>Czechia</v>
      </c>
      <c r="BU565" s="253">
        <f t="shared" si="482"/>
        <v>563</v>
      </c>
      <c r="BV565" s="253" t="str">
        <f t="shared" si="476"/>
        <v>A19</v>
      </c>
      <c r="BW565" s="253">
        <f t="shared" si="477"/>
        <v>22</v>
      </c>
      <c r="BX565" s="253" t="str">
        <f t="shared" ca="1" si="478"/>
        <v>Václav Černý</v>
      </c>
      <c r="BY565" s="253">
        <f ca="1">COUNTIF('Group Stages'!$J$8:$Q$80,BX565)+COUNTIF('Knock Out Stages'!$K$7:$R$45,BX565)</f>
        <v>0</v>
      </c>
      <c r="BZ565" s="253" t="str">
        <f t="shared" si="479"/>
        <v>'Player Database'!b22</v>
      </c>
      <c r="CA565" s="253" t="str">
        <f t="shared" ca="1" si="480"/>
        <v>Václav Černý</v>
      </c>
      <c r="CS565" s="252">
        <f t="shared" si="485"/>
        <v>562</v>
      </c>
      <c r="CT565" s="252">
        <f t="shared" si="486"/>
        <v>14</v>
      </c>
      <c r="CU565" s="252" t="str">
        <f t="shared" si="483"/>
        <v>CR19</v>
      </c>
      <c r="CV565" s="252" t="str">
        <f t="shared" ca="1" si="487"/>
        <v/>
      </c>
      <c r="CW565" s="252">
        <f t="shared" ca="1" si="481"/>
        <v>0</v>
      </c>
    </row>
    <row r="566" spans="72:101" x14ac:dyDescent="0.2">
      <c r="BT566" s="253" t="str">
        <f t="shared" ca="1" si="484"/>
        <v>Czechia</v>
      </c>
      <c r="BU566" s="253">
        <f t="shared" si="482"/>
        <v>564</v>
      </c>
      <c r="BV566" s="253" t="str">
        <f t="shared" si="476"/>
        <v>A20</v>
      </c>
      <c r="BW566" s="253">
        <f t="shared" si="477"/>
        <v>22</v>
      </c>
      <c r="BX566" s="253" t="str">
        <f t="shared" ca="1" si="478"/>
        <v>Ladislav Krejčí</v>
      </c>
      <c r="BY566" s="253">
        <f ca="1">COUNTIF('Group Stages'!$J$8:$Q$80,BX566)+COUNTIF('Knock Out Stages'!$K$7:$R$45,BX566)</f>
        <v>0</v>
      </c>
      <c r="BZ566" s="253" t="str">
        <f t="shared" si="479"/>
        <v>'Player Database'!b23</v>
      </c>
      <c r="CA566" s="253" t="str">
        <f t="shared" ca="1" si="480"/>
        <v>Ladislav Krejčí</v>
      </c>
      <c r="CS566" s="252">
        <f t="shared" si="485"/>
        <v>563</v>
      </c>
      <c r="CT566" s="252">
        <f t="shared" si="486"/>
        <v>14</v>
      </c>
      <c r="CU566" s="252" t="str">
        <f t="shared" si="483"/>
        <v>CR20</v>
      </c>
      <c r="CV566" s="252" t="str">
        <f t="shared" ca="1" si="487"/>
        <v/>
      </c>
      <c r="CW566" s="252">
        <f t="shared" ca="1" si="481"/>
        <v>0</v>
      </c>
    </row>
    <row r="567" spans="72:101" x14ac:dyDescent="0.2">
      <c r="BT567" s="253" t="str">
        <f t="shared" ca="1" si="484"/>
        <v>Czechia</v>
      </c>
      <c r="BU567" s="253">
        <f t="shared" si="482"/>
        <v>565</v>
      </c>
      <c r="BV567" s="253" t="str">
        <f t="shared" si="476"/>
        <v>A21</v>
      </c>
      <c r="BW567" s="253">
        <f t="shared" si="477"/>
        <v>22</v>
      </c>
      <c r="BX567" s="253" t="str">
        <f t="shared" ca="1" si="478"/>
        <v>Tomáš Chorý</v>
      </c>
      <c r="BY567" s="253">
        <f ca="1">COUNTIF('Group Stages'!$J$8:$Q$80,BX567)+COUNTIF('Knock Out Stages'!$K$7:$R$45,BX567)</f>
        <v>0</v>
      </c>
      <c r="BZ567" s="253" t="str">
        <f t="shared" si="479"/>
        <v>'Player Database'!b24</v>
      </c>
      <c r="CA567" s="253" t="str">
        <f t="shared" ca="1" si="480"/>
        <v>Tomáš Chorý</v>
      </c>
      <c r="CS567" s="252">
        <f t="shared" si="485"/>
        <v>564</v>
      </c>
      <c r="CT567" s="252">
        <f t="shared" si="486"/>
        <v>14</v>
      </c>
      <c r="CU567" s="252" t="str">
        <f t="shared" si="483"/>
        <v>CR21</v>
      </c>
      <c r="CV567" s="252" t="str">
        <f t="shared" ca="1" si="487"/>
        <v/>
      </c>
      <c r="CW567" s="252">
        <f t="shared" ca="1" si="481"/>
        <v>0</v>
      </c>
    </row>
    <row r="568" spans="72:101" x14ac:dyDescent="0.2">
      <c r="BT568" s="253" t="str">
        <f t="shared" ca="1" si="484"/>
        <v>Czechia</v>
      </c>
      <c r="BU568" s="253">
        <f t="shared" si="482"/>
        <v>566</v>
      </c>
      <c r="BV568" s="253" t="str">
        <f t="shared" ref="BV568:BV623" si="488">BV542</f>
        <v>A22</v>
      </c>
      <c r="BW568" s="253">
        <f t="shared" ref="BW568:BW623" si="489">BW542+1</f>
        <v>22</v>
      </c>
      <c r="BX568" s="253" t="str">
        <f t="shared" ref="BX568:BX623" ca="1" si="490">OFFSET(INDIRECT(BV568),0,BW568)</f>
        <v>Ondřej Lingr</v>
      </c>
      <c r="BY568" s="253">
        <f ca="1">COUNTIF('Group Stages'!$J$8:$Q$80,BX568)+COUNTIF('Knock Out Stages'!$K$7:$R$45,BX568)</f>
        <v>0</v>
      </c>
      <c r="BZ568" s="253" t="str">
        <f t="shared" ref="BZ568:BZ623" si="491">BZ542</f>
        <v>'Player Database'!b25</v>
      </c>
      <c r="CA568" s="253" t="str">
        <f t="shared" ref="CA568:CA623" ca="1" si="492">OFFSET(INDIRECT(BZ568),0,BW568)</f>
        <v>Ondřej Lingr</v>
      </c>
      <c r="CS568" s="252">
        <f t="shared" si="485"/>
        <v>565</v>
      </c>
      <c r="CT568" s="252">
        <f t="shared" si="486"/>
        <v>14</v>
      </c>
      <c r="CU568" s="252" t="str">
        <f t="shared" si="483"/>
        <v>CR22</v>
      </c>
      <c r="CV568" s="252" t="str">
        <f t="shared" ca="1" si="487"/>
        <v/>
      </c>
      <c r="CW568" s="252">
        <f t="shared" ca="1" si="481"/>
        <v>0</v>
      </c>
    </row>
    <row r="569" spans="72:101" x14ac:dyDescent="0.2">
      <c r="BT569" s="253" t="str">
        <f t="shared" ca="1" si="484"/>
        <v>Czechia</v>
      </c>
      <c r="BU569" s="253">
        <f t="shared" si="482"/>
        <v>567</v>
      </c>
      <c r="BV569" s="253" t="str">
        <f t="shared" si="488"/>
        <v>A23</v>
      </c>
      <c r="BW569" s="253">
        <f t="shared" si="489"/>
        <v>22</v>
      </c>
      <c r="BX569" s="253" t="str">
        <f t="shared" ca="1" si="490"/>
        <v>Lukáš Červ</v>
      </c>
      <c r="BY569" s="253">
        <f ca="1">COUNTIF('Group Stages'!$J$8:$Q$80,BX569)+COUNTIF('Knock Out Stages'!$K$7:$R$45,BX569)</f>
        <v>0</v>
      </c>
      <c r="BZ569" s="253" t="str">
        <f t="shared" si="491"/>
        <v>'Player Database'!b26</v>
      </c>
      <c r="CA569" s="253" t="str">
        <f t="shared" ca="1" si="492"/>
        <v>Lukáš Červ</v>
      </c>
      <c r="CS569" s="252">
        <f t="shared" si="485"/>
        <v>566</v>
      </c>
      <c r="CT569" s="252">
        <f t="shared" si="486"/>
        <v>14</v>
      </c>
      <c r="CU569" s="252" t="str">
        <f t="shared" si="483"/>
        <v>CR23</v>
      </c>
      <c r="CV569" s="252" t="str">
        <f t="shared" ca="1" si="487"/>
        <v/>
      </c>
      <c r="CW569" s="252">
        <f t="shared" ca="1" si="481"/>
        <v>0</v>
      </c>
    </row>
    <row r="570" spans="72:101" x14ac:dyDescent="0.2">
      <c r="BT570" s="253" t="str">
        <f t="shared" ca="1" si="484"/>
        <v>Czechia</v>
      </c>
      <c r="BU570" s="253">
        <f t="shared" si="482"/>
        <v>568</v>
      </c>
      <c r="BV570" s="253" t="str">
        <f t="shared" si="488"/>
        <v>A24</v>
      </c>
      <c r="BW570" s="253">
        <f t="shared" si="489"/>
        <v>22</v>
      </c>
      <c r="BX570" s="253" t="str">
        <f t="shared" ca="1" si="490"/>
        <v>Tomáš Souček</v>
      </c>
      <c r="BY570" s="253">
        <f ca="1">COUNTIF('Group Stages'!$J$8:$Q$80,BX570)+COUNTIF('Knock Out Stages'!$K$7:$R$45,BX570)</f>
        <v>0</v>
      </c>
      <c r="BZ570" s="253" t="str">
        <f t="shared" si="491"/>
        <v>'Player Database'!b27</v>
      </c>
      <c r="CA570" s="253" t="str">
        <f t="shared" ca="1" si="492"/>
        <v>Tomáš Souček</v>
      </c>
      <c r="CS570" s="252">
        <f t="shared" si="485"/>
        <v>567</v>
      </c>
      <c r="CT570" s="252">
        <f t="shared" si="486"/>
        <v>14</v>
      </c>
      <c r="CU570" s="252" t="str">
        <f t="shared" si="483"/>
        <v>CR24</v>
      </c>
      <c r="CV570" s="252" t="str">
        <f t="shared" ca="1" si="487"/>
        <v/>
      </c>
      <c r="CW570" s="252">
        <f t="shared" ca="1" si="481"/>
        <v>0</v>
      </c>
    </row>
    <row r="571" spans="72:101" x14ac:dyDescent="0.2">
      <c r="BT571" s="253" t="str">
        <f t="shared" ca="1" si="484"/>
        <v>Czechia</v>
      </c>
      <c r="BU571" s="253">
        <f t="shared" si="482"/>
        <v>569</v>
      </c>
      <c r="BV571" s="253" t="str">
        <f t="shared" si="488"/>
        <v>A25</v>
      </c>
      <c r="BW571" s="253">
        <f t="shared" si="489"/>
        <v>22</v>
      </c>
      <c r="BX571" s="253" t="str">
        <f t="shared" ca="1" si="490"/>
        <v>Vítězslav Jaroš</v>
      </c>
      <c r="BY571" s="253">
        <f ca="1">COUNTIF('Group Stages'!$J$8:$Q$80,BX571)+COUNTIF('Knock Out Stages'!$K$7:$R$45,BX571)</f>
        <v>0</v>
      </c>
      <c r="BZ571" s="253" t="str">
        <f t="shared" si="491"/>
        <v>'Player Database'!b28</v>
      </c>
      <c r="CA571" s="253" t="str">
        <f t="shared" ca="1" si="492"/>
        <v>Vítězslav Jaroš</v>
      </c>
      <c r="CS571" s="252">
        <f t="shared" si="485"/>
        <v>568</v>
      </c>
      <c r="CT571" s="252">
        <f t="shared" si="486"/>
        <v>14</v>
      </c>
      <c r="CU571" s="252" t="str">
        <f t="shared" si="483"/>
        <v>CR25</v>
      </c>
      <c r="CV571" s="252" t="str">
        <f t="shared" ca="1" si="487"/>
        <v/>
      </c>
      <c r="CW571" s="252">
        <f t="shared" ca="1" si="481"/>
        <v>0</v>
      </c>
    </row>
    <row r="572" spans="72:101" x14ac:dyDescent="0.2">
      <c r="BT572" s="253" t="str">
        <f t="shared" ca="1" si="484"/>
        <v>Czechia</v>
      </c>
      <c r="BU572" s="253">
        <f t="shared" si="482"/>
        <v>570</v>
      </c>
      <c r="BV572" s="253" t="str">
        <f t="shared" si="488"/>
        <v>A26</v>
      </c>
      <c r="BW572" s="253">
        <f t="shared" si="489"/>
        <v>22</v>
      </c>
      <c r="BX572" s="253" t="str">
        <f t="shared" ca="1" si="490"/>
        <v>Tomáš Vlček</v>
      </c>
      <c r="BY572" s="253">
        <f ca="1">COUNTIF('Group Stages'!$J$8:$Q$80,BX572)+COUNTIF('Knock Out Stages'!$K$7:$R$45,BX572)</f>
        <v>0</v>
      </c>
      <c r="BZ572" s="253" t="str">
        <f t="shared" si="491"/>
        <v>'Player Database'!b29</v>
      </c>
      <c r="CA572" s="253" t="str">
        <f t="shared" ca="1" si="492"/>
        <v>Tomáš Vlček</v>
      </c>
      <c r="CS572" s="252">
        <f t="shared" si="485"/>
        <v>569</v>
      </c>
      <c r="CT572" s="252">
        <f t="shared" si="486"/>
        <v>14</v>
      </c>
      <c r="CU572" s="252" t="str">
        <f t="shared" si="483"/>
        <v>CR26</v>
      </c>
      <c r="CV572" s="252" t="str">
        <f t="shared" ca="1" si="487"/>
        <v/>
      </c>
      <c r="CW572" s="252">
        <f t="shared" ca="1" si="481"/>
        <v>0</v>
      </c>
    </row>
    <row r="573" spans="72:101" x14ac:dyDescent="0.2">
      <c r="BT573" s="253" t="str">
        <f t="shared" ca="1" si="484"/>
        <v>Czechia</v>
      </c>
      <c r="BU573" s="253">
        <f t="shared" si="482"/>
        <v>571</v>
      </c>
      <c r="BV573" s="253" t="str">
        <f t="shared" si="488"/>
        <v>A27</v>
      </c>
      <c r="BW573" s="253">
        <f t="shared" si="489"/>
        <v>22</v>
      </c>
      <c r="BX573" s="253" t="str">
        <f t="shared" ca="1" si="490"/>
        <v>Pavel Šulc</v>
      </c>
      <c r="BY573" s="253">
        <f ca="1">COUNTIF('Group Stages'!$J$8:$Q$80,BX573)+COUNTIF('Knock Out Stages'!$K$7:$R$45,BX573)</f>
        <v>0</v>
      </c>
      <c r="BZ573" s="253" t="str">
        <f t="shared" si="491"/>
        <v>'Player Database'!b30</v>
      </c>
      <c r="CA573" s="253" t="str">
        <f t="shared" ca="1" si="492"/>
        <v>Pavel Šulc</v>
      </c>
      <c r="CS573" s="252">
        <f t="shared" si="485"/>
        <v>570</v>
      </c>
      <c r="CT573" s="252">
        <f t="shared" si="486"/>
        <v>14</v>
      </c>
      <c r="CU573" s="252" t="str">
        <f t="shared" si="483"/>
        <v>CR27</v>
      </c>
      <c r="CV573" s="252" t="str">
        <f t="shared" ca="1" si="487"/>
        <v/>
      </c>
      <c r="CW573" s="252">
        <f t="shared" ca="1" si="481"/>
        <v>0</v>
      </c>
    </row>
    <row r="574" spans="72:101" x14ac:dyDescent="0.2">
      <c r="BT574" s="253" t="str">
        <f t="shared" ca="1" si="484"/>
        <v>Czechia</v>
      </c>
      <c r="BU574" s="253">
        <f t="shared" si="482"/>
        <v>572</v>
      </c>
      <c r="BV574" s="253" t="str">
        <f t="shared" si="488"/>
        <v>A28</v>
      </c>
      <c r="BW574" s="253">
        <f t="shared" si="489"/>
        <v>22</v>
      </c>
      <c r="BX574" s="253" t="str">
        <f t="shared" ca="1" si="490"/>
        <v>Matěj Jurásek</v>
      </c>
      <c r="BY574" s="253">
        <f ca="1">COUNTIF('Group Stages'!$J$8:$Q$80,BX574)+COUNTIF('Knock Out Stages'!$K$7:$R$45,BX574)</f>
        <v>0</v>
      </c>
      <c r="BZ574" s="253" t="str">
        <f t="shared" si="491"/>
        <v>'Player Database'!b31</v>
      </c>
      <c r="CA574" s="253" t="str">
        <f t="shared" ca="1" si="492"/>
        <v>Matěj Jurásek</v>
      </c>
      <c r="CS574" s="252">
        <f t="shared" si="485"/>
        <v>571</v>
      </c>
      <c r="CT574" s="252">
        <f t="shared" si="486"/>
        <v>14</v>
      </c>
      <c r="CU574" s="252" t="str">
        <f t="shared" si="483"/>
        <v>CR28</v>
      </c>
      <c r="CV574" s="252" t="str">
        <f t="shared" ca="1" si="487"/>
        <v/>
      </c>
      <c r="CW574" s="252">
        <f t="shared" ca="1" si="481"/>
        <v>0</v>
      </c>
    </row>
    <row r="575" spans="72:101" x14ac:dyDescent="0.2">
      <c r="BT575" s="253" t="str">
        <f t="shared" ca="1" si="484"/>
        <v>Türkiye</v>
      </c>
      <c r="BU575" s="253">
        <f t="shared" si="482"/>
        <v>573</v>
      </c>
      <c r="BV575" s="253" t="str">
        <f t="shared" si="488"/>
        <v>A3</v>
      </c>
      <c r="BW575" s="253">
        <f t="shared" si="489"/>
        <v>23</v>
      </c>
      <c r="BX575" s="253" t="str">
        <f t="shared" ca="1" si="490"/>
        <v>Mert Günok</v>
      </c>
      <c r="BY575" s="253">
        <f ca="1">COUNTIF('Group Stages'!$J$8:$Q$80,BX575)+COUNTIF('Knock Out Stages'!$K$7:$R$45,BX575)</f>
        <v>0</v>
      </c>
      <c r="BZ575" s="253" t="str">
        <f t="shared" si="491"/>
        <v>'Player Database'!b6</v>
      </c>
      <c r="CA575" s="253" t="str">
        <f t="shared" ca="1" si="492"/>
        <v>Mert Günok</v>
      </c>
      <c r="CS575" s="252">
        <f t="shared" si="485"/>
        <v>572</v>
      </c>
      <c r="CT575" s="252">
        <f t="shared" si="486"/>
        <v>14</v>
      </c>
      <c r="CU575" s="252" t="str">
        <f t="shared" si="483"/>
        <v>CR29</v>
      </c>
      <c r="CV575" s="252" t="str">
        <f t="shared" ca="1" si="487"/>
        <v/>
      </c>
      <c r="CW575" s="252">
        <f t="shared" ca="1" si="481"/>
        <v>0</v>
      </c>
    </row>
    <row r="576" spans="72:101" x14ac:dyDescent="0.2">
      <c r="BT576" s="253" t="str">
        <f t="shared" ca="1" si="484"/>
        <v>Türkiye</v>
      </c>
      <c r="BU576" s="253">
        <f t="shared" si="482"/>
        <v>574</v>
      </c>
      <c r="BV576" s="253" t="str">
        <f t="shared" si="488"/>
        <v>A4</v>
      </c>
      <c r="BW576" s="253">
        <f t="shared" si="489"/>
        <v>23</v>
      </c>
      <c r="BX576" s="253" t="str">
        <f t="shared" ca="1" si="490"/>
        <v>Zeki Çelik</v>
      </c>
      <c r="BY576" s="253">
        <f ca="1">COUNTIF('Group Stages'!$J$8:$Q$80,BX576)+COUNTIF('Knock Out Stages'!$K$7:$R$45,BX576)</f>
        <v>0</v>
      </c>
      <c r="BZ576" s="253" t="str">
        <f t="shared" si="491"/>
        <v>'Player Database'!b7</v>
      </c>
      <c r="CA576" s="253" t="str">
        <f t="shared" ca="1" si="492"/>
        <v>Zeki Çelik</v>
      </c>
      <c r="CS576" s="252">
        <f t="shared" si="485"/>
        <v>573</v>
      </c>
      <c r="CT576" s="252">
        <f t="shared" si="486"/>
        <v>14</v>
      </c>
      <c r="CU576" s="252" t="str">
        <f t="shared" si="483"/>
        <v>CR30</v>
      </c>
      <c r="CV576" s="252" t="str">
        <f t="shared" ca="1" si="487"/>
        <v/>
      </c>
      <c r="CW576" s="252">
        <f t="shared" ca="1" si="481"/>
        <v>0</v>
      </c>
    </row>
    <row r="577" spans="72:101" x14ac:dyDescent="0.2">
      <c r="BT577" s="253" t="str">
        <f t="shared" ca="1" si="484"/>
        <v>Türkiye</v>
      </c>
      <c r="BU577" s="253">
        <f t="shared" si="482"/>
        <v>575</v>
      </c>
      <c r="BV577" s="253" t="str">
        <f t="shared" si="488"/>
        <v>A5</v>
      </c>
      <c r="BW577" s="253">
        <f t="shared" si="489"/>
        <v>23</v>
      </c>
      <c r="BX577" s="253" t="str">
        <f t="shared" ca="1" si="490"/>
        <v>Merih Demiral</v>
      </c>
      <c r="BY577" s="253">
        <f ca="1">COUNTIF('Group Stages'!$J$8:$Q$80,BX577)+COUNTIF('Knock Out Stages'!$K$7:$R$45,BX577)</f>
        <v>0</v>
      </c>
      <c r="BZ577" s="253" t="str">
        <f t="shared" si="491"/>
        <v>'Player Database'!b8</v>
      </c>
      <c r="CA577" s="253" t="str">
        <f t="shared" ca="1" si="492"/>
        <v>Merih Demiral</v>
      </c>
      <c r="CS577" s="252">
        <f t="shared" si="485"/>
        <v>574</v>
      </c>
      <c r="CT577" s="252">
        <f t="shared" si="486"/>
        <v>14</v>
      </c>
      <c r="CU577" s="252" t="str">
        <f t="shared" si="483"/>
        <v>CR31</v>
      </c>
      <c r="CV577" s="252" t="str">
        <f t="shared" ca="1" si="487"/>
        <v/>
      </c>
      <c r="CW577" s="252">
        <f t="shared" ca="1" si="481"/>
        <v>0</v>
      </c>
    </row>
    <row r="578" spans="72:101" x14ac:dyDescent="0.2">
      <c r="BT578" s="253" t="str">
        <f t="shared" ca="1" si="484"/>
        <v>Türkiye</v>
      </c>
      <c r="BU578" s="253">
        <f t="shared" si="482"/>
        <v>576</v>
      </c>
      <c r="BV578" s="253" t="str">
        <f t="shared" si="488"/>
        <v>A6</v>
      </c>
      <c r="BW578" s="253">
        <f t="shared" si="489"/>
        <v>23</v>
      </c>
      <c r="BX578" s="253" t="str">
        <f t="shared" ca="1" si="490"/>
        <v>Samet Akaydin</v>
      </c>
      <c r="BY578" s="253">
        <f ca="1">COUNTIF('Group Stages'!$J$8:$Q$80,BX578)+COUNTIF('Knock Out Stages'!$K$7:$R$45,BX578)</f>
        <v>0</v>
      </c>
      <c r="BZ578" s="253" t="str">
        <f t="shared" si="491"/>
        <v>'Player Database'!b9</v>
      </c>
      <c r="CA578" s="253" t="str">
        <f t="shared" ca="1" si="492"/>
        <v>Samet Akaydin</v>
      </c>
      <c r="CS578" s="252">
        <f t="shared" si="485"/>
        <v>575</v>
      </c>
      <c r="CT578" s="252">
        <f t="shared" si="486"/>
        <v>14</v>
      </c>
      <c r="CU578" s="252" t="str">
        <f t="shared" si="483"/>
        <v>CR32</v>
      </c>
      <c r="CV578" s="252" t="str">
        <f t="shared" ca="1" si="487"/>
        <v/>
      </c>
      <c r="CW578" s="252">
        <f t="shared" ca="1" si="481"/>
        <v>0</v>
      </c>
    </row>
    <row r="579" spans="72:101" x14ac:dyDescent="0.2">
      <c r="BT579" s="253" t="str">
        <f t="shared" ca="1" si="484"/>
        <v>Türkiye</v>
      </c>
      <c r="BU579" s="253">
        <f t="shared" si="482"/>
        <v>577</v>
      </c>
      <c r="BV579" s="253" t="str">
        <f t="shared" si="488"/>
        <v>A7</v>
      </c>
      <c r="BW579" s="253">
        <f t="shared" si="489"/>
        <v>23</v>
      </c>
      <c r="BX579" s="253" t="str">
        <f t="shared" ca="1" si="490"/>
        <v>Okay Yokuşlu</v>
      </c>
      <c r="BY579" s="253">
        <f ca="1">COUNTIF('Group Stages'!$J$8:$Q$80,BX579)+COUNTIF('Knock Out Stages'!$K$7:$R$45,BX579)</f>
        <v>0</v>
      </c>
      <c r="BZ579" s="253" t="str">
        <f t="shared" si="491"/>
        <v>'Player Database'!b10</v>
      </c>
      <c r="CA579" s="253" t="str">
        <f t="shared" ca="1" si="492"/>
        <v>Okay Yokuşlu</v>
      </c>
      <c r="CS579" s="252">
        <f t="shared" si="485"/>
        <v>576</v>
      </c>
      <c r="CT579" s="252">
        <f t="shared" si="486"/>
        <v>14</v>
      </c>
      <c r="CU579" s="252" t="str">
        <f t="shared" si="483"/>
        <v>CR33</v>
      </c>
      <c r="CV579" s="252" t="str">
        <f t="shared" ca="1" si="487"/>
        <v/>
      </c>
      <c r="CW579" s="252">
        <f t="shared" ca="1" si="481"/>
        <v>0</v>
      </c>
    </row>
    <row r="580" spans="72:101" x14ac:dyDescent="0.2">
      <c r="BT580" s="253" t="str">
        <f t="shared" ca="1" si="484"/>
        <v>Türkiye</v>
      </c>
      <c r="BU580" s="253">
        <f t="shared" si="482"/>
        <v>578</v>
      </c>
      <c r="BV580" s="253" t="str">
        <f t="shared" si="488"/>
        <v>A8</v>
      </c>
      <c r="BW580" s="253">
        <f t="shared" si="489"/>
        <v>23</v>
      </c>
      <c r="BX580" s="253" t="str">
        <f t="shared" ca="1" si="490"/>
        <v>Orkun Kökçü</v>
      </c>
      <c r="BY580" s="253">
        <f ca="1">COUNTIF('Group Stages'!$J$8:$Q$80,BX580)+COUNTIF('Knock Out Stages'!$K$7:$R$45,BX580)</f>
        <v>0</v>
      </c>
      <c r="BZ580" s="253" t="str">
        <f t="shared" si="491"/>
        <v>'Player Database'!b11</v>
      </c>
      <c r="CA580" s="253" t="str">
        <f t="shared" ca="1" si="492"/>
        <v>Orkun Kökçü</v>
      </c>
      <c r="CS580" s="252">
        <f t="shared" si="485"/>
        <v>577</v>
      </c>
      <c r="CT580" s="252">
        <f t="shared" si="486"/>
        <v>14</v>
      </c>
      <c r="CU580" s="252" t="str">
        <f t="shared" si="483"/>
        <v>CR34</v>
      </c>
      <c r="CV580" s="252" t="str">
        <f t="shared" ca="1" si="487"/>
        <v/>
      </c>
      <c r="CW580" s="252">
        <f t="shared" ca="1" si="481"/>
        <v>0</v>
      </c>
    </row>
    <row r="581" spans="72:101" x14ac:dyDescent="0.2">
      <c r="BT581" s="253" t="str">
        <f t="shared" ca="1" si="484"/>
        <v>Türkiye</v>
      </c>
      <c r="BU581" s="253">
        <f t="shared" si="482"/>
        <v>579</v>
      </c>
      <c r="BV581" s="253" t="str">
        <f t="shared" si="488"/>
        <v>A9</v>
      </c>
      <c r="BW581" s="253">
        <f t="shared" si="489"/>
        <v>23</v>
      </c>
      <c r="BX581" s="253" t="str">
        <f t="shared" ca="1" si="490"/>
        <v>Kerem Aktürkoğlu</v>
      </c>
      <c r="BY581" s="253">
        <f ca="1">COUNTIF('Group Stages'!$J$8:$Q$80,BX581)+COUNTIF('Knock Out Stages'!$K$7:$R$45,BX581)</f>
        <v>0</v>
      </c>
      <c r="BZ581" s="253" t="str">
        <f t="shared" si="491"/>
        <v>'Player Database'!b12</v>
      </c>
      <c r="CA581" s="253" t="str">
        <f t="shared" ca="1" si="492"/>
        <v>Kerem Aktürkoğlu</v>
      </c>
      <c r="CS581" s="252">
        <f t="shared" si="485"/>
        <v>578</v>
      </c>
      <c r="CT581" s="252">
        <f t="shared" si="486"/>
        <v>14</v>
      </c>
      <c r="CU581" s="252" t="str">
        <f t="shared" si="483"/>
        <v>CR35</v>
      </c>
      <c r="CV581" s="252" t="str">
        <f t="shared" ca="1" si="487"/>
        <v/>
      </c>
      <c r="CW581" s="252">
        <f t="shared" ref="CW581:CW633" ca="1" si="493">IF(CV581&lt;&gt;"",CW580+1,CW580)</f>
        <v>0</v>
      </c>
    </row>
    <row r="582" spans="72:101" x14ac:dyDescent="0.2">
      <c r="BT582" s="253" t="str">
        <f t="shared" ca="1" si="484"/>
        <v>Türkiye</v>
      </c>
      <c r="BU582" s="253">
        <f t="shared" si="482"/>
        <v>580</v>
      </c>
      <c r="BV582" s="253" t="str">
        <f t="shared" si="488"/>
        <v>A10</v>
      </c>
      <c r="BW582" s="253">
        <f t="shared" si="489"/>
        <v>23</v>
      </c>
      <c r="BX582" s="253" t="str">
        <f t="shared" ca="1" si="490"/>
        <v>Arda Güler</v>
      </c>
      <c r="BY582" s="253">
        <f ca="1">COUNTIF('Group Stages'!$J$8:$Q$80,BX582)+COUNTIF('Knock Out Stages'!$K$7:$R$45,BX582)</f>
        <v>0</v>
      </c>
      <c r="BZ582" s="253" t="str">
        <f t="shared" si="491"/>
        <v>'Player Database'!b13</v>
      </c>
      <c r="CA582" s="253" t="str">
        <f t="shared" ca="1" si="492"/>
        <v>Arda Güler</v>
      </c>
      <c r="CS582" s="252">
        <f t="shared" si="485"/>
        <v>579</v>
      </c>
      <c r="CT582" s="252">
        <f t="shared" si="486"/>
        <v>14</v>
      </c>
      <c r="CU582" s="252" t="str">
        <f t="shared" si="483"/>
        <v>CR36</v>
      </c>
      <c r="CV582" s="252" t="str">
        <f t="shared" ca="1" si="487"/>
        <v/>
      </c>
      <c r="CW582" s="252">
        <f t="shared" ca="1" si="493"/>
        <v>0</v>
      </c>
    </row>
    <row r="583" spans="72:101" x14ac:dyDescent="0.2">
      <c r="BT583" s="253" t="str">
        <f t="shared" ca="1" si="484"/>
        <v>Türkiye</v>
      </c>
      <c r="BU583" s="253">
        <f t="shared" si="482"/>
        <v>581</v>
      </c>
      <c r="BV583" s="253" t="str">
        <f t="shared" si="488"/>
        <v>A11</v>
      </c>
      <c r="BW583" s="253">
        <f t="shared" si="489"/>
        <v>23</v>
      </c>
      <c r="BX583" s="253" t="str">
        <f t="shared" ca="1" si="490"/>
        <v>Cenk Tosun</v>
      </c>
      <c r="BY583" s="253">
        <f ca="1">COUNTIF('Group Stages'!$J$8:$Q$80,BX583)+COUNTIF('Knock Out Stages'!$K$7:$R$45,BX583)</f>
        <v>0</v>
      </c>
      <c r="BZ583" s="253" t="str">
        <f t="shared" si="491"/>
        <v>'Player Database'!b14</v>
      </c>
      <c r="CA583" s="253" t="str">
        <f t="shared" ca="1" si="492"/>
        <v>Cenk Tosun</v>
      </c>
      <c r="CS583" s="252">
        <f t="shared" si="485"/>
        <v>580</v>
      </c>
      <c r="CT583" s="252">
        <f t="shared" si="486"/>
        <v>14</v>
      </c>
      <c r="CU583" s="252" t="str">
        <f t="shared" si="483"/>
        <v>CR37</v>
      </c>
      <c r="CV583" s="252" t="str">
        <f t="shared" ca="1" si="487"/>
        <v/>
      </c>
      <c r="CW583" s="252">
        <f t="shared" ca="1" si="493"/>
        <v>0</v>
      </c>
    </row>
    <row r="584" spans="72:101" x14ac:dyDescent="0.2">
      <c r="BT584" s="253" t="str">
        <f t="shared" ca="1" si="484"/>
        <v>Türkiye</v>
      </c>
      <c r="BU584" s="253">
        <f t="shared" si="482"/>
        <v>582</v>
      </c>
      <c r="BV584" s="253" t="str">
        <f t="shared" si="488"/>
        <v>A12</v>
      </c>
      <c r="BW584" s="253">
        <f t="shared" si="489"/>
        <v>23</v>
      </c>
      <c r="BX584" s="253" t="str">
        <f t="shared" ca="1" si="490"/>
        <v>Hakan Çalhanoğlu</v>
      </c>
      <c r="BY584" s="253">
        <f ca="1">COUNTIF('Group Stages'!$J$8:$Q$80,BX584)+COUNTIF('Knock Out Stages'!$K$7:$R$45,BX584)</f>
        <v>0</v>
      </c>
      <c r="BZ584" s="253" t="str">
        <f t="shared" si="491"/>
        <v>'Player Database'!b15</v>
      </c>
      <c r="CA584" s="253" t="str">
        <f t="shared" ca="1" si="492"/>
        <v>Hakan Çalhanoğlu</v>
      </c>
      <c r="CS584" s="252">
        <f t="shared" si="485"/>
        <v>581</v>
      </c>
      <c r="CT584" s="252">
        <f t="shared" si="486"/>
        <v>14</v>
      </c>
      <c r="CU584" s="252" t="str">
        <f t="shared" si="483"/>
        <v>CR38</v>
      </c>
      <c r="CV584" s="252" t="str">
        <f t="shared" ca="1" si="487"/>
        <v/>
      </c>
      <c r="CW584" s="252">
        <f t="shared" ca="1" si="493"/>
        <v>0</v>
      </c>
    </row>
    <row r="585" spans="72:101" x14ac:dyDescent="0.2">
      <c r="BT585" s="253" t="str">
        <f t="shared" ca="1" si="484"/>
        <v>Türkiye</v>
      </c>
      <c r="BU585" s="253">
        <f t="shared" si="482"/>
        <v>583</v>
      </c>
      <c r="BV585" s="253" t="str">
        <f t="shared" si="488"/>
        <v>A13</v>
      </c>
      <c r="BW585" s="253">
        <f t="shared" si="489"/>
        <v>23</v>
      </c>
      <c r="BX585" s="253" t="str">
        <f t="shared" ca="1" si="490"/>
        <v>Yusuf Yazıcı</v>
      </c>
      <c r="BY585" s="253">
        <f ca="1">COUNTIF('Group Stages'!$J$8:$Q$80,BX585)+COUNTIF('Knock Out Stages'!$K$7:$R$45,BX585)</f>
        <v>0</v>
      </c>
      <c r="BZ585" s="253" t="str">
        <f t="shared" si="491"/>
        <v>'Player Database'!b16</v>
      </c>
      <c r="CA585" s="253" t="str">
        <f t="shared" ca="1" si="492"/>
        <v>Yusuf Yazıcı</v>
      </c>
      <c r="CS585" s="252">
        <f t="shared" si="485"/>
        <v>582</v>
      </c>
      <c r="CT585" s="252">
        <f t="shared" si="486"/>
        <v>14</v>
      </c>
      <c r="CU585" s="252" t="str">
        <f t="shared" si="483"/>
        <v>CR39</v>
      </c>
      <c r="CV585" s="252" t="str">
        <f t="shared" ca="1" si="487"/>
        <v/>
      </c>
      <c r="CW585" s="252">
        <f t="shared" ca="1" si="493"/>
        <v>0</v>
      </c>
    </row>
    <row r="586" spans="72:101" x14ac:dyDescent="0.2">
      <c r="BT586" s="253" t="str">
        <f t="shared" ca="1" si="484"/>
        <v>Türkiye</v>
      </c>
      <c r="BU586" s="253">
        <f t="shared" si="482"/>
        <v>584</v>
      </c>
      <c r="BV586" s="253" t="str">
        <f t="shared" si="488"/>
        <v>A14</v>
      </c>
      <c r="BW586" s="253">
        <f t="shared" si="489"/>
        <v>23</v>
      </c>
      <c r="BX586" s="253" t="str">
        <f t="shared" ca="1" si="490"/>
        <v>Altay Bayındır</v>
      </c>
      <c r="BY586" s="253">
        <f ca="1">COUNTIF('Group Stages'!$J$8:$Q$80,BX586)+COUNTIF('Knock Out Stages'!$K$7:$R$45,BX586)</f>
        <v>0</v>
      </c>
      <c r="BZ586" s="253" t="str">
        <f t="shared" si="491"/>
        <v>'Player Database'!b17</v>
      </c>
      <c r="CA586" s="253" t="str">
        <f t="shared" ca="1" si="492"/>
        <v>Altay Bayındır</v>
      </c>
      <c r="CS586" s="252">
        <f t="shared" si="485"/>
        <v>583</v>
      </c>
      <c r="CT586" s="252">
        <f t="shared" si="486"/>
        <v>14</v>
      </c>
      <c r="CU586" s="252" t="str">
        <f t="shared" si="483"/>
        <v>CR40</v>
      </c>
      <c r="CV586" s="252" t="str">
        <f t="shared" ca="1" si="487"/>
        <v/>
      </c>
      <c r="CW586" s="252">
        <f t="shared" ca="1" si="493"/>
        <v>0</v>
      </c>
    </row>
    <row r="587" spans="72:101" x14ac:dyDescent="0.2">
      <c r="BT587" s="253" t="str">
        <f t="shared" ca="1" si="484"/>
        <v>Türkiye</v>
      </c>
      <c r="BU587" s="253">
        <f t="shared" ref="BU587:BU623" si="494">BU586+1</f>
        <v>585</v>
      </c>
      <c r="BV587" s="253" t="str">
        <f t="shared" si="488"/>
        <v>A15</v>
      </c>
      <c r="BW587" s="253">
        <f t="shared" si="489"/>
        <v>23</v>
      </c>
      <c r="BX587" s="253" t="str">
        <f t="shared" ca="1" si="490"/>
        <v>Ahmetcan Kaplan</v>
      </c>
      <c r="BY587" s="253">
        <f ca="1">COUNTIF('Group Stages'!$J$8:$Q$80,BX587)+COUNTIF('Knock Out Stages'!$K$7:$R$45,BX587)</f>
        <v>0</v>
      </c>
      <c r="BZ587" s="253" t="str">
        <f t="shared" si="491"/>
        <v>'Player Database'!b18</v>
      </c>
      <c r="CA587" s="253" t="str">
        <f t="shared" ca="1" si="492"/>
        <v>Ahmetcan Kaplan</v>
      </c>
      <c r="CS587" s="252">
        <f t="shared" si="485"/>
        <v>584</v>
      </c>
      <c r="CT587" s="252">
        <f t="shared" si="486"/>
        <v>14</v>
      </c>
      <c r="CU587" s="252" t="str">
        <f t="shared" si="483"/>
        <v>CR41</v>
      </c>
      <c r="CV587" s="252" t="str">
        <f t="shared" ca="1" si="487"/>
        <v/>
      </c>
      <c r="CW587" s="252">
        <f t="shared" ca="1" si="493"/>
        <v>0</v>
      </c>
    </row>
    <row r="588" spans="72:101" x14ac:dyDescent="0.2">
      <c r="BT588" s="253" t="str">
        <f t="shared" ca="1" si="484"/>
        <v>Türkiye</v>
      </c>
      <c r="BU588" s="253">
        <f t="shared" si="494"/>
        <v>586</v>
      </c>
      <c r="BV588" s="253" t="str">
        <f t="shared" si="488"/>
        <v>A16</v>
      </c>
      <c r="BW588" s="253">
        <f t="shared" si="489"/>
        <v>23</v>
      </c>
      <c r="BX588" s="253" t="str">
        <f t="shared" ca="1" si="490"/>
        <v>Abdülkerim Bardakcı</v>
      </c>
      <c r="BY588" s="253">
        <f ca="1">COUNTIF('Group Stages'!$J$8:$Q$80,BX588)+COUNTIF('Knock Out Stages'!$K$7:$R$45,BX588)</f>
        <v>0</v>
      </c>
      <c r="BZ588" s="253" t="str">
        <f t="shared" si="491"/>
        <v>'Player Database'!b19</v>
      </c>
      <c r="CA588" s="253" t="str">
        <f t="shared" ca="1" si="492"/>
        <v>Abdülkerim Bardakcı</v>
      </c>
      <c r="CS588" s="252">
        <f t="shared" si="485"/>
        <v>585</v>
      </c>
      <c r="CT588" s="252">
        <f t="shared" si="486"/>
        <v>14</v>
      </c>
      <c r="CU588" s="252" t="str">
        <f t="shared" si="483"/>
        <v>CR42</v>
      </c>
      <c r="CV588" s="252" t="str">
        <f t="shared" ca="1" si="487"/>
        <v/>
      </c>
      <c r="CW588" s="252">
        <f t="shared" ca="1" si="493"/>
        <v>0</v>
      </c>
    </row>
    <row r="589" spans="72:101" x14ac:dyDescent="0.2">
      <c r="BT589" s="253" t="str">
        <f t="shared" ca="1" si="484"/>
        <v>Türkiye</v>
      </c>
      <c r="BU589" s="253">
        <f t="shared" si="494"/>
        <v>587</v>
      </c>
      <c r="BV589" s="253" t="str">
        <f t="shared" si="488"/>
        <v>A17</v>
      </c>
      <c r="BW589" s="253">
        <f t="shared" si="489"/>
        <v>23</v>
      </c>
      <c r="BX589" s="253" t="str">
        <f t="shared" ca="1" si="490"/>
        <v>Salih Özcan</v>
      </c>
      <c r="BY589" s="253">
        <f ca="1">COUNTIF('Group Stages'!$J$8:$Q$80,BX589)+COUNTIF('Knock Out Stages'!$K$7:$R$45,BX589)</f>
        <v>0</v>
      </c>
      <c r="BZ589" s="253" t="str">
        <f t="shared" si="491"/>
        <v>'Player Database'!b20</v>
      </c>
      <c r="CA589" s="253" t="str">
        <f t="shared" ca="1" si="492"/>
        <v>Salih Özcan</v>
      </c>
      <c r="CS589" s="252">
        <f t="shared" si="485"/>
        <v>586</v>
      </c>
      <c r="CT589" s="252">
        <f t="shared" si="486"/>
        <v>14</v>
      </c>
      <c r="CU589" s="252" t="str">
        <f t="shared" si="483"/>
        <v>CR43</v>
      </c>
      <c r="CV589" s="252" t="str">
        <f t="shared" ca="1" si="487"/>
        <v/>
      </c>
      <c r="CW589" s="252">
        <f t="shared" ca="1" si="493"/>
        <v>0</v>
      </c>
    </row>
    <row r="590" spans="72:101" x14ac:dyDescent="0.2">
      <c r="BT590" s="253" t="str">
        <f t="shared" ca="1" si="484"/>
        <v>Türkiye</v>
      </c>
      <c r="BU590" s="253">
        <f t="shared" si="494"/>
        <v>588</v>
      </c>
      <c r="BV590" s="253" t="str">
        <f t="shared" si="488"/>
        <v>A18</v>
      </c>
      <c r="BW590" s="253">
        <f t="shared" si="489"/>
        <v>23</v>
      </c>
      <c r="BX590" s="253" t="str">
        <f t="shared" ca="1" si="490"/>
        <v>İsmail Yüksek</v>
      </c>
      <c r="BY590" s="253">
        <f ca="1">COUNTIF('Group Stages'!$J$8:$Q$80,BX590)+COUNTIF('Knock Out Stages'!$K$7:$R$45,BX590)</f>
        <v>0</v>
      </c>
      <c r="BZ590" s="253" t="str">
        <f t="shared" si="491"/>
        <v>'Player Database'!b21</v>
      </c>
      <c r="CA590" s="253" t="str">
        <f t="shared" ca="1" si="492"/>
        <v>İsmail Yüksek</v>
      </c>
      <c r="CS590" s="252">
        <f t="shared" si="485"/>
        <v>587</v>
      </c>
      <c r="CT590" s="252">
        <f t="shared" si="486"/>
        <v>14</v>
      </c>
      <c r="CU590" s="252" t="str">
        <f t="shared" si="483"/>
        <v>CR44</v>
      </c>
      <c r="CV590" s="252" t="str">
        <f t="shared" ca="1" si="487"/>
        <v/>
      </c>
      <c r="CW590" s="252">
        <f t="shared" ca="1" si="493"/>
        <v>0</v>
      </c>
    </row>
    <row r="591" spans="72:101" x14ac:dyDescent="0.2">
      <c r="BT591" s="253" t="str">
        <f t="shared" ca="1" si="484"/>
        <v>Türkiye</v>
      </c>
      <c r="BU591" s="253">
        <f t="shared" si="494"/>
        <v>589</v>
      </c>
      <c r="BV591" s="253" t="str">
        <f t="shared" si="488"/>
        <v>A19</v>
      </c>
      <c r="BW591" s="253">
        <f t="shared" si="489"/>
        <v>23</v>
      </c>
      <c r="BX591" s="253" t="str">
        <f t="shared" ca="1" si="490"/>
        <v>İrfan Kahveci</v>
      </c>
      <c r="BY591" s="253">
        <f ca="1">COUNTIF('Group Stages'!$J$8:$Q$80,BX591)+COUNTIF('Knock Out Stages'!$K$7:$R$45,BX591)</f>
        <v>0</v>
      </c>
      <c r="BZ591" s="253" t="str">
        <f t="shared" si="491"/>
        <v>'Player Database'!b22</v>
      </c>
      <c r="CA591" s="253" t="str">
        <f t="shared" ca="1" si="492"/>
        <v>İrfan Kahveci</v>
      </c>
      <c r="CS591" s="252">
        <f t="shared" si="485"/>
        <v>588</v>
      </c>
      <c r="CT591" s="252">
        <f t="shared" si="486"/>
        <v>14</v>
      </c>
      <c r="CU591" s="252" t="str">
        <f t="shared" si="483"/>
        <v>CR45</v>
      </c>
      <c r="CV591" s="252" t="str">
        <f t="shared" ca="1" si="487"/>
        <v/>
      </c>
      <c r="CW591" s="252">
        <f t="shared" ca="1" si="493"/>
        <v>0</v>
      </c>
    </row>
    <row r="592" spans="72:101" x14ac:dyDescent="0.2">
      <c r="BT592" s="253" t="str">
        <f t="shared" ca="1" si="484"/>
        <v>Türkiye</v>
      </c>
      <c r="BU592" s="253">
        <f t="shared" si="494"/>
        <v>590</v>
      </c>
      <c r="BV592" s="253" t="str">
        <f t="shared" si="488"/>
        <v>A20</v>
      </c>
      <c r="BW592" s="253">
        <f t="shared" si="489"/>
        <v>23</v>
      </c>
      <c r="BX592" s="253" t="str">
        <f t="shared" ca="1" si="490"/>
        <v>Mert Müldür</v>
      </c>
      <c r="BY592" s="253">
        <f ca="1">COUNTIF('Group Stages'!$J$8:$Q$80,BX592)+COUNTIF('Knock Out Stages'!$K$7:$R$45,BX592)</f>
        <v>0</v>
      </c>
      <c r="BZ592" s="253" t="str">
        <f t="shared" si="491"/>
        <v>'Player Database'!b23</v>
      </c>
      <c r="CA592" s="253" t="str">
        <f t="shared" ca="1" si="492"/>
        <v>Mert Müldür</v>
      </c>
      <c r="CS592" s="252">
        <f t="shared" si="485"/>
        <v>589</v>
      </c>
      <c r="CT592" s="252">
        <f t="shared" si="486"/>
        <v>15</v>
      </c>
      <c r="CU592" s="252" t="str">
        <f t="shared" si="483"/>
        <v>CR4</v>
      </c>
      <c r="CV592" s="252" t="str">
        <f t="shared" ca="1" si="487"/>
        <v>Kai Havertz</v>
      </c>
      <c r="CW592" s="252">
        <f t="shared" ca="1" si="493"/>
        <v>1</v>
      </c>
    </row>
    <row r="593" spans="72:101" x14ac:dyDescent="0.2">
      <c r="BT593" s="253" t="str">
        <f t="shared" ca="1" si="484"/>
        <v>Türkiye</v>
      </c>
      <c r="BU593" s="253">
        <f t="shared" si="494"/>
        <v>591</v>
      </c>
      <c r="BV593" s="253" t="str">
        <f t="shared" si="488"/>
        <v>A21</v>
      </c>
      <c r="BW593" s="253">
        <f t="shared" si="489"/>
        <v>23</v>
      </c>
      <c r="BX593" s="253" t="str">
        <f t="shared" ca="1" si="490"/>
        <v>Kenan Yıldız</v>
      </c>
      <c r="BY593" s="253">
        <f ca="1">COUNTIF('Group Stages'!$J$8:$Q$80,BX593)+COUNTIF('Knock Out Stages'!$K$7:$R$45,BX593)</f>
        <v>0</v>
      </c>
      <c r="BZ593" s="253" t="str">
        <f t="shared" si="491"/>
        <v>'Player Database'!b24</v>
      </c>
      <c r="CA593" s="253" t="str">
        <f t="shared" ca="1" si="492"/>
        <v>Kenan Yıldız</v>
      </c>
      <c r="CS593" s="252">
        <f t="shared" si="485"/>
        <v>590</v>
      </c>
      <c r="CT593" s="252">
        <f t="shared" si="486"/>
        <v>15</v>
      </c>
      <c r="CU593" s="252" t="str">
        <f t="shared" si="483"/>
        <v>CR5</v>
      </c>
      <c r="CV593" s="252" t="str">
        <f t="shared" ca="1" si="487"/>
        <v>Niclas Füllkrug</v>
      </c>
      <c r="CW593" s="252">
        <f t="shared" ca="1" si="493"/>
        <v>2</v>
      </c>
    </row>
    <row r="594" spans="72:101" x14ac:dyDescent="0.2">
      <c r="BT594" s="253" t="str">
        <f t="shared" ca="1" si="484"/>
        <v>Türkiye</v>
      </c>
      <c r="BU594" s="253">
        <f t="shared" si="494"/>
        <v>592</v>
      </c>
      <c r="BV594" s="253" t="str">
        <f t="shared" si="488"/>
        <v>A22</v>
      </c>
      <c r="BW594" s="253">
        <f t="shared" si="489"/>
        <v>23</v>
      </c>
      <c r="BX594" s="253" t="str">
        <f t="shared" ca="1" si="490"/>
        <v>Ferdi Kadıoğlu</v>
      </c>
      <c r="BY594" s="253">
        <f ca="1">COUNTIF('Group Stages'!$J$8:$Q$80,BX594)+COUNTIF('Knock Out Stages'!$K$7:$R$45,BX594)</f>
        <v>0</v>
      </c>
      <c r="BZ594" s="253" t="str">
        <f t="shared" si="491"/>
        <v>'Player Database'!b25</v>
      </c>
      <c r="CA594" s="253" t="str">
        <f t="shared" ca="1" si="492"/>
        <v>Ferdi Kadıoğlu</v>
      </c>
      <c r="CS594" s="252">
        <f t="shared" si="485"/>
        <v>591</v>
      </c>
      <c r="CT594" s="252">
        <f t="shared" si="486"/>
        <v>15</v>
      </c>
      <c r="CU594" s="252" t="str">
        <f t="shared" si="483"/>
        <v>CR6</v>
      </c>
      <c r="CV594" s="252" t="str">
        <f t="shared" ca="1" si="487"/>
        <v>Jamal Musiala</v>
      </c>
      <c r="CW594" s="252">
        <f t="shared" ca="1" si="493"/>
        <v>3</v>
      </c>
    </row>
    <row r="595" spans="72:101" x14ac:dyDescent="0.2">
      <c r="BT595" s="253" t="str">
        <f t="shared" ca="1" si="484"/>
        <v>Türkiye</v>
      </c>
      <c r="BU595" s="253">
        <f t="shared" si="494"/>
        <v>593</v>
      </c>
      <c r="BV595" s="253" t="str">
        <f t="shared" si="488"/>
        <v>A23</v>
      </c>
      <c r="BW595" s="253">
        <f t="shared" si="489"/>
        <v>23</v>
      </c>
      <c r="BX595" s="253" t="str">
        <f t="shared" ca="1" si="490"/>
        <v>Barış Alper Yılmaz</v>
      </c>
      <c r="BY595" s="253">
        <f ca="1">COUNTIF('Group Stages'!$J$8:$Q$80,BX595)+COUNTIF('Knock Out Stages'!$K$7:$R$45,BX595)</f>
        <v>0</v>
      </c>
      <c r="BZ595" s="253" t="str">
        <f t="shared" si="491"/>
        <v>'Player Database'!b26</v>
      </c>
      <c r="CA595" s="253" t="str">
        <f t="shared" ca="1" si="492"/>
        <v>Barış Alper Yılmaz</v>
      </c>
      <c r="CS595" s="252">
        <f t="shared" si="485"/>
        <v>592</v>
      </c>
      <c r="CT595" s="252">
        <f t="shared" si="486"/>
        <v>15</v>
      </c>
      <c r="CU595" s="252" t="str">
        <f t="shared" si="483"/>
        <v>CR7</v>
      </c>
      <c r="CV595" s="252" t="str">
        <f t="shared" ca="1" si="487"/>
        <v>Florian Wirtz</v>
      </c>
      <c r="CW595" s="252">
        <f t="shared" ca="1" si="493"/>
        <v>4</v>
      </c>
    </row>
    <row r="596" spans="72:101" x14ac:dyDescent="0.2">
      <c r="BT596" s="253" t="str">
        <f t="shared" ca="1" si="484"/>
        <v>Türkiye</v>
      </c>
      <c r="BU596" s="253">
        <f t="shared" si="494"/>
        <v>594</v>
      </c>
      <c r="BV596" s="253" t="str">
        <f t="shared" si="488"/>
        <v>A24</v>
      </c>
      <c r="BW596" s="253">
        <f t="shared" si="489"/>
        <v>23</v>
      </c>
      <c r="BX596" s="253" t="str">
        <f t="shared" ca="1" si="490"/>
        <v>Kaan Ayhan</v>
      </c>
      <c r="BY596" s="253">
        <f ca="1">COUNTIF('Group Stages'!$J$8:$Q$80,BX596)+COUNTIF('Knock Out Stages'!$K$7:$R$45,BX596)</f>
        <v>0</v>
      </c>
      <c r="BZ596" s="253" t="str">
        <f t="shared" si="491"/>
        <v>'Player Database'!b27</v>
      </c>
      <c r="CA596" s="253" t="str">
        <f t="shared" ca="1" si="492"/>
        <v>Kaan Ayhan</v>
      </c>
      <c r="CS596" s="252">
        <f t="shared" si="485"/>
        <v>593</v>
      </c>
      <c r="CT596" s="252">
        <f t="shared" si="486"/>
        <v>15</v>
      </c>
      <c r="CU596" s="252" t="str">
        <f t="shared" si="483"/>
        <v>CR8</v>
      </c>
      <c r="CV596" s="252" t="str">
        <f t="shared" ca="1" si="487"/>
        <v>Emre Can</v>
      </c>
      <c r="CW596" s="252">
        <f t="shared" ca="1" si="493"/>
        <v>5</v>
      </c>
    </row>
    <row r="597" spans="72:101" x14ac:dyDescent="0.2">
      <c r="BT597" s="253" t="str">
        <f t="shared" ca="1" si="484"/>
        <v>Türkiye</v>
      </c>
      <c r="BU597" s="253">
        <f t="shared" si="494"/>
        <v>595</v>
      </c>
      <c r="BV597" s="253" t="str">
        <f t="shared" si="488"/>
        <v>A25</v>
      </c>
      <c r="BW597" s="253">
        <f t="shared" si="489"/>
        <v>23</v>
      </c>
      <c r="BX597" s="253" t="str">
        <f t="shared" ca="1" si="490"/>
        <v>Uğurcan Çakır</v>
      </c>
      <c r="BY597" s="253">
        <f ca="1">COUNTIF('Group Stages'!$J$8:$Q$80,BX597)+COUNTIF('Knock Out Stages'!$K$7:$R$45,BX597)</f>
        <v>0</v>
      </c>
      <c r="BZ597" s="253" t="str">
        <f t="shared" si="491"/>
        <v>'Player Database'!b28</v>
      </c>
      <c r="CA597" s="253" t="str">
        <f t="shared" ca="1" si="492"/>
        <v>Uğurcan Çakır</v>
      </c>
      <c r="CS597" s="252">
        <f t="shared" si="485"/>
        <v>594</v>
      </c>
      <c r="CT597" s="252">
        <f t="shared" si="486"/>
        <v>15</v>
      </c>
      <c r="CU597" s="252" t="str">
        <f t="shared" si="483"/>
        <v>CR9</v>
      </c>
      <c r="CV597" s="252" t="str">
        <f t="shared" ca="1" si="487"/>
        <v>Barnabás Varga</v>
      </c>
      <c r="CW597" s="252">
        <f t="shared" ca="1" si="493"/>
        <v>6</v>
      </c>
    </row>
    <row r="598" spans="72:101" x14ac:dyDescent="0.2">
      <c r="BT598" s="253" t="str">
        <f t="shared" ca="1" si="484"/>
        <v>Türkiye</v>
      </c>
      <c r="BU598" s="253">
        <f t="shared" si="494"/>
        <v>596</v>
      </c>
      <c r="BV598" s="253" t="str">
        <f t="shared" si="488"/>
        <v>A26</v>
      </c>
      <c r="BW598" s="253">
        <f t="shared" si="489"/>
        <v>23</v>
      </c>
      <c r="BX598" s="253" t="str">
        <f t="shared" ca="1" si="490"/>
        <v>Semih Kılıçsoy</v>
      </c>
      <c r="BY598" s="253">
        <f ca="1">COUNTIF('Group Stages'!$J$8:$Q$80,BX598)+COUNTIF('Knock Out Stages'!$K$7:$R$45,BX598)</f>
        <v>0</v>
      </c>
      <c r="BZ598" s="253" t="str">
        <f t="shared" si="491"/>
        <v>'Player Database'!b29</v>
      </c>
      <c r="CA598" s="253" t="str">
        <f t="shared" ca="1" si="492"/>
        <v>Semih Kılıçsoy</v>
      </c>
      <c r="CS598" s="252">
        <f t="shared" si="485"/>
        <v>595</v>
      </c>
      <c r="CT598" s="252">
        <f t="shared" si="486"/>
        <v>15</v>
      </c>
      <c r="CU598" s="252" t="str">
        <f t="shared" si="483"/>
        <v>CR10</v>
      </c>
      <c r="CV598" s="252" t="str">
        <f t="shared" ca="1" si="487"/>
        <v>Breel Embolo</v>
      </c>
      <c r="CW598" s="252">
        <f t="shared" ca="1" si="493"/>
        <v>7</v>
      </c>
    </row>
    <row r="599" spans="72:101" x14ac:dyDescent="0.2">
      <c r="BT599" s="253" t="str">
        <f t="shared" ca="1" si="484"/>
        <v>Türkiye</v>
      </c>
      <c r="BU599" s="253">
        <f t="shared" si="494"/>
        <v>597</v>
      </c>
      <c r="BV599" s="253" t="str">
        <f t="shared" si="488"/>
        <v>A27</v>
      </c>
      <c r="BW599" s="253">
        <f t="shared" si="489"/>
        <v>23</v>
      </c>
      <c r="BX599" s="253" t="str">
        <f t="shared" ca="1" si="490"/>
        <v>Yunus Akgün</v>
      </c>
      <c r="BY599" s="253">
        <f ca="1">COUNTIF('Group Stages'!$J$8:$Q$80,BX599)+COUNTIF('Knock Out Stages'!$K$7:$R$45,BX599)</f>
        <v>0</v>
      </c>
      <c r="BZ599" s="253" t="str">
        <f t="shared" si="491"/>
        <v>'Player Database'!b30</v>
      </c>
      <c r="CA599" s="253" t="str">
        <f t="shared" ca="1" si="492"/>
        <v>Yunus Akgün</v>
      </c>
      <c r="CS599" s="252">
        <f t="shared" si="485"/>
        <v>596</v>
      </c>
      <c r="CT599" s="252">
        <f t="shared" si="486"/>
        <v>15</v>
      </c>
      <c r="CU599" s="252" t="str">
        <f t="shared" si="483"/>
        <v>CR11</v>
      </c>
      <c r="CV599" s="252" t="str">
        <f t="shared" ca="1" si="487"/>
        <v>Kwadwo Duah</v>
      </c>
      <c r="CW599" s="252">
        <f t="shared" ca="1" si="493"/>
        <v>8</v>
      </c>
    </row>
    <row r="600" spans="72:101" x14ac:dyDescent="0.2">
      <c r="BT600" s="253" t="str">
        <f t="shared" ca="1" si="484"/>
        <v>Türkiye</v>
      </c>
      <c r="BU600" s="253">
        <f t="shared" si="494"/>
        <v>598</v>
      </c>
      <c r="BV600" s="253" t="str">
        <f t="shared" si="488"/>
        <v>A28</v>
      </c>
      <c r="BW600" s="253">
        <f t="shared" si="489"/>
        <v>23</v>
      </c>
      <c r="BX600" s="253" t="str">
        <f t="shared" ca="1" si="490"/>
        <v>Bertuğ Yıldırım</v>
      </c>
      <c r="BY600" s="253">
        <f ca="1">COUNTIF('Group Stages'!$J$8:$Q$80,BX600)+COUNTIF('Knock Out Stages'!$K$7:$R$45,BX600)</f>
        <v>0</v>
      </c>
      <c r="BZ600" s="253" t="str">
        <f t="shared" si="491"/>
        <v>'Player Database'!b31</v>
      </c>
      <c r="CA600" s="253" t="str">
        <f t="shared" ca="1" si="492"/>
        <v>Bertuğ Yıldırım</v>
      </c>
      <c r="CS600" s="252">
        <f t="shared" si="485"/>
        <v>597</v>
      </c>
      <c r="CT600" s="252">
        <f t="shared" si="486"/>
        <v>15</v>
      </c>
      <c r="CU600" s="252" t="str">
        <f t="shared" si="483"/>
        <v>CR12</v>
      </c>
      <c r="CV600" s="252" t="str">
        <f t="shared" ca="1" si="487"/>
        <v>Michel Aebischer</v>
      </c>
      <c r="CW600" s="252">
        <f t="shared" ca="1" si="493"/>
        <v>9</v>
      </c>
    </row>
    <row r="601" spans="72:101" x14ac:dyDescent="0.2">
      <c r="BT601" s="253" t="str">
        <f t="shared" ca="1" si="484"/>
        <v>Georgia</v>
      </c>
      <c r="BU601" s="253">
        <f t="shared" si="494"/>
        <v>599</v>
      </c>
      <c r="BV601" s="253" t="str">
        <f t="shared" si="488"/>
        <v>A3</v>
      </c>
      <c r="BW601" s="253">
        <f t="shared" si="489"/>
        <v>24</v>
      </c>
      <c r="BX601" s="253" t="str">
        <f t="shared" ca="1" si="490"/>
        <v>Giorgi Loria</v>
      </c>
      <c r="BY601" s="253">
        <f ca="1">COUNTIF('Group Stages'!$J$8:$Q$80,BX601)+COUNTIF('Knock Out Stages'!$K$7:$R$45,BX601)</f>
        <v>0</v>
      </c>
      <c r="BZ601" s="253" t="str">
        <f t="shared" si="491"/>
        <v>'Player Database'!b6</v>
      </c>
      <c r="CA601" s="253" t="str">
        <f t="shared" ca="1" si="492"/>
        <v>Giorgi Loria</v>
      </c>
      <c r="CS601" s="252">
        <f t="shared" si="485"/>
        <v>598</v>
      </c>
      <c r="CT601" s="252">
        <f t="shared" si="486"/>
        <v>15</v>
      </c>
      <c r="CU601" s="252" t="str">
        <f t="shared" ref="CU601:CU633" si="495">CU559</f>
        <v>CR13</v>
      </c>
      <c r="CV601" s="252" t="str">
        <f t="shared" ca="1" si="487"/>
        <v>Nicolò Barella</v>
      </c>
      <c r="CW601" s="252">
        <f t="shared" ca="1" si="493"/>
        <v>10</v>
      </c>
    </row>
    <row r="602" spans="72:101" x14ac:dyDescent="0.2">
      <c r="BT602" s="253" t="str">
        <f t="shared" ca="1" si="484"/>
        <v>Georgia</v>
      </c>
      <c r="BU602" s="253">
        <f t="shared" si="494"/>
        <v>600</v>
      </c>
      <c r="BV602" s="253" t="str">
        <f t="shared" si="488"/>
        <v>A4</v>
      </c>
      <c r="BW602" s="253">
        <f t="shared" si="489"/>
        <v>24</v>
      </c>
      <c r="BX602" s="253" t="str">
        <f t="shared" ca="1" si="490"/>
        <v>Otar Kakabadze</v>
      </c>
      <c r="BY602" s="253">
        <f ca="1">COUNTIF('Group Stages'!$J$8:$Q$80,BX602)+COUNTIF('Knock Out Stages'!$K$7:$R$45,BX602)</f>
        <v>0</v>
      </c>
      <c r="BZ602" s="253" t="str">
        <f t="shared" si="491"/>
        <v>'Player Database'!b7</v>
      </c>
      <c r="CA602" s="253" t="str">
        <f t="shared" ca="1" si="492"/>
        <v>Otar Kakabadze</v>
      </c>
      <c r="CS602" s="252">
        <f t="shared" si="485"/>
        <v>599</v>
      </c>
      <c r="CT602" s="252">
        <f t="shared" si="486"/>
        <v>15</v>
      </c>
      <c r="CU602" s="252" t="str">
        <f t="shared" si="495"/>
        <v>CR14</v>
      </c>
      <c r="CV602" s="252" t="str">
        <f t="shared" ca="1" si="487"/>
        <v>Alessandro Bastoni</v>
      </c>
      <c r="CW602" s="252">
        <f t="shared" ca="1" si="493"/>
        <v>11</v>
      </c>
    </row>
    <row r="603" spans="72:101" x14ac:dyDescent="0.2">
      <c r="BT603" s="253" t="str">
        <f t="shared" ca="1" si="484"/>
        <v>Georgia</v>
      </c>
      <c r="BU603" s="253">
        <f t="shared" si="494"/>
        <v>601</v>
      </c>
      <c r="BV603" s="253" t="str">
        <f t="shared" si="488"/>
        <v>A5</v>
      </c>
      <c r="BW603" s="253">
        <f t="shared" si="489"/>
        <v>24</v>
      </c>
      <c r="BX603" s="253" t="str">
        <f t="shared" ca="1" si="490"/>
        <v>Lasha Dvali</v>
      </c>
      <c r="BY603" s="253">
        <f ca="1">COUNTIF('Group Stages'!$J$8:$Q$80,BX603)+COUNTIF('Knock Out Stages'!$K$7:$R$45,BX603)</f>
        <v>0</v>
      </c>
      <c r="BZ603" s="253" t="str">
        <f t="shared" si="491"/>
        <v>'Player Database'!b8</v>
      </c>
      <c r="CA603" s="253" t="str">
        <f t="shared" ca="1" si="492"/>
        <v>Lasha Dvali</v>
      </c>
      <c r="CS603" s="252">
        <f t="shared" si="485"/>
        <v>600</v>
      </c>
      <c r="CT603" s="252">
        <f t="shared" si="486"/>
        <v>15</v>
      </c>
      <c r="CU603" s="252" t="str">
        <f t="shared" si="495"/>
        <v>CR15</v>
      </c>
      <c r="CV603" s="252" t="str">
        <f t="shared" ca="1" si="487"/>
        <v>Nedim Bajrami</v>
      </c>
      <c r="CW603" s="252">
        <f t="shared" ca="1" si="493"/>
        <v>12</v>
      </c>
    </row>
    <row r="604" spans="72:101" x14ac:dyDescent="0.2">
      <c r="BT604" s="253" t="str">
        <f t="shared" ca="1" si="484"/>
        <v>Georgia</v>
      </c>
      <c r="BU604" s="253">
        <f t="shared" si="494"/>
        <v>602</v>
      </c>
      <c r="BV604" s="253" t="str">
        <f t="shared" si="488"/>
        <v>A6</v>
      </c>
      <c r="BW604" s="253">
        <f t="shared" si="489"/>
        <v>24</v>
      </c>
      <c r="BX604" s="253" t="str">
        <f t="shared" ca="1" si="490"/>
        <v>Guram Kashia</v>
      </c>
      <c r="BY604" s="253">
        <f ca="1">COUNTIF('Group Stages'!$J$8:$Q$80,BX604)+COUNTIF('Knock Out Stages'!$K$7:$R$45,BX604)</f>
        <v>0</v>
      </c>
      <c r="BZ604" s="253" t="str">
        <f t="shared" si="491"/>
        <v>'Player Database'!b9</v>
      </c>
      <c r="CA604" s="253" t="str">
        <f t="shared" ca="1" si="492"/>
        <v>Guram Kashia</v>
      </c>
      <c r="CS604" s="252">
        <f t="shared" si="485"/>
        <v>601</v>
      </c>
      <c r="CT604" s="252">
        <f t="shared" si="486"/>
        <v>15</v>
      </c>
      <c r="CU604" s="252" t="str">
        <f t="shared" si="495"/>
        <v>CR16</v>
      </c>
      <c r="CV604" s="252" t="str">
        <f t="shared" ca="1" si="487"/>
        <v>Dani Carvajal</v>
      </c>
      <c r="CW604" s="252">
        <f t="shared" ca="1" si="493"/>
        <v>13</v>
      </c>
    </row>
    <row r="605" spans="72:101" x14ac:dyDescent="0.2">
      <c r="BT605" s="253" t="str">
        <f t="shared" ca="1" si="484"/>
        <v>Georgia</v>
      </c>
      <c r="BU605" s="253">
        <f t="shared" si="494"/>
        <v>603</v>
      </c>
      <c r="BV605" s="253" t="str">
        <f t="shared" si="488"/>
        <v>A7</v>
      </c>
      <c r="BW605" s="253">
        <f t="shared" si="489"/>
        <v>24</v>
      </c>
      <c r="BX605" s="253" t="str">
        <f t="shared" ca="1" si="490"/>
        <v>Solomon Kvirkvelia</v>
      </c>
      <c r="BY605" s="253">
        <f ca="1">COUNTIF('Group Stages'!$J$8:$Q$80,BX605)+COUNTIF('Knock Out Stages'!$K$7:$R$45,BX605)</f>
        <v>0</v>
      </c>
      <c r="BZ605" s="253" t="str">
        <f t="shared" si="491"/>
        <v>'Player Database'!b10</v>
      </c>
      <c r="CA605" s="253" t="str">
        <f t="shared" ca="1" si="492"/>
        <v>Solomon Kvirkvelia</v>
      </c>
      <c r="CS605" s="252">
        <f t="shared" si="485"/>
        <v>602</v>
      </c>
      <c r="CT605" s="252">
        <f t="shared" si="486"/>
        <v>15</v>
      </c>
      <c r="CU605" s="252" t="str">
        <f t="shared" si="495"/>
        <v>CR17</v>
      </c>
      <c r="CV605" s="252" t="str">
        <f t="shared" ca="1" si="487"/>
        <v>Álvaro Morata</v>
      </c>
      <c r="CW605" s="252">
        <f t="shared" ca="1" si="493"/>
        <v>14</v>
      </c>
    </row>
    <row r="606" spans="72:101" x14ac:dyDescent="0.2">
      <c r="BT606" s="253" t="str">
        <f t="shared" ca="1" si="484"/>
        <v>Georgia</v>
      </c>
      <c r="BU606" s="253">
        <f t="shared" si="494"/>
        <v>604</v>
      </c>
      <c r="BV606" s="253" t="str">
        <f t="shared" si="488"/>
        <v>A8</v>
      </c>
      <c r="BW606" s="253">
        <f t="shared" si="489"/>
        <v>24</v>
      </c>
      <c r="BX606" s="253" t="str">
        <f t="shared" ca="1" si="490"/>
        <v>Giorgi Kochorashvili</v>
      </c>
      <c r="BY606" s="253">
        <f ca="1">COUNTIF('Group Stages'!$J$8:$Q$80,BX606)+COUNTIF('Knock Out Stages'!$K$7:$R$45,BX606)</f>
        <v>0</v>
      </c>
      <c r="BZ606" s="253" t="str">
        <f t="shared" si="491"/>
        <v>'Player Database'!b11</v>
      </c>
      <c r="CA606" s="253" t="str">
        <f t="shared" ca="1" si="492"/>
        <v>Giorgi Kochorashvili</v>
      </c>
      <c r="CS606" s="252">
        <f t="shared" si="485"/>
        <v>603</v>
      </c>
      <c r="CT606" s="252">
        <f t="shared" si="486"/>
        <v>15</v>
      </c>
      <c r="CU606" s="252" t="str">
        <f t="shared" si="495"/>
        <v>CR18</v>
      </c>
      <c r="CV606" s="252" t="str">
        <f t="shared" ca="1" si="487"/>
        <v>Fabián Ruiz</v>
      </c>
      <c r="CW606" s="252">
        <f t="shared" ca="1" si="493"/>
        <v>15</v>
      </c>
    </row>
    <row r="607" spans="72:101" x14ac:dyDescent="0.2">
      <c r="BT607" s="253" t="str">
        <f t="shared" ca="1" si="484"/>
        <v>Georgia</v>
      </c>
      <c r="BU607" s="253">
        <f t="shared" si="494"/>
        <v>605</v>
      </c>
      <c r="BV607" s="253" t="str">
        <f t="shared" si="488"/>
        <v>A9</v>
      </c>
      <c r="BW607" s="253">
        <f t="shared" si="489"/>
        <v>24</v>
      </c>
      <c r="BX607" s="253" t="str">
        <f t="shared" ca="1" si="490"/>
        <v>Khvicha Kvaratskhelia</v>
      </c>
      <c r="BY607" s="253">
        <f ca="1">COUNTIF('Group Stages'!$J$8:$Q$80,BX607)+COUNTIF('Knock Out Stages'!$K$7:$R$45,BX607)</f>
        <v>0</v>
      </c>
      <c r="BZ607" s="253" t="str">
        <f t="shared" si="491"/>
        <v>'Player Database'!b12</v>
      </c>
      <c r="CA607" s="253" t="str">
        <f t="shared" ca="1" si="492"/>
        <v>Khvicha Kvaratskhelia</v>
      </c>
      <c r="CS607" s="252">
        <f t="shared" si="485"/>
        <v>604</v>
      </c>
      <c r="CT607" s="252">
        <f t="shared" si="486"/>
        <v>15</v>
      </c>
      <c r="CU607" s="252" t="str">
        <f t="shared" si="495"/>
        <v>CR19</v>
      </c>
      <c r="CV607" s="252" t="str">
        <f t="shared" ca="1" si="487"/>
        <v/>
      </c>
      <c r="CW607" s="252">
        <f t="shared" ca="1" si="493"/>
        <v>15</v>
      </c>
    </row>
    <row r="608" spans="72:101" x14ac:dyDescent="0.2">
      <c r="BT608" s="253" t="str">
        <f t="shared" ca="1" si="484"/>
        <v>Georgia</v>
      </c>
      <c r="BU608" s="253">
        <f t="shared" si="494"/>
        <v>606</v>
      </c>
      <c r="BV608" s="253" t="str">
        <f t="shared" si="488"/>
        <v>A10</v>
      </c>
      <c r="BW608" s="253">
        <f t="shared" si="489"/>
        <v>24</v>
      </c>
      <c r="BX608" s="253" t="str">
        <f t="shared" ca="1" si="490"/>
        <v>Budu Zivzivadze</v>
      </c>
      <c r="BY608" s="253">
        <f ca="1">COUNTIF('Group Stages'!$J$8:$Q$80,BX608)+COUNTIF('Knock Out Stages'!$K$7:$R$45,BX608)</f>
        <v>0</v>
      </c>
      <c r="BZ608" s="253" t="str">
        <f t="shared" si="491"/>
        <v>'Player Database'!b13</v>
      </c>
      <c r="CA608" s="253" t="str">
        <f t="shared" ca="1" si="492"/>
        <v>Budu Zivzivadze</v>
      </c>
      <c r="CS608" s="252">
        <f t="shared" si="485"/>
        <v>605</v>
      </c>
      <c r="CT608" s="252">
        <f t="shared" si="486"/>
        <v>15</v>
      </c>
      <c r="CU608" s="252" t="str">
        <f t="shared" si="495"/>
        <v>CR20</v>
      </c>
      <c r="CV608" s="252" t="str">
        <f t="shared" ca="1" si="487"/>
        <v/>
      </c>
      <c r="CW608" s="252">
        <f t="shared" ca="1" si="493"/>
        <v>15</v>
      </c>
    </row>
    <row r="609" spans="72:101" x14ac:dyDescent="0.2">
      <c r="BT609" s="253" t="str">
        <f t="shared" ca="1" si="484"/>
        <v>Georgia</v>
      </c>
      <c r="BU609" s="253">
        <f t="shared" si="494"/>
        <v>607</v>
      </c>
      <c r="BV609" s="253" t="str">
        <f t="shared" si="488"/>
        <v>A11</v>
      </c>
      <c r="BW609" s="253">
        <f t="shared" si="489"/>
        <v>24</v>
      </c>
      <c r="BX609" s="253" t="str">
        <f t="shared" ca="1" si="490"/>
        <v>Zuriko Davitashvili</v>
      </c>
      <c r="BY609" s="253">
        <f ca="1">COUNTIF('Group Stages'!$J$8:$Q$80,BX609)+COUNTIF('Knock Out Stages'!$K$7:$R$45,BX609)</f>
        <v>0</v>
      </c>
      <c r="BZ609" s="253" t="str">
        <f t="shared" si="491"/>
        <v>'Player Database'!b14</v>
      </c>
      <c r="CA609" s="253" t="str">
        <f t="shared" ca="1" si="492"/>
        <v>Zuriko Davitashvili</v>
      </c>
      <c r="CS609" s="252">
        <f t="shared" si="485"/>
        <v>606</v>
      </c>
      <c r="CT609" s="252">
        <f t="shared" si="486"/>
        <v>15</v>
      </c>
      <c r="CU609" s="252" t="str">
        <f t="shared" si="495"/>
        <v>CR21</v>
      </c>
      <c r="CV609" s="252" t="str">
        <f t="shared" ca="1" si="487"/>
        <v/>
      </c>
      <c r="CW609" s="252">
        <f t="shared" ca="1" si="493"/>
        <v>15</v>
      </c>
    </row>
    <row r="610" spans="72:101" x14ac:dyDescent="0.2">
      <c r="BT610" s="253" t="str">
        <f t="shared" ca="1" si="484"/>
        <v>Georgia</v>
      </c>
      <c r="BU610" s="253">
        <f t="shared" si="494"/>
        <v>608</v>
      </c>
      <c r="BV610" s="253" t="str">
        <f t="shared" si="488"/>
        <v>A12</v>
      </c>
      <c r="BW610" s="253">
        <f t="shared" si="489"/>
        <v>24</v>
      </c>
      <c r="BX610" s="253" t="str">
        <f t="shared" ca="1" si="490"/>
        <v>Giorgi Chakvetadze</v>
      </c>
      <c r="BY610" s="253">
        <f ca="1">COUNTIF('Group Stages'!$J$8:$Q$80,BX610)+COUNTIF('Knock Out Stages'!$K$7:$R$45,BX610)</f>
        <v>0</v>
      </c>
      <c r="BZ610" s="253" t="str">
        <f t="shared" si="491"/>
        <v>'Player Database'!b15</v>
      </c>
      <c r="CA610" s="253" t="str">
        <f t="shared" ca="1" si="492"/>
        <v>Giorgi Chakvetadze</v>
      </c>
      <c r="CS610" s="252">
        <f t="shared" si="485"/>
        <v>607</v>
      </c>
      <c r="CT610" s="252">
        <f t="shared" si="486"/>
        <v>15</v>
      </c>
      <c r="CU610" s="252" t="str">
        <f t="shared" si="495"/>
        <v>CR22</v>
      </c>
      <c r="CV610" s="252" t="str">
        <f t="shared" ca="1" si="487"/>
        <v/>
      </c>
      <c r="CW610" s="252">
        <f t="shared" ca="1" si="493"/>
        <v>15</v>
      </c>
    </row>
    <row r="611" spans="72:101" x14ac:dyDescent="0.2">
      <c r="BT611" s="253" t="str">
        <f t="shared" ca="1" si="484"/>
        <v>Georgia</v>
      </c>
      <c r="BU611" s="253">
        <f t="shared" si="494"/>
        <v>609</v>
      </c>
      <c r="BV611" s="253" t="str">
        <f t="shared" si="488"/>
        <v>A13</v>
      </c>
      <c r="BW611" s="253">
        <f t="shared" si="489"/>
        <v>24</v>
      </c>
      <c r="BX611" s="253" t="str">
        <f t="shared" ca="1" si="490"/>
        <v>Giorgi Kvilitaia</v>
      </c>
      <c r="BY611" s="253">
        <f ca="1">COUNTIF('Group Stages'!$J$8:$Q$80,BX611)+COUNTIF('Knock Out Stages'!$K$7:$R$45,BX611)</f>
        <v>0</v>
      </c>
      <c r="BZ611" s="253" t="str">
        <f t="shared" si="491"/>
        <v>'Player Database'!b16</v>
      </c>
      <c r="CA611" s="253" t="str">
        <f t="shared" ca="1" si="492"/>
        <v>Giorgi Kvilitaia</v>
      </c>
      <c r="CS611" s="252">
        <f t="shared" si="485"/>
        <v>608</v>
      </c>
      <c r="CT611" s="252">
        <f t="shared" si="486"/>
        <v>15</v>
      </c>
      <c r="CU611" s="252" t="str">
        <f t="shared" si="495"/>
        <v>CR23</v>
      </c>
      <c r="CV611" s="252" t="str">
        <f t="shared" ca="1" si="487"/>
        <v/>
      </c>
      <c r="CW611" s="252">
        <f t="shared" ca="1" si="493"/>
        <v>15</v>
      </c>
    </row>
    <row r="612" spans="72:101" x14ac:dyDescent="0.2">
      <c r="BT612" s="253" t="str">
        <f t="shared" ref="BT612:BT623" ca="1" si="496">OFFSET($A$2,0,BW612)</f>
        <v>Georgia</v>
      </c>
      <c r="BU612" s="253">
        <f t="shared" si="494"/>
        <v>610</v>
      </c>
      <c r="BV612" s="253" t="str">
        <f t="shared" si="488"/>
        <v>A14</v>
      </c>
      <c r="BW612" s="253">
        <f t="shared" si="489"/>
        <v>24</v>
      </c>
      <c r="BX612" s="253" t="str">
        <f t="shared" ca="1" si="490"/>
        <v>Luka Gugeshashvili</v>
      </c>
      <c r="BY612" s="253">
        <f ca="1">COUNTIF('Group Stages'!$J$8:$Q$80,BX612)+COUNTIF('Knock Out Stages'!$K$7:$R$45,BX612)</f>
        <v>0</v>
      </c>
      <c r="BZ612" s="253" t="str">
        <f t="shared" si="491"/>
        <v>'Player Database'!b17</v>
      </c>
      <c r="CA612" s="253" t="str">
        <f t="shared" ca="1" si="492"/>
        <v>Luka Gugeshashvili</v>
      </c>
      <c r="CS612" s="252">
        <f t="shared" si="485"/>
        <v>609</v>
      </c>
      <c r="CT612" s="252">
        <f t="shared" si="486"/>
        <v>15</v>
      </c>
      <c r="CU612" s="252" t="str">
        <f t="shared" si="495"/>
        <v>CR24</v>
      </c>
      <c r="CV612" s="252" t="str">
        <f t="shared" ca="1" si="487"/>
        <v/>
      </c>
      <c r="CW612" s="252">
        <f t="shared" ca="1" si="493"/>
        <v>15</v>
      </c>
    </row>
    <row r="613" spans="72:101" x14ac:dyDescent="0.2">
      <c r="BT613" s="253" t="str">
        <f t="shared" ca="1" si="496"/>
        <v>Georgia</v>
      </c>
      <c r="BU613" s="253">
        <f t="shared" si="494"/>
        <v>611</v>
      </c>
      <c r="BV613" s="253" t="str">
        <f t="shared" si="488"/>
        <v>A15</v>
      </c>
      <c r="BW613" s="253">
        <f t="shared" si="489"/>
        <v>24</v>
      </c>
      <c r="BX613" s="253" t="str">
        <f t="shared" ca="1" si="490"/>
        <v>Giorgi Gocholeishvili</v>
      </c>
      <c r="BY613" s="253">
        <f ca="1">COUNTIF('Group Stages'!$J$8:$Q$80,BX613)+COUNTIF('Knock Out Stages'!$K$7:$R$45,BX613)</f>
        <v>0</v>
      </c>
      <c r="BZ613" s="253" t="str">
        <f t="shared" si="491"/>
        <v>'Player Database'!b18</v>
      </c>
      <c r="CA613" s="253" t="str">
        <f t="shared" ca="1" si="492"/>
        <v>Giorgi Gocholeishvili</v>
      </c>
      <c r="CS613" s="252">
        <f t="shared" si="485"/>
        <v>610</v>
      </c>
      <c r="CT613" s="252">
        <f t="shared" si="486"/>
        <v>15</v>
      </c>
      <c r="CU613" s="252" t="str">
        <f t="shared" si="495"/>
        <v>CR25</v>
      </c>
      <c r="CV613" s="252" t="str">
        <f t="shared" ca="1" si="487"/>
        <v/>
      </c>
      <c r="CW613" s="252">
        <f t="shared" ca="1" si="493"/>
        <v>15</v>
      </c>
    </row>
    <row r="614" spans="72:101" x14ac:dyDescent="0.2">
      <c r="BT614" s="253" t="str">
        <f t="shared" ca="1" si="496"/>
        <v>Georgia</v>
      </c>
      <c r="BU614" s="253">
        <f t="shared" si="494"/>
        <v>612</v>
      </c>
      <c r="BV614" s="253" t="str">
        <f t="shared" si="488"/>
        <v>A16</v>
      </c>
      <c r="BW614" s="253">
        <f t="shared" si="489"/>
        <v>24</v>
      </c>
      <c r="BX614" s="253" t="str">
        <f t="shared" ca="1" si="490"/>
        <v>Luka Lochoshvili</v>
      </c>
      <c r="BY614" s="253">
        <f ca="1">COUNTIF('Group Stages'!$J$8:$Q$80,BX614)+COUNTIF('Knock Out Stages'!$K$7:$R$45,BX614)</f>
        <v>0</v>
      </c>
      <c r="BZ614" s="253" t="str">
        <f t="shared" si="491"/>
        <v>'Player Database'!b19</v>
      </c>
      <c r="CA614" s="253" t="str">
        <f t="shared" ca="1" si="492"/>
        <v>Luka Lochoshvili</v>
      </c>
      <c r="CS614" s="252">
        <f t="shared" si="485"/>
        <v>611</v>
      </c>
      <c r="CT614" s="252">
        <f t="shared" si="486"/>
        <v>15</v>
      </c>
      <c r="CU614" s="252" t="str">
        <f t="shared" si="495"/>
        <v>CR26</v>
      </c>
      <c r="CV614" s="252" t="str">
        <f t="shared" ca="1" si="487"/>
        <v/>
      </c>
      <c r="CW614" s="252">
        <f t="shared" ca="1" si="493"/>
        <v>15</v>
      </c>
    </row>
    <row r="615" spans="72:101" x14ac:dyDescent="0.2">
      <c r="BT615" s="253" t="str">
        <f t="shared" ca="1" si="496"/>
        <v>Georgia</v>
      </c>
      <c r="BU615" s="253">
        <f t="shared" si="494"/>
        <v>613</v>
      </c>
      <c r="BV615" s="253" t="str">
        <f t="shared" si="488"/>
        <v>A17</v>
      </c>
      <c r="BW615" s="253">
        <f t="shared" si="489"/>
        <v>24</v>
      </c>
      <c r="BX615" s="253" t="str">
        <f t="shared" ca="1" si="490"/>
        <v>Giorgi Gvelesiani</v>
      </c>
      <c r="BY615" s="253">
        <f ca="1">COUNTIF('Group Stages'!$J$8:$Q$80,BX615)+COUNTIF('Knock Out Stages'!$K$7:$R$45,BX615)</f>
        <v>0</v>
      </c>
      <c r="BZ615" s="253" t="str">
        <f t="shared" si="491"/>
        <v>'Player Database'!b20</v>
      </c>
      <c r="CA615" s="253" t="str">
        <f t="shared" ca="1" si="492"/>
        <v>Giorgi Gvelesiani</v>
      </c>
      <c r="CS615" s="252">
        <f t="shared" si="485"/>
        <v>612</v>
      </c>
      <c r="CT615" s="252">
        <f t="shared" si="486"/>
        <v>15</v>
      </c>
      <c r="CU615" s="252" t="str">
        <f t="shared" si="495"/>
        <v>CR27</v>
      </c>
      <c r="CV615" s="252" t="str">
        <f t="shared" ca="1" si="487"/>
        <v/>
      </c>
      <c r="CW615" s="252">
        <f t="shared" ca="1" si="493"/>
        <v>15</v>
      </c>
    </row>
    <row r="616" spans="72:101" x14ac:dyDescent="0.2">
      <c r="BT616" s="253" t="str">
        <f t="shared" ca="1" si="496"/>
        <v>Georgia</v>
      </c>
      <c r="BU616" s="253">
        <f t="shared" si="494"/>
        <v>614</v>
      </c>
      <c r="BV616" s="253" t="str">
        <f t="shared" si="488"/>
        <v>A18</v>
      </c>
      <c r="BW616" s="253">
        <f t="shared" si="489"/>
        <v>24</v>
      </c>
      <c r="BX616" s="253" t="str">
        <f t="shared" ca="1" si="490"/>
        <v>Nika Kvekveskiri</v>
      </c>
      <c r="BY616" s="253">
        <f ca="1">COUNTIF('Group Stages'!$J$8:$Q$80,BX616)+COUNTIF('Knock Out Stages'!$K$7:$R$45,BX616)</f>
        <v>0</v>
      </c>
      <c r="BZ616" s="253" t="str">
        <f t="shared" si="491"/>
        <v>'Player Database'!b21</v>
      </c>
      <c r="CA616" s="253" t="str">
        <f t="shared" ca="1" si="492"/>
        <v>Nika Kvekveskiri</v>
      </c>
      <c r="CS616" s="252">
        <f t="shared" si="485"/>
        <v>613</v>
      </c>
      <c r="CT616" s="252">
        <f t="shared" si="486"/>
        <v>15</v>
      </c>
      <c r="CU616" s="252" t="str">
        <f t="shared" si="495"/>
        <v>CR28</v>
      </c>
      <c r="CV616" s="252" t="str">
        <f t="shared" ca="1" si="487"/>
        <v/>
      </c>
      <c r="CW616" s="252">
        <f t="shared" ca="1" si="493"/>
        <v>15</v>
      </c>
    </row>
    <row r="617" spans="72:101" x14ac:dyDescent="0.2">
      <c r="BT617" s="253" t="str">
        <f t="shared" ca="1" si="496"/>
        <v>Georgia</v>
      </c>
      <c r="BU617" s="253">
        <f t="shared" si="494"/>
        <v>615</v>
      </c>
      <c r="BV617" s="253" t="str">
        <f t="shared" si="488"/>
        <v>A19</v>
      </c>
      <c r="BW617" s="253">
        <f t="shared" si="489"/>
        <v>24</v>
      </c>
      <c r="BX617" s="253" t="str">
        <f t="shared" ca="1" si="490"/>
        <v>Otar Kiteishvili</v>
      </c>
      <c r="BY617" s="253">
        <f ca="1">COUNTIF('Group Stages'!$J$8:$Q$80,BX617)+COUNTIF('Knock Out Stages'!$K$7:$R$45,BX617)</f>
        <v>0</v>
      </c>
      <c r="BZ617" s="253" t="str">
        <f t="shared" si="491"/>
        <v>'Player Database'!b22</v>
      </c>
      <c r="CA617" s="253" t="str">
        <f t="shared" ca="1" si="492"/>
        <v>Otar Kiteishvili</v>
      </c>
      <c r="CS617" s="252">
        <f t="shared" si="485"/>
        <v>614</v>
      </c>
      <c r="CT617" s="252">
        <f t="shared" si="486"/>
        <v>15</v>
      </c>
      <c r="CU617" s="252" t="str">
        <f t="shared" si="495"/>
        <v>CR29</v>
      </c>
      <c r="CV617" s="252" t="str">
        <f t="shared" ca="1" si="487"/>
        <v/>
      </c>
      <c r="CW617" s="252">
        <f t="shared" ca="1" si="493"/>
        <v>15</v>
      </c>
    </row>
    <row r="618" spans="72:101" x14ac:dyDescent="0.2">
      <c r="BT618" s="253" t="str">
        <f t="shared" ca="1" si="496"/>
        <v>Georgia</v>
      </c>
      <c r="BU618" s="253">
        <f t="shared" si="494"/>
        <v>616</v>
      </c>
      <c r="BV618" s="253" t="str">
        <f t="shared" si="488"/>
        <v>A20</v>
      </c>
      <c r="BW618" s="253">
        <f t="shared" si="489"/>
        <v>24</v>
      </c>
      <c r="BX618" s="253" t="str">
        <f t="shared" ca="1" si="490"/>
        <v>Sandro Altunashvili</v>
      </c>
      <c r="BY618" s="253">
        <f ca="1">COUNTIF('Group Stages'!$J$8:$Q$80,BX618)+COUNTIF('Knock Out Stages'!$K$7:$R$45,BX618)</f>
        <v>0</v>
      </c>
      <c r="BZ618" s="253" t="str">
        <f t="shared" si="491"/>
        <v>'Player Database'!b23</v>
      </c>
      <c r="CA618" s="253" t="str">
        <f t="shared" ca="1" si="492"/>
        <v>Sandro Altunashvili</v>
      </c>
      <c r="CS618" s="252">
        <f t="shared" si="485"/>
        <v>615</v>
      </c>
      <c r="CT618" s="252">
        <f t="shared" si="486"/>
        <v>15</v>
      </c>
      <c r="CU618" s="252" t="str">
        <f t="shared" si="495"/>
        <v>CR30</v>
      </c>
      <c r="CV618" s="252" t="str">
        <f t="shared" ca="1" si="487"/>
        <v/>
      </c>
      <c r="CW618" s="252">
        <f t="shared" ca="1" si="493"/>
        <v>15</v>
      </c>
    </row>
    <row r="619" spans="72:101" x14ac:dyDescent="0.2">
      <c r="BT619" s="253" t="str">
        <f t="shared" ca="1" si="496"/>
        <v>Georgia</v>
      </c>
      <c r="BU619" s="253">
        <f t="shared" si="494"/>
        <v>617</v>
      </c>
      <c r="BV619" s="253" t="str">
        <f t="shared" si="488"/>
        <v>A21</v>
      </c>
      <c r="BW619" s="253">
        <f t="shared" si="489"/>
        <v>24</v>
      </c>
      <c r="BX619" s="253" t="str">
        <f t="shared" ca="1" si="490"/>
        <v>Levan Shengelia</v>
      </c>
      <c r="BY619" s="253">
        <f ca="1">COUNTIF('Group Stages'!$J$8:$Q$80,BX619)+COUNTIF('Knock Out Stages'!$K$7:$R$45,BX619)</f>
        <v>0</v>
      </c>
      <c r="BZ619" s="253" t="str">
        <f t="shared" si="491"/>
        <v>'Player Database'!b24</v>
      </c>
      <c r="CA619" s="253" t="str">
        <f t="shared" ca="1" si="492"/>
        <v>Levan Shengelia</v>
      </c>
      <c r="CS619" s="252">
        <f t="shared" si="485"/>
        <v>616</v>
      </c>
      <c r="CT619" s="252">
        <f t="shared" si="486"/>
        <v>15</v>
      </c>
      <c r="CU619" s="252" t="str">
        <f t="shared" si="495"/>
        <v>CR31</v>
      </c>
      <c r="CV619" s="252" t="str">
        <f t="shared" ca="1" si="487"/>
        <v/>
      </c>
      <c r="CW619" s="252">
        <f t="shared" ca="1" si="493"/>
        <v>15</v>
      </c>
    </row>
    <row r="620" spans="72:101" x14ac:dyDescent="0.2">
      <c r="BT620" s="253" t="str">
        <f t="shared" ca="1" si="496"/>
        <v>Georgia</v>
      </c>
      <c r="BU620" s="253">
        <f t="shared" si="494"/>
        <v>618</v>
      </c>
      <c r="BV620" s="253" t="str">
        <f t="shared" si="488"/>
        <v>A22</v>
      </c>
      <c r="BW620" s="253">
        <f t="shared" si="489"/>
        <v>24</v>
      </c>
      <c r="BX620" s="253" t="str">
        <f t="shared" ca="1" si="490"/>
        <v>Anzor Mekvabishvili</v>
      </c>
      <c r="BY620" s="253">
        <f ca="1">COUNTIF('Group Stages'!$J$8:$Q$80,BX620)+COUNTIF('Knock Out Stages'!$K$7:$R$45,BX620)</f>
        <v>0</v>
      </c>
      <c r="BZ620" s="253" t="str">
        <f t="shared" si="491"/>
        <v>'Player Database'!b25</v>
      </c>
      <c r="CA620" s="253" t="str">
        <f t="shared" ca="1" si="492"/>
        <v>Anzor Mekvabishvili</v>
      </c>
      <c r="CS620" s="252">
        <f t="shared" si="485"/>
        <v>617</v>
      </c>
      <c r="CT620" s="252">
        <f t="shared" si="486"/>
        <v>15</v>
      </c>
      <c r="CU620" s="252" t="str">
        <f t="shared" si="495"/>
        <v>CR32</v>
      </c>
      <c r="CV620" s="252" t="str">
        <f t="shared" ca="1" si="487"/>
        <v/>
      </c>
      <c r="CW620" s="252">
        <f t="shared" ca="1" si="493"/>
        <v>15</v>
      </c>
    </row>
    <row r="621" spans="72:101" x14ac:dyDescent="0.2">
      <c r="BT621" s="253" t="str">
        <f t="shared" ca="1" si="496"/>
        <v>Georgia</v>
      </c>
      <c r="BU621" s="253">
        <f t="shared" si="494"/>
        <v>619</v>
      </c>
      <c r="BV621" s="253" t="str">
        <f t="shared" si="488"/>
        <v>A23</v>
      </c>
      <c r="BW621" s="253">
        <f t="shared" si="489"/>
        <v>24</v>
      </c>
      <c r="BX621" s="253" t="str">
        <f t="shared" ca="1" si="490"/>
        <v>Giorgi Tsitaishvili</v>
      </c>
      <c r="BY621" s="253">
        <f ca="1">COUNTIF('Group Stages'!$J$8:$Q$80,BX621)+COUNTIF('Knock Out Stages'!$K$7:$R$45,BX621)</f>
        <v>0</v>
      </c>
      <c r="BZ621" s="253" t="str">
        <f t="shared" si="491"/>
        <v>'Player Database'!b26</v>
      </c>
      <c r="CA621" s="253" t="str">
        <f t="shared" ca="1" si="492"/>
        <v>Giorgi Tsitaishvili</v>
      </c>
      <c r="CS621" s="252">
        <f t="shared" si="485"/>
        <v>618</v>
      </c>
      <c r="CT621" s="252">
        <f t="shared" si="486"/>
        <v>15</v>
      </c>
      <c r="CU621" s="252" t="str">
        <f t="shared" si="495"/>
        <v>CR33</v>
      </c>
      <c r="CV621" s="252" t="str">
        <f t="shared" ca="1" si="487"/>
        <v/>
      </c>
      <c r="CW621" s="252">
        <f t="shared" ca="1" si="493"/>
        <v>15</v>
      </c>
    </row>
    <row r="622" spans="72:101" x14ac:dyDescent="0.2">
      <c r="BT622" s="253" t="str">
        <f t="shared" ca="1" si="496"/>
        <v>Georgia</v>
      </c>
      <c r="BU622" s="253">
        <f t="shared" si="494"/>
        <v>620</v>
      </c>
      <c r="BV622" s="253" t="str">
        <f t="shared" si="488"/>
        <v>A24</v>
      </c>
      <c r="BW622" s="253">
        <f t="shared" si="489"/>
        <v>24</v>
      </c>
      <c r="BX622" s="253" t="str">
        <f t="shared" ca="1" si="490"/>
        <v>Georges Mikautadze</v>
      </c>
      <c r="BY622" s="253">
        <f ca="1">COUNTIF('Group Stages'!$J$8:$Q$80,BX622)+COUNTIF('Knock Out Stages'!$K$7:$R$45,BX622)</f>
        <v>0</v>
      </c>
      <c r="BZ622" s="253" t="str">
        <f t="shared" si="491"/>
        <v>'Player Database'!b27</v>
      </c>
      <c r="CA622" s="253" t="str">
        <f t="shared" ca="1" si="492"/>
        <v>Georges Mikautadze</v>
      </c>
      <c r="CS622" s="252">
        <f t="shared" si="485"/>
        <v>619</v>
      </c>
      <c r="CT622" s="252">
        <f t="shared" si="486"/>
        <v>15</v>
      </c>
      <c r="CU622" s="252" t="str">
        <f t="shared" si="495"/>
        <v>CR34</v>
      </c>
      <c r="CV622" s="252" t="str">
        <f t="shared" ca="1" si="487"/>
        <v/>
      </c>
      <c r="CW622" s="252">
        <f t="shared" ca="1" si="493"/>
        <v>15</v>
      </c>
    </row>
    <row r="623" spans="72:101" x14ac:dyDescent="0.2">
      <c r="BT623" s="253" t="str">
        <f t="shared" ca="1" si="496"/>
        <v>Georgia</v>
      </c>
      <c r="BU623" s="253">
        <f t="shared" si="494"/>
        <v>621</v>
      </c>
      <c r="BV623" s="253" t="str">
        <f t="shared" si="488"/>
        <v>A25</v>
      </c>
      <c r="BW623" s="253">
        <f t="shared" si="489"/>
        <v>24</v>
      </c>
      <c r="BX623" s="253" t="str">
        <f t="shared" ca="1" si="490"/>
        <v>Saba Lobzhanidze</v>
      </c>
      <c r="BY623" s="253">
        <f ca="1">COUNTIF('Group Stages'!$J$8:$Q$80,BX623)+COUNTIF('Knock Out Stages'!$K$7:$R$45,BX623)</f>
        <v>0</v>
      </c>
      <c r="BZ623" s="253" t="str">
        <f t="shared" si="491"/>
        <v>'Player Database'!b28</v>
      </c>
      <c r="CA623" s="253" t="str">
        <f t="shared" ca="1" si="492"/>
        <v>Saba Lobzhanidze</v>
      </c>
      <c r="CS623" s="252">
        <f t="shared" si="485"/>
        <v>620</v>
      </c>
      <c r="CT623" s="252">
        <f t="shared" si="486"/>
        <v>15</v>
      </c>
      <c r="CU623" s="252" t="str">
        <f t="shared" si="495"/>
        <v>CR35</v>
      </c>
      <c r="CV623" s="252" t="str">
        <f t="shared" ca="1" si="487"/>
        <v/>
      </c>
      <c r="CW623" s="252">
        <f t="shared" ca="1" si="493"/>
        <v>15</v>
      </c>
    </row>
    <row r="624" spans="72:101" x14ac:dyDescent="0.2">
      <c r="CS624" s="252">
        <f t="shared" ref="CS624:CS633" si="497">CS623+1</f>
        <v>621</v>
      </c>
      <c r="CT624" s="252">
        <f t="shared" ref="CT624:CT633" si="498">CT582+1</f>
        <v>15</v>
      </c>
      <c r="CU624" s="252" t="str">
        <f t="shared" si="495"/>
        <v>CR36</v>
      </c>
      <c r="CV624" s="252" t="str">
        <f t="shared" ref="CV624:CV633" ca="1" si="499">OFFSET(INDIRECT(CU624),0,-CT624)</f>
        <v/>
      </c>
      <c r="CW624" s="252">
        <f t="shared" ca="1" si="493"/>
        <v>15</v>
      </c>
    </row>
    <row r="625" spans="97:101" x14ac:dyDescent="0.2">
      <c r="CS625" s="252">
        <f t="shared" si="497"/>
        <v>622</v>
      </c>
      <c r="CT625" s="252">
        <f t="shared" si="498"/>
        <v>15</v>
      </c>
      <c r="CU625" s="252" t="str">
        <f t="shared" si="495"/>
        <v>CR37</v>
      </c>
      <c r="CV625" s="252" t="str">
        <f t="shared" ca="1" si="499"/>
        <v/>
      </c>
      <c r="CW625" s="252">
        <f t="shared" ca="1" si="493"/>
        <v>15</v>
      </c>
    </row>
    <row r="626" spans="97:101" x14ac:dyDescent="0.2">
      <c r="CS626" s="252">
        <f t="shared" si="497"/>
        <v>623</v>
      </c>
      <c r="CT626" s="252">
        <f t="shared" si="498"/>
        <v>15</v>
      </c>
      <c r="CU626" s="252" t="str">
        <f t="shared" si="495"/>
        <v>CR38</v>
      </c>
      <c r="CV626" s="252" t="str">
        <f t="shared" ca="1" si="499"/>
        <v/>
      </c>
      <c r="CW626" s="252">
        <f t="shared" ca="1" si="493"/>
        <v>15</v>
      </c>
    </row>
    <row r="627" spans="97:101" x14ac:dyDescent="0.2">
      <c r="CS627" s="252">
        <f t="shared" si="497"/>
        <v>624</v>
      </c>
      <c r="CT627" s="252">
        <f t="shared" si="498"/>
        <v>15</v>
      </c>
      <c r="CU627" s="252" t="str">
        <f t="shared" si="495"/>
        <v>CR39</v>
      </c>
      <c r="CV627" s="252" t="str">
        <f t="shared" ca="1" si="499"/>
        <v/>
      </c>
      <c r="CW627" s="252">
        <f t="shared" ca="1" si="493"/>
        <v>15</v>
      </c>
    </row>
    <row r="628" spans="97:101" x14ac:dyDescent="0.2">
      <c r="CS628" s="252">
        <f t="shared" si="497"/>
        <v>625</v>
      </c>
      <c r="CT628" s="252">
        <f t="shared" si="498"/>
        <v>15</v>
      </c>
      <c r="CU628" s="252" t="str">
        <f t="shared" si="495"/>
        <v>CR40</v>
      </c>
      <c r="CV628" s="252" t="str">
        <f t="shared" ca="1" si="499"/>
        <v/>
      </c>
      <c r="CW628" s="252">
        <f t="shared" ca="1" si="493"/>
        <v>15</v>
      </c>
    </row>
    <row r="629" spans="97:101" x14ac:dyDescent="0.2">
      <c r="CS629" s="252">
        <f t="shared" si="497"/>
        <v>626</v>
      </c>
      <c r="CT629" s="252">
        <f t="shared" si="498"/>
        <v>15</v>
      </c>
      <c r="CU629" s="252" t="str">
        <f t="shared" si="495"/>
        <v>CR41</v>
      </c>
      <c r="CV629" s="252" t="str">
        <f t="shared" ca="1" si="499"/>
        <v/>
      </c>
      <c r="CW629" s="252">
        <f t="shared" ca="1" si="493"/>
        <v>15</v>
      </c>
    </row>
    <row r="630" spans="97:101" x14ac:dyDescent="0.2">
      <c r="CS630" s="252">
        <f t="shared" si="497"/>
        <v>627</v>
      </c>
      <c r="CT630" s="252">
        <f t="shared" si="498"/>
        <v>15</v>
      </c>
      <c r="CU630" s="252" t="str">
        <f t="shared" si="495"/>
        <v>CR42</v>
      </c>
      <c r="CV630" s="252" t="str">
        <f t="shared" ca="1" si="499"/>
        <v/>
      </c>
      <c r="CW630" s="252">
        <f t="shared" ca="1" si="493"/>
        <v>15</v>
      </c>
    </row>
    <row r="631" spans="97:101" x14ac:dyDescent="0.2">
      <c r="CS631" s="252">
        <f t="shared" si="497"/>
        <v>628</v>
      </c>
      <c r="CT631" s="252">
        <f t="shared" si="498"/>
        <v>15</v>
      </c>
      <c r="CU631" s="252" t="str">
        <f t="shared" si="495"/>
        <v>CR43</v>
      </c>
      <c r="CV631" s="252" t="str">
        <f t="shared" ca="1" si="499"/>
        <v/>
      </c>
      <c r="CW631" s="252">
        <f t="shared" ca="1" si="493"/>
        <v>15</v>
      </c>
    </row>
    <row r="632" spans="97:101" x14ac:dyDescent="0.2">
      <c r="CS632" s="252">
        <f t="shared" si="497"/>
        <v>629</v>
      </c>
      <c r="CT632" s="252">
        <f t="shared" si="498"/>
        <v>15</v>
      </c>
      <c r="CU632" s="252" t="str">
        <f t="shared" si="495"/>
        <v>CR44</v>
      </c>
      <c r="CV632" s="252" t="str">
        <f t="shared" ca="1" si="499"/>
        <v/>
      </c>
      <c r="CW632" s="252">
        <f t="shared" ca="1" si="493"/>
        <v>15</v>
      </c>
    </row>
    <row r="633" spans="97:101" x14ac:dyDescent="0.2">
      <c r="CS633" s="252">
        <f t="shared" si="497"/>
        <v>630</v>
      </c>
      <c r="CT633" s="252">
        <f t="shared" si="498"/>
        <v>15</v>
      </c>
      <c r="CU633" s="252" t="str">
        <f t="shared" si="495"/>
        <v>CR45</v>
      </c>
      <c r="CV633" s="252" t="str">
        <f t="shared" ca="1" si="499"/>
        <v/>
      </c>
      <c r="CW633" s="252">
        <f t="shared" ca="1" si="493"/>
        <v>15</v>
      </c>
    </row>
  </sheetData>
  <sheetProtection algorithmName="SHA-512" hashValue="URW9rw0UIbC3Mn7anI4fJhNZpCgLPfKx+3IFH2DwOmoDu6FLDf649TZS6hA22JV3ePS/wAAg4fo4qZSewY6neA==" saltValue="t0aEBnjEpXgVPYw7YI28/A==" spinCount="100000" sheet="1" objects="1" scenarios="1" selectLockedCells="1" selectUnlockedCell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CM50"/>
  <sheetViews>
    <sheetView showGridLines="0" zoomScaleNormal="100" workbookViewId="0">
      <pane ySplit="6" topLeftCell="A7" activePane="bottomLeft" state="frozen"/>
      <selection pane="bottomLeft" activeCell="K7" sqref="K7"/>
    </sheetView>
  </sheetViews>
  <sheetFormatPr defaultColWidth="9.140625" defaultRowHeight="14.45" customHeight="1" x14ac:dyDescent="0.2"/>
  <cols>
    <col min="1" max="1" width="1.5703125" style="3" customWidth="1"/>
    <col min="2" max="2" width="8.5703125" style="3" customWidth="1"/>
    <col min="3" max="3" width="7.5703125" style="3" customWidth="1"/>
    <col min="4" max="5" width="15.85546875" style="3" customWidth="1"/>
    <col min="6" max="6" width="26.5703125" style="3" customWidth="1"/>
    <col min="7" max="7" width="2.5703125" style="3" customWidth="1"/>
    <col min="8" max="9" width="4.5703125" style="3" customWidth="1"/>
    <col min="10" max="10" width="2.5703125" style="3" customWidth="1"/>
    <col min="11" max="18" width="20.7109375" style="3" customWidth="1"/>
    <col min="19" max="19" width="1.5703125" style="194" customWidth="1"/>
    <col min="20" max="20" width="5.5703125" style="194" customWidth="1"/>
    <col min="21" max="21" width="27.42578125" style="194" bestFit="1" customWidth="1"/>
    <col min="22" max="22" width="9.140625" style="194" customWidth="1"/>
    <col min="23" max="84" width="9.140625" style="3" customWidth="1"/>
    <col min="85" max="88" width="9.140625" style="5" customWidth="1"/>
    <col min="89" max="92" width="9.140625" style="3" customWidth="1"/>
    <col min="93" max="16384" width="9.140625" style="3"/>
  </cols>
  <sheetData>
    <row r="1" spans="2:91" s="33" customFormat="1" ht="5.0999999999999996" customHeight="1" x14ac:dyDescent="0.2">
      <c r="E1" s="34"/>
      <c r="H1" s="191">
        <v>1</v>
      </c>
      <c r="I1" s="191">
        <v>2</v>
      </c>
      <c r="J1" s="191">
        <v>3</v>
      </c>
      <c r="K1" s="191">
        <v>4</v>
      </c>
      <c r="L1" s="191">
        <v>5</v>
      </c>
      <c r="M1" s="191">
        <v>6</v>
      </c>
      <c r="N1" s="191">
        <v>7</v>
      </c>
      <c r="O1" s="191">
        <v>8</v>
      </c>
    </row>
    <row r="2" spans="2:91" s="20" customFormat="1" ht="5.0999999999999996" customHeight="1" x14ac:dyDescent="0.2">
      <c r="E2" s="165"/>
    </row>
    <row r="3" spans="2:91" s="183" customFormat="1" ht="30" customHeight="1" x14ac:dyDescent="0.35">
      <c r="B3" s="122" t="str">
        <f>Tournament!B3</f>
        <v>EURO 2024 FIXTURES</v>
      </c>
      <c r="C3" s="122"/>
      <c r="D3" s="122"/>
      <c r="E3" s="189"/>
      <c r="F3" s="122"/>
      <c r="G3" s="122"/>
      <c r="H3" s="122"/>
      <c r="I3" s="122"/>
      <c r="J3" s="122"/>
      <c r="K3" s="207" t="s">
        <v>921</v>
      </c>
      <c r="L3" s="208"/>
      <c r="M3" s="208"/>
      <c r="N3" s="208"/>
      <c r="O3" s="208"/>
      <c r="P3" s="209"/>
      <c r="Q3" s="209"/>
      <c r="R3" s="209"/>
    </row>
    <row r="4" spans="2:91" s="122" customFormat="1" ht="15" customHeight="1" x14ac:dyDescent="0.2">
      <c r="E4" s="189"/>
      <c r="H4" s="174" t="s">
        <v>831</v>
      </c>
      <c r="I4" s="174" t="s">
        <v>832</v>
      </c>
      <c r="J4" s="175"/>
      <c r="K4" s="174" t="s">
        <v>821</v>
      </c>
      <c r="L4" s="174" t="s">
        <v>822</v>
      </c>
      <c r="M4" s="174" t="s">
        <v>823</v>
      </c>
      <c r="N4" s="174" t="s">
        <v>824</v>
      </c>
      <c r="O4" s="174" t="s">
        <v>825</v>
      </c>
      <c r="P4" s="174" t="s">
        <v>826</v>
      </c>
      <c r="Q4" s="174" t="s">
        <v>827</v>
      </c>
      <c r="R4" s="174" t="s">
        <v>828</v>
      </c>
    </row>
    <row r="5" spans="2:91" ht="5.0999999999999996" customHeight="1" x14ac:dyDescent="0.2">
      <c r="B5" s="199"/>
      <c r="C5" s="199"/>
      <c r="D5" s="199"/>
      <c r="E5" s="199"/>
      <c r="F5" s="199"/>
      <c r="G5" s="199"/>
      <c r="H5" s="199"/>
      <c r="I5" s="199"/>
      <c r="J5" s="199"/>
      <c r="K5" s="199"/>
      <c r="L5" s="199"/>
      <c r="M5" s="199"/>
      <c r="N5" s="199"/>
      <c r="O5" s="199"/>
      <c r="P5" s="199"/>
      <c r="Q5" s="199"/>
      <c r="R5" s="199"/>
    </row>
    <row r="6" spans="2:91" s="169" customFormat="1" ht="5.0999999999999996" customHeight="1" x14ac:dyDescent="0.2">
      <c r="B6" s="170"/>
      <c r="H6" s="168"/>
      <c r="I6" s="168"/>
      <c r="K6" s="168"/>
      <c r="L6" s="168"/>
      <c r="M6" s="168"/>
      <c r="N6" s="168"/>
      <c r="O6" s="168"/>
      <c r="P6" s="168"/>
      <c r="Q6" s="168"/>
      <c r="R6" s="168"/>
      <c r="S6" s="195"/>
      <c r="T6" s="195"/>
      <c r="U6" s="195"/>
      <c r="V6" s="195"/>
    </row>
    <row r="7" spans="2:91" ht="15" customHeight="1" x14ac:dyDescent="0.2">
      <c r="B7" s="283" t="str">
        <f>UPPER(Tournament!C44)</f>
        <v>ROUND OF 16</v>
      </c>
      <c r="C7" s="280">
        <v>37</v>
      </c>
      <c r="D7" s="184">
        <f ca="1">E7</f>
        <v>45472.875</v>
      </c>
      <c r="E7" s="185">
        <f ca="1">OFFSET(Tournament!$F$44,C7-37,0)</f>
        <v>45472.875</v>
      </c>
      <c r="F7" s="186" t="str">
        <f ca="1">OFFSET(Tournament!$G$44,C7-37,0)</f>
        <v>Group A Winner</v>
      </c>
      <c r="G7" s="190" t="s">
        <v>920</v>
      </c>
      <c r="H7" s="171"/>
      <c r="I7" s="200"/>
      <c r="J7" s="190" t="s">
        <v>920</v>
      </c>
      <c r="K7" s="172"/>
      <c r="L7" s="172"/>
      <c r="M7" s="172"/>
      <c r="N7" s="172"/>
      <c r="O7" s="172"/>
      <c r="P7" s="172"/>
      <c r="Q7" s="172"/>
      <c r="R7" s="172"/>
      <c r="CG7" s="3"/>
      <c r="CH7" s="3"/>
      <c r="CI7" s="3"/>
      <c r="CK7" s="5"/>
      <c r="CL7" s="5"/>
      <c r="CM7" s="5"/>
    </row>
    <row r="8" spans="2:91" ht="15" customHeight="1" x14ac:dyDescent="0.2">
      <c r="B8" s="283"/>
      <c r="C8" s="281"/>
      <c r="D8" s="287" t="str">
        <f ca="1">OFFSET(Tournament!$M$44,C7-37,0)</f>
        <v>Dortmund</v>
      </c>
      <c r="E8" s="287"/>
      <c r="F8" s="187" t="str">
        <f ca="1">OFFSET(Tournament!$J$44,C7-37,0)</f>
        <v>Group C Runner Up</v>
      </c>
      <c r="G8" s="190" t="s">
        <v>920</v>
      </c>
      <c r="H8" s="171"/>
      <c r="I8" s="200"/>
      <c r="J8" s="190" t="s">
        <v>920</v>
      </c>
      <c r="K8" s="172"/>
      <c r="L8" s="172"/>
      <c r="M8" s="172"/>
      <c r="N8" s="172"/>
      <c r="O8" s="172"/>
      <c r="P8" s="172"/>
      <c r="Q8" s="172"/>
      <c r="R8" s="172"/>
      <c r="CG8" s="3"/>
      <c r="CH8" s="3"/>
      <c r="CI8" s="3"/>
      <c r="CK8" s="5"/>
      <c r="CL8" s="5"/>
      <c r="CM8" s="5"/>
    </row>
    <row r="9" spans="2:91" ht="15" customHeight="1" x14ac:dyDescent="0.2">
      <c r="B9" s="283"/>
      <c r="C9" s="280">
        <v>38</v>
      </c>
      <c r="D9" s="184">
        <f ca="1">E9</f>
        <v>45472.75</v>
      </c>
      <c r="E9" s="185">
        <f ca="1">OFFSET(Tournament!$F$44,C9-37,0)</f>
        <v>45472.75</v>
      </c>
      <c r="F9" s="186" t="str">
        <f ca="1">OFFSET(Tournament!$G$44,C9-37,0)</f>
        <v>Group A Runner Up</v>
      </c>
      <c r="G9" s="190" t="s">
        <v>920</v>
      </c>
      <c r="H9" s="171"/>
      <c r="I9" s="200"/>
      <c r="J9" s="190" t="s">
        <v>920</v>
      </c>
      <c r="K9" s="172"/>
      <c r="L9" s="172"/>
      <c r="M9" s="172"/>
      <c r="N9" s="172"/>
      <c r="O9" s="172"/>
      <c r="P9" s="172"/>
      <c r="Q9" s="172"/>
      <c r="R9" s="172"/>
      <c r="CG9" s="3"/>
      <c r="CH9" s="3"/>
      <c r="CI9" s="3"/>
      <c r="CK9" s="5"/>
      <c r="CL9" s="5"/>
      <c r="CM9" s="5"/>
    </row>
    <row r="10" spans="2:91" ht="15" customHeight="1" x14ac:dyDescent="0.2">
      <c r="B10" s="283"/>
      <c r="C10" s="281"/>
      <c r="D10" s="287" t="str">
        <f ca="1">OFFSET(Tournament!$M$44,C9-37,0)</f>
        <v>Berlin</v>
      </c>
      <c r="E10" s="287"/>
      <c r="F10" s="187" t="str">
        <f ca="1">OFFSET(Tournament!$J$44,C9-37,0)</f>
        <v>Group B Runner Up</v>
      </c>
      <c r="G10" s="190" t="s">
        <v>920</v>
      </c>
      <c r="H10" s="171"/>
      <c r="I10" s="200"/>
      <c r="J10" s="190" t="s">
        <v>920</v>
      </c>
      <c r="K10" s="172"/>
      <c r="L10" s="172"/>
      <c r="M10" s="172"/>
      <c r="N10" s="172"/>
      <c r="O10" s="172"/>
      <c r="P10" s="172"/>
      <c r="Q10" s="172"/>
      <c r="R10" s="172"/>
      <c r="CG10" s="3"/>
      <c r="CH10" s="3"/>
      <c r="CI10" s="3"/>
      <c r="CK10" s="5"/>
      <c r="CL10" s="5"/>
      <c r="CM10" s="5"/>
    </row>
    <row r="11" spans="2:91" ht="15" customHeight="1" x14ac:dyDescent="0.2">
      <c r="B11" s="283"/>
      <c r="C11" s="280">
        <v>39</v>
      </c>
      <c r="D11" s="184">
        <f ca="1">E11</f>
        <v>45473.875</v>
      </c>
      <c r="E11" s="185">
        <f ca="1">OFFSET(Tournament!$F$44,C11-37,0)</f>
        <v>45473.875</v>
      </c>
      <c r="F11" s="186" t="str">
        <f ca="1">OFFSET(Tournament!$G$44,C11-37,0)</f>
        <v>Group B Winner</v>
      </c>
      <c r="G11" s="190" t="s">
        <v>920</v>
      </c>
      <c r="H11" s="171"/>
      <c r="I11" s="200"/>
      <c r="J11" s="190" t="s">
        <v>920</v>
      </c>
      <c r="K11" s="172"/>
      <c r="L11" s="172"/>
      <c r="M11" s="172"/>
      <c r="N11" s="172"/>
      <c r="O11" s="172"/>
      <c r="P11" s="172"/>
      <c r="Q11" s="172"/>
      <c r="R11" s="172"/>
      <c r="CG11" s="3"/>
      <c r="CH11" s="3"/>
      <c r="CI11" s="3"/>
      <c r="CK11" s="5"/>
      <c r="CL11" s="5"/>
      <c r="CM11" s="5"/>
    </row>
    <row r="12" spans="2:91" ht="15" customHeight="1" x14ac:dyDescent="0.2">
      <c r="B12" s="283"/>
      <c r="C12" s="281"/>
      <c r="D12" s="287" t="str">
        <f ca="1">OFFSET(Tournament!$M$44,C11-37,0)</f>
        <v>Cologne</v>
      </c>
      <c r="E12" s="287"/>
      <c r="F12" s="187" t="str">
        <f ca="1">OFFSET(Tournament!$J$44,C11-37,0)</f>
        <v>Group A/D/E/F 3rd Place</v>
      </c>
      <c r="G12" s="190" t="s">
        <v>920</v>
      </c>
      <c r="H12" s="171"/>
      <c r="I12" s="200"/>
      <c r="J12" s="190" t="s">
        <v>920</v>
      </c>
      <c r="K12" s="172"/>
      <c r="L12" s="172"/>
      <c r="M12" s="172"/>
      <c r="N12" s="172"/>
      <c r="O12" s="172"/>
      <c r="P12" s="172"/>
      <c r="Q12" s="172"/>
      <c r="R12" s="172"/>
      <c r="CG12" s="3"/>
      <c r="CH12" s="3"/>
      <c r="CI12" s="3"/>
      <c r="CK12" s="5"/>
      <c r="CL12" s="5"/>
      <c r="CM12" s="5"/>
    </row>
    <row r="13" spans="2:91" ht="15" customHeight="1" x14ac:dyDescent="0.2">
      <c r="B13" s="283"/>
      <c r="C13" s="280">
        <v>40</v>
      </c>
      <c r="D13" s="184">
        <f ca="1">E13</f>
        <v>45473.75</v>
      </c>
      <c r="E13" s="185">
        <f ca="1">OFFSET(Tournament!$F$44,C13-37,0)</f>
        <v>45473.75</v>
      </c>
      <c r="F13" s="186" t="str">
        <f ca="1">OFFSET(Tournament!$G$44,C13-37,0)</f>
        <v>Group C Winner</v>
      </c>
      <c r="G13" s="190" t="s">
        <v>920</v>
      </c>
      <c r="H13" s="171"/>
      <c r="I13" s="200"/>
      <c r="J13" s="190" t="s">
        <v>920</v>
      </c>
      <c r="K13" s="172"/>
      <c r="L13" s="172"/>
      <c r="M13" s="172"/>
      <c r="N13" s="172"/>
      <c r="O13" s="172"/>
      <c r="P13" s="172"/>
      <c r="Q13" s="172"/>
      <c r="R13" s="172"/>
      <c r="CG13" s="3"/>
      <c r="CH13" s="3"/>
      <c r="CI13" s="3"/>
      <c r="CK13" s="5"/>
      <c r="CL13" s="5"/>
      <c r="CM13" s="5"/>
    </row>
    <row r="14" spans="2:91" ht="15" customHeight="1" x14ac:dyDescent="0.2">
      <c r="B14" s="283"/>
      <c r="C14" s="281"/>
      <c r="D14" s="287" t="str">
        <f ca="1">OFFSET(Tournament!$M$44,C13-37,0)</f>
        <v>Gelsenkirchen</v>
      </c>
      <c r="E14" s="287"/>
      <c r="F14" s="187" t="str">
        <f ca="1">OFFSET(Tournament!$J$44,C13-37,0)</f>
        <v>Group D/E/F 3rd Place</v>
      </c>
      <c r="G14" s="190" t="s">
        <v>920</v>
      </c>
      <c r="H14" s="171"/>
      <c r="I14" s="200"/>
      <c r="J14" s="190" t="s">
        <v>920</v>
      </c>
      <c r="K14" s="172"/>
      <c r="L14" s="172"/>
      <c r="M14" s="172"/>
      <c r="N14" s="172"/>
      <c r="O14" s="172"/>
      <c r="P14" s="172"/>
      <c r="Q14" s="172"/>
      <c r="R14" s="172"/>
      <c r="CG14" s="3"/>
      <c r="CH14" s="3"/>
      <c r="CI14" s="3"/>
      <c r="CK14" s="5"/>
      <c r="CL14" s="5"/>
      <c r="CM14" s="5"/>
    </row>
    <row r="15" spans="2:91" ht="15" customHeight="1" x14ac:dyDescent="0.2">
      <c r="B15" s="283"/>
      <c r="C15" s="280">
        <v>41</v>
      </c>
      <c r="D15" s="184">
        <f ca="1">E15</f>
        <v>45474.875</v>
      </c>
      <c r="E15" s="185">
        <f ca="1">OFFSET(Tournament!$F$44,C15-37,0)</f>
        <v>45474.875</v>
      </c>
      <c r="F15" s="186" t="str">
        <f ca="1">OFFSET(Tournament!$G$44,C15-37,0)</f>
        <v>Group F Winner</v>
      </c>
      <c r="G15" s="190" t="s">
        <v>920</v>
      </c>
      <c r="H15" s="171"/>
      <c r="I15" s="200"/>
      <c r="J15" s="190" t="s">
        <v>920</v>
      </c>
      <c r="K15" s="172"/>
      <c r="L15" s="172"/>
      <c r="M15" s="172"/>
      <c r="N15" s="172"/>
      <c r="O15" s="172"/>
      <c r="P15" s="172"/>
      <c r="Q15" s="172"/>
      <c r="R15" s="172"/>
      <c r="CG15" s="3"/>
      <c r="CH15" s="3"/>
      <c r="CI15" s="3"/>
      <c r="CK15" s="5"/>
      <c r="CL15" s="5"/>
      <c r="CM15" s="5"/>
    </row>
    <row r="16" spans="2:91" ht="15" customHeight="1" x14ac:dyDescent="0.2">
      <c r="B16" s="283"/>
      <c r="C16" s="281"/>
      <c r="D16" s="287" t="str">
        <f ca="1">OFFSET(Tournament!$M$44,C15-37,0)</f>
        <v>Frankfurt</v>
      </c>
      <c r="E16" s="287"/>
      <c r="F16" s="187" t="str">
        <f ca="1">OFFSET(Tournament!$J$44,C15-37,0)</f>
        <v>Group A/B/C 3rd Place</v>
      </c>
      <c r="G16" s="190" t="s">
        <v>920</v>
      </c>
      <c r="H16" s="171"/>
      <c r="I16" s="200"/>
      <c r="J16" s="190" t="s">
        <v>920</v>
      </c>
      <c r="K16" s="172"/>
      <c r="L16" s="172"/>
      <c r="M16" s="172"/>
      <c r="N16" s="172"/>
      <c r="O16" s="172"/>
      <c r="P16" s="172"/>
      <c r="Q16" s="172"/>
      <c r="R16" s="172"/>
      <c r="CG16" s="3"/>
      <c r="CH16" s="3"/>
      <c r="CI16" s="3"/>
      <c r="CK16" s="5"/>
      <c r="CL16" s="5"/>
      <c r="CM16" s="5"/>
    </row>
    <row r="17" spans="2:91" ht="15" customHeight="1" x14ac:dyDescent="0.2">
      <c r="B17" s="283"/>
      <c r="C17" s="280">
        <v>42</v>
      </c>
      <c r="D17" s="184">
        <f ca="1">E17</f>
        <v>45474.75</v>
      </c>
      <c r="E17" s="185">
        <f ca="1">OFFSET(Tournament!$F$44,C17-37,0)</f>
        <v>45474.75</v>
      </c>
      <c r="F17" s="186" t="str">
        <f ca="1">OFFSET(Tournament!$G$44,C17-37,0)</f>
        <v>Group D Runner Up</v>
      </c>
      <c r="G17" s="190" t="s">
        <v>920</v>
      </c>
      <c r="H17" s="171"/>
      <c r="I17" s="200"/>
      <c r="J17" s="190" t="s">
        <v>920</v>
      </c>
      <c r="K17" s="172"/>
      <c r="L17" s="172"/>
      <c r="M17" s="172"/>
      <c r="N17" s="172"/>
      <c r="O17" s="172"/>
      <c r="P17" s="172"/>
      <c r="Q17" s="172"/>
      <c r="R17" s="172"/>
      <c r="CG17" s="3"/>
      <c r="CH17" s="3"/>
      <c r="CI17" s="3"/>
      <c r="CK17" s="5"/>
      <c r="CL17" s="5"/>
      <c r="CM17" s="5"/>
    </row>
    <row r="18" spans="2:91" ht="15" customHeight="1" x14ac:dyDescent="0.2">
      <c r="B18" s="283"/>
      <c r="C18" s="281"/>
      <c r="D18" s="287" t="str">
        <f ca="1">OFFSET(Tournament!$M$44,C17-37,0)</f>
        <v>Dusseldorf</v>
      </c>
      <c r="E18" s="287"/>
      <c r="F18" s="187" t="str">
        <f ca="1">OFFSET(Tournament!$J$44,C17-37,0)</f>
        <v>Group E Runner Up</v>
      </c>
      <c r="G18" s="190" t="s">
        <v>920</v>
      </c>
      <c r="H18" s="171"/>
      <c r="I18" s="200"/>
      <c r="J18" s="190" t="s">
        <v>920</v>
      </c>
      <c r="K18" s="172"/>
      <c r="L18" s="172"/>
      <c r="M18" s="172"/>
      <c r="N18" s="172"/>
      <c r="O18" s="172"/>
      <c r="P18" s="172"/>
      <c r="Q18" s="172"/>
      <c r="R18" s="172"/>
      <c r="CG18" s="3"/>
      <c r="CH18" s="3"/>
      <c r="CI18" s="3"/>
      <c r="CK18" s="5"/>
      <c r="CL18" s="5"/>
      <c r="CM18" s="5"/>
    </row>
    <row r="19" spans="2:91" ht="15" customHeight="1" x14ac:dyDescent="0.2">
      <c r="B19" s="283"/>
      <c r="C19" s="280">
        <v>43</v>
      </c>
      <c r="D19" s="184">
        <f ca="1">E19</f>
        <v>45475.75</v>
      </c>
      <c r="E19" s="185">
        <f ca="1">OFFSET(Tournament!$F$44,C19-37,0)</f>
        <v>45475.75</v>
      </c>
      <c r="F19" s="186" t="str">
        <f ca="1">OFFSET(Tournament!$G$44,C19-37,0)</f>
        <v>Group E Winner</v>
      </c>
      <c r="G19" s="190" t="s">
        <v>920</v>
      </c>
      <c r="H19" s="171"/>
      <c r="I19" s="200"/>
      <c r="J19" s="190" t="s">
        <v>920</v>
      </c>
      <c r="K19" s="172"/>
      <c r="L19" s="172"/>
      <c r="M19" s="172"/>
      <c r="N19" s="172"/>
      <c r="O19" s="172"/>
      <c r="P19" s="172"/>
      <c r="Q19" s="172"/>
      <c r="R19" s="172"/>
      <c r="CG19" s="3"/>
      <c r="CH19" s="3"/>
      <c r="CI19" s="3"/>
      <c r="CK19" s="5"/>
      <c r="CL19" s="5"/>
      <c r="CM19" s="5"/>
    </row>
    <row r="20" spans="2:91" ht="15" customHeight="1" x14ac:dyDescent="0.2">
      <c r="B20" s="283"/>
      <c r="C20" s="281"/>
      <c r="D20" s="287" t="str">
        <f ca="1">OFFSET(Tournament!$M$44,C19-37,0)</f>
        <v>Munich</v>
      </c>
      <c r="E20" s="287"/>
      <c r="F20" s="187" t="str">
        <f ca="1">OFFSET(Tournament!$J$44,C19-37,0)</f>
        <v>Group A/B/C/D 3rd Place</v>
      </c>
      <c r="G20" s="190" t="s">
        <v>920</v>
      </c>
      <c r="H20" s="171"/>
      <c r="I20" s="200"/>
      <c r="J20" s="190" t="s">
        <v>920</v>
      </c>
      <c r="K20" s="172"/>
      <c r="L20" s="172"/>
      <c r="M20" s="172"/>
      <c r="N20" s="172"/>
      <c r="O20" s="172"/>
      <c r="P20" s="172"/>
      <c r="Q20" s="172"/>
      <c r="R20" s="172"/>
      <c r="CG20" s="3"/>
      <c r="CH20" s="3"/>
      <c r="CI20" s="3"/>
      <c r="CK20" s="5"/>
      <c r="CL20" s="5"/>
      <c r="CM20" s="5"/>
    </row>
    <row r="21" spans="2:91" ht="15" customHeight="1" x14ac:dyDescent="0.2">
      <c r="B21" s="283"/>
      <c r="C21" s="280">
        <v>44</v>
      </c>
      <c r="D21" s="184">
        <f ca="1">E21</f>
        <v>45475.875</v>
      </c>
      <c r="E21" s="185">
        <f ca="1">OFFSET(Tournament!$F$44,C21-37,0)</f>
        <v>45475.875</v>
      </c>
      <c r="F21" s="186" t="str">
        <f ca="1">OFFSET(Tournament!$G$44,C21-37,0)</f>
        <v>Group D Winner</v>
      </c>
      <c r="G21" s="190" t="s">
        <v>920</v>
      </c>
      <c r="H21" s="171"/>
      <c r="I21" s="200"/>
      <c r="J21" s="190" t="s">
        <v>920</v>
      </c>
      <c r="K21" s="172"/>
      <c r="L21" s="172"/>
      <c r="M21" s="172"/>
      <c r="N21" s="172"/>
      <c r="O21" s="172"/>
      <c r="P21" s="172"/>
      <c r="Q21" s="172"/>
      <c r="R21" s="172"/>
    </row>
    <row r="22" spans="2:91" ht="15" customHeight="1" x14ac:dyDescent="0.2">
      <c r="B22" s="283"/>
      <c r="C22" s="281"/>
      <c r="D22" s="287" t="str">
        <f ca="1">OFFSET(Tournament!$M$44,C21-37,0)</f>
        <v>Leipzig</v>
      </c>
      <c r="E22" s="287"/>
      <c r="F22" s="187" t="str">
        <f ca="1">OFFSET(Tournament!$J$44,C21-37,0)</f>
        <v>Group F Runner Up</v>
      </c>
      <c r="G22" s="190" t="s">
        <v>920</v>
      </c>
      <c r="H22" s="171"/>
      <c r="I22" s="200"/>
      <c r="J22" s="190" t="s">
        <v>920</v>
      </c>
      <c r="K22" s="176"/>
      <c r="L22" s="176"/>
      <c r="M22" s="176"/>
      <c r="N22" s="176"/>
      <c r="O22" s="176"/>
      <c r="P22" s="176"/>
      <c r="Q22" s="176"/>
      <c r="R22" s="176"/>
    </row>
    <row r="23" spans="2:91" ht="5.0999999999999996" customHeight="1" x14ac:dyDescent="0.2">
      <c r="B23" s="136"/>
      <c r="C23" s="136"/>
      <c r="D23" s="177"/>
      <c r="E23" s="178"/>
      <c r="F23" s="166"/>
      <c r="G23" s="173"/>
      <c r="H23" s="173"/>
      <c r="I23" s="136"/>
      <c r="J23" s="173"/>
      <c r="K23" s="173"/>
      <c r="L23" s="173"/>
      <c r="M23" s="173"/>
      <c r="N23" s="173"/>
      <c r="O23" s="173"/>
      <c r="P23" s="173"/>
      <c r="Q23" s="173"/>
      <c r="R23" s="173"/>
    </row>
    <row r="24" spans="2:91" ht="5.0999999999999996" customHeight="1" x14ac:dyDescent="0.2">
      <c r="B24" s="199"/>
      <c r="C24" s="199"/>
      <c r="D24" s="199"/>
      <c r="E24" s="199"/>
      <c r="F24" s="199"/>
      <c r="G24" s="199"/>
      <c r="H24" s="199"/>
      <c r="I24" s="199"/>
      <c r="J24" s="199"/>
      <c r="K24" s="199"/>
      <c r="L24" s="199"/>
      <c r="M24" s="199"/>
      <c r="N24" s="199"/>
      <c r="O24" s="199"/>
      <c r="P24" s="199"/>
      <c r="Q24" s="199"/>
      <c r="R24" s="199"/>
    </row>
    <row r="25" spans="2:91" ht="5.0999999999999996" customHeight="1" x14ac:dyDescent="0.2">
      <c r="B25" s="173"/>
      <c r="C25" s="173"/>
      <c r="D25" s="179"/>
      <c r="E25" s="179"/>
      <c r="F25" s="179"/>
      <c r="G25" s="173"/>
      <c r="H25" s="173"/>
      <c r="I25" s="136"/>
      <c r="J25" s="173"/>
      <c r="K25" s="136"/>
      <c r="L25" s="136"/>
      <c r="M25" s="136"/>
      <c r="N25" s="136"/>
      <c r="O25" s="136"/>
      <c r="P25" s="136"/>
      <c r="Q25" s="136"/>
      <c r="R25" s="136"/>
    </row>
    <row r="26" spans="2:91" ht="15" customHeight="1" x14ac:dyDescent="0.2">
      <c r="B26" s="283" t="str">
        <f>UPPER(Tournament!C52)</f>
        <v>QUARTER FINALS</v>
      </c>
      <c r="C26" s="280">
        <v>45</v>
      </c>
      <c r="D26" s="184">
        <f ca="1">E26</f>
        <v>45478.75</v>
      </c>
      <c r="E26" s="185">
        <f ca="1">OFFSET(Tournament!$F$44,C26-37,0)</f>
        <v>45478.75</v>
      </c>
      <c r="F26" s="186" t="str">
        <f ca="1">OFFSET(Tournament!$G$44,C26-37,0)</f>
        <v>Match 39 Winner</v>
      </c>
      <c r="G26" s="190" t="s">
        <v>920</v>
      </c>
      <c r="H26" s="171"/>
      <c r="I26" s="200"/>
      <c r="J26" s="190" t="s">
        <v>920</v>
      </c>
      <c r="K26" s="172"/>
      <c r="L26" s="172"/>
      <c r="M26" s="172"/>
      <c r="N26" s="172"/>
      <c r="O26" s="172"/>
      <c r="P26" s="172"/>
      <c r="Q26" s="172"/>
      <c r="R26" s="172"/>
      <c r="CE26" s="5"/>
      <c r="CF26" s="5"/>
      <c r="CI26" s="3"/>
      <c r="CJ26" s="3"/>
    </row>
    <row r="27" spans="2:91" ht="15" customHeight="1" x14ac:dyDescent="0.2">
      <c r="B27" s="283"/>
      <c r="C27" s="281"/>
      <c r="D27" s="287" t="str">
        <f ca="1">OFFSET(Tournament!$M$44,C26-37,0)</f>
        <v>Stuttgart</v>
      </c>
      <c r="E27" s="287"/>
      <c r="F27" s="187" t="str">
        <f ca="1">OFFSET(Tournament!$J$44,C26-37,0)</f>
        <v>Match 37 Winner</v>
      </c>
      <c r="G27" s="190" t="s">
        <v>920</v>
      </c>
      <c r="H27" s="171"/>
      <c r="I27" s="200"/>
      <c r="J27" s="190" t="s">
        <v>920</v>
      </c>
      <c r="K27" s="172"/>
      <c r="L27" s="172"/>
      <c r="M27" s="172"/>
      <c r="N27" s="172"/>
      <c r="O27" s="172"/>
      <c r="P27" s="172"/>
      <c r="Q27" s="172"/>
      <c r="R27" s="172"/>
      <c r="CE27" s="5"/>
      <c r="CF27" s="5"/>
      <c r="CI27" s="3"/>
      <c r="CJ27" s="3"/>
    </row>
    <row r="28" spans="2:91" ht="15" customHeight="1" x14ac:dyDescent="0.2">
      <c r="B28" s="283"/>
      <c r="C28" s="280">
        <v>46</v>
      </c>
      <c r="D28" s="184">
        <f ca="1">E28</f>
        <v>45478.875</v>
      </c>
      <c r="E28" s="185">
        <f ca="1">OFFSET(Tournament!$F$44,C28-37,0)</f>
        <v>45478.875</v>
      </c>
      <c r="F28" s="186" t="str">
        <f ca="1">OFFSET(Tournament!$G$44,C28-37,0)</f>
        <v>Match 41 Winner</v>
      </c>
      <c r="G28" s="190" t="s">
        <v>920</v>
      </c>
      <c r="H28" s="171"/>
      <c r="I28" s="200"/>
      <c r="J28" s="190" t="s">
        <v>920</v>
      </c>
      <c r="K28" s="172"/>
      <c r="L28" s="172"/>
      <c r="M28" s="172"/>
      <c r="N28" s="172"/>
      <c r="O28" s="172"/>
      <c r="P28" s="172"/>
      <c r="Q28" s="172"/>
      <c r="R28" s="172"/>
      <c r="CE28" s="5"/>
      <c r="CF28" s="5"/>
      <c r="CI28" s="3"/>
      <c r="CJ28" s="3"/>
    </row>
    <row r="29" spans="2:91" ht="15" customHeight="1" x14ac:dyDescent="0.2">
      <c r="B29" s="283"/>
      <c r="C29" s="281"/>
      <c r="D29" s="287" t="str">
        <f ca="1">OFFSET(Tournament!$M$44,C28-37,0)</f>
        <v>Hamburg</v>
      </c>
      <c r="E29" s="287"/>
      <c r="F29" s="187" t="str">
        <f ca="1">OFFSET(Tournament!$J$44,C28-37,0)</f>
        <v>Match 42 Winner</v>
      </c>
      <c r="G29" s="190" t="s">
        <v>920</v>
      </c>
      <c r="H29" s="171"/>
      <c r="I29" s="200"/>
      <c r="J29" s="190" t="s">
        <v>920</v>
      </c>
      <c r="K29" s="172"/>
      <c r="L29" s="172"/>
      <c r="M29" s="172"/>
      <c r="N29" s="172"/>
      <c r="O29" s="172"/>
      <c r="P29" s="172"/>
      <c r="Q29" s="172"/>
      <c r="R29" s="172"/>
      <c r="CE29" s="5"/>
      <c r="CF29" s="5"/>
      <c r="CI29" s="3"/>
      <c r="CJ29" s="3"/>
    </row>
    <row r="30" spans="2:91" ht="15" customHeight="1" x14ac:dyDescent="0.2">
      <c r="B30" s="283"/>
      <c r="C30" s="280">
        <v>47</v>
      </c>
      <c r="D30" s="184">
        <f ca="1">E30</f>
        <v>45479.875</v>
      </c>
      <c r="E30" s="185">
        <f ca="1">OFFSET(Tournament!$F$44,C30-37,0)</f>
        <v>45479.875</v>
      </c>
      <c r="F30" s="186" t="str">
        <f ca="1">OFFSET(Tournament!$G$44,C30-37,0)</f>
        <v>Match 43 Winner</v>
      </c>
      <c r="G30" s="190" t="s">
        <v>920</v>
      </c>
      <c r="H30" s="171"/>
      <c r="I30" s="200"/>
      <c r="J30" s="190" t="s">
        <v>920</v>
      </c>
      <c r="K30" s="172"/>
      <c r="L30" s="172"/>
      <c r="M30" s="172"/>
      <c r="N30" s="172"/>
      <c r="O30" s="172"/>
      <c r="P30" s="172"/>
      <c r="Q30" s="172"/>
      <c r="R30" s="172"/>
      <c r="CE30" s="5"/>
      <c r="CF30" s="5"/>
      <c r="CI30" s="3"/>
      <c r="CJ30" s="3"/>
    </row>
    <row r="31" spans="2:91" ht="15" customHeight="1" x14ac:dyDescent="0.2">
      <c r="B31" s="283"/>
      <c r="C31" s="281"/>
      <c r="D31" s="287" t="str">
        <f ca="1">OFFSET(Tournament!$M$44,C30-37,0)</f>
        <v>Berlin</v>
      </c>
      <c r="E31" s="287"/>
      <c r="F31" s="187" t="str">
        <f ca="1">OFFSET(Tournament!$J$44,C30-37,0)</f>
        <v>Match 44 Winner</v>
      </c>
      <c r="G31" s="190" t="s">
        <v>920</v>
      </c>
      <c r="H31" s="171"/>
      <c r="I31" s="200"/>
      <c r="J31" s="190" t="s">
        <v>920</v>
      </c>
      <c r="K31" s="172"/>
      <c r="L31" s="172"/>
      <c r="M31" s="172"/>
      <c r="N31" s="172"/>
      <c r="O31" s="172"/>
      <c r="P31" s="172"/>
      <c r="Q31" s="172"/>
      <c r="R31" s="172"/>
      <c r="CE31" s="5"/>
      <c r="CF31" s="5"/>
      <c r="CI31" s="3"/>
      <c r="CJ31" s="3"/>
    </row>
    <row r="32" spans="2:91" ht="15" customHeight="1" x14ac:dyDescent="0.2">
      <c r="B32" s="283"/>
      <c r="C32" s="280">
        <v>48</v>
      </c>
      <c r="D32" s="184">
        <f ca="1">E32</f>
        <v>45479.75</v>
      </c>
      <c r="E32" s="185">
        <f ca="1">OFFSET(Tournament!$F$44,C32-37,0)</f>
        <v>45479.75</v>
      </c>
      <c r="F32" s="186" t="str">
        <f ca="1">OFFSET(Tournament!$G$44,C32-37,0)</f>
        <v>Match 40 Winner</v>
      </c>
      <c r="G32" s="190" t="s">
        <v>920</v>
      </c>
      <c r="H32" s="171"/>
      <c r="I32" s="200"/>
      <c r="J32" s="190" t="s">
        <v>920</v>
      </c>
      <c r="K32" s="172"/>
      <c r="L32" s="172"/>
      <c r="M32" s="172"/>
      <c r="N32" s="172"/>
      <c r="O32" s="172"/>
      <c r="P32" s="172"/>
      <c r="Q32" s="172"/>
      <c r="R32" s="172"/>
      <c r="CE32" s="5"/>
      <c r="CF32" s="5"/>
      <c r="CI32" s="3"/>
      <c r="CJ32" s="3"/>
    </row>
    <row r="33" spans="2:88" ht="15" customHeight="1" x14ac:dyDescent="0.2">
      <c r="B33" s="285"/>
      <c r="C33" s="281"/>
      <c r="D33" s="287" t="str">
        <f ca="1">OFFSET(Tournament!$M$44,C32-37,0)</f>
        <v>Dusseldorf</v>
      </c>
      <c r="E33" s="287"/>
      <c r="F33" s="187" t="str">
        <f ca="1">OFFSET(Tournament!$J$44,C32-37,0)</f>
        <v>Match 38 Winner</v>
      </c>
      <c r="G33" s="190" t="s">
        <v>920</v>
      </c>
      <c r="H33" s="171"/>
      <c r="I33" s="200"/>
      <c r="J33" s="190" t="s">
        <v>920</v>
      </c>
      <c r="K33" s="176"/>
      <c r="L33" s="176"/>
      <c r="M33" s="176"/>
      <c r="N33" s="176"/>
      <c r="O33" s="176"/>
      <c r="P33" s="176"/>
      <c r="Q33" s="176"/>
      <c r="R33" s="176"/>
      <c r="CE33" s="5"/>
      <c r="CF33" s="5"/>
      <c r="CI33" s="3"/>
      <c r="CJ33" s="3"/>
    </row>
    <row r="34" spans="2:88" ht="5.0999999999999996" customHeight="1" x14ac:dyDescent="0.2">
      <c r="B34" s="173"/>
      <c r="C34" s="173"/>
      <c r="D34" s="179"/>
      <c r="E34" s="179"/>
      <c r="F34" s="179"/>
      <c r="G34" s="173"/>
      <c r="H34" s="173"/>
      <c r="I34" s="136"/>
      <c r="J34" s="173"/>
      <c r="K34" s="173"/>
      <c r="L34" s="173"/>
      <c r="M34" s="173"/>
      <c r="N34" s="173"/>
      <c r="O34" s="173"/>
      <c r="P34" s="173"/>
      <c r="Q34" s="173"/>
      <c r="R34" s="173"/>
      <c r="CE34" s="5"/>
      <c r="CF34" s="5"/>
      <c r="CI34" s="3"/>
      <c r="CJ34" s="3"/>
    </row>
    <row r="35" spans="2:88" ht="5.0999999999999996" customHeight="1" x14ac:dyDescent="0.2">
      <c r="B35" s="199"/>
      <c r="C35" s="199"/>
      <c r="D35" s="199"/>
      <c r="E35" s="199"/>
      <c r="F35" s="199"/>
      <c r="G35" s="199"/>
      <c r="H35" s="199"/>
      <c r="I35" s="199"/>
      <c r="J35" s="199"/>
      <c r="K35" s="199"/>
      <c r="L35" s="199"/>
      <c r="M35" s="199"/>
      <c r="N35" s="199"/>
      <c r="O35" s="199"/>
      <c r="P35" s="199"/>
      <c r="Q35" s="199"/>
      <c r="R35" s="199"/>
      <c r="CE35" s="5"/>
      <c r="CF35" s="5"/>
      <c r="CI35" s="3"/>
      <c r="CJ35" s="3"/>
    </row>
    <row r="36" spans="2:88" ht="5.0999999999999996" customHeight="1" x14ac:dyDescent="0.2">
      <c r="B36" s="173"/>
      <c r="C36" s="173"/>
      <c r="D36" s="179"/>
      <c r="E36" s="179"/>
      <c r="F36" s="179"/>
      <c r="G36" s="173"/>
      <c r="H36" s="136"/>
      <c r="I36" s="136"/>
      <c r="J36" s="173"/>
      <c r="K36" s="173"/>
      <c r="L36" s="173"/>
      <c r="M36" s="173"/>
      <c r="N36" s="173"/>
      <c r="O36" s="173"/>
      <c r="P36" s="173"/>
      <c r="Q36" s="173"/>
      <c r="R36" s="173"/>
      <c r="CE36" s="5"/>
      <c r="CF36" s="5"/>
      <c r="CI36" s="3"/>
      <c r="CJ36" s="3"/>
    </row>
    <row r="37" spans="2:88" ht="15" customHeight="1" x14ac:dyDescent="0.2">
      <c r="B37" s="283" t="str">
        <f>UPPER(Tournament!C56)</f>
        <v>SEMI FINALS</v>
      </c>
      <c r="C37" s="280">
        <v>49</v>
      </c>
      <c r="D37" s="184">
        <f ca="1">E37</f>
        <v>45482.875</v>
      </c>
      <c r="E37" s="185">
        <f ca="1">OFFSET(Tournament!$F$44,C37-37,0)</f>
        <v>45482.875</v>
      </c>
      <c r="F37" s="186" t="str">
        <f ca="1">OFFSET(Tournament!$G$44,C37-37,0)</f>
        <v>Match 45 Winner</v>
      </c>
      <c r="G37" s="190" t="s">
        <v>920</v>
      </c>
      <c r="H37" s="171"/>
      <c r="I37" s="136"/>
      <c r="J37" s="190" t="s">
        <v>920</v>
      </c>
      <c r="K37" s="172"/>
      <c r="L37" s="172"/>
      <c r="M37" s="172"/>
      <c r="N37" s="172"/>
      <c r="O37" s="172"/>
      <c r="P37" s="172"/>
      <c r="Q37" s="172"/>
      <c r="R37" s="172"/>
      <c r="CE37" s="5"/>
      <c r="CF37" s="5"/>
      <c r="CI37" s="3"/>
      <c r="CJ37" s="3"/>
    </row>
    <row r="38" spans="2:88" ht="15" customHeight="1" x14ac:dyDescent="0.2">
      <c r="B38" s="283"/>
      <c r="C38" s="281"/>
      <c r="D38" s="287" t="str">
        <f ca="1">OFFSET(Tournament!$M$44,C37-37,0)</f>
        <v>Munich</v>
      </c>
      <c r="E38" s="287"/>
      <c r="F38" s="187" t="str">
        <f ca="1">OFFSET(Tournament!$J$44,C37-37,0)</f>
        <v>Match 46 Winner</v>
      </c>
      <c r="G38" s="190" t="s">
        <v>920</v>
      </c>
      <c r="H38" s="171"/>
      <c r="I38" s="136"/>
      <c r="J38" s="190" t="s">
        <v>920</v>
      </c>
      <c r="K38" s="172"/>
      <c r="L38" s="172"/>
      <c r="M38" s="172"/>
      <c r="N38" s="172"/>
      <c r="O38" s="172"/>
      <c r="P38" s="172"/>
      <c r="Q38" s="172"/>
      <c r="R38" s="172"/>
      <c r="CE38" s="5"/>
      <c r="CF38" s="5"/>
      <c r="CI38" s="3"/>
      <c r="CJ38" s="3"/>
    </row>
    <row r="39" spans="2:88" ht="15" customHeight="1" x14ac:dyDescent="0.2">
      <c r="B39" s="283"/>
      <c r="C39" s="280">
        <v>50</v>
      </c>
      <c r="D39" s="184">
        <f ca="1">E39</f>
        <v>45483.875</v>
      </c>
      <c r="E39" s="185">
        <f ca="1">OFFSET(Tournament!$F$44,C39-37,0)</f>
        <v>45483.875</v>
      </c>
      <c r="F39" s="186" t="str">
        <f ca="1">OFFSET(Tournament!$G$44,C39-37,0)</f>
        <v>Match 47 Winner</v>
      </c>
      <c r="G39" s="190" t="s">
        <v>920</v>
      </c>
      <c r="H39" s="171"/>
      <c r="I39" s="136"/>
      <c r="J39" s="190" t="s">
        <v>920</v>
      </c>
      <c r="K39" s="172"/>
      <c r="L39" s="172"/>
      <c r="M39" s="172"/>
      <c r="N39" s="172"/>
      <c r="O39" s="172"/>
      <c r="P39" s="172"/>
      <c r="Q39" s="172"/>
      <c r="R39" s="172"/>
      <c r="CE39" s="5"/>
      <c r="CF39" s="5"/>
      <c r="CI39" s="3"/>
      <c r="CJ39" s="3"/>
    </row>
    <row r="40" spans="2:88" ht="15" customHeight="1" x14ac:dyDescent="0.2">
      <c r="B40" s="285"/>
      <c r="C40" s="281"/>
      <c r="D40" s="287" t="str">
        <f ca="1">OFFSET(Tournament!$M$44,C39-37,0)</f>
        <v>Dortmund</v>
      </c>
      <c r="E40" s="287"/>
      <c r="F40" s="187" t="str">
        <f ca="1">OFFSET(Tournament!$J$44,C39-37,0)</f>
        <v>Match 48 Winner</v>
      </c>
      <c r="G40" s="190" t="s">
        <v>920</v>
      </c>
      <c r="H40" s="171"/>
      <c r="I40" s="136"/>
      <c r="J40" s="190" t="s">
        <v>920</v>
      </c>
      <c r="K40" s="176"/>
      <c r="L40" s="176"/>
      <c r="M40" s="176"/>
      <c r="N40" s="176"/>
      <c r="O40" s="176"/>
      <c r="P40" s="176"/>
      <c r="Q40" s="176"/>
      <c r="R40" s="176"/>
      <c r="CE40" s="5"/>
      <c r="CF40" s="5"/>
      <c r="CI40" s="3"/>
      <c r="CJ40" s="3"/>
    </row>
    <row r="41" spans="2:88" ht="5.0999999999999996" customHeight="1" x14ac:dyDescent="0.2">
      <c r="B41" s="173"/>
      <c r="C41" s="173"/>
      <c r="D41" s="179"/>
      <c r="E41" s="179"/>
      <c r="F41" s="166"/>
      <c r="G41" s="173"/>
      <c r="H41" s="173"/>
      <c r="I41" s="136"/>
      <c r="J41" s="173"/>
      <c r="K41" s="180"/>
      <c r="L41" s="180"/>
      <c r="M41" s="180"/>
      <c r="N41" s="180"/>
      <c r="O41" s="180"/>
      <c r="P41" s="180"/>
      <c r="Q41" s="180"/>
      <c r="R41" s="180"/>
      <c r="CE41" s="5"/>
      <c r="CF41" s="5"/>
      <c r="CI41" s="3"/>
      <c r="CJ41" s="3"/>
    </row>
    <row r="42" spans="2:88" ht="5.0999999999999996" customHeight="1" x14ac:dyDescent="0.2">
      <c r="B42" s="199"/>
      <c r="C42" s="199"/>
      <c r="D42" s="199"/>
      <c r="E42" s="199"/>
      <c r="F42" s="199"/>
      <c r="G42" s="199"/>
      <c r="H42" s="199"/>
      <c r="I42" s="199"/>
      <c r="J42" s="199"/>
      <c r="K42" s="199"/>
      <c r="L42" s="199"/>
      <c r="M42" s="199"/>
      <c r="N42" s="199"/>
      <c r="O42" s="199"/>
      <c r="P42" s="199"/>
      <c r="Q42" s="199"/>
      <c r="R42" s="199"/>
      <c r="CE42" s="5"/>
      <c r="CF42" s="5"/>
      <c r="CI42" s="3"/>
      <c r="CJ42" s="3"/>
    </row>
    <row r="43" spans="2:88" ht="5.0999999999999996" customHeight="1" x14ac:dyDescent="0.2">
      <c r="B43" s="173"/>
      <c r="C43" s="173"/>
      <c r="D43" s="179"/>
      <c r="E43" s="179"/>
      <c r="F43" s="166"/>
      <c r="G43" s="173"/>
      <c r="H43" s="136"/>
      <c r="I43" s="136"/>
      <c r="J43" s="173"/>
      <c r="K43" s="173"/>
      <c r="L43" s="173"/>
      <c r="M43" s="173"/>
      <c r="N43" s="173"/>
      <c r="O43" s="173"/>
      <c r="P43" s="173"/>
      <c r="Q43" s="173"/>
      <c r="R43" s="173"/>
      <c r="CE43" s="5"/>
      <c r="CF43" s="5"/>
      <c r="CI43" s="3"/>
      <c r="CJ43" s="3"/>
    </row>
    <row r="44" spans="2:88" ht="15" customHeight="1" x14ac:dyDescent="0.2">
      <c r="B44" s="286" t="str">
        <f>UPPER(Tournament!C58)</f>
        <v>FINAL</v>
      </c>
      <c r="C44" s="280">
        <v>51</v>
      </c>
      <c r="D44" s="184">
        <f ca="1">E44</f>
        <v>45487.875</v>
      </c>
      <c r="E44" s="185">
        <f ca="1">OFFSET(Tournament!$F$44,C44-37,0)</f>
        <v>45487.875</v>
      </c>
      <c r="F44" s="186" t="str">
        <f ca="1">OFFSET(Tournament!$G$44,C44-37,0)</f>
        <v>Match 49 Winner</v>
      </c>
      <c r="G44" s="190" t="s">
        <v>920</v>
      </c>
      <c r="H44" s="171"/>
      <c r="I44" s="136"/>
      <c r="J44" s="190" t="s">
        <v>920</v>
      </c>
      <c r="K44" s="172"/>
      <c r="L44" s="172"/>
      <c r="M44" s="172"/>
      <c r="N44" s="172"/>
      <c r="O44" s="172"/>
      <c r="P44" s="172"/>
      <c r="Q44" s="172"/>
      <c r="R44" s="172"/>
      <c r="CE44" s="5"/>
      <c r="CF44" s="5"/>
      <c r="CI44" s="3"/>
      <c r="CJ44" s="3"/>
    </row>
    <row r="45" spans="2:88" ht="15" customHeight="1" x14ac:dyDescent="0.2">
      <c r="B45" s="286"/>
      <c r="C45" s="281"/>
      <c r="D45" s="287" t="str">
        <f ca="1">OFFSET(Tournament!$M$44,C44-37,0)</f>
        <v>Berlin</v>
      </c>
      <c r="E45" s="287"/>
      <c r="F45" s="187" t="str">
        <f ca="1">OFFSET(Tournament!$J$44,C44-37,0)</f>
        <v>Match 50 Winner</v>
      </c>
      <c r="G45" s="190" t="s">
        <v>920</v>
      </c>
      <c r="H45" s="171"/>
      <c r="I45" s="136"/>
      <c r="J45" s="190" t="s">
        <v>920</v>
      </c>
      <c r="K45" s="176"/>
      <c r="L45" s="176"/>
      <c r="M45" s="176"/>
      <c r="N45" s="176"/>
      <c r="O45" s="176"/>
      <c r="P45" s="176"/>
      <c r="Q45" s="176"/>
      <c r="R45" s="176"/>
      <c r="CE45" s="5"/>
      <c r="CF45" s="5"/>
      <c r="CI45" s="3"/>
      <c r="CJ45" s="3"/>
    </row>
    <row r="46" spans="2:88" ht="5.0999999999999996" customHeight="1" x14ac:dyDescent="0.2">
      <c r="H46" s="4"/>
      <c r="CF46" s="5"/>
      <c r="CJ46" s="3"/>
    </row>
    <row r="47" spans="2:88" ht="5.0999999999999996" customHeight="1" x14ac:dyDescent="0.2">
      <c r="B47" s="201"/>
      <c r="C47" s="201"/>
      <c r="D47" s="201"/>
      <c r="E47" s="201"/>
      <c r="F47" s="201"/>
      <c r="G47" s="201"/>
      <c r="H47" s="201"/>
      <c r="I47" s="202"/>
      <c r="J47" s="202"/>
      <c r="K47" s="202"/>
      <c r="L47" s="202"/>
      <c r="M47" s="202"/>
      <c r="N47" s="202"/>
      <c r="O47" s="202"/>
      <c r="P47" s="202"/>
      <c r="Q47" s="202"/>
      <c r="R47" s="202"/>
      <c r="CF47" s="5"/>
      <c r="CJ47" s="3"/>
    </row>
    <row r="48" spans="2:88" ht="30" customHeight="1" x14ac:dyDescent="0.2">
      <c r="B48" s="203" t="str">
        <f>Tournament!O46</f>
        <v>2024 CHAMPION</v>
      </c>
      <c r="C48" s="204"/>
      <c r="D48" s="204"/>
      <c r="E48" s="65"/>
      <c r="F48" s="284" t="str">
        <f>Tournament!O48</f>
        <v>MATCH 51 WINNER</v>
      </c>
      <c r="G48" s="284"/>
      <c r="H48" s="284"/>
      <c r="I48" s="284"/>
      <c r="J48" s="284"/>
      <c r="K48" s="284"/>
      <c r="L48" s="284"/>
      <c r="M48" s="284"/>
      <c r="N48" s="284"/>
      <c r="O48" s="284"/>
      <c r="P48" s="284"/>
      <c r="Q48" s="284"/>
      <c r="R48" s="284"/>
      <c r="CF48" s="5"/>
      <c r="CJ48" s="3"/>
    </row>
    <row r="49" spans="2:88" ht="5.0999999999999996" customHeight="1" x14ac:dyDescent="0.2">
      <c r="B49" s="205"/>
      <c r="C49" s="205"/>
      <c r="D49" s="205"/>
      <c r="E49" s="205"/>
      <c r="F49" s="205"/>
      <c r="G49" s="205"/>
      <c r="H49" s="205"/>
      <c r="I49" s="206"/>
      <c r="J49" s="206"/>
      <c r="K49" s="206"/>
      <c r="L49" s="206"/>
      <c r="M49" s="206"/>
      <c r="N49" s="206"/>
      <c r="O49" s="206"/>
      <c r="P49" s="206"/>
      <c r="Q49" s="206"/>
      <c r="R49" s="206"/>
      <c r="CF49" s="5"/>
      <c r="CJ49" s="3"/>
    </row>
    <row r="50" spans="2:88" ht="15" customHeight="1" x14ac:dyDescent="0.2">
      <c r="B50" s="158" t="s">
        <v>1060</v>
      </c>
      <c r="E50" s="170" t="s">
        <v>13</v>
      </c>
      <c r="CF50" s="5"/>
      <c r="CJ50" s="3"/>
    </row>
  </sheetData>
  <sheetProtection algorithmName="SHA-512" hashValue="kdtfQmwDSrYh5hvLNhWNoXjdPySbVmHPB7b9plYgiQLzc66TuGCA5ZD64lTtHG4QM4uoxhPBC4aF/1B+4DJQyA==" saltValue="x8OqAQj3l3KHIlo9kLMU4w==" spinCount="100000" sheet="1" formatCells="0" formatColumns="0" formatRows="0" insertColumns="0" insertRows="0" insertHyperlinks="0" sort="0" autoFilter="0" pivotTables="0"/>
  <mergeCells count="35">
    <mergeCell ref="D12:E12"/>
    <mergeCell ref="D14:E14"/>
    <mergeCell ref="D16:E16"/>
    <mergeCell ref="D8:E8"/>
    <mergeCell ref="D10:E10"/>
    <mergeCell ref="D18:E18"/>
    <mergeCell ref="D20:E20"/>
    <mergeCell ref="D22:E22"/>
    <mergeCell ref="C19:C20"/>
    <mergeCell ref="C21:C22"/>
    <mergeCell ref="C32:C33"/>
    <mergeCell ref="C37:C38"/>
    <mergeCell ref="C39:C40"/>
    <mergeCell ref="D27:E27"/>
    <mergeCell ref="D29:E29"/>
    <mergeCell ref="D31:E31"/>
    <mergeCell ref="C26:C27"/>
    <mergeCell ref="C28:C29"/>
    <mergeCell ref="C30:C31"/>
    <mergeCell ref="C44:C45"/>
    <mergeCell ref="B7:B22"/>
    <mergeCell ref="F48:R48"/>
    <mergeCell ref="B37:B40"/>
    <mergeCell ref="B26:B33"/>
    <mergeCell ref="B44:B45"/>
    <mergeCell ref="D45:E45"/>
    <mergeCell ref="C7:C8"/>
    <mergeCell ref="C9:C10"/>
    <mergeCell ref="C11:C12"/>
    <mergeCell ref="C13:C14"/>
    <mergeCell ref="C15:C16"/>
    <mergeCell ref="C17:C18"/>
    <mergeCell ref="D33:E33"/>
    <mergeCell ref="D38:E38"/>
    <mergeCell ref="D40:E40"/>
  </mergeCells>
  <conditionalFormatting sqref="F7">
    <cfRule type="expression" dxfId="164" priority="60">
      <formula>$H7+$I7&gt;$H8+$I8</formula>
    </cfRule>
    <cfRule type="expression" dxfId="163" priority="58">
      <formula>$H7+$I7&lt;$H8+$I8</formula>
    </cfRule>
  </conditionalFormatting>
  <conditionalFormatting sqref="F8">
    <cfRule type="expression" dxfId="162" priority="59">
      <formula>$H7+$I7&gt;$H8+$I8</formula>
    </cfRule>
    <cfRule type="expression" dxfId="161" priority="57">
      <formula>$H7+$I7&lt;$H8+$I8</formula>
    </cfRule>
  </conditionalFormatting>
  <conditionalFormatting sqref="F9">
    <cfRule type="expression" dxfId="160" priority="56">
      <formula>$H9+$I9&gt;$H10+$I10</formula>
    </cfRule>
    <cfRule type="expression" dxfId="159" priority="54">
      <formula>$H9+$I9&lt;$H10+$I10</formula>
    </cfRule>
  </conditionalFormatting>
  <conditionalFormatting sqref="F10">
    <cfRule type="expression" dxfId="158" priority="55">
      <formula>$H9+$I9&gt;$H10+$I10</formula>
    </cfRule>
    <cfRule type="expression" dxfId="157" priority="53">
      <formula>$H9+$I9&lt;$H10+$I10</formula>
    </cfRule>
  </conditionalFormatting>
  <conditionalFormatting sqref="F11">
    <cfRule type="expression" dxfId="156" priority="52">
      <formula>$H11+$I11&gt;$H12+$I12</formula>
    </cfRule>
    <cfRule type="expression" dxfId="155" priority="50">
      <formula>$H11+$I11&lt;$H12+$I12</formula>
    </cfRule>
  </conditionalFormatting>
  <conditionalFormatting sqref="F12">
    <cfRule type="expression" dxfId="154" priority="51">
      <formula>$H11+$I11&gt;$H12+$I12</formula>
    </cfRule>
    <cfRule type="expression" dxfId="153" priority="49">
      <formula>$H11+$I11&lt;$H12+$I12</formula>
    </cfRule>
  </conditionalFormatting>
  <conditionalFormatting sqref="F13">
    <cfRule type="expression" dxfId="152" priority="48">
      <formula>$H13+$I13&gt;$H14+$I14</formula>
    </cfRule>
    <cfRule type="expression" dxfId="151" priority="46">
      <formula>$H13+$I13&lt;$H14+$I14</formula>
    </cfRule>
  </conditionalFormatting>
  <conditionalFormatting sqref="F14">
    <cfRule type="expression" dxfId="150" priority="45">
      <formula>$H13+$I13&lt;$H14+$I14</formula>
    </cfRule>
    <cfRule type="expression" dxfId="149" priority="47">
      <formula>$H13+$I13&gt;$H14+$I14</formula>
    </cfRule>
  </conditionalFormatting>
  <conditionalFormatting sqref="F15">
    <cfRule type="expression" dxfId="148" priority="44">
      <formula>$H15+$I15&gt;$H16+$I16</formula>
    </cfRule>
    <cfRule type="expression" dxfId="147" priority="42">
      <formula>$H15+$I15&lt;$H16+$I16</formula>
    </cfRule>
  </conditionalFormatting>
  <conditionalFormatting sqref="F16">
    <cfRule type="expression" dxfId="146" priority="43">
      <formula>$H15+$I15&gt;$H16+$I16</formula>
    </cfRule>
    <cfRule type="expression" dxfId="145" priority="41">
      <formula>$H15+$I15&lt;$H16+$I16</formula>
    </cfRule>
  </conditionalFormatting>
  <conditionalFormatting sqref="F17">
    <cfRule type="expression" dxfId="144" priority="38">
      <formula>$H17+$I17&lt;$H18+$I18</formula>
    </cfRule>
    <cfRule type="expression" dxfId="143" priority="40">
      <formula>$H17+$I17&gt;$H18+$I18</formula>
    </cfRule>
  </conditionalFormatting>
  <conditionalFormatting sqref="F18">
    <cfRule type="expression" dxfId="142" priority="39">
      <formula>$H17+$I17&gt;$H18+$I18</formula>
    </cfRule>
    <cfRule type="expression" dxfId="141" priority="37">
      <formula>$H17+$I17&lt;$H18+$I18</formula>
    </cfRule>
  </conditionalFormatting>
  <conditionalFormatting sqref="F19">
    <cfRule type="expression" dxfId="140" priority="34">
      <formula>$H19+$I19&lt;$H20+$I20</formula>
    </cfRule>
    <cfRule type="expression" dxfId="139" priority="36">
      <formula>$H19+$I19&gt;$H20+$I20</formula>
    </cfRule>
  </conditionalFormatting>
  <conditionalFormatting sqref="F20">
    <cfRule type="expression" dxfId="138" priority="33">
      <formula>$H19+$I19&lt;$H20+$I20</formula>
    </cfRule>
    <cfRule type="expression" dxfId="137" priority="35">
      <formula>$H19+$I19&gt;$H20+$I20</formula>
    </cfRule>
  </conditionalFormatting>
  <conditionalFormatting sqref="F21">
    <cfRule type="expression" dxfId="136" priority="30">
      <formula>$H21+$I21&lt;$H22+$I22</formula>
    </cfRule>
    <cfRule type="expression" dxfId="135" priority="32">
      <formula>$H21+$I21&gt;$H22+$I22</formula>
    </cfRule>
  </conditionalFormatting>
  <conditionalFormatting sqref="F22">
    <cfRule type="expression" dxfId="134" priority="29">
      <formula>$H21+$I21&lt;$H22+$I22</formula>
    </cfRule>
    <cfRule type="expression" dxfId="133" priority="31">
      <formula>$H21+$I21&gt;$H22+$I22</formula>
    </cfRule>
  </conditionalFormatting>
  <conditionalFormatting sqref="F23">
    <cfRule type="expression" dxfId="132" priority="422">
      <formula>H23&gt;H22</formula>
    </cfRule>
    <cfRule type="expression" dxfId="131" priority="423">
      <formula>H23&lt;H22</formula>
    </cfRule>
  </conditionalFormatting>
  <conditionalFormatting sqref="F26">
    <cfRule type="expression" dxfId="130" priority="28">
      <formula>$H26+$I26&gt;$H27+$I27</formula>
    </cfRule>
    <cfRule type="expression" dxfId="129" priority="26">
      <formula>$H26+$I26&lt;$H27+$I27</formula>
    </cfRule>
  </conditionalFormatting>
  <conditionalFormatting sqref="F27">
    <cfRule type="expression" dxfId="128" priority="27">
      <formula>$H26+$I26&gt;$H27+$I27</formula>
    </cfRule>
    <cfRule type="expression" dxfId="127" priority="25">
      <formula>$H26+$I26&lt;$H27+$I27</formula>
    </cfRule>
  </conditionalFormatting>
  <conditionalFormatting sqref="F28">
    <cfRule type="expression" dxfId="126" priority="24">
      <formula>$H28+$I28&gt;$H29+$I29</formula>
    </cfRule>
    <cfRule type="expression" dxfId="125" priority="22">
      <formula>$H28+$I28&lt;$H29+$I29</formula>
    </cfRule>
  </conditionalFormatting>
  <conditionalFormatting sqref="F29">
    <cfRule type="expression" dxfId="124" priority="23">
      <formula>$H28+$I28&gt;$H29+$I29</formula>
    </cfRule>
    <cfRule type="expression" dxfId="123" priority="21">
      <formula>$H28+$I28&lt;$H29+$I29</formula>
    </cfRule>
  </conditionalFormatting>
  <conditionalFormatting sqref="F30">
    <cfRule type="expression" dxfId="122" priority="20">
      <formula>$H30+$I30&gt;$H31+$I31</formula>
    </cfRule>
    <cfRule type="expression" dxfId="121" priority="18">
      <formula>$H30+$I30&lt;$H31+$I31</formula>
    </cfRule>
  </conditionalFormatting>
  <conditionalFormatting sqref="F31">
    <cfRule type="expression" dxfId="120" priority="17">
      <formula>$H30+$I30&lt;$H31+$I31</formula>
    </cfRule>
    <cfRule type="expression" dxfId="119" priority="19">
      <formula>$H30+$I30&gt;$H31+$I31</formula>
    </cfRule>
  </conditionalFormatting>
  <conditionalFormatting sqref="F32">
    <cfRule type="expression" dxfId="118" priority="14">
      <formula>$H32+$I32&lt;$H33+$I33</formula>
    </cfRule>
    <cfRule type="expression" dxfId="117" priority="16">
      <formula>$H32+$I32&gt;$H33+$I33</formula>
    </cfRule>
  </conditionalFormatting>
  <conditionalFormatting sqref="F33">
    <cfRule type="expression" dxfId="116" priority="13">
      <formula>$H32+$I32&lt;$H33+$I33</formula>
    </cfRule>
    <cfRule type="expression" dxfId="115" priority="15">
      <formula>$H32+$I32&gt;$H33+$I33</formula>
    </cfRule>
  </conditionalFormatting>
  <conditionalFormatting sqref="F37">
    <cfRule type="expression" dxfId="114" priority="12">
      <formula>$H37+$I37&gt;$H38+$I38</formula>
    </cfRule>
    <cfRule type="expression" dxfId="113" priority="10">
      <formula>$H37+$I37&lt;$H38+$I38</formula>
    </cfRule>
  </conditionalFormatting>
  <conditionalFormatting sqref="F38">
    <cfRule type="expression" dxfId="112" priority="11">
      <formula>$H37+$I37&gt;$H38+$I38</formula>
    </cfRule>
    <cfRule type="expression" dxfId="111" priority="9">
      <formula>$H37+$I37&lt;$H38+$I38</formula>
    </cfRule>
  </conditionalFormatting>
  <conditionalFormatting sqref="F39">
    <cfRule type="expression" dxfId="110" priority="6">
      <formula>$H39+$I39&lt;$H40+$I40</formula>
    </cfRule>
    <cfRule type="expression" dxfId="109" priority="8">
      <formula>$H39+$I39&gt;$H40+$I40</formula>
    </cfRule>
  </conditionalFormatting>
  <conditionalFormatting sqref="F40">
    <cfRule type="expression" dxfId="108" priority="5">
      <formula>$H39+$I39&lt;$H40+$I40</formula>
    </cfRule>
    <cfRule type="expression" dxfId="107" priority="7">
      <formula>$H39+$I39&gt;$H40+$I40</formula>
    </cfRule>
  </conditionalFormatting>
  <conditionalFormatting sqref="F44">
    <cfRule type="expression" dxfId="106" priority="2">
      <formula>$H44+$I44&lt;$H45+$I45</formula>
    </cfRule>
    <cfRule type="expression" dxfId="105" priority="4">
      <formula>$H44+$I44&gt;$H45+$I45</formula>
    </cfRule>
  </conditionalFormatting>
  <conditionalFormatting sqref="F45">
    <cfRule type="expression" dxfId="104" priority="3">
      <formula>$H44+$I44&gt;$H45+$I45</formula>
    </cfRule>
    <cfRule type="expression" dxfId="103" priority="1">
      <formula>$H44+$I44&lt;$H45+$I45</formula>
    </cfRule>
  </conditionalFormatting>
  <conditionalFormatting sqref="H7:H22">
    <cfRule type="expression" dxfId="102" priority="404" stopIfTrue="1">
      <formula>ISBLANK(H7)</formula>
    </cfRule>
  </conditionalFormatting>
  <conditionalFormatting sqref="H26:H33">
    <cfRule type="expression" dxfId="101" priority="400" stopIfTrue="1">
      <formula>ISBLANK(H26)</formula>
    </cfRule>
  </conditionalFormatting>
  <conditionalFormatting sqref="H37:H40">
    <cfRule type="expression" dxfId="100" priority="398" stopIfTrue="1">
      <formula>ISBLANK(H37)</formula>
    </cfRule>
  </conditionalFormatting>
  <conditionalFormatting sqref="H44:H45">
    <cfRule type="expression" dxfId="99" priority="392" stopIfTrue="1">
      <formula>ISBLANK(H44)</formula>
    </cfRule>
  </conditionalFormatting>
  <conditionalFormatting sqref="I7">
    <cfRule type="expression" dxfId="98" priority="424">
      <formula>AND($H7=$H8,$H7&lt;&gt;"")</formula>
    </cfRule>
  </conditionalFormatting>
  <conditionalFormatting sqref="I8">
    <cfRule type="expression" dxfId="97" priority="94">
      <formula>AND($H7=$H8,$H7&lt;&gt;"")</formula>
    </cfRule>
  </conditionalFormatting>
  <conditionalFormatting sqref="I9">
    <cfRule type="expression" dxfId="96" priority="93">
      <formula>AND($H9=$H10,$H9&lt;&gt;"")</formula>
    </cfRule>
  </conditionalFormatting>
  <conditionalFormatting sqref="I10">
    <cfRule type="expression" dxfId="95" priority="92">
      <formula>AND($H9=$H10,$H9&lt;&gt;"")</formula>
    </cfRule>
  </conditionalFormatting>
  <conditionalFormatting sqref="I11">
    <cfRule type="expression" dxfId="94" priority="91">
      <formula>AND($H11=$H12,$H11&lt;&gt;"")</formula>
    </cfRule>
  </conditionalFormatting>
  <conditionalFormatting sqref="I12">
    <cfRule type="expression" dxfId="93" priority="90">
      <formula>AND($H11=$H12,$H11&lt;&gt;"")</formula>
    </cfRule>
  </conditionalFormatting>
  <conditionalFormatting sqref="I13">
    <cfRule type="expression" dxfId="92" priority="89">
      <formula>AND($H13=$H14,$H13&lt;&gt;"")</formula>
    </cfRule>
  </conditionalFormatting>
  <conditionalFormatting sqref="I14">
    <cfRule type="expression" dxfId="91" priority="88">
      <formula>AND($H13=$H14,$H13&lt;&gt;"")</formula>
    </cfRule>
  </conditionalFormatting>
  <conditionalFormatting sqref="I15">
    <cfRule type="expression" dxfId="90" priority="87">
      <formula>AND($H15=$H16,$H15&lt;&gt;"")</formula>
    </cfRule>
  </conditionalFormatting>
  <conditionalFormatting sqref="I16">
    <cfRule type="expression" dxfId="89" priority="86">
      <formula>AND($H15=$H16,$H15&lt;&gt;"")</formula>
    </cfRule>
  </conditionalFormatting>
  <conditionalFormatting sqref="I17">
    <cfRule type="expression" dxfId="88" priority="85">
      <formula>AND($H17=$H18,$H17&lt;&gt;"")</formula>
    </cfRule>
  </conditionalFormatting>
  <conditionalFormatting sqref="I18">
    <cfRule type="expression" dxfId="87" priority="84">
      <formula>AND($H17=$H18,$H17&lt;&gt;"")</formula>
    </cfRule>
  </conditionalFormatting>
  <conditionalFormatting sqref="I19">
    <cfRule type="expression" dxfId="86" priority="83">
      <formula>AND($H19=$H20,$H19&lt;&gt;"")</formula>
    </cfRule>
  </conditionalFormatting>
  <conditionalFormatting sqref="I20">
    <cfRule type="expression" dxfId="85" priority="82">
      <formula>AND($H19=$H20,$H19&lt;&gt;"")</formula>
    </cfRule>
  </conditionalFormatting>
  <conditionalFormatting sqref="I21">
    <cfRule type="expression" dxfId="84" priority="81">
      <formula>AND($H21=$H22,$H21&lt;&gt;"")</formula>
    </cfRule>
  </conditionalFormatting>
  <conditionalFormatting sqref="I22">
    <cfRule type="expression" dxfId="83" priority="80">
      <formula>AND($H21=$H22,$H21&lt;&gt;"")</formula>
    </cfRule>
  </conditionalFormatting>
  <conditionalFormatting sqref="I26">
    <cfRule type="expression" dxfId="82" priority="79">
      <formula>AND($H26=$H27,$H26&lt;&gt;"")</formula>
    </cfRule>
  </conditionalFormatting>
  <conditionalFormatting sqref="I27">
    <cfRule type="expression" dxfId="81" priority="78">
      <formula>AND($H26=$H27,$H26&lt;&gt;"")</formula>
    </cfRule>
  </conditionalFormatting>
  <conditionalFormatting sqref="I28">
    <cfRule type="expression" dxfId="80" priority="77">
      <formula>AND($H28=$H29,$H28&lt;&gt;"")</formula>
    </cfRule>
  </conditionalFormatting>
  <conditionalFormatting sqref="I29">
    <cfRule type="expression" dxfId="79" priority="76">
      <formula>AND($H28=$H29,$H28&lt;&gt;"")</formula>
    </cfRule>
  </conditionalFormatting>
  <conditionalFormatting sqref="I30">
    <cfRule type="expression" dxfId="78" priority="75">
      <formula>AND($H30=$H31,$H30&lt;&gt;"")</formula>
    </cfRule>
  </conditionalFormatting>
  <conditionalFormatting sqref="I31">
    <cfRule type="expression" dxfId="77" priority="74">
      <formula>AND($H30=$H31,$H30&lt;&gt;"")</formula>
    </cfRule>
  </conditionalFormatting>
  <conditionalFormatting sqref="I32">
    <cfRule type="expression" dxfId="76" priority="73">
      <formula>AND($H32=$H33,$H32&lt;&gt;"")</formula>
    </cfRule>
  </conditionalFormatting>
  <conditionalFormatting sqref="I33">
    <cfRule type="expression" dxfId="75" priority="72">
      <formula>AND($H32=$H33,$H32&lt;&gt;"")</formula>
    </cfRule>
  </conditionalFormatting>
  <conditionalFormatting sqref="I37">
    <cfRule type="expression" dxfId="74" priority="71">
      <formula>AND($H37=$H38,$H37&lt;&gt;"")</formula>
    </cfRule>
  </conditionalFormatting>
  <conditionalFormatting sqref="I38">
    <cfRule type="expression" dxfId="73" priority="70">
      <formula>AND($H37=$H38,$H37&lt;&gt;"")</formula>
    </cfRule>
  </conditionalFormatting>
  <conditionalFormatting sqref="I39">
    <cfRule type="expression" dxfId="72" priority="69">
      <formula>AND($H39=$H40,$H39&lt;&gt;"")</formula>
    </cfRule>
  </conditionalFormatting>
  <conditionalFormatting sqref="I40">
    <cfRule type="expression" dxfId="71" priority="68">
      <formula>AND($H39=$H40,$H39&lt;&gt;"")</formula>
    </cfRule>
  </conditionalFormatting>
  <conditionalFormatting sqref="I44">
    <cfRule type="expression" dxfId="70" priority="67">
      <formula>AND($H44=$H45,$H44&lt;&gt;"")</formula>
    </cfRule>
  </conditionalFormatting>
  <conditionalFormatting sqref="I45">
    <cfRule type="expression" dxfId="69" priority="66">
      <formula>AND($H44=$H45,$H44&lt;&gt;"")</formula>
    </cfRule>
  </conditionalFormatting>
  <conditionalFormatting sqref="K7:K22">
    <cfRule type="expression" dxfId="68" priority="270">
      <formula>$H7&gt;=1</formula>
    </cfRule>
  </conditionalFormatting>
  <conditionalFormatting sqref="K26:K33">
    <cfRule type="expression" dxfId="67" priority="206">
      <formula>$H26&gt;=1</formula>
    </cfRule>
  </conditionalFormatting>
  <conditionalFormatting sqref="K37:K40">
    <cfRule type="expression" dxfId="66" priority="174">
      <formula>$H37&gt;=1</formula>
    </cfRule>
  </conditionalFormatting>
  <conditionalFormatting sqref="K44:K45">
    <cfRule type="expression" dxfId="65" priority="158">
      <formula>$H44&gt;=1</formula>
    </cfRule>
  </conditionalFormatting>
  <conditionalFormatting sqref="L7:L22">
    <cfRule type="expression" dxfId="64" priority="269">
      <formula>$H7&gt;=2</formula>
    </cfRule>
  </conditionalFormatting>
  <conditionalFormatting sqref="L26:L33">
    <cfRule type="expression" dxfId="63" priority="205">
      <formula>$H26&gt;=2</formula>
    </cfRule>
  </conditionalFormatting>
  <conditionalFormatting sqref="L37:L40">
    <cfRule type="expression" dxfId="62" priority="173">
      <formula>$H37&gt;=2</formula>
    </cfRule>
  </conditionalFormatting>
  <conditionalFormatting sqref="L44:L45">
    <cfRule type="expression" dxfId="61" priority="157">
      <formula>$H44&gt;=2</formula>
    </cfRule>
  </conditionalFormatting>
  <conditionalFormatting sqref="M7:M22">
    <cfRule type="expression" dxfId="60" priority="268">
      <formula>$H7&gt;=3</formula>
    </cfRule>
  </conditionalFormatting>
  <conditionalFormatting sqref="M26:M33">
    <cfRule type="expression" dxfId="59" priority="204">
      <formula>$H26&gt;=3</formula>
    </cfRule>
  </conditionalFormatting>
  <conditionalFormatting sqref="M37:M40">
    <cfRule type="expression" dxfId="58" priority="172">
      <formula>$H37&gt;=3</formula>
    </cfRule>
  </conditionalFormatting>
  <conditionalFormatting sqref="M44:M45">
    <cfRule type="expression" dxfId="57" priority="156">
      <formula>$H44&gt;=3</formula>
    </cfRule>
  </conditionalFormatting>
  <conditionalFormatting sqref="N7:N22">
    <cfRule type="expression" dxfId="56" priority="267">
      <formula>$H7&gt;=4</formula>
    </cfRule>
  </conditionalFormatting>
  <conditionalFormatting sqref="N26:N33">
    <cfRule type="expression" dxfId="55" priority="203">
      <formula>$H26&gt;=4</formula>
    </cfRule>
  </conditionalFormatting>
  <conditionalFormatting sqref="N37:N40">
    <cfRule type="expression" dxfId="54" priority="171">
      <formula>$H37&gt;=4</formula>
    </cfRule>
  </conditionalFormatting>
  <conditionalFormatting sqref="N44:N45">
    <cfRule type="expression" dxfId="53" priority="155">
      <formula>$H44&gt;=4</formula>
    </cfRule>
  </conditionalFormatting>
  <conditionalFormatting sqref="O7:O22">
    <cfRule type="expression" dxfId="52" priority="266">
      <formula>$H7&gt;=5</formula>
    </cfRule>
  </conditionalFormatting>
  <conditionalFormatting sqref="O26:O33">
    <cfRule type="expression" dxfId="51" priority="202">
      <formula>$H26&gt;=5</formula>
    </cfRule>
  </conditionalFormatting>
  <conditionalFormatting sqref="O37:O40">
    <cfRule type="expression" dxfId="50" priority="170">
      <formula>$H37&gt;=5</formula>
    </cfRule>
  </conditionalFormatting>
  <conditionalFormatting sqref="O44:O45">
    <cfRule type="expression" dxfId="49" priority="154">
      <formula>$H44&gt;=5</formula>
    </cfRule>
  </conditionalFormatting>
  <conditionalFormatting sqref="P7:P22">
    <cfRule type="expression" dxfId="48" priority="265">
      <formula>$H7&gt;=6</formula>
    </cfRule>
  </conditionalFormatting>
  <conditionalFormatting sqref="P26:P33">
    <cfRule type="expression" dxfId="47" priority="201">
      <formula>$H26&gt;=6</formula>
    </cfRule>
  </conditionalFormatting>
  <conditionalFormatting sqref="P37:P40">
    <cfRule type="expression" dxfId="46" priority="169">
      <formula>$H37&gt;=6</formula>
    </cfRule>
  </conditionalFormatting>
  <conditionalFormatting sqref="P44:P45">
    <cfRule type="expression" dxfId="45" priority="153">
      <formula>$H44&gt;=6</formula>
    </cfRule>
  </conditionalFormatting>
  <conditionalFormatting sqref="Q7:Q22">
    <cfRule type="expression" dxfId="44" priority="264">
      <formula>$H7&gt;=7</formula>
    </cfRule>
  </conditionalFormatting>
  <conditionalFormatting sqref="Q26:Q33">
    <cfRule type="expression" dxfId="43" priority="200">
      <formula>$H26&gt;=7</formula>
    </cfRule>
  </conditionalFormatting>
  <conditionalFormatting sqref="Q37:Q40">
    <cfRule type="expression" dxfId="42" priority="168">
      <formula>$H37&gt;=7</formula>
    </cfRule>
  </conditionalFormatting>
  <conditionalFormatting sqref="Q44:Q45">
    <cfRule type="expression" dxfId="41" priority="152">
      <formula>$H44&gt;=7</formula>
    </cfRule>
  </conditionalFormatting>
  <conditionalFormatting sqref="R7:R22">
    <cfRule type="expression" dxfId="40" priority="263">
      <formula>$H7&gt;=8</formula>
    </cfRule>
  </conditionalFormatting>
  <conditionalFormatting sqref="R26:R33">
    <cfRule type="expression" dxfId="39" priority="199">
      <formula>$H26&gt;=8</formula>
    </cfRule>
  </conditionalFormatting>
  <conditionalFormatting sqref="R37:R40">
    <cfRule type="expression" dxfId="38" priority="167">
      <formula>$H37&gt;=8</formula>
    </cfRule>
  </conditionalFormatting>
  <conditionalFormatting sqref="R44:R45">
    <cfRule type="expression" dxfId="37" priority="151">
      <formula>$H44&gt;=8</formula>
    </cfRule>
  </conditionalFormatting>
  <dataValidations count="30">
    <dataValidation type="list" allowBlank="1" showInputMessage="1" showErrorMessage="1" sqref="K7:R7" xr:uid="{00000000-0002-0000-0300-000000000000}">
      <formula1>QUFI11</formula1>
    </dataValidation>
    <dataValidation type="list" allowBlank="1" showInputMessage="1" showErrorMessage="1" sqref="K8:R8" xr:uid="{00000000-0002-0000-0300-000001000000}">
      <formula1>QUFI12</formula1>
    </dataValidation>
    <dataValidation type="list" allowBlank="1" showInputMessage="1" showErrorMessage="1" sqref="K9:R9" xr:uid="{00000000-0002-0000-0300-000002000000}">
      <formula1>QUFI21</formula1>
    </dataValidation>
    <dataValidation type="list" allowBlank="1" showInputMessage="1" showErrorMessage="1" sqref="K10:R10" xr:uid="{00000000-0002-0000-0300-000003000000}">
      <formula1>QUFI22</formula1>
    </dataValidation>
    <dataValidation type="list" allowBlank="1" showInputMessage="1" showErrorMessage="1" sqref="K11:R11" xr:uid="{00000000-0002-0000-0300-000004000000}">
      <formula1>QUFI31</formula1>
    </dataValidation>
    <dataValidation type="list" allowBlank="1" showInputMessage="1" showErrorMessage="1" sqref="K12:R12" xr:uid="{00000000-0002-0000-0300-000005000000}">
      <formula1>QUFI32</formula1>
    </dataValidation>
    <dataValidation type="list" allowBlank="1" showInputMessage="1" showErrorMessage="1" sqref="K13:R13" xr:uid="{00000000-0002-0000-0300-000006000000}">
      <formula1>QUFI41</formula1>
    </dataValidation>
    <dataValidation type="list" allowBlank="1" showInputMessage="1" showErrorMessage="1" sqref="K14:R14" xr:uid="{00000000-0002-0000-0300-000007000000}">
      <formula1>QUFI42</formula1>
    </dataValidation>
    <dataValidation type="list" allowBlank="1" showInputMessage="1" showErrorMessage="1" sqref="K15:R15" xr:uid="{00000000-0002-0000-0300-000008000000}">
      <formula1>QUFI51</formula1>
    </dataValidation>
    <dataValidation type="list" allowBlank="1" showInputMessage="1" showErrorMessage="1" sqref="K16:R16" xr:uid="{00000000-0002-0000-0300-000009000000}">
      <formula1>QUFI52</formula1>
    </dataValidation>
    <dataValidation type="list" allowBlank="1" showInputMessage="1" showErrorMessage="1" sqref="K17:R17" xr:uid="{00000000-0002-0000-0300-00000A000000}">
      <formula1>QUFI61</formula1>
    </dataValidation>
    <dataValidation type="list" allowBlank="1" showInputMessage="1" showErrorMessage="1" sqref="K18:R18" xr:uid="{00000000-0002-0000-0300-00000B000000}">
      <formula1>QUFI62</formula1>
    </dataValidation>
    <dataValidation type="list" allowBlank="1" showInputMessage="1" showErrorMessage="1" sqref="K19:R19" xr:uid="{00000000-0002-0000-0300-00000C000000}">
      <formula1>QUFI71</formula1>
    </dataValidation>
    <dataValidation type="list" allowBlank="1" showInputMessage="1" showErrorMessage="1" sqref="K20:R20" xr:uid="{00000000-0002-0000-0300-00000D000000}">
      <formula1>QUFI72</formula1>
    </dataValidation>
    <dataValidation type="list" allowBlank="1" showInputMessage="1" showErrorMessage="1" sqref="K21:R21" xr:uid="{00000000-0002-0000-0300-00000E000000}">
      <formula1>QUFI81</formula1>
    </dataValidation>
    <dataValidation type="list" allowBlank="1" showInputMessage="1" showErrorMessage="1" sqref="K22:R22" xr:uid="{00000000-0002-0000-0300-00000F000000}">
      <formula1>QUFI82</formula1>
    </dataValidation>
    <dataValidation type="list" allowBlank="1" showInputMessage="1" showErrorMessage="1" sqref="K26:R26" xr:uid="{00000000-0002-0000-0300-000010000000}">
      <formula1>BIGQ11</formula1>
    </dataValidation>
    <dataValidation type="list" allowBlank="1" showInputMessage="1" showErrorMessage="1" sqref="K27:R27" xr:uid="{00000000-0002-0000-0300-000011000000}">
      <formula1>BIGQ12</formula1>
    </dataValidation>
    <dataValidation type="list" allowBlank="1" showInputMessage="1" showErrorMessage="1" sqref="K28:R28" xr:uid="{00000000-0002-0000-0300-000012000000}">
      <formula1>BIGQ21</formula1>
    </dataValidation>
    <dataValidation type="list" allowBlank="1" showInputMessage="1" showErrorMessage="1" sqref="K29:R29" xr:uid="{00000000-0002-0000-0300-000013000000}">
      <formula1>BIGQ22</formula1>
    </dataValidation>
    <dataValidation type="list" allowBlank="1" showInputMessage="1" showErrorMessage="1" sqref="K30:R30" xr:uid="{00000000-0002-0000-0300-000014000000}">
      <formula1>BIGQ31</formula1>
    </dataValidation>
    <dataValidation type="list" allowBlank="1" showInputMessage="1" showErrorMessage="1" sqref="K31:R31" xr:uid="{00000000-0002-0000-0300-000015000000}">
      <formula1>BIGQ32</formula1>
    </dataValidation>
    <dataValidation type="list" allowBlank="1" showInputMessage="1" showErrorMessage="1" sqref="K32:R32" xr:uid="{00000000-0002-0000-0300-000016000000}">
      <formula1>BIGQ41</formula1>
    </dataValidation>
    <dataValidation type="list" allowBlank="1" showInputMessage="1" showErrorMessage="1" sqref="K33:R33" xr:uid="{00000000-0002-0000-0300-000017000000}">
      <formula1>BIGQ42</formula1>
    </dataValidation>
    <dataValidation type="list" allowBlank="1" showInputMessage="1" showErrorMessage="1" sqref="K37:R37" xr:uid="{00000000-0002-0000-0300-000018000000}">
      <formula1>SEFI11</formula1>
    </dataValidation>
    <dataValidation type="list" allowBlank="1" showInputMessage="1" showErrorMessage="1" sqref="K38:R38" xr:uid="{00000000-0002-0000-0300-000019000000}">
      <formula1>SEFI12</formula1>
    </dataValidation>
    <dataValidation type="list" allowBlank="1" showInputMessage="1" showErrorMessage="1" sqref="K39:R39" xr:uid="{00000000-0002-0000-0300-00001A000000}">
      <formula1>SEFI21</formula1>
    </dataValidation>
    <dataValidation type="list" allowBlank="1" showInputMessage="1" showErrorMessage="1" sqref="K40:R40" xr:uid="{00000000-0002-0000-0300-00001B000000}">
      <formula1>SEFI22</formula1>
    </dataValidation>
    <dataValidation type="list" allowBlank="1" showInputMessage="1" showErrorMessage="1" sqref="K44:R44" xr:uid="{00000000-0002-0000-0300-00001C000000}">
      <formula1>FINAL11</formula1>
    </dataValidation>
    <dataValidation type="list" allowBlank="1" showInputMessage="1" showErrorMessage="1" sqref="K45:R45" xr:uid="{00000000-0002-0000-0300-00001D000000}">
      <formula1>FINAL12</formula1>
    </dataValidation>
  </dataValidations>
  <printOptions horizontalCentered="1" verticalCentered="1"/>
  <pageMargins left="0.39" right="0.32" top="0.28999999999999998" bottom="0.39" header="0.21" footer="0.26"/>
  <pageSetup scale="49" orientation="portrait" horizontalDpi="300" verticalDpi="300" r:id="rId1"/>
  <headerFooter alignWithMargins="0">
    <oddFooter>&amp;C
copyright (c) exceltemplate.net 2013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H45"/>
  <sheetViews>
    <sheetView showGridLines="0" workbookViewId="0">
      <pane ySplit="5" topLeftCell="A6" activePane="bottomLeft" state="frozen"/>
      <selection pane="bottomLeft" activeCell="E21" sqref="E21"/>
    </sheetView>
  </sheetViews>
  <sheetFormatPr defaultColWidth="8.85546875" defaultRowHeight="12.75" zeroHeight="1" x14ac:dyDescent="0.2"/>
  <cols>
    <col min="1" max="1" width="1.5703125" style="182" customWidth="1"/>
    <col min="2" max="2" width="12" style="181" customWidth="1"/>
    <col min="3" max="26" width="20.7109375" style="182" customWidth="1"/>
    <col min="27" max="27" width="4.42578125" style="182" customWidth="1"/>
    <col min="28" max="34" width="17.85546875" style="182" customWidth="1"/>
    <col min="35" max="35" width="8.85546875" style="182" customWidth="1"/>
    <col min="36" max="16384" width="8.85546875" style="182"/>
  </cols>
  <sheetData>
    <row r="1" spans="2:26" s="33" customFormat="1" ht="5.0999999999999996" customHeight="1" x14ac:dyDescent="0.2">
      <c r="D1" s="34"/>
      <c r="H1" s="34"/>
      <c r="K1" s="191">
        <v>1</v>
      </c>
      <c r="L1" s="191">
        <v>2</v>
      </c>
      <c r="M1" s="191">
        <v>3</v>
      </c>
      <c r="N1" s="191">
        <v>4</v>
      </c>
      <c r="O1" s="191">
        <v>5</v>
      </c>
      <c r="P1" s="191">
        <v>6</v>
      </c>
      <c r="Q1" s="191">
        <v>7</v>
      </c>
      <c r="R1" s="191">
        <v>8</v>
      </c>
    </row>
    <row r="2" spans="2:26" s="20" customFormat="1" ht="5.0999999999999996" customHeight="1" x14ac:dyDescent="0.2">
      <c r="D2" s="165"/>
      <c r="H2" s="165"/>
    </row>
    <row r="3" spans="2:26" s="183" customFormat="1" ht="30" customHeight="1" x14ac:dyDescent="0.2">
      <c r="B3" s="122" t="s">
        <v>1063</v>
      </c>
      <c r="D3" s="122"/>
      <c r="E3" s="122"/>
      <c r="F3" s="122"/>
      <c r="G3" s="122"/>
      <c r="H3" s="189"/>
      <c r="I3" s="122"/>
      <c r="J3" s="122"/>
      <c r="K3" s="122"/>
      <c r="L3" s="122"/>
      <c r="M3" s="122"/>
      <c r="N3" s="122"/>
      <c r="O3" s="122"/>
      <c r="P3" s="122"/>
      <c r="Q3" s="122"/>
      <c r="R3" s="122"/>
    </row>
    <row r="4" spans="2:26" ht="5.0999999999999996" customHeight="1" x14ac:dyDescent="0.2"/>
    <row r="5" spans="2:26" ht="15" customHeight="1" x14ac:dyDescent="0.2">
      <c r="B5" s="250" t="str">
        <f>'Group Stages'!F5&amp;"&gt;&gt;"</f>
        <v>Country&gt;&gt;</v>
      </c>
      <c r="C5" s="251" t="str">
        <f>'Dummy Table'!$EH7</f>
        <v>Germany</v>
      </c>
      <c r="D5" s="251" t="str">
        <f>'Dummy Table'!$EH8</f>
        <v>Scotland</v>
      </c>
      <c r="E5" s="251" t="str">
        <f>'Dummy Table'!$EH9</f>
        <v>Hungary</v>
      </c>
      <c r="F5" s="251" t="str">
        <f>'Dummy Table'!$EH10</f>
        <v>Switzerland</v>
      </c>
      <c r="G5" s="251" t="str">
        <f>'Dummy Table'!$EH11</f>
        <v>Italy</v>
      </c>
      <c r="H5" s="251" t="str">
        <f>'Dummy Table'!$EH12</f>
        <v>Albania</v>
      </c>
      <c r="I5" s="251" t="str">
        <f>'Dummy Table'!$EH13</f>
        <v>Spain</v>
      </c>
      <c r="J5" s="251" t="str">
        <f>'Dummy Table'!$EH14</f>
        <v>Croatia</v>
      </c>
      <c r="K5" s="251" t="str">
        <f>'Dummy Table'!$EH15</f>
        <v>Serbia</v>
      </c>
      <c r="L5" s="251" t="str">
        <f>'Dummy Table'!$EH16</f>
        <v>England</v>
      </c>
      <c r="M5" s="251" t="str">
        <f>'Dummy Table'!$EH17</f>
        <v>Slovenia</v>
      </c>
      <c r="N5" s="251" t="str">
        <f>'Dummy Table'!$EH18</f>
        <v>Denmark</v>
      </c>
      <c r="O5" s="251" t="str">
        <f>'Dummy Table'!$EH19</f>
        <v>Poland</v>
      </c>
      <c r="P5" s="251" t="str">
        <f>'Dummy Table'!$EH20</f>
        <v>Netherlands</v>
      </c>
      <c r="Q5" s="251" t="str">
        <f>'Dummy Table'!$EH21</f>
        <v>Austria</v>
      </c>
      <c r="R5" s="251" t="str">
        <f>'Dummy Table'!$EH22</f>
        <v>France</v>
      </c>
      <c r="S5" s="251" t="str">
        <f>'Dummy Table'!$EH23</f>
        <v>Belgium</v>
      </c>
      <c r="T5" s="251" t="str">
        <f>'Dummy Table'!$EH24</f>
        <v>Slovakia</v>
      </c>
      <c r="U5" s="251" t="str">
        <f>'Dummy Table'!$EH25</f>
        <v>Romania</v>
      </c>
      <c r="V5" s="251" t="str">
        <f>'Dummy Table'!$EH26</f>
        <v>Ukraine</v>
      </c>
      <c r="W5" s="251" t="str">
        <f>'Dummy Table'!$EH27</f>
        <v>Portugal</v>
      </c>
      <c r="X5" s="251" t="str">
        <f>'Dummy Table'!$EH28</f>
        <v>Czechia</v>
      </c>
      <c r="Y5" s="251" t="str">
        <f>'Dummy Table'!$EH29</f>
        <v>Türkiye</v>
      </c>
      <c r="Z5" s="251" t="str">
        <f>'Dummy Table'!$EH30</f>
        <v>Georgia</v>
      </c>
    </row>
    <row r="6" spans="2:26" ht="15" customHeight="1" x14ac:dyDescent="0.2">
      <c r="B6" s="248" t="s">
        <v>833</v>
      </c>
      <c r="C6" s="249" t="s">
        <v>835</v>
      </c>
      <c r="D6" s="249" t="s">
        <v>1174</v>
      </c>
      <c r="E6" s="249" t="s">
        <v>1285</v>
      </c>
      <c r="F6" s="249" t="s">
        <v>834</v>
      </c>
      <c r="G6" s="249" t="s">
        <v>929</v>
      </c>
      <c r="H6" s="249" t="s">
        <v>1064</v>
      </c>
      <c r="I6" s="249" t="s">
        <v>1191</v>
      </c>
      <c r="J6" s="249" t="s">
        <v>1287</v>
      </c>
      <c r="K6" s="249" t="s">
        <v>1288</v>
      </c>
      <c r="L6" s="249" t="s">
        <v>959</v>
      </c>
      <c r="M6" s="249" t="s">
        <v>1184</v>
      </c>
      <c r="N6" s="249" t="s">
        <v>940</v>
      </c>
      <c r="O6" s="249" t="s">
        <v>1289</v>
      </c>
      <c r="P6" s="249" t="s">
        <v>1153</v>
      </c>
      <c r="Q6" s="249" t="s">
        <v>1290</v>
      </c>
      <c r="R6" s="249" t="s">
        <v>1121</v>
      </c>
      <c r="S6" s="249" t="s">
        <v>1090</v>
      </c>
      <c r="T6" s="249" t="s">
        <v>1291</v>
      </c>
      <c r="U6" s="249" t="s">
        <v>1292</v>
      </c>
      <c r="V6" s="249" t="s">
        <v>1247</v>
      </c>
      <c r="W6" s="249" t="s">
        <v>1293</v>
      </c>
      <c r="X6" s="249" t="s">
        <v>1104</v>
      </c>
      <c r="Y6" s="249" t="s">
        <v>1294</v>
      </c>
      <c r="Z6" s="249" t="s">
        <v>1265</v>
      </c>
    </row>
    <row r="7" spans="2:26" ht="15" customHeight="1" x14ac:dyDescent="0.2">
      <c r="B7" s="247" t="s">
        <v>836</v>
      </c>
      <c r="C7" s="246" t="s">
        <v>1295</v>
      </c>
      <c r="D7" s="246" t="s">
        <v>1177</v>
      </c>
      <c r="E7" s="246" t="s">
        <v>1296</v>
      </c>
      <c r="F7" s="246" t="s">
        <v>1390</v>
      </c>
      <c r="G7" s="246" t="s">
        <v>925</v>
      </c>
      <c r="H7" s="246" t="s">
        <v>1067</v>
      </c>
      <c r="I7" s="246" t="s">
        <v>1193</v>
      </c>
      <c r="J7" s="246" t="s">
        <v>1297</v>
      </c>
      <c r="K7" s="246" t="s">
        <v>1298</v>
      </c>
      <c r="L7" s="246" t="s">
        <v>837</v>
      </c>
      <c r="M7" s="246" t="s">
        <v>1300</v>
      </c>
      <c r="N7" s="246" t="s">
        <v>941</v>
      </c>
      <c r="O7" s="246" t="s">
        <v>1240</v>
      </c>
      <c r="P7" s="246" t="s">
        <v>1156</v>
      </c>
      <c r="Q7" s="246" t="s">
        <v>1357</v>
      </c>
      <c r="R7" s="246" t="s">
        <v>977</v>
      </c>
      <c r="S7" s="246" t="s">
        <v>1091</v>
      </c>
      <c r="T7" s="246" t="s">
        <v>1336</v>
      </c>
      <c r="U7" s="246" t="s">
        <v>1386</v>
      </c>
      <c r="V7" s="246" t="s">
        <v>1254</v>
      </c>
      <c r="W7" s="246" t="s">
        <v>1304</v>
      </c>
      <c r="X7" s="246" t="s">
        <v>958</v>
      </c>
      <c r="Y7" s="246" t="s">
        <v>1305</v>
      </c>
      <c r="Z7" s="246" t="s">
        <v>1268</v>
      </c>
    </row>
    <row r="8" spans="2:26" ht="15" customHeight="1" x14ac:dyDescent="0.2">
      <c r="B8" s="247" t="s">
        <v>838</v>
      </c>
      <c r="C8" s="246" t="s">
        <v>1132</v>
      </c>
      <c r="D8" s="246" t="s">
        <v>1306</v>
      </c>
      <c r="E8" s="246" t="s">
        <v>1139</v>
      </c>
      <c r="F8" s="246" t="s">
        <v>1367</v>
      </c>
      <c r="G8" s="246" t="s">
        <v>1146</v>
      </c>
      <c r="H8" s="246" t="s">
        <v>1068</v>
      </c>
      <c r="I8" s="246" t="s">
        <v>1192</v>
      </c>
      <c r="J8" s="246" t="s">
        <v>1308</v>
      </c>
      <c r="K8" s="246" t="s">
        <v>1309</v>
      </c>
      <c r="L8" s="246" t="s">
        <v>1310</v>
      </c>
      <c r="M8" s="246" t="s">
        <v>1186</v>
      </c>
      <c r="N8" s="246" t="s">
        <v>942</v>
      </c>
      <c r="O8" s="246" t="s">
        <v>1395</v>
      </c>
      <c r="P8" s="246" t="s">
        <v>953</v>
      </c>
      <c r="Q8" s="246" t="s">
        <v>1407</v>
      </c>
      <c r="R8" s="246" t="s">
        <v>1313</v>
      </c>
      <c r="S8" s="246" t="s">
        <v>1092</v>
      </c>
      <c r="T8" s="246" t="s">
        <v>971</v>
      </c>
      <c r="U8" s="246" t="s">
        <v>1397</v>
      </c>
      <c r="V8" s="246" t="s">
        <v>1315</v>
      </c>
      <c r="W8" s="246" t="s">
        <v>839</v>
      </c>
      <c r="X8" s="246" t="s">
        <v>1316</v>
      </c>
      <c r="Y8" s="246" t="s">
        <v>935</v>
      </c>
      <c r="Z8" s="246" t="s">
        <v>1269</v>
      </c>
    </row>
    <row r="9" spans="2:26" ht="15" customHeight="1" x14ac:dyDescent="0.2">
      <c r="B9" s="247" t="s">
        <v>840</v>
      </c>
      <c r="C9" s="246" t="s">
        <v>1131</v>
      </c>
      <c r="D9" s="246" t="s">
        <v>962</v>
      </c>
      <c r="E9" s="246" t="s">
        <v>982</v>
      </c>
      <c r="F9" s="246" t="s">
        <v>841</v>
      </c>
      <c r="G9" s="246" t="s">
        <v>1147</v>
      </c>
      <c r="H9" s="246" t="s">
        <v>1069</v>
      </c>
      <c r="I9" s="246" t="s">
        <v>1354</v>
      </c>
      <c r="J9" s="246" t="s">
        <v>1318</v>
      </c>
      <c r="K9" s="246" t="s">
        <v>1319</v>
      </c>
      <c r="L9" s="246" t="s">
        <v>960</v>
      </c>
      <c r="M9" s="246" t="s">
        <v>1607</v>
      </c>
      <c r="N9" s="246" t="s">
        <v>1321</v>
      </c>
      <c r="O9" s="246" t="s">
        <v>1241</v>
      </c>
      <c r="P9" s="246" t="s">
        <v>1155</v>
      </c>
      <c r="Q9" s="246" t="s">
        <v>1082</v>
      </c>
      <c r="R9" s="246" t="s">
        <v>1124</v>
      </c>
      <c r="S9" s="246" t="s">
        <v>1093</v>
      </c>
      <c r="T9" s="246" t="s">
        <v>1417</v>
      </c>
      <c r="U9" s="246" t="s">
        <v>1167</v>
      </c>
      <c r="V9" s="246" t="s">
        <v>1322</v>
      </c>
      <c r="W9" s="246" t="s">
        <v>1323</v>
      </c>
      <c r="X9" s="246" t="s">
        <v>1324</v>
      </c>
      <c r="Y9" s="246" t="s">
        <v>1202</v>
      </c>
      <c r="Z9" s="246" t="s">
        <v>1270</v>
      </c>
    </row>
    <row r="10" spans="2:26" ht="15" customHeight="1" x14ac:dyDescent="0.2">
      <c r="B10" s="247" t="s">
        <v>842</v>
      </c>
      <c r="C10" s="246" t="s">
        <v>1325</v>
      </c>
      <c r="D10" s="246" t="s">
        <v>963</v>
      </c>
      <c r="E10" s="246" t="s">
        <v>1326</v>
      </c>
      <c r="F10" s="246" t="s">
        <v>931</v>
      </c>
      <c r="G10" s="246" t="s">
        <v>1449</v>
      </c>
      <c r="H10" s="246" t="s">
        <v>1329</v>
      </c>
      <c r="I10" s="246" t="s">
        <v>1414</v>
      </c>
      <c r="J10" s="246" t="s">
        <v>1330</v>
      </c>
      <c r="K10" s="246" t="s">
        <v>1331</v>
      </c>
      <c r="L10" s="246" t="s">
        <v>863</v>
      </c>
      <c r="M10" s="246" t="s">
        <v>1332</v>
      </c>
      <c r="N10" s="246" t="s">
        <v>1333</v>
      </c>
      <c r="O10" s="246" t="s">
        <v>1237</v>
      </c>
      <c r="P10" s="246" t="s">
        <v>1334</v>
      </c>
      <c r="Q10" s="246" t="s">
        <v>949</v>
      </c>
      <c r="R10" s="246" t="s">
        <v>1335</v>
      </c>
      <c r="S10" s="246" t="s">
        <v>843</v>
      </c>
      <c r="T10" s="246" t="s">
        <v>1560</v>
      </c>
      <c r="U10" s="246" t="s">
        <v>1360</v>
      </c>
      <c r="V10" s="246" t="s">
        <v>1257</v>
      </c>
      <c r="W10" s="246" t="s">
        <v>1164</v>
      </c>
      <c r="X10" s="246" t="s">
        <v>1338</v>
      </c>
      <c r="Y10" s="246" t="s">
        <v>1339</v>
      </c>
      <c r="Z10" s="246" t="s">
        <v>1271</v>
      </c>
    </row>
    <row r="11" spans="2:26" ht="15" customHeight="1" x14ac:dyDescent="0.2">
      <c r="B11" s="247" t="s">
        <v>844</v>
      </c>
      <c r="C11" s="246" t="s">
        <v>873</v>
      </c>
      <c r="D11" s="246" t="s">
        <v>964</v>
      </c>
      <c r="E11" s="246" t="s">
        <v>1340</v>
      </c>
      <c r="F11" s="246" t="s">
        <v>860</v>
      </c>
      <c r="G11" s="246" t="s">
        <v>1576</v>
      </c>
      <c r="H11" s="246" t="s">
        <v>1070</v>
      </c>
      <c r="I11" s="246" t="s">
        <v>1194</v>
      </c>
      <c r="J11" s="246" t="s">
        <v>1342</v>
      </c>
      <c r="K11" s="246" t="s">
        <v>1181</v>
      </c>
      <c r="L11" s="246" t="s">
        <v>1343</v>
      </c>
      <c r="M11" s="246" t="s">
        <v>1187</v>
      </c>
      <c r="N11" s="246" t="s">
        <v>943</v>
      </c>
      <c r="O11" s="246" t="s">
        <v>1546</v>
      </c>
      <c r="P11" s="246" t="s">
        <v>954</v>
      </c>
      <c r="Q11" s="246" t="s">
        <v>1084</v>
      </c>
      <c r="R11" s="246" t="s">
        <v>1126</v>
      </c>
      <c r="S11" s="246" t="s">
        <v>1345</v>
      </c>
      <c r="T11" s="246" t="s">
        <v>1359</v>
      </c>
      <c r="U11" s="246" t="s">
        <v>1172</v>
      </c>
      <c r="V11" s="246" t="s">
        <v>1348</v>
      </c>
      <c r="W11" s="246" t="s">
        <v>1349</v>
      </c>
      <c r="X11" s="246" t="s">
        <v>1350</v>
      </c>
      <c r="Y11" s="246" t="s">
        <v>1351</v>
      </c>
      <c r="Z11" s="246" t="s">
        <v>1277</v>
      </c>
    </row>
    <row r="12" spans="2:26" ht="15" customHeight="1" x14ac:dyDescent="0.2">
      <c r="B12" s="247" t="s">
        <v>846</v>
      </c>
      <c r="C12" s="246" t="s">
        <v>980</v>
      </c>
      <c r="D12" s="246" t="s">
        <v>965</v>
      </c>
      <c r="E12" s="246" t="s">
        <v>1352</v>
      </c>
      <c r="F12" s="246" t="s">
        <v>1501</v>
      </c>
      <c r="G12" s="246" t="s">
        <v>1151</v>
      </c>
      <c r="H12" s="246" t="s">
        <v>1353</v>
      </c>
      <c r="I12" s="246" t="s">
        <v>1540</v>
      </c>
      <c r="J12" s="246" t="s">
        <v>1102</v>
      </c>
      <c r="K12" s="246" t="s">
        <v>1355</v>
      </c>
      <c r="L12" s="246" t="s">
        <v>1119</v>
      </c>
      <c r="M12" s="246" t="s">
        <v>1356</v>
      </c>
      <c r="N12" s="246" t="s">
        <v>1109</v>
      </c>
      <c r="O12" s="246" t="s">
        <v>1608</v>
      </c>
      <c r="P12" s="246" t="s">
        <v>1158</v>
      </c>
      <c r="Q12" s="246" t="s">
        <v>1601</v>
      </c>
      <c r="R12" s="246" t="s">
        <v>847</v>
      </c>
      <c r="S12" s="246" t="s">
        <v>1358</v>
      </c>
      <c r="T12" s="246" t="s">
        <v>1602</v>
      </c>
      <c r="U12" s="246" t="s">
        <v>1603</v>
      </c>
      <c r="V12" s="246" t="s">
        <v>1361</v>
      </c>
      <c r="W12" s="246" t="s">
        <v>848</v>
      </c>
      <c r="X12" s="246" t="s">
        <v>1362</v>
      </c>
      <c r="Y12" s="246" t="s">
        <v>1363</v>
      </c>
      <c r="Z12" s="246" t="s">
        <v>1284</v>
      </c>
    </row>
    <row r="13" spans="2:26" ht="15" customHeight="1" x14ac:dyDescent="0.2">
      <c r="B13" s="247" t="s">
        <v>849</v>
      </c>
      <c r="C13" s="246" t="s">
        <v>1364</v>
      </c>
      <c r="D13" s="246" t="s">
        <v>1365</v>
      </c>
      <c r="E13" s="246" t="s">
        <v>1366</v>
      </c>
      <c r="F13" s="246" t="s">
        <v>932</v>
      </c>
      <c r="G13" s="246" t="s">
        <v>926</v>
      </c>
      <c r="H13" s="246" t="s">
        <v>1072</v>
      </c>
      <c r="I13" s="246" t="s">
        <v>1436</v>
      </c>
      <c r="J13" s="246" t="s">
        <v>1368</v>
      </c>
      <c r="K13" s="246" t="s">
        <v>1369</v>
      </c>
      <c r="L13" s="246" t="s">
        <v>1370</v>
      </c>
      <c r="M13" s="246" t="s">
        <v>1371</v>
      </c>
      <c r="N13" s="246" t="s">
        <v>944</v>
      </c>
      <c r="O13" s="246" t="s">
        <v>1243</v>
      </c>
      <c r="P13" s="246" t="s">
        <v>1372</v>
      </c>
      <c r="Q13" s="246" t="s">
        <v>1559</v>
      </c>
      <c r="R13" s="246" t="s">
        <v>1373</v>
      </c>
      <c r="S13" s="246" t="s">
        <v>937</v>
      </c>
      <c r="T13" s="246" t="s">
        <v>870</v>
      </c>
      <c r="U13" s="246" t="s">
        <v>1456</v>
      </c>
      <c r="V13" s="246" t="s">
        <v>1259</v>
      </c>
      <c r="W13" s="246" t="s">
        <v>985</v>
      </c>
      <c r="X13" s="246" t="s">
        <v>1609</v>
      </c>
      <c r="Y13" s="246" t="s">
        <v>1610</v>
      </c>
      <c r="Z13" s="246" t="s">
        <v>1282</v>
      </c>
    </row>
    <row r="14" spans="2:26" ht="15" customHeight="1" x14ac:dyDescent="0.2">
      <c r="B14" s="247" t="s">
        <v>850</v>
      </c>
      <c r="C14" s="246" t="s">
        <v>1376</v>
      </c>
      <c r="D14" s="246" t="s">
        <v>1480</v>
      </c>
      <c r="E14" s="246" t="s">
        <v>1378</v>
      </c>
      <c r="F14" s="246" t="s">
        <v>1200</v>
      </c>
      <c r="G14" s="246" t="s">
        <v>1470</v>
      </c>
      <c r="H14" s="246" t="s">
        <v>1077</v>
      </c>
      <c r="I14" s="246" t="s">
        <v>1611</v>
      </c>
      <c r="J14" s="246" t="s">
        <v>1381</v>
      </c>
      <c r="K14" s="246" t="s">
        <v>1382</v>
      </c>
      <c r="L14" s="246" t="s">
        <v>852</v>
      </c>
      <c r="M14" s="246" t="s">
        <v>1383</v>
      </c>
      <c r="N14" s="246" t="s">
        <v>1384</v>
      </c>
      <c r="O14" s="246" t="s">
        <v>1246</v>
      </c>
      <c r="P14" s="246" t="s">
        <v>1385</v>
      </c>
      <c r="Q14" s="246" t="s">
        <v>868</v>
      </c>
      <c r="R14" s="246" t="s">
        <v>851</v>
      </c>
      <c r="S14" s="246" t="s">
        <v>1099</v>
      </c>
      <c r="T14" s="246" t="s">
        <v>1571</v>
      </c>
      <c r="U14" s="246" t="s">
        <v>1587</v>
      </c>
      <c r="V14" s="246" t="s">
        <v>1263</v>
      </c>
      <c r="W14" s="246" t="s">
        <v>1387</v>
      </c>
      <c r="X14" s="246" t="s">
        <v>1388</v>
      </c>
      <c r="Y14" s="246" t="s">
        <v>1389</v>
      </c>
      <c r="Z14" s="246" t="s">
        <v>1279</v>
      </c>
    </row>
    <row r="15" spans="2:26" ht="15" customHeight="1" x14ac:dyDescent="0.2">
      <c r="B15" s="247" t="s">
        <v>854</v>
      </c>
      <c r="C15" s="246" t="s">
        <v>981</v>
      </c>
      <c r="D15" s="246" t="s">
        <v>1377</v>
      </c>
      <c r="E15" s="246" t="s">
        <v>1141</v>
      </c>
      <c r="F15" s="246" t="s">
        <v>855</v>
      </c>
      <c r="G15" s="246" t="s">
        <v>1391</v>
      </c>
      <c r="H15" s="246" t="s">
        <v>1073</v>
      </c>
      <c r="I15" s="246" t="s">
        <v>974</v>
      </c>
      <c r="J15" s="246" t="s">
        <v>1393</v>
      </c>
      <c r="K15" s="246" t="s">
        <v>1394</v>
      </c>
      <c r="L15" s="246" t="s">
        <v>1116</v>
      </c>
      <c r="M15" s="246" t="s">
        <v>1188</v>
      </c>
      <c r="N15" s="246" t="s">
        <v>945</v>
      </c>
      <c r="O15" s="246" t="s">
        <v>1441</v>
      </c>
      <c r="P15" s="246" t="s">
        <v>955</v>
      </c>
      <c r="Q15" s="246" t="s">
        <v>950</v>
      </c>
      <c r="R15" s="246" t="s">
        <v>1396</v>
      </c>
      <c r="S15" s="246" t="s">
        <v>853</v>
      </c>
      <c r="T15" s="246" t="s">
        <v>1612</v>
      </c>
      <c r="U15" s="246" t="s">
        <v>1170</v>
      </c>
      <c r="V15" s="246" t="s">
        <v>1398</v>
      </c>
      <c r="W15" s="246" t="s">
        <v>984</v>
      </c>
      <c r="X15" s="246" t="s">
        <v>1399</v>
      </c>
      <c r="Y15" s="246" t="s">
        <v>1400</v>
      </c>
      <c r="Z15" s="246" t="s">
        <v>1280</v>
      </c>
    </row>
    <row r="16" spans="2:26" ht="15" customHeight="1" x14ac:dyDescent="0.2">
      <c r="B16" s="247" t="s">
        <v>856</v>
      </c>
      <c r="C16" s="246" t="s">
        <v>1401</v>
      </c>
      <c r="D16" s="246" t="s">
        <v>966</v>
      </c>
      <c r="E16" s="246" t="s">
        <v>1140</v>
      </c>
      <c r="F16" s="246" t="s">
        <v>1198</v>
      </c>
      <c r="G16" s="246" t="s">
        <v>930</v>
      </c>
      <c r="H16" s="246" t="s">
        <v>1402</v>
      </c>
      <c r="I16" s="246" t="s">
        <v>1555</v>
      </c>
      <c r="J16" s="246" t="s">
        <v>1404</v>
      </c>
      <c r="K16" s="246" t="s">
        <v>1405</v>
      </c>
      <c r="L16" s="246" t="s">
        <v>961</v>
      </c>
      <c r="M16" s="246" t="s">
        <v>1406</v>
      </c>
      <c r="N16" s="246" t="s">
        <v>946</v>
      </c>
      <c r="O16" s="246" t="s">
        <v>1242</v>
      </c>
      <c r="P16" s="246" t="s">
        <v>1162</v>
      </c>
      <c r="Q16" s="246" t="s">
        <v>1613</v>
      </c>
      <c r="R16" s="246" t="s">
        <v>1408</v>
      </c>
      <c r="S16" s="246" t="s">
        <v>1409</v>
      </c>
      <c r="T16" s="246" t="s">
        <v>1520</v>
      </c>
      <c r="U16" s="246" t="s">
        <v>1337</v>
      </c>
      <c r="V16" s="246" t="s">
        <v>1264</v>
      </c>
      <c r="W16" s="246" t="s">
        <v>1410</v>
      </c>
      <c r="X16" s="246" t="s">
        <v>1411</v>
      </c>
      <c r="Y16" s="246" t="s">
        <v>1412</v>
      </c>
      <c r="Z16" s="246" t="s">
        <v>1283</v>
      </c>
    </row>
    <row r="17" spans="2:26" ht="15" customHeight="1" x14ac:dyDescent="0.2">
      <c r="B17" s="247" t="s">
        <v>857</v>
      </c>
      <c r="C17" s="246" t="s">
        <v>1130</v>
      </c>
      <c r="D17" s="246" t="s">
        <v>1176</v>
      </c>
      <c r="E17" s="246" t="s">
        <v>1413</v>
      </c>
      <c r="F17" s="246" t="s">
        <v>934</v>
      </c>
      <c r="G17" s="246" t="s">
        <v>1144</v>
      </c>
      <c r="H17" s="246" t="s">
        <v>1065</v>
      </c>
      <c r="I17" s="246" t="s">
        <v>1403</v>
      </c>
      <c r="J17" s="246" t="s">
        <v>1415</v>
      </c>
      <c r="K17" s="246" t="s">
        <v>1416</v>
      </c>
      <c r="L17" s="246" t="s">
        <v>1299</v>
      </c>
      <c r="M17" s="246" t="s">
        <v>1185</v>
      </c>
      <c r="N17" s="246" t="s">
        <v>947</v>
      </c>
      <c r="O17" s="246" t="s">
        <v>1301</v>
      </c>
      <c r="P17" s="246" t="s">
        <v>1157</v>
      </c>
      <c r="Q17" s="246" t="s">
        <v>1312</v>
      </c>
      <c r="R17" s="246" t="s">
        <v>1128</v>
      </c>
      <c r="S17" s="246" t="s">
        <v>1089</v>
      </c>
      <c r="T17" s="246" t="s">
        <v>1302</v>
      </c>
      <c r="U17" s="246" t="s">
        <v>1303</v>
      </c>
      <c r="V17" s="246" t="s">
        <v>1248</v>
      </c>
      <c r="W17" s="246" t="s">
        <v>1419</v>
      </c>
      <c r="X17" s="246" t="s">
        <v>1420</v>
      </c>
      <c r="Y17" s="246" t="s">
        <v>1551</v>
      </c>
      <c r="Z17" s="246" t="s">
        <v>1267</v>
      </c>
    </row>
    <row r="18" spans="2:26" ht="15" customHeight="1" x14ac:dyDescent="0.2">
      <c r="B18" s="247" t="s">
        <v>858</v>
      </c>
      <c r="C18" s="246" t="s">
        <v>1422</v>
      </c>
      <c r="D18" s="246" t="s">
        <v>1179</v>
      </c>
      <c r="E18" s="246" t="s">
        <v>1423</v>
      </c>
      <c r="F18" s="246" t="s">
        <v>1197</v>
      </c>
      <c r="G18" s="246" t="s">
        <v>1148</v>
      </c>
      <c r="H18" s="246" t="s">
        <v>1424</v>
      </c>
      <c r="I18" s="246" t="s">
        <v>1307</v>
      </c>
      <c r="J18" s="246" t="s">
        <v>1425</v>
      </c>
      <c r="K18" s="246" t="s">
        <v>1426</v>
      </c>
      <c r="L18" s="246" t="s">
        <v>1111</v>
      </c>
      <c r="M18" s="246" t="s">
        <v>1427</v>
      </c>
      <c r="N18" s="246" t="s">
        <v>1614</v>
      </c>
      <c r="O18" s="246" t="s">
        <v>1245</v>
      </c>
      <c r="P18" s="246" t="s">
        <v>1428</v>
      </c>
      <c r="Q18" s="246" t="s">
        <v>1081</v>
      </c>
      <c r="R18" s="246" t="s">
        <v>1430</v>
      </c>
      <c r="S18" s="246" t="s">
        <v>938</v>
      </c>
      <c r="T18" s="246" t="s">
        <v>1475</v>
      </c>
      <c r="U18" s="246" t="s">
        <v>1492</v>
      </c>
      <c r="V18" s="246" t="s">
        <v>1252</v>
      </c>
      <c r="W18" s="246" t="s">
        <v>1432</v>
      </c>
      <c r="X18" s="246" t="s">
        <v>1433</v>
      </c>
      <c r="Y18" s="246" t="s">
        <v>1203</v>
      </c>
      <c r="Z18" s="246" t="s">
        <v>1272</v>
      </c>
    </row>
    <row r="19" spans="2:26" ht="15" customHeight="1" x14ac:dyDescent="0.2">
      <c r="B19" s="247" t="s">
        <v>859</v>
      </c>
      <c r="C19" s="246" t="s">
        <v>1434</v>
      </c>
      <c r="D19" s="246" t="s">
        <v>970</v>
      </c>
      <c r="E19" s="246" t="s">
        <v>1435</v>
      </c>
      <c r="F19" s="246" t="s">
        <v>1512</v>
      </c>
      <c r="G19" s="246" t="s">
        <v>927</v>
      </c>
      <c r="H19" s="246" t="s">
        <v>1074</v>
      </c>
      <c r="I19" s="246" t="s">
        <v>976</v>
      </c>
      <c r="J19" s="246" t="s">
        <v>1437</v>
      </c>
      <c r="K19" s="246" t="s">
        <v>1438</v>
      </c>
      <c r="L19" s="246" t="s">
        <v>1114</v>
      </c>
      <c r="M19" s="246" t="s">
        <v>1439</v>
      </c>
      <c r="N19" s="246" t="s">
        <v>1440</v>
      </c>
      <c r="O19" s="246" t="s">
        <v>1238</v>
      </c>
      <c r="P19" s="246" t="s">
        <v>1159</v>
      </c>
      <c r="Q19" s="246" t="s">
        <v>1429</v>
      </c>
      <c r="R19" s="246" t="s">
        <v>978</v>
      </c>
      <c r="S19" s="246" t="s">
        <v>1442</v>
      </c>
      <c r="T19" s="246" t="s">
        <v>1346</v>
      </c>
      <c r="U19" s="246" t="s">
        <v>1171</v>
      </c>
      <c r="V19" s="246" t="s">
        <v>1444</v>
      </c>
      <c r="W19" s="246" t="s">
        <v>1445</v>
      </c>
      <c r="X19" s="246" t="s">
        <v>1446</v>
      </c>
      <c r="Y19" s="246" t="s">
        <v>1447</v>
      </c>
      <c r="Z19" s="246" t="s">
        <v>1273</v>
      </c>
    </row>
    <row r="20" spans="2:26" ht="15" customHeight="1" x14ac:dyDescent="0.2">
      <c r="B20" s="247" t="s">
        <v>861</v>
      </c>
      <c r="C20" s="246" t="s">
        <v>1615</v>
      </c>
      <c r="D20" s="246" t="s">
        <v>1180</v>
      </c>
      <c r="E20" s="246" t="s">
        <v>1448</v>
      </c>
      <c r="F20" s="246" t="s">
        <v>1379</v>
      </c>
      <c r="G20" s="246" t="s">
        <v>1150</v>
      </c>
      <c r="H20" s="246" t="s">
        <v>1078</v>
      </c>
      <c r="I20" s="246" t="s">
        <v>1502</v>
      </c>
      <c r="J20" s="246" t="s">
        <v>1450</v>
      </c>
      <c r="K20" s="246" t="s">
        <v>1451</v>
      </c>
      <c r="L20" s="246" t="s">
        <v>1112</v>
      </c>
      <c r="M20" s="246" t="s">
        <v>1452</v>
      </c>
      <c r="N20" s="246" t="s">
        <v>1453</v>
      </c>
      <c r="O20" s="246" t="s">
        <v>1239</v>
      </c>
      <c r="P20" s="246" t="s">
        <v>1455</v>
      </c>
      <c r="Q20" s="246" t="s">
        <v>951</v>
      </c>
      <c r="R20" s="246" t="s">
        <v>1129</v>
      </c>
      <c r="S20" s="246" t="s">
        <v>865</v>
      </c>
      <c r="T20" s="246" t="s">
        <v>1183</v>
      </c>
      <c r="U20" s="246" t="s">
        <v>1347</v>
      </c>
      <c r="V20" s="246" t="s">
        <v>1260</v>
      </c>
      <c r="W20" s="246" t="s">
        <v>1457</v>
      </c>
      <c r="X20" s="246" t="s">
        <v>1458</v>
      </c>
      <c r="Y20" s="246" t="s">
        <v>1616</v>
      </c>
      <c r="Z20" s="246" t="s">
        <v>1274</v>
      </c>
    </row>
    <row r="21" spans="2:26" ht="15" customHeight="1" x14ac:dyDescent="0.2">
      <c r="B21" s="247" t="s">
        <v>862</v>
      </c>
      <c r="C21" s="246" t="s">
        <v>1135</v>
      </c>
      <c r="D21" s="246" t="s">
        <v>968</v>
      </c>
      <c r="E21" s="246" t="s">
        <v>1459</v>
      </c>
      <c r="F21" s="246" t="s">
        <v>1481</v>
      </c>
      <c r="G21" s="246" t="s">
        <v>928</v>
      </c>
      <c r="H21" s="246" t="s">
        <v>1461</v>
      </c>
      <c r="I21" s="246" t="s">
        <v>973</v>
      </c>
      <c r="J21" s="246" t="s">
        <v>1462</v>
      </c>
      <c r="K21" s="246" t="s">
        <v>1463</v>
      </c>
      <c r="L21" s="246" t="s">
        <v>1115</v>
      </c>
      <c r="M21" s="246" t="s">
        <v>1464</v>
      </c>
      <c r="N21" s="246" t="s">
        <v>1106</v>
      </c>
      <c r="O21" s="246" t="s">
        <v>1617</v>
      </c>
      <c r="P21" s="246" t="s">
        <v>1160</v>
      </c>
      <c r="Q21" s="246" t="s">
        <v>1618</v>
      </c>
      <c r="R21" s="246" t="s">
        <v>979</v>
      </c>
      <c r="S21" s="246" t="s">
        <v>1096</v>
      </c>
      <c r="T21" s="246" t="s">
        <v>1374</v>
      </c>
      <c r="U21" s="246" t="s">
        <v>1314</v>
      </c>
      <c r="V21" s="246" t="s">
        <v>1251</v>
      </c>
      <c r="W21" s="246" t="s">
        <v>1166</v>
      </c>
      <c r="X21" s="246" t="s">
        <v>1466</v>
      </c>
      <c r="Y21" s="246" t="s">
        <v>1375</v>
      </c>
      <c r="Z21" s="246" t="s">
        <v>1468</v>
      </c>
    </row>
    <row r="22" spans="2:26" ht="15" customHeight="1" x14ac:dyDescent="0.2">
      <c r="B22" s="247" t="s">
        <v>866</v>
      </c>
      <c r="C22" s="246" t="s">
        <v>1136</v>
      </c>
      <c r="D22" s="246" t="s">
        <v>969</v>
      </c>
      <c r="E22" s="246" t="s">
        <v>1142</v>
      </c>
      <c r="F22" s="246" t="s">
        <v>933</v>
      </c>
      <c r="G22" s="246" t="s">
        <v>1328</v>
      </c>
      <c r="H22" s="246" t="s">
        <v>1079</v>
      </c>
      <c r="I22" s="246" t="s">
        <v>1195</v>
      </c>
      <c r="J22" s="246" t="s">
        <v>1472</v>
      </c>
      <c r="K22" s="246" t="s">
        <v>1473</v>
      </c>
      <c r="L22" s="246" t="s">
        <v>1474</v>
      </c>
      <c r="M22" s="246" t="s">
        <v>1190</v>
      </c>
      <c r="N22" s="246" t="s">
        <v>1108</v>
      </c>
      <c r="O22" s="246" t="s">
        <v>1488</v>
      </c>
      <c r="P22" s="246" t="s">
        <v>956</v>
      </c>
      <c r="Q22" s="246" t="s">
        <v>1490</v>
      </c>
      <c r="R22" s="246" t="s">
        <v>1123</v>
      </c>
      <c r="S22" s="246" t="s">
        <v>1098</v>
      </c>
      <c r="T22" s="246" t="s">
        <v>1586</v>
      </c>
      <c r="U22" s="246" t="s">
        <v>1173</v>
      </c>
      <c r="V22" s="246" t="s">
        <v>1258</v>
      </c>
      <c r="W22" s="246" t="s">
        <v>1477</v>
      </c>
      <c r="X22" s="246" t="s">
        <v>1478</v>
      </c>
      <c r="Y22" s="246" t="s">
        <v>1467</v>
      </c>
      <c r="Z22" s="246" t="s">
        <v>1281</v>
      </c>
    </row>
    <row r="23" spans="2:26" ht="15" customHeight="1" x14ac:dyDescent="0.2">
      <c r="B23" s="247" t="s">
        <v>867</v>
      </c>
      <c r="C23" s="246" t="s">
        <v>1479</v>
      </c>
      <c r="D23" s="246" t="s">
        <v>1619</v>
      </c>
      <c r="E23" s="246" t="s">
        <v>1138</v>
      </c>
      <c r="F23" s="246" t="s">
        <v>1620</v>
      </c>
      <c r="G23" s="246" t="s">
        <v>1341</v>
      </c>
      <c r="H23" s="246" t="s">
        <v>1071</v>
      </c>
      <c r="I23" s="246" t="s">
        <v>1483</v>
      </c>
      <c r="J23" s="246" t="s">
        <v>1484</v>
      </c>
      <c r="K23" s="246" t="s">
        <v>1485</v>
      </c>
      <c r="L23" s="246" t="s">
        <v>1118</v>
      </c>
      <c r="M23" s="246" t="s">
        <v>1486</v>
      </c>
      <c r="N23" s="246" t="s">
        <v>1487</v>
      </c>
      <c r="O23" s="246" t="s">
        <v>1344</v>
      </c>
      <c r="P23" s="246" t="s">
        <v>1489</v>
      </c>
      <c r="Q23" s="246" t="s">
        <v>1087</v>
      </c>
      <c r="R23" s="246" t="s">
        <v>1491</v>
      </c>
      <c r="S23" s="246" t="s">
        <v>1095</v>
      </c>
      <c r="T23" s="246" t="s">
        <v>1621</v>
      </c>
      <c r="U23" s="246" t="s">
        <v>1443</v>
      </c>
      <c r="V23" s="246" t="s">
        <v>1493</v>
      </c>
      <c r="W23" s="246" t="s">
        <v>1494</v>
      </c>
      <c r="X23" s="246" t="s">
        <v>1495</v>
      </c>
      <c r="Y23" s="246" t="s">
        <v>1622</v>
      </c>
      <c r="Z23" s="246" t="s">
        <v>1278</v>
      </c>
    </row>
    <row r="24" spans="2:26" ht="15" customHeight="1" x14ac:dyDescent="0.2">
      <c r="B24" s="247" t="s">
        <v>869</v>
      </c>
      <c r="C24" s="246" t="s">
        <v>1498</v>
      </c>
      <c r="D24" s="246" t="s">
        <v>1623</v>
      </c>
      <c r="E24" s="246" t="s">
        <v>1500</v>
      </c>
      <c r="F24" s="246" t="s">
        <v>1594</v>
      </c>
      <c r="G24" s="246" t="s">
        <v>1380</v>
      </c>
      <c r="H24" s="246" t="s">
        <v>1080</v>
      </c>
      <c r="I24" s="246" t="s">
        <v>1624</v>
      </c>
      <c r="J24" s="246" t="s">
        <v>1101</v>
      </c>
      <c r="K24" s="246" t="s">
        <v>1503</v>
      </c>
      <c r="L24" s="246" t="s">
        <v>1504</v>
      </c>
      <c r="M24" s="246" t="s">
        <v>1505</v>
      </c>
      <c r="N24" s="246" t="s">
        <v>1506</v>
      </c>
      <c r="O24" s="246" t="s">
        <v>1454</v>
      </c>
      <c r="P24" s="246" t="s">
        <v>1508</v>
      </c>
      <c r="Q24" s="246" t="s">
        <v>952</v>
      </c>
      <c r="R24" s="246" t="s">
        <v>1127</v>
      </c>
      <c r="S24" s="246" t="s">
        <v>1100</v>
      </c>
      <c r="T24" s="246" t="s">
        <v>864</v>
      </c>
      <c r="U24" s="246" t="s">
        <v>1625</v>
      </c>
      <c r="V24" s="246" t="s">
        <v>1262</v>
      </c>
      <c r="W24" s="246" t="s">
        <v>1510</v>
      </c>
      <c r="X24" s="246" t="s">
        <v>1105</v>
      </c>
      <c r="Y24" s="246" t="s">
        <v>1496</v>
      </c>
      <c r="Z24" s="246" t="s">
        <v>1275</v>
      </c>
    </row>
    <row r="25" spans="2:26" ht="15" customHeight="1" x14ac:dyDescent="0.2">
      <c r="B25" s="247" t="s">
        <v>871</v>
      </c>
      <c r="C25" s="246" t="s">
        <v>1133</v>
      </c>
      <c r="D25" s="246" t="s">
        <v>1499</v>
      </c>
      <c r="E25" s="246" t="s">
        <v>1511</v>
      </c>
      <c r="F25" s="246" t="s">
        <v>1199</v>
      </c>
      <c r="G25" s="246" t="s">
        <v>1513</v>
      </c>
      <c r="H25" s="246" t="s">
        <v>1075</v>
      </c>
      <c r="I25" s="246" t="s">
        <v>1471</v>
      </c>
      <c r="J25" s="246" t="s">
        <v>1514</v>
      </c>
      <c r="K25" s="246" t="s">
        <v>1515</v>
      </c>
      <c r="L25" s="246" t="s">
        <v>1117</v>
      </c>
      <c r="M25" s="246" t="s">
        <v>1517</v>
      </c>
      <c r="N25" s="246" t="s">
        <v>948</v>
      </c>
      <c r="O25" s="246" t="s">
        <v>1465</v>
      </c>
      <c r="P25" s="246" t="s">
        <v>1626</v>
      </c>
      <c r="Q25" s="246" t="s">
        <v>1085</v>
      </c>
      <c r="R25" s="246" t="s">
        <v>1518</v>
      </c>
      <c r="S25" s="246" t="s">
        <v>1519</v>
      </c>
      <c r="T25" s="246" t="s">
        <v>1627</v>
      </c>
      <c r="U25" s="246" t="s">
        <v>1476</v>
      </c>
      <c r="V25" s="246" t="s">
        <v>1261</v>
      </c>
      <c r="W25" s="246" t="s">
        <v>1521</v>
      </c>
      <c r="X25" s="246" t="s">
        <v>1522</v>
      </c>
      <c r="Y25" s="246" t="s">
        <v>1628</v>
      </c>
      <c r="Z25" s="246" t="s">
        <v>1606</v>
      </c>
    </row>
    <row r="26" spans="2:26" ht="15" customHeight="1" x14ac:dyDescent="0.2">
      <c r="B26" s="247" t="s">
        <v>872</v>
      </c>
      <c r="C26" s="246" t="s">
        <v>1525</v>
      </c>
      <c r="D26" s="246" t="s">
        <v>1175</v>
      </c>
      <c r="E26" s="246" t="s">
        <v>983</v>
      </c>
      <c r="F26" s="246" t="s">
        <v>1196</v>
      </c>
      <c r="G26" s="246" t="s">
        <v>1482</v>
      </c>
      <c r="H26" s="246" t="s">
        <v>1076</v>
      </c>
      <c r="I26" s="246" t="s">
        <v>975</v>
      </c>
      <c r="J26" s="246" t="s">
        <v>845</v>
      </c>
      <c r="K26" s="246" t="s">
        <v>1528</v>
      </c>
      <c r="L26" s="246" t="s">
        <v>1516</v>
      </c>
      <c r="M26" s="246" t="s">
        <v>1529</v>
      </c>
      <c r="N26" s="246" t="s">
        <v>1110</v>
      </c>
      <c r="O26" s="246" t="s">
        <v>1507</v>
      </c>
      <c r="P26" s="246" t="s">
        <v>1629</v>
      </c>
      <c r="Q26" s="246" t="s">
        <v>1083</v>
      </c>
      <c r="R26" s="246" t="s">
        <v>1125</v>
      </c>
      <c r="S26" s="246" t="s">
        <v>939</v>
      </c>
      <c r="T26" s="246" t="s">
        <v>1509</v>
      </c>
      <c r="U26" s="246" t="s">
        <v>1169</v>
      </c>
      <c r="V26" s="246" t="s">
        <v>1256</v>
      </c>
      <c r="W26" s="246" t="s">
        <v>1533</v>
      </c>
      <c r="X26" s="246" t="s">
        <v>1534</v>
      </c>
      <c r="Y26" s="246" t="s">
        <v>1523</v>
      </c>
      <c r="Z26" s="246" t="s">
        <v>1276</v>
      </c>
    </row>
    <row r="27" spans="2:26" ht="15" customHeight="1" x14ac:dyDescent="0.2">
      <c r="B27" s="247" t="s">
        <v>874</v>
      </c>
      <c r="C27" s="246" t="s">
        <v>1535</v>
      </c>
      <c r="D27" s="246" t="s">
        <v>1526</v>
      </c>
      <c r="E27" s="246" t="s">
        <v>1537</v>
      </c>
      <c r="F27" s="246" t="s">
        <v>1327</v>
      </c>
      <c r="G27" s="246" t="s">
        <v>1538</v>
      </c>
      <c r="H27" s="246" t="s">
        <v>1539</v>
      </c>
      <c r="I27" s="246" t="s">
        <v>1317</v>
      </c>
      <c r="J27" s="246" t="s">
        <v>1541</v>
      </c>
      <c r="K27" s="246" t="s">
        <v>1542</v>
      </c>
      <c r="L27" s="246" t="s">
        <v>1113</v>
      </c>
      <c r="M27" s="246" t="s">
        <v>1544</v>
      </c>
      <c r="N27" s="246" t="s">
        <v>1545</v>
      </c>
      <c r="O27" s="246" t="s">
        <v>1311</v>
      </c>
      <c r="P27" s="246" t="s">
        <v>957</v>
      </c>
      <c r="Q27" s="246" t="s">
        <v>1086</v>
      </c>
      <c r="R27" s="246" t="s">
        <v>1548</v>
      </c>
      <c r="S27" s="246" t="s">
        <v>1549</v>
      </c>
      <c r="T27" s="246" t="s">
        <v>972</v>
      </c>
      <c r="U27" s="246" t="s">
        <v>1168</v>
      </c>
      <c r="V27" s="246" t="s">
        <v>1250</v>
      </c>
      <c r="W27" s="246" t="s">
        <v>1163</v>
      </c>
      <c r="X27" s="246" t="s">
        <v>1550</v>
      </c>
      <c r="Y27" s="246" t="s">
        <v>936</v>
      </c>
      <c r="Z27" s="246" t="s">
        <v>1552</v>
      </c>
    </row>
    <row r="28" spans="2:26" ht="15" customHeight="1" x14ac:dyDescent="0.2">
      <c r="B28" s="247" t="s">
        <v>875</v>
      </c>
      <c r="C28" s="246" t="s">
        <v>1137</v>
      </c>
      <c r="D28" s="246" t="s">
        <v>1536</v>
      </c>
      <c r="E28" s="246" t="s">
        <v>1553</v>
      </c>
      <c r="F28" s="246" t="s">
        <v>876</v>
      </c>
      <c r="G28" s="246" t="s">
        <v>1554</v>
      </c>
      <c r="H28" s="246" t="s">
        <v>1066</v>
      </c>
      <c r="I28" s="246" t="s">
        <v>1286</v>
      </c>
      <c r="J28" s="246" t="s">
        <v>1556</v>
      </c>
      <c r="K28" s="246" t="s">
        <v>1557</v>
      </c>
      <c r="L28" s="246" t="s">
        <v>1543</v>
      </c>
      <c r="M28" s="246" t="s">
        <v>1320</v>
      </c>
      <c r="N28" s="246" t="s">
        <v>1558</v>
      </c>
      <c r="O28" s="246" t="s">
        <v>1630</v>
      </c>
      <c r="P28" s="246" t="s">
        <v>1154</v>
      </c>
      <c r="Q28" s="246" t="s">
        <v>1088</v>
      </c>
      <c r="R28" s="246" t="s">
        <v>1122</v>
      </c>
      <c r="S28" s="246" t="s">
        <v>1097</v>
      </c>
      <c r="T28" s="246" t="s">
        <v>1182</v>
      </c>
      <c r="U28" s="246" t="s">
        <v>1532</v>
      </c>
      <c r="V28" s="246" t="s">
        <v>1249</v>
      </c>
      <c r="W28" s="246" t="s">
        <v>1165</v>
      </c>
      <c r="X28" s="246" t="s">
        <v>1562</v>
      </c>
      <c r="Y28" s="246" t="s">
        <v>1421</v>
      </c>
      <c r="Z28" s="246" t="s">
        <v>1497</v>
      </c>
    </row>
    <row r="29" spans="2:26" ht="15" customHeight="1" x14ac:dyDescent="0.2">
      <c r="B29" s="247" t="s">
        <v>1564</v>
      </c>
      <c r="C29" s="246" t="s">
        <v>1134</v>
      </c>
      <c r="D29" s="246" t="s">
        <v>967</v>
      </c>
      <c r="E29" s="246" t="s">
        <v>1566</v>
      </c>
      <c r="F29" s="246" t="s">
        <v>1469</v>
      </c>
      <c r="G29" s="246" t="s">
        <v>1149</v>
      </c>
      <c r="H29" s="246" t="s">
        <v>1567</v>
      </c>
      <c r="I29" s="246" t="s">
        <v>1392</v>
      </c>
      <c r="J29" s="246" t="s">
        <v>1568</v>
      </c>
      <c r="K29" s="246" t="s">
        <v>1569</v>
      </c>
      <c r="L29" s="246" t="s">
        <v>1120</v>
      </c>
      <c r="M29" s="246" t="s">
        <v>1189</v>
      </c>
      <c r="N29" s="246" t="s">
        <v>1599</v>
      </c>
      <c r="O29" s="246" t="s">
        <v>1244</v>
      </c>
      <c r="P29" s="246" t="s">
        <v>1161</v>
      </c>
      <c r="Q29" s="246" t="s">
        <v>1631</v>
      </c>
      <c r="R29" s="246" t="s">
        <v>1570</v>
      </c>
      <c r="S29" s="246" t="s">
        <v>1094</v>
      </c>
      <c r="T29" s="246" t="s">
        <v>1632</v>
      </c>
      <c r="U29" s="246" t="s">
        <v>1418</v>
      </c>
      <c r="V29" s="246" t="s">
        <v>1253</v>
      </c>
      <c r="W29" s="246" t="s">
        <v>1572</v>
      </c>
      <c r="X29" s="246" t="s">
        <v>1573</v>
      </c>
      <c r="Y29" s="246" t="s">
        <v>1563</v>
      </c>
      <c r="Z29" s="246" t="s">
        <v>1574</v>
      </c>
    </row>
    <row r="30" spans="2:26" ht="15" customHeight="1" x14ac:dyDescent="0.2">
      <c r="B30" s="247" t="s">
        <v>1575</v>
      </c>
      <c r="C30" s="246" t="s">
        <v>1633</v>
      </c>
      <c r="D30" s="246" t="s">
        <v>1565</v>
      </c>
      <c r="E30" s="246" t="s">
        <v>1143</v>
      </c>
      <c r="F30" s="246" t="s">
        <v>1201</v>
      </c>
      <c r="G30" s="246" t="s">
        <v>1152</v>
      </c>
      <c r="H30" s="246" t="s">
        <v>1577</v>
      </c>
      <c r="I30" s="246" t="s">
        <v>1527</v>
      </c>
      <c r="J30" s="246" t="s">
        <v>1578</v>
      </c>
      <c r="K30" s="246" t="s">
        <v>1579</v>
      </c>
      <c r="L30" s="246" t="s">
        <v>1597</v>
      </c>
      <c r="M30" s="246" t="s">
        <v>1581</v>
      </c>
      <c r="N30" s="246" t="s">
        <v>1107</v>
      </c>
      <c r="O30" s="246" t="s">
        <v>1531</v>
      </c>
      <c r="P30" s="246" t="s">
        <v>1583</v>
      </c>
      <c r="Q30" s="246" t="s">
        <v>1634</v>
      </c>
      <c r="R30" s="246" t="s">
        <v>1584</v>
      </c>
      <c r="S30" s="246" t="s">
        <v>1585</v>
      </c>
      <c r="T30" s="246" t="s">
        <v>1431</v>
      </c>
      <c r="U30" s="246" t="s">
        <v>1635</v>
      </c>
      <c r="V30" s="246" t="s">
        <v>1588</v>
      </c>
      <c r="W30" s="246" t="s">
        <v>1589</v>
      </c>
      <c r="X30" s="246" t="s">
        <v>1590</v>
      </c>
      <c r="Y30" s="246" t="s">
        <v>1636</v>
      </c>
      <c r="Z30" s="246" t="s">
        <v>1266</v>
      </c>
    </row>
    <row r="31" spans="2:26" ht="15" customHeight="1" x14ac:dyDescent="0.2">
      <c r="B31" s="247" t="s">
        <v>1591</v>
      </c>
      <c r="C31" s="246" t="s">
        <v>1592</v>
      </c>
      <c r="D31" s="246" t="s">
        <v>1178</v>
      </c>
      <c r="E31" s="246" t="s">
        <v>1593</v>
      </c>
      <c r="F31" s="246" t="s">
        <v>1460</v>
      </c>
      <c r="G31" s="246" t="s">
        <v>1145</v>
      </c>
      <c r="H31" s="246" t="s">
        <v>1595</v>
      </c>
      <c r="I31" s="246" t="s">
        <v>1637</v>
      </c>
      <c r="J31" s="246" t="s">
        <v>1103</v>
      </c>
      <c r="K31" s="246" t="s">
        <v>1596</v>
      </c>
      <c r="L31" s="246" t="s">
        <v>1580</v>
      </c>
      <c r="M31" s="246" t="s">
        <v>1598</v>
      </c>
      <c r="N31" s="246" t="s">
        <v>1530</v>
      </c>
      <c r="O31" s="246" t="s">
        <v>1582</v>
      </c>
      <c r="P31" s="246" t="s">
        <v>1600</v>
      </c>
      <c r="Q31" s="246" t="s">
        <v>1547</v>
      </c>
      <c r="R31" s="246"/>
      <c r="S31" s="246"/>
      <c r="T31" s="246" t="s">
        <v>1638</v>
      </c>
      <c r="U31" s="246" t="s">
        <v>1561</v>
      </c>
      <c r="V31" s="246" t="s">
        <v>1255</v>
      </c>
      <c r="W31" s="246" t="s">
        <v>1604</v>
      </c>
      <c r="X31" s="246" t="s">
        <v>1605</v>
      </c>
      <c r="Y31" s="246" t="s">
        <v>1639</v>
      </c>
      <c r="Z31" s="246" t="s">
        <v>1524</v>
      </c>
    </row>
    <row r="32" spans="2:26" x14ac:dyDescent="0.2">
      <c r="B32" s="158" t="s">
        <v>819</v>
      </c>
    </row>
    <row r="33" spans="3:34" x14ac:dyDescent="0.2"/>
    <row r="34" spans="3:34" x14ac:dyDescent="0.2"/>
    <row r="35" spans="3:34" x14ac:dyDescent="0.2"/>
    <row r="36" spans="3:34" s="181" customFormat="1" x14ac:dyDescent="0.2">
      <c r="C36" s="182"/>
      <c r="D36" s="182"/>
      <c r="E36" s="182"/>
      <c r="F36" s="182"/>
      <c r="G36" s="182"/>
      <c r="H36" s="182"/>
      <c r="I36" s="182"/>
      <c r="J36" s="182"/>
      <c r="K36" s="182"/>
      <c r="L36" s="182"/>
      <c r="M36" s="182"/>
      <c r="N36" s="182"/>
      <c r="O36" s="182"/>
      <c r="P36" s="182"/>
      <c r="Q36" s="182"/>
      <c r="R36" s="182"/>
      <c r="S36" s="182"/>
      <c r="T36" s="182"/>
      <c r="U36" s="182"/>
      <c r="V36" s="182"/>
      <c r="W36" s="182"/>
      <c r="X36" s="182"/>
      <c r="Y36" s="182"/>
      <c r="Z36" s="182"/>
      <c r="AA36" s="182"/>
      <c r="AB36" s="182"/>
      <c r="AC36" s="182"/>
      <c r="AD36" s="182"/>
      <c r="AE36" s="182"/>
      <c r="AF36" s="182"/>
      <c r="AG36" s="182"/>
      <c r="AH36" s="182"/>
    </row>
    <row r="37" spans="3:34" s="181" customFormat="1" x14ac:dyDescent="0.2">
      <c r="C37" s="182"/>
      <c r="D37" s="182"/>
      <c r="E37" s="182"/>
      <c r="F37" s="182"/>
      <c r="G37" s="182"/>
      <c r="H37" s="182"/>
      <c r="I37" s="182"/>
      <c r="J37" s="182"/>
      <c r="K37" s="182"/>
      <c r="L37" s="182"/>
      <c r="M37" s="182"/>
      <c r="N37" s="182"/>
      <c r="O37" s="182"/>
      <c r="P37" s="182"/>
      <c r="Q37" s="182"/>
      <c r="R37" s="182"/>
      <c r="S37" s="182"/>
      <c r="T37" s="182"/>
      <c r="U37" s="182"/>
      <c r="V37" s="182"/>
      <c r="W37" s="182"/>
      <c r="X37" s="182"/>
      <c r="Y37" s="182"/>
      <c r="Z37" s="182"/>
      <c r="AA37" s="182"/>
      <c r="AB37" s="182"/>
      <c r="AC37" s="182"/>
      <c r="AD37" s="182"/>
      <c r="AE37" s="182"/>
      <c r="AF37" s="182"/>
      <c r="AG37" s="182"/>
      <c r="AH37" s="182"/>
    </row>
    <row r="38" spans="3:34" s="181" customFormat="1" x14ac:dyDescent="0.2">
      <c r="C38" s="182"/>
      <c r="D38" s="182"/>
      <c r="E38" s="182"/>
      <c r="F38" s="182"/>
      <c r="G38" s="182"/>
      <c r="H38" s="182"/>
      <c r="I38" s="182"/>
      <c r="J38" s="182"/>
      <c r="K38" s="182"/>
      <c r="L38" s="182"/>
      <c r="M38" s="182"/>
      <c r="N38" s="182"/>
      <c r="O38" s="182"/>
      <c r="P38" s="182"/>
      <c r="Q38" s="182"/>
      <c r="R38" s="182"/>
      <c r="S38" s="182"/>
      <c r="T38" s="182"/>
      <c r="U38" s="182"/>
      <c r="V38" s="182"/>
      <c r="W38" s="182"/>
      <c r="X38" s="182"/>
      <c r="Y38" s="182"/>
      <c r="Z38" s="182"/>
      <c r="AA38" s="182"/>
      <c r="AB38" s="182"/>
      <c r="AC38" s="182"/>
      <c r="AD38" s="182"/>
      <c r="AE38" s="182"/>
      <c r="AF38" s="182"/>
      <c r="AG38" s="182"/>
      <c r="AH38" s="182"/>
    </row>
    <row r="39" spans="3:34" s="181" customFormat="1" x14ac:dyDescent="0.2">
      <c r="C39" s="182"/>
      <c r="D39" s="182"/>
      <c r="E39" s="182"/>
      <c r="F39" s="182"/>
      <c r="G39" s="182"/>
      <c r="H39" s="182"/>
      <c r="I39" s="182"/>
      <c r="J39" s="182"/>
      <c r="K39" s="182"/>
      <c r="L39" s="182"/>
      <c r="M39" s="182"/>
      <c r="N39" s="182"/>
      <c r="O39" s="182"/>
      <c r="P39" s="182"/>
      <c r="Q39" s="182"/>
      <c r="R39" s="182"/>
      <c r="S39" s="182"/>
      <c r="T39" s="182"/>
      <c r="U39" s="182"/>
      <c r="V39" s="182"/>
      <c r="W39" s="182"/>
      <c r="X39" s="182"/>
      <c r="Y39" s="182"/>
      <c r="Z39" s="182"/>
      <c r="AA39" s="182"/>
      <c r="AB39" s="182"/>
      <c r="AC39" s="182"/>
      <c r="AD39" s="182"/>
      <c r="AE39" s="182"/>
      <c r="AF39" s="182"/>
      <c r="AG39" s="182"/>
      <c r="AH39" s="182"/>
    </row>
    <row r="40" spans="3:34" s="181" customFormat="1" x14ac:dyDescent="0.2">
      <c r="C40" s="182"/>
      <c r="D40" s="182"/>
      <c r="E40" s="182"/>
      <c r="F40" s="182"/>
      <c r="G40" s="182"/>
      <c r="H40" s="182"/>
      <c r="I40" s="182"/>
      <c r="J40" s="182"/>
      <c r="K40" s="182"/>
      <c r="L40" s="182"/>
      <c r="M40" s="182"/>
      <c r="N40" s="182"/>
      <c r="O40" s="182"/>
      <c r="P40" s="182"/>
      <c r="Q40" s="182"/>
      <c r="R40" s="182"/>
      <c r="S40" s="182"/>
      <c r="T40" s="182"/>
      <c r="U40" s="182"/>
      <c r="V40" s="182"/>
      <c r="W40" s="182"/>
      <c r="X40" s="182"/>
      <c r="Y40" s="182"/>
      <c r="Z40" s="182"/>
      <c r="AA40" s="182"/>
      <c r="AB40" s="182"/>
      <c r="AC40" s="182"/>
      <c r="AD40" s="182"/>
      <c r="AE40" s="182"/>
      <c r="AF40" s="182"/>
      <c r="AG40" s="182"/>
      <c r="AH40" s="182"/>
    </row>
    <row r="41" spans="3:34" s="181" customFormat="1" x14ac:dyDescent="0.2">
      <c r="C41" s="182"/>
      <c r="D41" s="182"/>
      <c r="E41" s="182"/>
      <c r="F41" s="182"/>
      <c r="G41" s="182"/>
      <c r="H41" s="182"/>
      <c r="I41" s="182"/>
      <c r="J41" s="182"/>
      <c r="K41" s="182"/>
      <c r="L41" s="182"/>
      <c r="M41" s="182"/>
      <c r="N41" s="182"/>
      <c r="O41" s="182"/>
      <c r="P41" s="182"/>
      <c r="Q41" s="182"/>
      <c r="R41" s="182"/>
      <c r="S41" s="182"/>
      <c r="T41" s="182"/>
      <c r="U41" s="182"/>
      <c r="V41" s="182"/>
      <c r="W41" s="182"/>
      <c r="X41" s="182"/>
      <c r="Y41" s="182"/>
      <c r="Z41" s="182"/>
      <c r="AA41" s="182"/>
      <c r="AB41" s="182"/>
      <c r="AC41" s="182"/>
      <c r="AD41" s="182"/>
      <c r="AE41" s="182"/>
      <c r="AF41" s="182"/>
      <c r="AG41" s="182"/>
      <c r="AH41" s="182"/>
    </row>
    <row r="42" spans="3:34" s="181" customFormat="1" x14ac:dyDescent="0.2">
      <c r="C42" s="182"/>
      <c r="D42" s="182"/>
      <c r="E42" s="182"/>
      <c r="F42" s="182"/>
      <c r="G42" s="182"/>
      <c r="H42" s="182"/>
      <c r="I42" s="182"/>
      <c r="J42" s="182"/>
      <c r="K42" s="182"/>
      <c r="L42" s="182"/>
      <c r="M42" s="182"/>
      <c r="N42" s="182"/>
      <c r="O42" s="182"/>
      <c r="P42" s="182"/>
      <c r="Q42" s="182"/>
      <c r="R42" s="182"/>
      <c r="S42" s="182"/>
      <c r="T42" s="182"/>
      <c r="U42" s="182"/>
      <c r="V42" s="182"/>
      <c r="W42" s="182"/>
      <c r="X42" s="182"/>
      <c r="Y42" s="182"/>
      <c r="Z42" s="182"/>
      <c r="AA42" s="182"/>
      <c r="AB42" s="182"/>
      <c r="AC42" s="182"/>
      <c r="AD42" s="182"/>
      <c r="AE42" s="182"/>
      <c r="AF42" s="182"/>
      <c r="AG42" s="182"/>
      <c r="AH42" s="182"/>
    </row>
    <row r="43" spans="3:34" s="181" customFormat="1" x14ac:dyDescent="0.2">
      <c r="C43" s="182"/>
      <c r="D43" s="182"/>
      <c r="E43" s="182"/>
      <c r="F43" s="182"/>
      <c r="G43" s="182"/>
      <c r="H43" s="182"/>
      <c r="I43" s="182"/>
      <c r="J43" s="182"/>
      <c r="K43" s="182"/>
      <c r="L43" s="182"/>
      <c r="M43" s="182"/>
      <c r="N43" s="182"/>
      <c r="O43" s="182"/>
      <c r="P43" s="182"/>
      <c r="Q43" s="182"/>
      <c r="R43" s="182"/>
      <c r="S43" s="182"/>
      <c r="T43" s="182"/>
      <c r="U43" s="182"/>
      <c r="V43" s="182"/>
      <c r="W43" s="182"/>
      <c r="X43" s="182"/>
      <c r="Y43" s="182"/>
      <c r="Z43" s="182"/>
      <c r="AA43" s="182"/>
      <c r="AB43" s="182"/>
      <c r="AC43" s="182"/>
      <c r="AD43" s="182"/>
      <c r="AE43" s="182"/>
      <c r="AF43" s="182"/>
      <c r="AG43" s="182"/>
      <c r="AH43" s="182"/>
    </row>
    <row r="44" spans="3:34" x14ac:dyDescent="0.2"/>
    <row r="45" spans="3:34" x14ac:dyDescent="0.2"/>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CZ61"/>
  <sheetViews>
    <sheetView showGridLines="0" zoomScaleNormal="100" workbookViewId="0">
      <pane ySplit="4" topLeftCell="A5" activePane="bottomLeft" state="frozen"/>
      <selection pane="bottomLeft" activeCell="G59" sqref="G59"/>
    </sheetView>
  </sheetViews>
  <sheetFormatPr defaultColWidth="9.140625" defaultRowHeight="15" x14ac:dyDescent="0.25"/>
  <cols>
    <col min="1" max="1" width="1.5703125" style="23" customWidth="1"/>
    <col min="2" max="4" width="3.85546875" style="2" customWidth="1"/>
    <col min="5" max="5" width="6.85546875" style="24" customWidth="1"/>
    <col min="6" max="6" width="6.85546875" style="2" customWidth="1"/>
    <col min="7" max="7" width="22.5703125" style="2" customWidth="1"/>
    <col min="8" max="9" width="3.140625" style="2" customWidth="1"/>
    <col min="10" max="10" width="22.5703125" style="2" customWidth="1"/>
    <col min="11" max="12" width="3.140625" style="2" customWidth="1"/>
    <col min="13" max="13" width="27.7109375" style="2" bestFit="1" customWidth="1"/>
    <col min="14" max="14" width="1.5703125" style="2" customWidth="1"/>
    <col min="15" max="15" width="2.5703125" style="6" customWidth="1"/>
    <col min="16" max="19" width="4.5703125" style="6" customWidth="1"/>
    <col min="20" max="20" width="3.140625" style="6" customWidth="1"/>
    <col min="21" max="21" width="3.140625" style="11" customWidth="1"/>
    <col min="22" max="22" width="3.140625" style="26" customWidth="1"/>
    <col min="23" max="23" width="3.140625" style="27" customWidth="1"/>
    <col min="24" max="24" width="3.140625" style="2" customWidth="1"/>
    <col min="25" max="25" width="1.42578125" style="2" customWidth="1"/>
    <col min="26" max="29" width="3.140625" style="2" customWidth="1"/>
    <col min="30" max="31" width="3.85546875" style="2" customWidth="1"/>
    <col min="32" max="32" width="3" style="2" customWidth="1"/>
    <col min="33" max="93" width="9.140625" style="2" customWidth="1"/>
    <col min="94" max="97" width="9.140625" style="6" customWidth="1"/>
    <col min="98" max="16384" width="9.140625" style="2"/>
  </cols>
  <sheetData>
    <row r="1" spans="1:104" s="33" customFormat="1" ht="5.0999999999999996" customHeight="1" x14ac:dyDescent="0.2">
      <c r="A1" s="212"/>
      <c r="C1" s="34"/>
    </row>
    <row r="2" spans="1:104" ht="5.0999999999999996" customHeight="1" x14ac:dyDescent="0.25">
      <c r="P2" s="25"/>
      <c r="Q2" s="25"/>
      <c r="R2" s="25"/>
      <c r="S2" s="25"/>
      <c r="T2" s="25"/>
    </row>
    <row r="3" spans="1:104" s="3" customFormat="1" ht="30" customHeight="1" x14ac:dyDescent="0.25">
      <c r="A3" s="170"/>
      <c r="B3" s="122" t="str">
        <f>UPPER(INDEX(Language!$A$1:$I$110,MATCH("UEFA EURO 2024 FIXTURES",Language!$B$1:$B$107,0),MATCH(Setup!$D$6,Language!$A$1:$H$1,0)))</f>
        <v>EURO 2024 FIXTURES</v>
      </c>
      <c r="C3" s="2"/>
      <c r="D3" s="2"/>
      <c r="E3" s="24"/>
      <c r="F3" s="2"/>
      <c r="G3" s="2"/>
      <c r="H3" s="2"/>
      <c r="I3" s="2"/>
      <c r="J3" s="2"/>
      <c r="K3" s="2"/>
      <c r="L3" s="2"/>
      <c r="M3" s="2"/>
      <c r="N3" s="2"/>
      <c r="O3" s="2"/>
      <c r="P3" s="2"/>
      <c r="Q3" s="2"/>
      <c r="R3" s="2"/>
      <c r="S3" s="2"/>
      <c r="T3" s="2"/>
      <c r="U3" s="120"/>
      <c r="V3" s="121"/>
      <c r="W3" s="2"/>
      <c r="X3" s="2"/>
      <c r="Y3" s="2"/>
      <c r="Z3" s="2"/>
      <c r="AA3" s="2"/>
      <c r="AB3" s="2"/>
      <c r="AC3" s="2"/>
      <c r="AD3" s="2"/>
      <c r="AE3" s="2"/>
      <c r="AF3" s="2"/>
    </row>
    <row r="4" spans="1:104" s="3" customFormat="1" ht="5.0999999999999996" customHeight="1" x14ac:dyDescent="0.25">
      <c r="A4" s="170"/>
      <c r="E4" s="8"/>
      <c r="N4" s="2"/>
      <c r="O4" s="6"/>
      <c r="P4" s="6"/>
      <c r="Q4" s="6"/>
      <c r="R4" s="6"/>
      <c r="S4" s="6"/>
      <c r="T4" s="6"/>
      <c r="U4" s="11"/>
      <c r="V4" s="26"/>
      <c r="W4" s="27"/>
      <c r="X4" s="2"/>
      <c r="Y4" s="2"/>
      <c r="Z4" s="2"/>
      <c r="AA4" s="2"/>
      <c r="AB4" s="2"/>
      <c r="AC4" s="2"/>
      <c r="AD4" s="2"/>
      <c r="AE4" s="2"/>
      <c r="AF4" s="2"/>
      <c r="CW4" s="5"/>
      <c r="CX4" s="5"/>
      <c r="CY4" s="5"/>
      <c r="CZ4" s="5"/>
    </row>
    <row r="5" spans="1:104" s="3" customFormat="1" ht="14.45" customHeight="1" x14ac:dyDescent="0.25">
      <c r="A5" s="170"/>
      <c r="B5" s="58" t="str">
        <f>INDEX(Language!$A$1:$I$110,MATCH("M#",Language!$B$1:$B$107,0),MATCH(Setup!$D$6,Language!$A$1:$H$1,0))</f>
        <v>Match #</v>
      </c>
      <c r="C5" s="59"/>
      <c r="D5" s="60"/>
      <c r="E5" s="61" t="str">
        <f>INDEX(Language!$A$1:$I$110,MATCH("Date",Language!$B$1:$B$107,0),MATCH(Setup!$D$6,Language!$A$1:$H$1,0))</f>
        <v>Date</v>
      </c>
      <c r="F5" s="60" t="str">
        <f>INDEX(Language!$A$1:$I$110,MATCH("Time",Language!$B$1:$B$107,0),MATCH(Setup!$D$6,Language!$A$1:$H$1,0))</f>
        <v>Time</v>
      </c>
      <c r="G5" s="62" t="str">
        <f>INDEX(Language!$A$1:$I$110,MATCH("Country",Language!$B$1:$B$107,0),MATCH(Setup!$D$6,Language!$A$1:$H$1,0))</f>
        <v>Country</v>
      </c>
      <c r="H5" s="300" t="str">
        <f>INDEX(Language!$A$1:$I$110,MATCH("Score",Language!$B$1:$B$107,0),MATCH(Setup!$D$6,Language!$A$1:$H$1,0))</f>
        <v>Score</v>
      </c>
      <c r="I5" s="300"/>
      <c r="J5" s="63" t="str">
        <f>INDEX(Language!$A$1:$I$110,MATCH("Country",Language!$B$1:$B$107,0),MATCH(Setup!$D$6,Language!$A$1:$H$1,0))</f>
        <v>Country</v>
      </c>
      <c r="K5" s="63"/>
      <c r="L5" s="63"/>
      <c r="M5" s="64" t="str">
        <f>INDEX(Language!$A$1:$I$110,MATCH("Venue",Language!$B$1:$B$107,0),MATCH(Setup!$D$6,Language!$A$1:$H$1,0))</f>
        <v>Venue</v>
      </c>
      <c r="N5" s="12"/>
      <c r="O5" s="37" t="str">
        <f>INDEX(Language!$A$1:$I$110,MATCH("Standings",Language!$B$1:$B$107,0),MATCH(Setup!$D$6,Language!$A$1:$H$1,0))</f>
        <v>Standings</v>
      </c>
      <c r="P5" s="37"/>
      <c r="Q5" s="37"/>
      <c r="R5" s="96"/>
      <c r="S5" s="96"/>
      <c r="T5" s="96"/>
      <c r="U5" s="96"/>
      <c r="V5" s="96"/>
      <c r="W5" s="96"/>
      <c r="X5" s="96"/>
      <c r="Y5" s="96"/>
      <c r="Z5" s="96"/>
      <c r="AA5" s="96"/>
      <c r="AB5" s="96"/>
      <c r="AC5" s="96"/>
      <c r="AE5" s="2"/>
      <c r="CW5" s="5"/>
      <c r="CX5" s="5"/>
      <c r="CY5" s="6"/>
      <c r="CZ5" s="5"/>
    </row>
    <row r="6" spans="1:104" s="3" customFormat="1" ht="14.45" customHeight="1" x14ac:dyDescent="0.25">
      <c r="A6" s="170"/>
      <c r="B6" s="48" t="str">
        <f>INDEX(Language!$A$1:$I$110,MATCH("Group Stages",Language!$B$1:$B$107,0),MATCH(Setup!$D$6,Language!$A$1:$H$1,0))</f>
        <v>Group Stages</v>
      </c>
      <c r="C6" s="49"/>
      <c r="D6" s="50"/>
      <c r="E6" s="51"/>
      <c r="F6" s="50"/>
      <c r="G6" s="52"/>
      <c r="H6" s="50"/>
      <c r="I6" s="50"/>
      <c r="J6" s="53"/>
      <c r="K6" s="53"/>
      <c r="L6" s="53"/>
      <c r="M6" s="54"/>
      <c r="N6" s="1"/>
      <c r="O6" s="299" t="str">
        <f>INDEX(Language!$A$1:$I$110,MATCH("Group A",Language!$B$1:$B$107,0),MATCH(Setup!$D$6,Language!$A$1:$H$1,0))</f>
        <v>Group A</v>
      </c>
      <c r="P6" s="299"/>
      <c r="Q6" s="299"/>
      <c r="R6" s="299"/>
      <c r="S6" s="299"/>
      <c r="T6" s="47" t="s">
        <v>0</v>
      </c>
      <c r="U6" s="47" t="s">
        <v>12</v>
      </c>
      <c r="V6" s="47" t="s">
        <v>13</v>
      </c>
      <c r="W6" s="47" t="s">
        <v>14</v>
      </c>
      <c r="X6" s="47" t="s">
        <v>114</v>
      </c>
      <c r="Y6" s="47"/>
      <c r="Z6" s="47" t="s">
        <v>15</v>
      </c>
      <c r="AA6" s="88" t="s">
        <v>33</v>
      </c>
      <c r="AB6" s="47" t="s">
        <v>23</v>
      </c>
      <c r="AC6" s="32"/>
      <c r="AE6" s="2"/>
      <c r="CW6" s="5"/>
      <c r="CX6" s="5"/>
      <c r="CY6" s="6"/>
      <c r="CZ6" s="5"/>
    </row>
    <row r="7" spans="1:104" s="3" customFormat="1" ht="14.45" customHeight="1" thickBot="1" x14ac:dyDescent="0.3">
      <c r="A7" s="170">
        <v>0</v>
      </c>
      <c r="B7" s="42">
        <v>1</v>
      </c>
      <c r="C7" s="313" t="s">
        <v>15</v>
      </c>
      <c r="D7" s="313"/>
      <c r="E7" s="55">
        <f>F7</f>
        <v>45457.875</v>
      </c>
      <c r="F7" s="131">
        <f>'Dummy Table'!EM7</f>
        <v>45457.875</v>
      </c>
      <c r="G7" s="56" t="str">
        <f>INDEX(Language!$A$1:$H$110,MATCH(Setup!$C$17,Language!$B$1:$B$107,0),MATCH(Setup!$D$6,Language!$A$1:$H$1,0))</f>
        <v>Germany</v>
      </c>
      <c r="H7" s="228">
        <f ca="1">IF(OFFSET('Group Stages'!$H$8,A7,0)&lt;&gt;"",OFFSET('Group Stages'!$H$8,A7,0),"")</f>
        <v>5</v>
      </c>
      <c r="I7" s="229">
        <f ca="1">IF(OFFSET('Group Stages'!$H$9,A7,0)&lt;&gt;"",OFFSET('Group Stages'!$H$9,A7,0),"")</f>
        <v>1</v>
      </c>
      <c r="J7" s="57" t="str">
        <f>INDEX(Language!$A$1:$H$110,MATCH(Setup!$C$23,Language!$B$1:$B$107,0),MATCH(Setup!$D$6,Language!$A$1:$H$1,0))</f>
        <v>Scotland</v>
      </c>
      <c r="K7" s="57"/>
      <c r="L7" s="57"/>
      <c r="M7" s="159" t="s">
        <v>1044</v>
      </c>
      <c r="N7" s="1"/>
      <c r="O7" s="97">
        <v>1</v>
      </c>
      <c r="P7" s="309" t="str">
        <f ca="1">VLOOKUP(1,'Dummy Table'!$A$4:$B$8,2,FALSE)</f>
        <v>Germany</v>
      </c>
      <c r="Q7" s="309"/>
      <c r="R7" s="309"/>
      <c r="S7" s="309"/>
      <c r="T7" s="98">
        <f ca="1">SUM(U7:W7)</f>
        <v>1</v>
      </c>
      <c r="U7" s="98">
        <f ca="1">VLOOKUP($P7,'Dummy Table'!$B$4:$C$40,2,FALSE)</f>
        <v>1</v>
      </c>
      <c r="V7" s="98">
        <f ca="1">VLOOKUP($P7,'Dummy Table'!$B$4:$D$40,3,FALSE)</f>
        <v>0</v>
      </c>
      <c r="W7" s="98">
        <f ca="1">VLOOKUP($P7,'Dummy Table'!$B$4:$E$40,4,FALSE)</f>
        <v>0</v>
      </c>
      <c r="X7" s="98">
        <f ca="1">VLOOKUP($P7,'Dummy Table'!$B$4:$F$40,5,FALSE)</f>
        <v>5</v>
      </c>
      <c r="Y7" s="99" t="s">
        <v>17</v>
      </c>
      <c r="Z7" s="98">
        <f ca="1">VLOOKUP($P7,'Dummy Table'!$B$4:$G$40,6,FALSE)</f>
        <v>1</v>
      </c>
      <c r="AA7" s="98">
        <f ca="1">X7-Z7</f>
        <v>4</v>
      </c>
      <c r="AB7" s="98">
        <f ca="1">U7*3+V7*1</f>
        <v>3</v>
      </c>
      <c r="AC7" s="136"/>
      <c r="AE7" s="2"/>
      <c r="CW7" s="5"/>
      <c r="CX7" s="5"/>
      <c r="CY7" s="6"/>
      <c r="CZ7" s="5"/>
    </row>
    <row r="8" spans="1:104" s="3" customFormat="1" ht="14.45" customHeight="1" thickBot="1" x14ac:dyDescent="0.3">
      <c r="A8" s="170">
        <f>A7+2</f>
        <v>2</v>
      </c>
      <c r="B8" s="46">
        <v>2</v>
      </c>
      <c r="C8" s="314" t="s">
        <v>15</v>
      </c>
      <c r="D8" s="314"/>
      <c r="E8" s="66">
        <f t="shared" ref="E8:E58" si="0">F8</f>
        <v>45458.625</v>
      </c>
      <c r="F8" s="132">
        <f>'Dummy Table'!EM8</f>
        <v>45458.625</v>
      </c>
      <c r="G8" s="67" t="str">
        <f>INDEX(Language!$A$1:$H$110,MATCH(Setup!$C$18,Language!$B$1:$B$107,0),MATCH(Setup!$D$6,Language!$A$1:$H$1,0))</f>
        <v>Hungary</v>
      </c>
      <c r="H8" s="228">
        <f ca="1">IF(OFFSET('Group Stages'!$H$8,A8,0)&lt;&gt;"",OFFSET('Group Stages'!$H$8,A8,0),"")</f>
        <v>1</v>
      </c>
      <c r="I8" s="229">
        <f ca="1">IF(OFFSET('Group Stages'!$H$9,A8,0)&lt;&gt;"",OFFSET('Group Stages'!$H$9,A8,0),"")</f>
        <v>3</v>
      </c>
      <c r="J8" s="68" t="str">
        <f>INDEX(Language!$A$1:$H$110,MATCH(Setup!$C$28,Language!$B$1:$B$107,0),MATCH(Setup!$D$6,Language!$A$1:$H$1,0))</f>
        <v>Switzerland</v>
      </c>
      <c r="K8" s="68"/>
      <c r="L8" s="68"/>
      <c r="M8" s="160" t="s">
        <v>1045</v>
      </c>
      <c r="N8" s="1"/>
      <c r="O8" s="97">
        <v>2</v>
      </c>
      <c r="P8" s="297" t="str">
        <f ca="1">VLOOKUP(2,'Dummy Table'!$A$4:$B$8,2,FALSE)</f>
        <v>Switzerland</v>
      </c>
      <c r="Q8" s="297"/>
      <c r="R8" s="297"/>
      <c r="S8" s="297"/>
      <c r="T8" s="100">
        <f t="shared" ref="T8:T10" ca="1" si="1">SUM(U8:W8)</f>
        <v>1</v>
      </c>
      <c r="U8" s="100">
        <f ca="1">VLOOKUP($P8,'Dummy Table'!$B$4:$C$40,2,FALSE)</f>
        <v>1</v>
      </c>
      <c r="V8" s="100">
        <f ca="1">VLOOKUP($P8,'Dummy Table'!$B$4:$D$40,3,FALSE)</f>
        <v>0</v>
      </c>
      <c r="W8" s="100">
        <f ca="1">VLOOKUP($P8,'Dummy Table'!$B$4:$E$40,4,FALSE)</f>
        <v>0</v>
      </c>
      <c r="X8" s="100">
        <f ca="1">VLOOKUP($P8,'Dummy Table'!$B$4:$F$40,5,FALSE)</f>
        <v>3</v>
      </c>
      <c r="Y8" s="100" t="s">
        <v>17</v>
      </c>
      <c r="Z8" s="100">
        <f ca="1">VLOOKUP($P8,'Dummy Table'!$B$4:$G$40,6,FALSE)</f>
        <v>1</v>
      </c>
      <c r="AA8" s="100">
        <f t="shared" ref="AA8:AA10" ca="1" si="2">X8-Z8</f>
        <v>2</v>
      </c>
      <c r="AB8" s="100">
        <f ca="1">U8*3+V8*1</f>
        <v>3</v>
      </c>
      <c r="AC8" s="136"/>
      <c r="AE8" s="2"/>
      <c r="CW8" s="5"/>
      <c r="CX8" s="5"/>
      <c r="CY8" s="6"/>
      <c r="CZ8" s="5"/>
    </row>
    <row r="9" spans="1:104" s="3" customFormat="1" ht="14.45" customHeight="1" thickBot="1" x14ac:dyDescent="0.3">
      <c r="A9" s="170">
        <f t="shared" ref="A9:A42" si="3">A8+2</f>
        <v>4</v>
      </c>
      <c r="B9" s="46">
        <v>3</v>
      </c>
      <c r="C9" s="315" t="s">
        <v>3</v>
      </c>
      <c r="D9" s="315"/>
      <c r="E9" s="9">
        <f t="shared" si="0"/>
        <v>45458.75</v>
      </c>
      <c r="F9" s="133">
        <f>'Dummy Table'!EM9</f>
        <v>45458.75</v>
      </c>
      <c r="G9" s="7" t="str">
        <f>INDEX(Language!$A$1:$H$110,MATCH(Setup!$C$27,Language!$B$1:$B$107,0),MATCH(Setup!$D$6,Language!$A$1:$H$1,0))</f>
        <v>Spain</v>
      </c>
      <c r="H9" s="228">
        <f ca="1">IF(OFFSET('Group Stages'!$H$8,A9,0)&lt;&gt;"",OFFSET('Group Stages'!$H$8,A9,0),"")</f>
        <v>3</v>
      </c>
      <c r="I9" s="229">
        <f ca="1">IF(OFFSET('Group Stages'!$H$9,A9,0)&lt;&gt;"",OFFSET('Group Stages'!$H$9,A9,0),"")</f>
        <v>0</v>
      </c>
      <c r="J9" s="3" t="str">
        <f>INDEX(Language!$A$1:$H$110,MATCH(Setup!$C$12,Language!$B$1:$B$107,0),MATCH(Setup!$D$6,Language!$A$1:$H$1,0))</f>
        <v>Croatia</v>
      </c>
      <c r="M9" s="161" t="s">
        <v>1046</v>
      </c>
      <c r="N9" s="1"/>
      <c r="O9" s="94">
        <v>3</v>
      </c>
      <c r="P9" s="298" t="str">
        <f ca="1">VLOOKUP(3,'Dummy Table'!$A$4:$B$8,2,FALSE)</f>
        <v>Hungary</v>
      </c>
      <c r="Q9" s="298"/>
      <c r="R9" s="298"/>
      <c r="S9" s="298"/>
      <c r="T9" s="94">
        <f t="shared" ca="1" si="1"/>
        <v>1</v>
      </c>
      <c r="U9" s="94">
        <f ca="1">VLOOKUP($P9,'Dummy Table'!$B$4:$C$40,2,FALSE)</f>
        <v>0</v>
      </c>
      <c r="V9" s="94">
        <f ca="1">VLOOKUP($P9,'Dummy Table'!$B$4:$D$40,3,FALSE)</f>
        <v>0</v>
      </c>
      <c r="W9" s="94">
        <f ca="1">VLOOKUP($P9,'Dummy Table'!$B$4:$E$40,4,FALSE)</f>
        <v>1</v>
      </c>
      <c r="X9" s="94">
        <f ca="1">VLOOKUP($P9,'Dummy Table'!$B$4:$F$40,5,FALSE)</f>
        <v>1</v>
      </c>
      <c r="Y9" s="94" t="s">
        <v>17</v>
      </c>
      <c r="Z9" s="94">
        <f ca="1">VLOOKUP($P9,'Dummy Table'!$B$4:$G$40,6,FALSE)</f>
        <v>3</v>
      </c>
      <c r="AA9" s="94">
        <f t="shared" ca="1" si="2"/>
        <v>-2</v>
      </c>
      <c r="AB9" s="94">
        <f ca="1">U9*3+V9*1</f>
        <v>0</v>
      </c>
      <c r="AC9" s="136"/>
      <c r="AE9" s="2"/>
      <c r="CW9" s="5"/>
      <c r="CX9" s="5"/>
      <c r="CY9" s="6"/>
      <c r="CZ9" s="5"/>
    </row>
    <row r="10" spans="1:104" s="3" customFormat="1" ht="14.45" customHeight="1" thickBot="1" x14ac:dyDescent="0.3">
      <c r="A10" s="170">
        <f t="shared" si="3"/>
        <v>6</v>
      </c>
      <c r="B10" s="46">
        <v>4</v>
      </c>
      <c r="C10" s="314" t="s">
        <v>3</v>
      </c>
      <c r="D10" s="314"/>
      <c r="E10" s="66">
        <f t="shared" si="0"/>
        <v>45458.875</v>
      </c>
      <c r="F10" s="132">
        <f>'Dummy Table'!EM10</f>
        <v>45458.875</v>
      </c>
      <c r="G10" s="67" t="str">
        <f>INDEX(Language!$A$1:$H$110,MATCH(Setup!$C$19,Language!$B$1:$B$107,0),MATCH(Setup!$D$6,Language!$A$1:$H$1,0))</f>
        <v>Italy</v>
      </c>
      <c r="H10" s="228">
        <f ca="1">IF(OFFSET('Group Stages'!$H$8,A10,0)&lt;&gt;"",OFFSET('Group Stages'!$H$8,A10,0),"")</f>
        <v>2</v>
      </c>
      <c r="I10" s="229">
        <f ca="1">IF(OFFSET('Group Stages'!$H$9,A10,0)&lt;&gt;"",OFFSET('Group Stages'!$H$9,A10,0),"")</f>
        <v>1</v>
      </c>
      <c r="J10" s="68" t="str">
        <f>INDEX(Language!$A$1:$H$110,MATCH(Setup!$C$9,Language!$B$1:$B$107,0),MATCH(Setup!$D$6,Language!$A$1:$H$1,0))</f>
        <v>Albania</v>
      </c>
      <c r="K10" s="68"/>
      <c r="L10" s="68"/>
      <c r="M10" s="160" t="s">
        <v>1047</v>
      </c>
      <c r="N10" s="1"/>
      <c r="O10" s="4">
        <v>4</v>
      </c>
      <c r="P10" s="289" t="str">
        <f ca="1">VLOOKUP(4,'Dummy Table'!$A$4:$B$8,2,FALSE)</f>
        <v>Scotland</v>
      </c>
      <c r="Q10" s="289"/>
      <c r="R10" s="289"/>
      <c r="S10" s="289"/>
      <c r="T10" s="4">
        <f t="shared" ca="1" si="1"/>
        <v>1</v>
      </c>
      <c r="U10" s="4">
        <f ca="1">VLOOKUP($P10,'Dummy Table'!$B$4:$C$40,2,FALSE)</f>
        <v>0</v>
      </c>
      <c r="V10" s="4">
        <f ca="1">VLOOKUP($P10,'Dummy Table'!$B$4:$D$40,3,FALSE)</f>
        <v>0</v>
      </c>
      <c r="W10" s="4">
        <f ca="1">VLOOKUP($P10,'Dummy Table'!$B$4:$E$40,4,FALSE)</f>
        <v>1</v>
      </c>
      <c r="X10" s="4">
        <f ca="1">VLOOKUP($P10,'Dummy Table'!$B$4:$F$40,5,FALSE)</f>
        <v>1</v>
      </c>
      <c r="Y10" s="4" t="s">
        <v>17</v>
      </c>
      <c r="Z10" s="4">
        <f ca="1">VLOOKUP($P10,'Dummy Table'!$B$4:$G$40,6,FALSE)</f>
        <v>5</v>
      </c>
      <c r="AA10" s="4">
        <f t="shared" ca="1" si="2"/>
        <v>-4</v>
      </c>
      <c r="AB10" s="4">
        <f ca="1">U10*3+V10*1</f>
        <v>0</v>
      </c>
      <c r="AC10" s="136"/>
      <c r="AE10" s="2"/>
      <c r="CW10" s="5"/>
      <c r="CX10" s="5"/>
      <c r="CY10" s="6"/>
      <c r="CZ10" s="5"/>
    </row>
    <row r="11" spans="1:104" s="3" customFormat="1" ht="14.45" customHeight="1" thickBot="1" x14ac:dyDescent="0.3">
      <c r="A11" s="170">
        <f t="shared" si="3"/>
        <v>8</v>
      </c>
      <c r="B11" s="46">
        <v>5</v>
      </c>
      <c r="C11" s="315" t="s">
        <v>4</v>
      </c>
      <c r="D11" s="315"/>
      <c r="E11" s="9">
        <f t="shared" si="0"/>
        <v>45459.875</v>
      </c>
      <c r="F11" s="133">
        <f>'Dummy Table'!EM11</f>
        <v>45459.875</v>
      </c>
      <c r="G11" s="7" t="str">
        <f>INDEX(Language!$A$1:$H$110,MATCH(Setup!$C$24,Language!$B$1:$B$107,0),MATCH(Setup!$D$6,Language!$A$1:$H$1,0))</f>
        <v>Serbia</v>
      </c>
      <c r="H11" s="228" t="str">
        <f ca="1">IF(OFFSET('Group Stages'!$H$8,A11,0)&lt;&gt;"",OFFSET('Group Stages'!$H$8,A11,0),"")</f>
        <v/>
      </c>
      <c r="I11" s="229" t="str">
        <f ca="1">IF(OFFSET('Group Stages'!$H$9,A11,0)&lt;&gt;"",OFFSET('Group Stages'!$H$9,A11,0),"")</f>
        <v/>
      </c>
      <c r="J11" s="3" t="str">
        <f>INDEX(Language!$A$1:$H$110,MATCH(Setup!$C$15,Language!$B$1:$B$107,0),MATCH(Setup!$D$6,Language!$A$1:$H$1,0))</f>
        <v>England</v>
      </c>
      <c r="M11" s="161" t="s">
        <v>1050</v>
      </c>
      <c r="N11" s="1"/>
      <c r="O11" s="299" t="str">
        <f>INDEX(Language!$A$1:$I$110,MATCH("Group B",Language!$B$1:$B$107,0),MATCH(Setup!$D$6,Language!$A$1:$H$1,0))</f>
        <v>Group B</v>
      </c>
      <c r="P11" s="299"/>
      <c r="Q11" s="299"/>
      <c r="R11" s="299"/>
      <c r="S11" s="299"/>
      <c r="T11" s="47" t="s">
        <v>0</v>
      </c>
      <c r="U11" s="47" t="s">
        <v>12</v>
      </c>
      <c r="V11" s="47" t="s">
        <v>13</v>
      </c>
      <c r="W11" s="47" t="s">
        <v>14</v>
      </c>
      <c r="X11" s="47" t="s">
        <v>114</v>
      </c>
      <c r="Y11" s="47"/>
      <c r="Z11" s="47" t="s">
        <v>15</v>
      </c>
      <c r="AA11" s="88" t="s">
        <v>33</v>
      </c>
      <c r="AB11" s="47" t="s">
        <v>23</v>
      </c>
      <c r="AC11" s="142"/>
      <c r="AE11" s="2"/>
      <c r="CW11" s="5"/>
      <c r="CX11" s="5"/>
      <c r="CY11" s="6"/>
      <c r="CZ11" s="5"/>
    </row>
    <row r="12" spans="1:104" s="3" customFormat="1" ht="14.45" customHeight="1" thickBot="1" x14ac:dyDescent="0.3">
      <c r="A12" s="170">
        <f t="shared" si="3"/>
        <v>10</v>
      </c>
      <c r="B12" s="46">
        <v>6</v>
      </c>
      <c r="C12" s="314" t="s">
        <v>4</v>
      </c>
      <c r="D12" s="314"/>
      <c r="E12" s="66">
        <f t="shared" si="0"/>
        <v>45459.75</v>
      </c>
      <c r="F12" s="132">
        <f>'Dummy Table'!EM12</f>
        <v>45459.75</v>
      </c>
      <c r="G12" s="67" t="str">
        <f>INDEX(Language!$A$1:$H$110,MATCH(Setup!$C$26,Language!$B$1:$B$107,0),MATCH(Setup!$D$6,Language!$A$1:$H$1,0))</f>
        <v>Slovenia</v>
      </c>
      <c r="H12" s="228" t="str">
        <f ca="1">IF(OFFSET('Group Stages'!$H$8,A12,0)&lt;&gt;"",OFFSET('Group Stages'!$H$8,A12,0),"")</f>
        <v/>
      </c>
      <c r="I12" s="229" t="str">
        <f ca="1">IF(OFFSET('Group Stages'!$H$9,A12,0)&lt;&gt;"",OFFSET('Group Stages'!$H$9,A12,0),"")</f>
        <v/>
      </c>
      <c r="J12" s="68" t="str">
        <f>INDEX(Language!$A$1:$H$110,MATCH(Setup!$C$14,Language!$B$1:$B$107,0),MATCH(Setup!$D$6,Language!$A$1:$H$1,0))</f>
        <v>Denmark</v>
      </c>
      <c r="K12" s="68"/>
      <c r="L12" s="68"/>
      <c r="M12" s="160" t="s">
        <v>1049</v>
      </c>
      <c r="N12" s="1"/>
      <c r="O12" s="101">
        <v>1</v>
      </c>
      <c r="P12" s="307" t="str">
        <f ca="1">VLOOKUP(1,'Dummy Table'!$A$11:$B$15,2,FALSE)</f>
        <v>Spain</v>
      </c>
      <c r="Q12" s="307"/>
      <c r="R12" s="307"/>
      <c r="S12" s="307"/>
      <c r="T12" s="102">
        <f ca="1">SUM(U12:W12)</f>
        <v>1</v>
      </c>
      <c r="U12" s="102">
        <f ca="1">VLOOKUP($P12,'Dummy Table'!$B$4:$C$40,2,FALSE)</f>
        <v>1</v>
      </c>
      <c r="V12" s="102">
        <f ca="1">VLOOKUP($P12,'Dummy Table'!$B$4:$D$40,3,FALSE)</f>
        <v>0</v>
      </c>
      <c r="W12" s="102">
        <f ca="1">VLOOKUP($P12,'Dummy Table'!$B$4:$E$40,4,FALSE)</f>
        <v>0</v>
      </c>
      <c r="X12" s="102">
        <f ca="1">VLOOKUP($P12,'Dummy Table'!$B$4:$F$40,5,FALSE)</f>
        <v>3</v>
      </c>
      <c r="Y12" s="103" t="s">
        <v>17</v>
      </c>
      <c r="Z12" s="102">
        <f ca="1">VLOOKUP($P12,'Dummy Table'!$B$4:$G$40,6,FALSE)</f>
        <v>0</v>
      </c>
      <c r="AA12" s="102">
        <f ca="1">X12-Z12</f>
        <v>3</v>
      </c>
      <c r="AB12" s="102">
        <f ca="1">U12*3+V12*1</f>
        <v>3</v>
      </c>
      <c r="AC12" s="136"/>
      <c r="AE12" s="2"/>
      <c r="CW12" s="5"/>
      <c r="CX12" s="5"/>
      <c r="CY12" s="6"/>
      <c r="CZ12" s="5"/>
    </row>
    <row r="13" spans="1:104" s="3" customFormat="1" ht="14.45" customHeight="1" thickBot="1" x14ac:dyDescent="0.3">
      <c r="A13" s="170">
        <f t="shared" si="3"/>
        <v>12</v>
      </c>
      <c r="B13" s="46">
        <v>7</v>
      </c>
      <c r="C13" s="315" t="s">
        <v>13</v>
      </c>
      <c r="D13" s="315"/>
      <c r="E13" s="9">
        <f t="shared" si="0"/>
        <v>45459.625</v>
      </c>
      <c r="F13" s="133">
        <f>'Dummy Table'!EM13</f>
        <v>45459.625</v>
      </c>
      <c r="G13" s="7" t="str">
        <f>INDEX(Language!$A$1:$H$110,MATCH(Setup!$C$30,Language!$B$1:$B$107,0),MATCH(Setup!$D$6,Language!$A$1:$H$1,0))</f>
        <v>Poland</v>
      </c>
      <c r="H13" s="228" t="str">
        <f ca="1">IF(OFFSET('Group Stages'!$H$8,A13,0)&lt;&gt;"",OFFSET('Group Stages'!$H$8,A13,0),"")</f>
        <v/>
      </c>
      <c r="I13" s="229" t="str">
        <f ca="1">IF(OFFSET('Group Stages'!$H$9,A13,0)&lt;&gt;"",OFFSET('Group Stages'!$H$9,A13,0),"")</f>
        <v/>
      </c>
      <c r="J13" s="3" t="str">
        <f>INDEX(Language!$A$1:$H$110,MATCH(Setup!$C$20,Language!$B$1:$B$107,0),MATCH(Setup!$D$6,Language!$A$1:$H$1,0))</f>
        <v>Netherlands</v>
      </c>
      <c r="M13" s="161" t="s">
        <v>1048</v>
      </c>
      <c r="N13" s="1"/>
      <c r="O13" s="101">
        <v>2</v>
      </c>
      <c r="P13" s="308" t="str">
        <f ca="1">VLOOKUP(2,'Dummy Table'!$A$11:$B$15,2,FALSE)</f>
        <v>Italy</v>
      </c>
      <c r="Q13" s="308"/>
      <c r="R13" s="308"/>
      <c r="S13" s="308"/>
      <c r="T13" s="104">
        <f t="shared" ref="T13:T15" ca="1" si="4">SUM(U13:W13)</f>
        <v>1</v>
      </c>
      <c r="U13" s="104">
        <f ca="1">VLOOKUP($P13,'Dummy Table'!$B$4:$C$40,2,FALSE)</f>
        <v>1</v>
      </c>
      <c r="V13" s="104">
        <f ca="1">VLOOKUP($P13,'Dummy Table'!$B$4:$D$40,3,FALSE)</f>
        <v>0</v>
      </c>
      <c r="W13" s="104">
        <f ca="1">VLOOKUP($P13,'Dummy Table'!$B$4:$E$40,4,FALSE)</f>
        <v>0</v>
      </c>
      <c r="X13" s="104">
        <f ca="1">VLOOKUP($P13,'Dummy Table'!$B$4:$F$40,5,FALSE)</f>
        <v>2</v>
      </c>
      <c r="Y13" s="104" t="s">
        <v>17</v>
      </c>
      <c r="Z13" s="104">
        <f ca="1">VLOOKUP($P13,'Dummy Table'!$B$4:$G$40,6,FALSE)</f>
        <v>1</v>
      </c>
      <c r="AA13" s="104">
        <f t="shared" ref="AA13:AA15" ca="1" si="5">X13-Z13</f>
        <v>1</v>
      </c>
      <c r="AB13" s="104">
        <f ca="1">U13*3+V13*1</f>
        <v>3</v>
      </c>
      <c r="AC13" s="136"/>
      <c r="AE13" s="2"/>
      <c r="CW13" s="5"/>
      <c r="CX13" s="5"/>
      <c r="CY13" s="6"/>
      <c r="CZ13" s="5"/>
    </row>
    <row r="14" spans="1:104" s="3" customFormat="1" ht="14.45" customHeight="1" thickBot="1" x14ac:dyDescent="0.3">
      <c r="A14" s="170">
        <f t="shared" si="3"/>
        <v>14</v>
      </c>
      <c r="B14" s="46">
        <v>8</v>
      </c>
      <c r="C14" s="314" t="s">
        <v>13</v>
      </c>
      <c r="D14" s="314"/>
      <c r="E14" s="66">
        <f t="shared" si="0"/>
        <v>45460.875</v>
      </c>
      <c r="F14" s="132">
        <f>'Dummy Table'!EM14</f>
        <v>45460.875</v>
      </c>
      <c r="G14" s="67" t="str">
        <f>INDEX(Language!$A$1:$H$110,MATCH(Setup!$C$10,Language!$B$1:$B$107,0),MATCH(Setup!$D$6,Language!$A$1:$H$1,0))</f>
        <v>Austria</v>
      </c>
      <c r="H14" s="228" t="str">
        <f ca="1">IF(OFFSET('Group Stages'!$H$8,A14,0)&lt;&gt;"",OFFSET('Group Stages'!$H$8,A14,0),"")</f>
        <v/>
      </c>
      <c r="I14" s="229" t="str">
        <f ca="1">IF(OFFSET('Group Stages'!$H$9,A14,0)&lt;&gt;"",OFFSET('Group Stages'!$H$9,A14,0),"")</f>
        <v/>
      </c>
      <c r="J14" s="68" t="str">
        <f>INDEX(Language!$A$1:$H$110,MATCH(Setup!$C$16,Language!$B$1:$B$107,0),MATCH(Setup!$D$6,Language!$A$1:$H$1,0))</f>
        <v>France</v>
      </c>
      <c r="K14" s="68"/>
      <c r="L14" s="68"/>
      <c r="M14" s="160" t="s">
        <v>1052</v>
      </c>
      <c r="N14" s="1"/>
      <c r="O14" s="79">
        <v>3</v>
      </c>
      <c r="P14" s="301" t="str">
        <f ca="1">VLOOKUP(3,'Dummy Table'!$A$11:$B$15,2,FALSE)</f>
        <v>Albania</v>
      </c>
      <c r="Q14" s="301"/>
      <c r="R14" s="301"/>
      <c r="S14" s="301"/>
      <c r="T14" s="79">
        <f t="shared" ca="1" si="4"/>
        <v>1</v>
      </c>
      <c r="U14" s="79">
        <f ca="1">VLOOKUP($P14,'Dummy Table'!$B$4:$C$40,2,FALSE)</f>
        <v>0</v>
      </c>
      <c r="V14" s="79">
        <f ca="1">VLOOKUP($P14,'Dummy Table'!$B$4:$D$40,3,FALSE)</f>
        <v>0</v>
      </c>
      <c r="W14" s="79">
        <f ca="1">VLOOKUP($P14,'Dummy Table'!$B$4:$E$40,4,FALSE)</f>
        <v>1</v>
      </c>
      <c r="X14" s="79">
        <f ca="1">VLOOKUP($P14,'Dummy Table'!$B$4:$F$40,5,FALSE)</f>
        <v>1</v>
      </c>
      <c r="Y14" s="79" t="s">
        <v>17</v>
      </c>
      <c r="Z14" s="79">
        <f ca="1">VLOOKUP($P14,'Dummy Table'!$B$4:$G$40,6,FALSE)</f>
        <v>2</v>
      </c>
      <c r="AA14" s="79">
        <f t="shared" ca="1" si="5"/>
        <v>-1</v>
      </c>
      <c r="AB14" s="79">
        <f ca="1">U14*3+V14*1</f>
        <v>0</v>
      </c>
      <c r="AC14" s="136"/>
      <c r="AE14" s="2"/>
      <c r="CW14" s="5"/>
      <c r="CX14" s="5"/>
      <c r="CY14" s="6"/>
      <c r="CZ14" s="5"/>
    </row>
    <row r="15" spans="1:104" s="3" customFormat="1" ht="14.45" customHeight="1" thickBot="1" x14ac:dyDescent="0.3">
      <c r="A15" s="170">
        <f t="shared" si="3"/>
        <v>16</v>
      </c>
      <c r="B15" s="46">
        <v>9</v>
      </c>
      <c r="C15" s="315" t="s">
        <v>109</v>
      </c>
      <c r="D15" s="315"/>
      <c r="E15" s="9">
        <f t="shared" si="0"/>
        <v>45460.75</v>
      </c>
      <c r="F15" s="133">
        <f>'Dummy Table'!EM15</f>
        <v>45460.75</v>
      </c>
      <c r="G15" s="7" t="str">
        <f>INDEX(Language!$A$1:$H$110,MATCH(Setup!$C$11,Language!$B$1:$B$107,0),MATCH(Setup!$D$6,Language!$A$1:$H$1,0))</f>
        <v>Belgium</v>
      </c>
      <c r="H15" s="228" t="str">
        <f ca="1">IF(OFFSET('Group Stages'!$H$8,A15,0)&lt;&gt;"",OFFSET('Group Stages'!$H$8,A15,0),"")</f>
        <v/>
      </c>
      <c r="I15" s="229" t="str">
        <f ca="1">IF(OFFSET('Group Stages'!$H$9,A15,0)&lt;&gt;"",OFFSET('Group Stages'!$H$9,A15,0),"")</f>
        <v/>
      </c>
      <c r="J15" s="3" t="str">
        <f>INDEX(Language!$A$1:$H$110,MATCH(Setup!$C$25,Language!$B$1:$B$107,0),MATCH(Setup!$D$6,Language!$A$1:$H$1,0))</f>
        <v>Slovakia</v>
      </c>
      <c r="M15" s="161" t="s">
        <v>1051</v>
      </c>
      <c r="N15" s="1"/>
      <c r="O15" s="4">
        <v>4</v>
      </c>
      <c r="P15" s="289" t="str">
        <f ca="1">VLOOKUP(4,'Dummy Table'!$A$11:$B$15,2,FALSE)</f>
        <v>Croatia</v>
      </c>
      <c r="Q15" s="289"/>
      <c r="R15" s="289"/>
      <c r="S15" s="289"/>
      <c r="T15" s="4">
        <f t="shared" ca="1" si="4"/>
        <v>1</v>
      </c>
      <c r="U15" s="4">
        <f ca="1">VLOOKUP($P15,'Dummy Table'!$B$4:$C$40,2,FALSE)</f>
        <v>0</v>
      </c>
      <c r="V15" s="4">
        <f ca="1">VLOOKUP($P15,'Dummy Table'!$B$4:$D$40,3,FALSE)</f>
        <v>0</v>
      </c>
      <c r="W15" s="4">
        <f ca="1">VLOOKUP($P15,'Dummy Table'!$B$4:$E$40,4,FALSE)</f>
        <v>1</v>
      </c>
      <c r="X15" s="4">
        <f ca="1">VLOOKUP($P15,'Dummy Table'!$B$4:$F$40,5,FALSE)</f>
        <v>0</v>
      </c>
      <c r="Y15" s="4" t="s">
        <v>17</v>
      </c>
      <c r="Z15" s="4">
        <f ca="1">VLOOKUP($P15,'Dummy Table'!$B$4:$G$40,6,FALSE)</f>
        <v>3</v>
      </c>
      <c r="AA15" s="4">
        <f t="shared" ca="1" si="5"/>
        <v>-3</v>
      </c>
      <c r="AB15" s="4">
        <f ca="1">U15*3+V15*1</f>
        <v>0</v>
      </c>
      <c r="AC15" s="136"/>
      <c r="AE15" s="2"/>
      <c r="CW15" s="5"/>
      <c r="CX15" s="5"/>
      <c r="CY15" s="6"/>
      <c r="CZ15" s="5"/>
    </row>
    <row r="16" spans="1:104" s="3" customFormat="1" ht="14.45" customHeight="1" thickBot="1" x14ac:dyDescent="0.3">
      <c r="A16" s="170">
        <f t="shared" si="3"/>
        <v>18</v>
      </c>
      <c r="B16" s="46">
        <v>10</v>
      </c>
      <c r="C16" s="314" t="s">
        <v>109</v>
      </c>
      <c r="D16" s="314"/>
      <c r="E16" s="66">
        <f t="shared" si="0"/>
        <v>45460.625</v>
      </c>
      <c r="F16" s="132">
        <f>'Dummy Table'!EM16</f>
        <v>45460.625</v>
      </c>
      <c r="G16" s="67" t="str">
        <f>INDEX(Language!$A$1:$H$110,MATCH(Setup!$C$22,Language!$B$1:$B$107,0),MATCH(Setup!$D$6,Language!$A$1:$H$1,0))</f>
        <v>Romania</v>
      </c>
      <c r="H16" s="228" t="str">
        <f ca="1">IF(OFFSET('Group Stages'!$H$8,A16,0)&lt;&gt;"",OFFSET('Group Stages'!$H$8,A16,0),"")</f>
        <v/>
      </c>
      <c r="I16" s="229" t="str">
        <f ca="1">IF(OFFSET('Group Stages'!$H$9,A16,0)&lt;&gt;"",OFFSET('Group Stages'!$H$9,A16,0),"")</f>
        <v/>
      </c>
      <c r="J16" s="68" t="str">
        <f>INDEX(Language!$A$1:$H$110,MATCH(Setup!$C$31,Language!$B$1:$B$107,0),MATCH(Setup!$D$6,Language!$A$1:$H$1,0))</f>
        <v>Ukraine</v>
      </c>
      <c r="K16" s="68"/>
      <c r="L16" s="68"/>
      <c r="M16" s="160" t="s">
        <v>1044</v>
      </c>
      <c r="N16" s="1"/>
      <c r="O16" s="299" t="str">
        <f>INDEX(Language!$A$1:$I$110,MATCH("Group C",Language!$B$1:$B$107,0),MATCH(Setup!$D$6,Language!$A$1:$H$1,0))</f>
        <v>Group C</v>
      </c>
      <c r="P16" s="299"/>
      <c r="Q16" s="299"/>
      <c r="R16" s="299"/>
      <c r="S16" s="299"/>
      <c r="T16" s="47" t="s">
        <v>0</v>
      </c>
      <c r="U16" s="47" t="s">
        <v>12</v>
      </c>
      <c r="V16" s="47" t="s">
        <v>13</v>
      </c>
      <c r="W16" s="47" t="s">
        <v>14</v>
      </c>
      <c r="X16" s="47" t="s">
        <v>114</v>
      </c>
      <c r="Y16" s="47"/>
      <c r="Z16" s="47" t="s">
        <v>15</v>
      </c>
      <c r="AA16" s="88" t="s">
        <v>33</v>
      </c>
      <c r="AB16" s="47" t="s">
        <v>23</v>
      </c>
      <c r="AC16" s="143"/>
      <c r="AE16" s="2"/>
      <c r="CW16" s="5"/>
      <c r="CX16" s="5"/>
      <c r="CY16" s="6"/>
      <c r="CZ16" s="5"/>
    </row>
    <row r="17" spans="1:104" s="3" customFormat="1" ht="14.45" customHeight="1" thickBot="1" x14ac:dyDescent="0.3">
      <c r="A17" s="170">
        <f t="shared" si="3"/>
        <v>20</v>
      </c>
      <c r="B17" s="46">
        <v>11</v>
      </c>
      <c r="C17" s="315" t="s">
        <v>114</v>
      </c>
      <c r="D17" s="315"/>
      <c r="E17" s="9">
        <f t="shared" si="0"/>
        <v>45461.75</v>
      </c>
      <c r="F17" s="133">
        <f>'Dummy Table'!EM17</f>
        <v>45461.75</v>
      </c>
      <c r="G17" s="7" t="str">
        <f>INDEX(Language!$A$1:$H$110,MATCH(Setup!$C$29,Language!$B$1:$B$107,0),MATCH(Setup!$D$6,Language!$A$1:$H$1,0))</f>
        <v>Türkiye</v>
      </c>
      <c r="H17" s="228" t="str">
        <f ca="1">IF(OFFSET('Group Stages'!$H$8,A17,0)&lt;&gt;"",OFFSET('Group Stages'!$H$8,A17,0),"")</f>
        <v/>
      </c>
      <c r="I17" s="229" t="str">
        <f ca="1">IF(OFFSET('Group Stages'!$H$9,A17,0)&lt;&gt;"",OFFSET('Group Stages'!$H$9,A17,0),"")</f>
        <v/>
      </c>
      <c r="J17" s="3" t="str">
        <f>INDEX(Language!$A$1:$H$110,MATCH(Setup!$C$32,Language!$B$1:$B$107,0),MATCH(Setup!$D$6,Language!$A$1:$H$1,0))</f>
        <v>Georgia</v>
      </c>
      <c r="M17" s="161" t="s">
        <v>1047</v>
      </c>
      <c r="N17" s="1"/>
      <c r="O17" s="83">
        <v>1</v>
      </c>
      <c r="P17" s="306" t="str">
        <f ca="1">VLOOKUP(1,'Dummy Table'!$A$18:$B$22,2,FALSE)</f>
        <v>England</v>
      </c>
      <c r="Q17" s="306"/>
      <c r="R17" s="306"/>
      <c r="S17" s="306"/>
      <c r="T17" s="15">
        <f ca="1">SUM(U17:W17)</f>
        <v>0</v>
      </c>
      <c r="U17" s="15">
        <f ca="1">VLOOKUP($P17,'Dummy Table'!$B$4:$C$40,2,FALSE)</f>
        <v>0</v>
      </c>
      <c r="V17" s="15">
        <f ca="1">VLOOKUP($P17,'Dummy Table'!$B$4:$D$40,3,FALSE)</f>
        <v>0</v>
      </c>
      <c r="W17" s="15">
        <f ca="1">VLOOKUP($P17,'Dummy Table'!$B$4:$E$40,4,FALSE)</f>
        <v>0</v>
      </c>
      <c r="X17" s="15">
        <f ca="1">VLOOKUP($P17,'Dummy Table'!$B$4:$F$40,5,FALSE)</f>
        <v>0</v>
      </c>
      <c r="Y17" s="18" t="s">
        <v>17</v>
      </c>
      <c r="Z17" s="15">
        <f ca="1">VLOOKUP($P17,'Dummy Table'!$B$4:$G$40,6,FALSE)</f>
        <v>0</v>
      </c>
      <c r="AA17" s="15">
        <f ca="1">X17-Z17</f>
        <v>0</v>
      </c>
      <c r="AB17" s="15">
        <f ca="1">U17*3+V17*1</f>
        <v>0</v>
      </c>
      <c r="AC17" s="136"/>
      <c r="AE17" s="2"/>
      <c r="CW17" s="5"/>
      <c r="CX17" s="5"/>
      <c r="CY17" s="6"/>
      <c r="CZ17" s="5"/>
    </row>
    <row r="18" spans="1:104" s="3" customFormat="1" ht="14.45" customHeight="1" thickBot="1" x14ac:dyDescent="0.3">
      <c r="A18" s="170">
        <f t="shared" si="3"/>
        <v>22</v>
      </c>
      <c r="B18" s="46">
        <v>12</v>
      </c>
      <c r="C18" s="314" t="s">
        <v>114</v>
      </c>
      <c r="D18" s="314"/>
      <c r="E18" s="66">
        <f t="shared" si="0"/>
        <v>45461.875</v>
      </c>
      <c r="F18" s="132">
        <f>'Dummy Table'!EM18</f>
        <v>45461.875</v>
      </c>
      <c r="G18" s="67" t="str">
        <f>INDEX(Language!$A$1:$H$110,MATCH(Setup!$C$21,Language!$B$1:$B$107,0),MATCH(Setup!$D$6,Language!$A$1:$H$1,0))</f>
        <v>Portugal</v>
      </c>
      <c r="H18" s="228" t="str">
        <f ca="1">IF(OFFSET('Group Stages'!$H$8,A18,0)&lt;&gt;"",OFFSET('Group Stages'!$H$8,A18,0),"")</f>
        <v/>
      </c>
      <c r="I18" s="229" t="str">
        <f ca="1">IF(OFFSET('Group Stages'!$H$9,A18,0)&lt;&gt;"",OFFSET('Group Stages'!$H$9,A18,0),"")</f>
        <v/>
      </c>
      <c r="J18" s="68" t="str">
        <f>INDEX(Language!$A$1:$H$110,MATCH(Setup!$C$13,Language!$B$1:$B$107,0),MATCH(Setup!$D$6,Language!$A$1:$H$1,0))</f>
        <v>Czechia</v>
      </c>
      <c r="K18" s="68"/>
      <c r="L18" s="68"/>
      <c r="M18" s="160" t="s">
        <v>1053</v>
      </c>
      <c r="N18" s="1"/>
      <c r="O18" s="83">
        <v>2</v>
      </c>
      <c r="P18" s="302" t="str">
        <f ca="1">VLOOKUP(2,'Dummy Table'!$A$18:$B$22,2,FALSE)</f>
        <v>Denmark</v>
      </c>
      <c r="Q18" s="302"/>
      <c r="R18" s="302"/>
      <c r="S18" s="302"/>
      <c r="T18" s="17">
        <f t="shared" ref="T18:T20" ca="1" si="6">SUM(U18:W18)</f>
        <v>0</v>
      </c>
      <c r="U18" s="17">
        <f ca="1">VLOOKUP($P18,'Dummy Table'!$B$4:$C$40,2,FALSE)</f>
        <v>0</v>
      </c>
      <c r="V18" s="17">
        <f ca="1">VLOOKUP($P18,'Dummy Table'!$B$4:$D$40,3,FALSE)</f>
        <v>0</v>
      </c>
      <c r="W18" s="17">
        <f ca="1">VLOOKUP($P18,'Dummy Table'!$B$4:$E$40,4,FALSE)</f>
        <v>0</v>
      </c>
      <c r="X18" s="17">
        <f ca="1">VLOOKUP($P18,'Dummy Table'!$B$4:$F$40,5,FALSE)</f>
        <v>0</v>
      </c>
      <c r="Y18" s="17" t="s">
        <v>17</v>
      </c>
      <c r="Z18" s="17">
        <f ca="1">VLOOKUP($P18,'Dummy Table'!$B$4:$G$40,6,FALSE)</f>
        <v>0</v>
      </c>
      <c r="AA18" s="17">
        <f t="shared" ref="AA18:AA20" ca="1" si="7">X18-Z18</f>
        <v>0</v>
      </c>
      <c r="AB18" s="17">
        <f ca="1">U18*3+V18*1</f>
        <v>0</v>
      </c>
      <c r="AC18" s="136"/>
      <c r="AE18" s="2"/>
      <c r="CW18" s="5"/>
      <c r="CX18" s="5"/>
      <c r="CY18" s="6"/>
      <c r="CZ18" s="5"/>
    </row>
    <row r="19" spans="1:104" s="3" customFormat="1" ht="14.45" customHeight="1" thickBot="1" x14ac:dyDescent="0.3">
      <c r="A19" s="170">
        <f t="shared" si="3"/>
        <v>24</v>
      </c>
      <c r="B19" s="46">
        <v>13</v>
      </c>
      <c r="C19" s="315" t="s">
        <v>15</v>
      </c>
      <c r="D19" s="315"/>
      <c r="E19" s="9">
        <f t="shared" si="0"/>
        <v>45462.875</v>
      </c>
      <c r="F19" s="133">
        <f>'Dummy Table'!EM19</f>
        <v>45462.875</v>
      </c>
      <c r="G19" s="7" t="str">
        <f>INDEX(Language!$A$1:$H$110,MATCH(Setup!$C$23,Language!$B$1:$B$107,0),MATCH(Setup!$D$6,Language!$A$1:$H$1,0))</f>
        <v>Scotland</v>
      </c>
      <c r="H19" s="228" t="str">
        <f ca="1">IF(OFFSET('Group Stages'!$H$8,A19,0)&lt;&gt;"",OFFSET('Group Stages'!$H$8,A19,0),"")</f>
        <v/>
      </c>
      <c r="I19" s="229" t="str">
        <f ca="1">IF(OFFSET('Group Stages'!$H$9,A19,0)&lt;&gt;"",OFFSET('Group Stages'!$H$9,A19,0),"")</f>
        <v/>
      </c>
      <c r="J19" s="3" t="str">
        <f>INDEX(Language!$A$1:$H$110,MATCH(Setup!$C$28,Language!$B$1:$B$107,0),MATCH(Setup!$D$6,Language!$A$1:$H$1,0))</f>
        <v>Switzerland</v>
      </c>
      <c r="M19" s="161" t="s">
        <v>1045</v>
      </c>
      <c r="N19" s="1"/>
      <c r="O19" s="16">
        <v>3</v>
      </c>
      <c r="P19" s="294" t="str">
        <f ca="1">VLOOKUP(3,'Dummy Table'!$A$18:$B$22,2,FALSE)</f>
        <v>Slovenia</v>
      </c>
      <c r="Q19" s="294"/>
      <c r="R19" s="294"/>
      <c r="S19" s="294"/>
      <c r="T19" s="16">
        <f t="shared" ca="1" si="6"/>
        <v>0</v>
      </c>
      <c r="U19" s="16">
        <f ca="1">VLOOKUP($P19,'Dummy Table'!$B$4:$C$40,2,FALSE)</f>
        <v>0</v>
      </c>
      <c r="V19" s="16">
        <f ca="1">VLOOKUP($P19,'Dummy Table'!$B$4:$D$40,3,FALSE)</f>
        <v>0</v>
      </c>
      <c r="W19" s="16">
        <f ca="1">VLOOKUP($P19,'Dummy Table'!$B$4:$E$40,4,FALSE)</f>
        <v>0</v>
      </c>
      <c r="X19" s="16">
        <f ca="1">VLOOKUP($P19,'Dummy Table'!$B$4:$F$40,5,FALSE)</f>
        <v>0</v>
      </c>
      <c r="Y19" s="16" t="s">
        <v>17</v>
      </c>
      <c r="Z19" s="16">
        <f ca="1">VLOOKUP($P19,'Dummy Table'!$B$4:$G$40,6,FALSE)</f>
        <v>0</v>
      </c>
      <c r="AA19" s="16">
        <f t="shared" ca="1" si="7"/>
        <v>0</v>
      </c>
      <c r="AB19" s="16">
        <f ca="1">U19*3+V19*1</f>
        <v>0</v>
      </c>
      <c r="AC19" s="136"/>
      <c r="AE19" s="2"/>
      <c r="CW19" s="5"/>
      <c r="CX19" s="5"/>
      <c r="CY19" s="6"/>
      <c r="CZ19" s="5"/>
    </row>
    <row r="20" spans="1:104" s="3" customFormat="1" ht="14.45" customHeight="1" thickBot="1" x14ac:dyDescent="0.3">
      <c r="A20" s="170">
        <f t="shared" si="3"/>
        <v>26</v>
      </c>
      <c r="B20" s="46">
        <v>14</v>
      </c>
      <c r="C20" s="314" t="s">
        <v>15</v>
      </c>
      <c r="D20" s="314"/>
      <c r="E20" s="66">
        <f t="shared" si="0"/>
        <v>45462.75</v>
      </c>
      <c r="F20" s="132">
        <f>'Dummy Table'!EM20</f>
        <v>45462.75</v>
      </c>
      <c r="G20" s="67" t="str">
        <f>INDEX(Language!$A$1:$H$110,MATCH(Setup!$C$17,Language!$B$1:$B$107,0),MATCH(Setup!$D$6,Language!$A$1:$H$1,0))</f>
        <v>Germany</v>
      </c>
      <c r="H20" s="228" t="str">
        <f ca="1">IF(OFFSET('Group Stages'!$H$8,A20,0)&lt;&gt;"",OFFSET('Group Stages'!$H$8,A20,0),"")</f>
        <v/>
      </c>
      <c r="I20" s="229" t="str">
        <f ca="1">IF(OFFSET('Group Stages'!$H$9,A20,0)&lt;&gt;"",OFFSET('Group Stages'!$H$9,A20,0),"")</f>
        <v/>
      </c>
      <c r="J20" s="68" t="str">
        <f>INDEX(Language!$A$1:$H$110,MATCH(Setup!$C$18,Language!$B$1:$B$107,0),MATCH(Setup!$D$6,Language!$A$1:$H$1,0))</f>
        <v>Hungary</v>
      </c>
      <c r="K20" s="68"/>
      <c r="L20" s="68"/>
      <c r="M20" s="160" t="s">
        <v>1049</v>
      </c>
      <c r="N20" s="1"/>
      <c r="O20" s="4">
        <v>4</v>
      </c>
      <c r="P20" s="289" t="str">
        <f ca="1">VLOOKUP(4,'Dummy Table'!$A$18:$B$22,2,FALSE)</f>
        <v>Serbia</v>
      </c>
      <c r="Q20" s="289"/>
      <c r="R20" s="289"/>
      <c r="S20" s="289"/>
      <c r="T20" s="4">
        <f t="shared" ca="1" si="6"/>
        <v>0</v>
      </c>
      <c r="U20" s="4">
        <f ca="1">VLOOKUP($P20,'Dummy Table'!$B$4:$C$40,2,FALSE)</f>
        <v>0</v>
      </c>
      <c r="V20" s="4">
        <f ca="1">VLOOKUP($P20,'Dummy Table'!$B$4:$D$40,3,FALSE)</f>
        <v>0</v>
      </c>
      <c r="W20" s="4">
        <f ca="1">VLOOKUP($P20,'Dummy Table'!$B$4:$E$40,4,FALSE)</f>
        <v>0</v>
      </c>
      <c r="X20" s="4">
        <f ca="1">VLOOKUP($P20,'Dummy Table'!$B$4:$F$40,5,FALSE)</f>
        <v>0</v>
      </c>
      <c r="Y20" s="4" t="s">
        <v>17</v>
      </c>
      <c r="Z20" s="4">
        <f ca="1">VLOOKUP($P20,'Dummy Table'!$B$4:$G$40,6,FALSE)</f>
        <v>0</v>
      </c>
      <c r="AA20" s="4">
        <f t="shared" ca="1" si="7"/>
        <v>0</v>
      </c>
      <c r="AB20" s="4">
        <f ca="1">U20*3+V20*1</f>
        <v>0</v>
      </c>
      <c r="AC20" s="136"/>
      <c r="AE20" s="2"/>
      <c r="CW20" s="5"/>
      <c r="CX20" s="5"/>
      <c r="CY20" s="6"/>
      <c r="CZ20" s="5"/>
    </row>
    <row r="21" spans="1:104" s="3" customFormat="1" ht="14.45" customHeight="1" thickBot="1" x14ac:dyDescent="0.3">
      <c r="A21" s="170">
        <f t="shared" si="3"/>
        <v>28</v>
      </c>
      <c r="B21" s="46">
        <v>15</v>
      </c>
      <c r="C21" s="315" t="s">
        <v>3</v>
      </c>
      <c r="D21" s="315"/>
      <c r="E21" s="9">
        <f t="shared" si="0"/>
        <v>45462.625</v>
      </c>
      <c r="F21" s="133">
        <f>'Dummy Table'!EM21</f>
        <v>45462.625</v>
      </c>
      <c r="G21" s="7" t="str">
        <f>INDEX(Language!$A$1:$H$110,MATCH(Setup!$C$12,Language!$B$1:$B$107,0),MATCH(Setup!$D$6,Language!$A$1:$H$1,0))</f>
        <v>Croatia</v>
      </c>
      <c r="H21" s="228" t="str">
        <f ca="1">IF(OFFSET('Group Stages'!$H$8,A21,0)&lt;&gt;"",OFFSET('Group Stages'!$H$8,A21,0),"")</f>
        <v/>
      </c>
      <c r="I21" s="229" t="str">
        <f ca="1">IF(OFFSET('Group Stages'!$H$9,A21,0)&lt;&gt;"",OFFSET('Group Stages'!$H$9,A21,0),"")</f>
        <v/>
      </c>
      <c r="J21" s="3" t="str">
        <f>INDEX(Language!$A$1:$H$110,MATCH(Setup!$C$9,Language!$B$1:$B$107,0),MATCH(Setup!$D$6,Language!$A$1:$H$1,0))</f>
        <v>Albania</v>
      </c>
      <c r="M21" s="161" t="s">
        <v>1048</v>
      </c>
      <c r="N21" s="1"/>
      <c r="O21" s="299" t="str">
        <f>INDEX(Language!$A$1:$I$110,MATCH("Group D",Language!$B$1:$B$107,0),MATCH(Setup!$D$6,Language!$A$1:$H$1,0))</f>
        <v>Group D</v>
      </c>
      <c r="P21" s="299"/>
      <c r="Q21" s="299"/>
      <c r="R21" s="299"/>
      <c r="S21" s="299"/>
      <c r="T21" s="47" t="s">
        <v>0</v>
      </c>
      <c r="U21" s="47" t="s">
        <v>12</v>
      </c>
      <c r="V21" s="47" t="s">
        <v>13</v>
      </c>
      <c r="W21" s="47" t="s">
        <v>14</v>
      </c>
      <c r="X21" s="47" t="s">
        <v>114</v>
      </c>
      <c r="Y21" s="47"/>
      <c r="Z21" s="47" t="s">
        <v>15</v>
      </c>
      <c r="AA21" s="88" t="s">
        <v>33</v>
      </c>
      <c r="AB21" s="47" t="s">
        <v>23</v>
      </c>
      <c r="AC21" s="143"/>
      <c r="AE21" s="2"/>
      <c r="CW21" s="5"/>
      <c r="CX21" s="5"/>
      <c r="CY21" s="6"/>
      <c r="CZ21" s="5"/>
    </row>
    <row r="22" spans="1:104" s="3" customFormat="1" ht="14.45" customHeight="1" thickBot="1" x14ac:dyDescent="0.3">
      <c r="A22" s="170">
        <f t="shared" si="3"/>
        <v>30</v>
      </c>
      <c r="B22" s="46">
        <v>16</v>
      </c>
      <c r="C22" s="314" t="s">
        <v>3</v>
      </c>
      <c r="D22" s="314"/>
      <c r="E22" s="66">
        <f t="shared" si="0"/>
        <v>45463.875</v>
      </c>
      <c r="F22" s="132">
        <f>'Dummy Table'!EM22</f>
        <v>45463.875</v>
      </c>
      <c r="G22" s="67" t="str">
        <f>INDEX(Language!$A$1:$H$110,MATCH(Setup!$C$27,Language!$B$1:$B$107,0),MATCH(Setup!$D$6,Language!$A$1:$H$1,0))</f>
        <v>Spain</v>
      </c>
      <c r="H22" s="228" t="str">
        <f ca="1">IF(OFFSET('Group Stages'!$H$8,A22,0)&lt;&gt;"",OFFSET('Group Stages'!$H$8,A22,0),"")</f>
        <v/>
      </c>
      <c r="I22" s="229" t="str">
        <f ca="1">IF(OFFSET('Group Stages'!$H$9,A22,0)&lt;&gt;"",OFFSET('Group Stages'!$H$9,A22,0),"")</f>
        <v/>
      </c>
      <c r="J22" s="68" t="str">
        <f>INDEX(Language!$A$1:$H$110,MATCH(Setup!$C$19,Language!$B$1:$B$107,0),MATCH(Setup!$D$6,Language!$A$1:$H$1,0))</f>
        <v>Italy</v>
      </c>
      <c r="K22" s="68"/>
      <c r="L22" s="68"/>
      <c r="M22" s="160" t="s">
        <v>1050</v>
      </c>
      <c r="N22" s="1"/>
      <c r="O22" s="86">
        <v>1</v>
      </c>
      <c r="P22" s="305" t="str">
        <f ca="1">VLOOKUP(1,'Dummy Table'!$A$25:$B$29,2,FALSE)</f>
        <v>France</v>
      </c>
      <c r="Q22" s="305"/>
      <c r="R22" s="305"/>
      <c r="S22" s="305"/>
      <c r="T22" s="84">
        <f ca="1">SUM(U22:W22)</f>
        <v>0</v>
      </c>
      <c r="U22" s="84">
        <f ca="1">VLOOKUP($P22,'Dummy Table'!$B$4:$C$40,2,FALSE)</f>
        <v>0</v>
      </c>
      <c r="V22" s="84">
        <f ca="1">VLOOKUP($P22,'Dummy Table'!$B$4:$D$40,3,FALSE)</f>
        <v>0</v>
      </c>
      <c r="W22" s="84">
        <f ca="1">VLOOKUP($P22,'Dummy Table'!$B$4:$E$40,4,FALSE)</f>
        <v>0</v>
      </c>
      <c r="X22" s="84">
        <f ca="1">VLOOKUP($P22,'Dummy Table'!$B$4:$F$40,5,FALSE)</f>
        <v>0</v>
      </c>
      <c r="Y22" s="85" t="s">
        <v>17</v>
      </c>
      <c r="Z22" s="84">
        <f ca="1">VLOOKUP($P22,'Dummy Table'!$B$4:$G$40,6,FALSE)</f>
        <v>0</v>
      </c>
      <c r="AA22" s="84">
        <f ca="1">X22-Z22</f>
        <v>0</v>
      </c>
      <c r="AB22" s="84">
        <f ca="1">U22*3+V22*1</f>
        <v>0</v>
      </c>
      <c r="AC22" s="136"/>
      <c r="AE22" s="2"/>
      <c r="CW22" s="5"/>
      <c r="CX22" s="5"/>
      <c r="CY22" s="6"/>
      <c r="CZ22" s="5"/>
    </row>
    <row r="23" spans="1:104" s="3" customFormat="1" ht="14.45" customHeight="1" thickBot="1" x14ac:dyDescent="0.3">
      <c r="A23" s="170">
        <f t="shared" si="3"/>
        <v>32</v>
      </c>
      <c r="B23" s="46">
        <v>17</v>
      </c>
      <c r="C23" s="315" t="s">
        <v>4</v>
      </c>
      <c r="D23" s="315"/>
      <c r="E23" s="9">
        <f t="shared" si="0"/>
        <v>45463.75</v>
      </c>
      <c r="F23" s="133">
        <f>'Dummy Table'!EM23</f>
        <v>45463.75</v>
      </c>
      <c r="G23" s="7" t="str">
        <f>INDEX(Language!$A$1:$H$110,MATCH(Setup!$C$14,Language!$B$1:$B$107,0),MATCH(Setup!$D$6,Language!$A$1:$H$1,0))</f>
        <v>Denmark</v>
      </c>
      <c r="H23" s="228" t="str">
        <f ca="1">IF(OFFSET('Group Stages'!$H$8,A23,0)&lt;&gt;"",OFFSET('Group Stages'!$H$8,A23,0),"")</f>
        <v/>
      </c>
      <c r="I23" s="229" t="str">
        <f ca="1">IF(OFFSET('Group Stages'!$H$9,A23,0)&lt;&gt;"",OFFSET('Group Stages'!$H$9,A23,0),"")</f>
        <v/>
      </c>
      <c r="J23" s="3" t="str">
        <f>INDEX(Language!$A$1:$H$110,MATCH(Setup!$C$15,Language!$B$1:$B$107,0),MATCH(Setup!$D$6,Language!$A$1:$H$1,0))</f>
        <v>England</v>
      </c>
      <c r="M23" s="161" t="s">
        <v>1051</v>
      </c>
      <c r="N23" s="1"/>
      <c r="O23" s="86">
        <v>2</v>
      </c>
      <c r="P23" s="295" t="str">
        <f ca="1">VLOOKUP(2,'Dummy Table'!$A$25:$B$29,2,FALSE)</f>
        <v>Netherlands</v>
      </c>
      <c r="Q23" s="295"/>
      <c r="R23" s="295"/>
      <c r="S23" s="295"/>
      <c r="T23" s="87">
        <f t="shared" ref="T23:T25" ca="1" si="8">SUM(U23:W23)</f>
        <v>0</v>
      </c>
      <c r="U23" s="87">
        <f ca="1">VLOOKUP($P23,'Dummy Table'!$B$4:$C$40,2,FALSE)</f>
        <v>0</v>
      </c>
      <c r="V23" s="87">
        <f ca="1">VLOOKUP($P23,'Dummy Table'!$B$4:$D$40,3,FALSE)</f>
        <v>0</v>
      </c>
      <c r="W23" s="87">
        <f ca="1">VLOOKUP($P23,'Dummy Table'!$B$4:$E$40,4,FALSE)</f>
        <v>0</v>
      </c>
      <c r="X23" s="87">
        <f ca="1">VLOOKUP($P23,'Dummy Table'!$B$4:$F$40,5,FALSE)</f>
        <v>0</v>
      </c>
      <c r="Y23" s="87" t="s">
        <v>17</v>
      </c>
      <c r="Z23" s="87">
        <f ca="1">VLOOKUP($P23,'Dummy Table'!$B$4:$G$40,6,FALSE)</f>
        <v>0</v>
      </c>
      <c r="AA23" s="87">
        <f t="shared" ref="AA23:AA25" ca="1" si="9">X23-Z23</f>
        <v>0</v>
      </c>
      <c r="AB23" s="87">
        <f ca="1">U23*3+V23*1</f>
        <v>0</v>
      </c>
      <c r="AC23" s="136"/>
      <c r="AE23" s="2"/>
      <c r="CW23" s="5"/>
      <c r="CX23" s="5"/>
      <c r="CY23" s="6"/>
      <c r="CZ23" s="5"/>
    </row>
    <row r="24" spans="1:104" s="3" customFormat="1" ht="14.45" customHeight="1" thickBot="1" x14ac:dyDescent="0.3">
      <c r="A24" s="170">
        <f t="shared" si="3"/>
        <v>34</v>
      </c>
      <c r="B24" s="46">
        <v>18</v>
      </c>
      <c r="C24" s="314" t="s">
        <v>4</v>
      </c>
      <c r="D24" s="314"/>
      <c r="E24" s="66">
        <f t="shared" si="0"/>
        <v>45463.625</v>
      </c>
      <c r="F24" s="132">
        <f>'Dummy Table'!EM24</f>
        <v>45463.625</v>
      </c>
      <c r="G24" s="67" t="str">
        <f>INDEX(Language!$A$1:$H$110,MATCH(Setup!$C$26,Language!$B$1:$B$107,0),MATCH(Setup!$D$6,Language!$A$1:$H$1,0))</f>
        <v>Slovenia</v>
      </c>
      <c r="H24" s="228" t="str">
        <f ca="1">IF(OFFSET('Group Stages'!$H$8,A24,0)&lt;&gt;"",OFFSET('Group Stages'!$H$8,A24,0),"")</f>
        <v/>
      </c>
      <c r="I24" s="229" t="str">
        <f ca="1">IF(OFFSET('Group Stages'!$H$9,A24,0)&lt;&gt;"",OFFSET('Group Stages'!$H$9,A24,0),"")</f>
        <v/>
      </c>
      <c r="J24" s="68" t="str">
        <f>INDEX(Language!$A$1:$H$110,MATCH(Setup!$C$24,Language!$B$1:$B$107,0),MATCH(Setup!$D$6,Language!$A$1:$H$1,0))</f>
        <v>Serbia</v>
      </c>
      <c r="K24" s="68"/>
      <c r="L24" s="68"/>
      <c r="M24" s="160" t="s">
        <v>1044</v>
      </c>
      <c r="N24" s="1"/>
      <c r="O24" s="105">
        <v>3</v>
      </c>
      <c r="P24" s="296" t="str">
        <f ca="1">VLOOKUP(3,'Dummy Table'!$A$25:$B$29,2,FALSE)</f>
        <v>Austria</v>
      </c>
      <c r="Q24" s="296"/>
      <c r="R24" s="296"/>
      <c r="S24" s="296"/>
      <c r="T24" s="105">
        <f t="shared" ca="1" si="8"/>
        <v>0</v>
      </c>
      <c r="U24" s="105">
        <f ca="1">VLOOKUP($P24,'Dummy Table'!$B$4:$C$40,2,FALSE)</f>
        <v>0</v>
      </c>
      <c r="V24" s="105">
        <f ca="1">VLOOKUP($P24,'Dummy Table'!$B$4:$D$40,3,FALSE)</f>
        <v>0</v>
      </c>
      <c r="W24" s="105">
        <f ca="1">VLOOKUP($P24,'Dummy Table'!$B$4:$E$40,4,FALSE)</f>
        <v>0</v>
      </c>
      <c r="X24" s="105">
        <f ca="1">VLOOKUP($P24,'Dummy Table'!$B$4:$F$40,5,FALSE)</f>
        <v>0</v>
      </c>
      <c r="Y24" s="105" t="s">
        <v>17</v>
      </c>
      <c r="Z24" s="105">
        <f ca="1">VLOOKUP($P24,'Dummy Table'!$B$4:$G$40,6,FALSE)</f>
        <v>0</v>
      </c>
      <c r="AA24" s="105">
        <f t="shared" ca="1" si="9"/>
        <v>0</v>
      </c>
      <c r="AB24" s="105">
        <f ca="1">U24*3+V24*1</f>
        <v>0</v>
      </c>
      <c r="AC24" s="136"/>
      <c r="AE24" s="2"/>
      <c r="CW24" s="5"/>
      <c r="CX24" s="5"/>
      <c r="CY24" s="6"/>
      <c r="CZ24" s="5"/>
    </row>
    <row r="25" spans="1:104" s="3" customFormat="1" ht="14.45" customHeight="1" thickBot="1" x14ac:dyDescent="0.3">
      <c r="A25" s="170">
        <f t="shared" si="3"/>
        <v>36</v>
      </c>
      <c r="B25" s="46">
        <v>19</v>
      </c>
      <c r="C25" s="315" t="s">
        <v>13</v>
      </c>
      <c r="D25" s="315"/>
      <c r="E25" s="9">
        <f t="shared" si="0"/>
        <v>45464.75</v>
      </c>
      <c r="F25" s="133">
        <f>'Dummy Table'!EM25</f>
        <v>45464.75</v>
      </c>
      <c r="G25" s="7" t="str">
        <f>INDEX(Language!$A$1:$H$110,MATCH(Setup!$C$30,Language!$B$1:$B$107,0),MATCH(Setup!$D$6,Language!$A$1:$H$1,0))</f>
        <v>Poland</v>
      </c>
      <c r="H25" s="228" t="str">
        <f ca="1">IF(OFFSET('Group Stages'!$H$8,A25,0)&lt;&gt;"",OFFSET('Group Stages'!$H$8,A25,0),"")</f>
        <v/>
      </c>
      <c r="I25" s="229" t="str">
        <f ca="1">IF(OFFSET('Group Stages'!$H$9,A25,0)&lt;&gt;"",OFFSET('Group Stages'!$H$9,A25,0),"")</f>
        <v/>
      </c>
      <c r="J25" s="3" t="str">
        <f>INDEX(Language!$A$1:$H$110,MATCH(Setup!$C$10,Language!$B$1:$B$107,0),MATCH(Setup!$D$6,Language!$A$1:$H$1,0))</f>
        <v>Austria</v>
      </c>
      <c r="M25" s="161" t="s">
        <v>1046</v>
      </c>
      <c r="N25" s="1"/>
      <c r="O25" s="4">
        <v>4</v>
      </c>
      <c r="P25" s="289" t="str">
        <f ca="1">VLOOKUP(4,'Dummy Table'!$A$25:$B$29,2,FALSE)</f>
        <v>Poland</v>
      </c>
      <c r="Q25" s="289"/>
      <c r="R25" s="289"/>
      <c r="S25" s="289"/>
      <c r="T25" s="4">
        <f t="shared" ca="1" si="8"/>
        <v>0</v>
      </c>
      <c r="U25" s="4">
        <f ca="1">VLOOKUP($P25,'Dummy Table'!$B$4:$C$40,2,FALSE)</f>
        <v>0</v>
      </c>
      <c r="V25" s="4">
        <f ca="1">VLOOKUP($P25,'Dummy Table'!$B$4:$D$40,3,FALSE)</f>
        <v>0</v>
      </c>
      <c r="W25" s="4">
        <f ca="1">VLOOKUP($P25,'Dummy Table'!$B$4:$E$40,4,FALSE)</f>
        <v>0</v>
      </c>
      <c r="X25" s="4">
        <f ca="1">VLOOKUP($P25,'Dummy Table'!$B$4:$F$40,5,FALSE)</f>
        <v>0</v>
      </c>
      <c r="Y25" s="4" t="s">
        <v>17</v>
      </c>
      <c r="Z25" s="4">
        <f ca="1">VLOOKUP($P25,'Dummy Table'!$B$4:$G$40,6,FALSE)</f>
        <v>0</v>
      </c>
      <c r="AA25" s="4">
        <f t="shared" ca="1" si="9"/>
        <v>0</v>
      </c>
      <c r="AB25" s="4">
        <f ca="1">U25*3+V25*1</f>
        <v>0</v>
      </c>
      <c r="AC25" s="136"/>
      <c r="AE25" s="2"/>
      <c r="CW25" s="5"/>
      <c r="CX25" s="5"/>
      <c r="CY25" s="6"/>
      <c r="CZ25" s="5"/>
    </row>
    <row r="26" spans="1:104" s="3" customFormat="1" ht="14.45" customHeight="1" thickBot="1" x14ac:dyDescent="0.3">
      <c r="A26" s="170">
        <f t="shared" si="3"/>
        <v>38</v>
      </c>
      <c r="B26" s="46">
        <v>20</v>
      </c>
      <c r="C26" s="314" t="s">
        <v>13</v>
      </c>
      <c r="D26" s="314"/>
      <c r="E26" s="66">
        <f t="shared" si="0"/>
        <v>45464.875</v>
      </c>
      <c r="F26" s="132">
        <f>'Dummy Table'!EM26</f>
        <v>45464.875</v>
      </c>
      <c r="G26" s="67" t="str">
        <f>INDEX(Language!$A$1:$H$110,MATCH(Setup!$C$20,Language!$B$1:$B$107,0),MATCH(Setup!$D$6,Language!$A$1:$H$1,0))</f>
        <v>Netherlands</v>
      </c>
      <c r="H26" s="228" t="str">
        <f ca="1">IF(OFFSET('Group Stages'!$H$8,A26,0)&lt;&gt;"",OFFSET('Group Stages'!$H$8,A26,0),"")</f>
        <v/>
      </c>
      <c r="I26" s="229" t="str">
        <f ca="1">IF(OFFSET('Group Stages'!$H$9,A26,0)&lt;&gt;"",OFFSET('Group Stages'!$H$9,A26,0),"")</f>
        <v/>
      </c>
      <c r="J26" s="68" t="str">
        <f>INDEX(Language!$A$1:$H$110,MATCH(Setup!$C$16,Language!$B$1:$B$107,0),MATCH(Setup!$D$6,Language!$A$1:$H$1,0))</f>
        <v>France</v>
      </c>
      <c r="K26" s="68"/>
      <c r="L26" s="68"/>
      <c r="M26" s="160" t="s">
        <v>1053</v>
      </c>
      <c r="N26" s="1"/>
      <c r="O26" s="299" t="str">
        <f>INDEX(Language!$A$1:$I$110,MATCH("Group E",Language!$B$1:$B$107,0),MATCH(Setup!$D$6,Language!$A$1:$H$1,0))</f>
        <v>Group E</v>
      </c>
      <c r="P26" s="299"/>
      <c r="Q26" s="299"/>
      <c r="R26" s="299"/>
      <c r="S26" s="299"/>
      <c r="T26" s="47" t="s">
        <v>0</v>
      </c>
      <c r="U26" s="47" t="s">
        <v>12</v>
      </c>
      <c r="V26" s="47" t="s">
        <v>13</v>
      </c>
      <c r="W26" s="47" t="s">
        <v>14</v>
      </c>
      <c r="X26" s="47" t="s">
        <v>114</v>
      </c>
      <c r="Y26" s="47"/>
      <c r="Z26" s="47" t="s">
        <v>15</v>
      </c>
      <c r="AA26" s="88" t="s">
        <v>33</v>
      </c>
      <c r="AB26" s="47" t="s">
        <v>23</v>
      </c>
      <c r="AC26" s="143"/>
      <c r="AE26" s="2"/>
      <c r="CW26" s="5"/>
      <c r="CX26" s="5"/>
      <c r="CY26" s="6"/>
      <c r="CZ26" s="5"/>
    </row>
    <row r="27" spans="1:104" s="3" customFormat="1" ht="14.45" customHeight="1" thickBot="1" x14ac:dyDescent="0.3">
      <c r="A27" s="170">
        <f t="shared" si="3"/>
        <v>40</v>
      </c>
      <c r="B27" s="46">
        <v>21</v>
      </c>
      <c r="C27" s="315" t="s">
        <v>109</v>
      </c>
      <c r="D27" s="315"/>
      <c r="E27" s="9">
        <f t="shared" si="0"/>
        <v>45464.625</v>
      </c>
      <c r="F27" s="133">
        <f>'Dummy Table'!EM27</f>
        <v>45464.625</v>
      </c>
      <c r="G27" s="7" t="str">
        <f>INDEX(Language!$A$1:$H$110,MATCH(Setup!$C$25,Language!$B$1:$B$107,0),MATCH(Setup!$D$6,Language!$A$1:$H$1,0))</f>
        <v>Slovakia</v>
      </c>
      <c r="H27" s="228" t="str">
        <f ca="1">IF(OFFSET('Group Stages'!$H$8,A27,0)&lt;&gt;"",OFFSET('Group Stages'!$H$8,A27,0),"")</f>
        <v/>
      </c>
      <c r="I27" s="229" t="str">
        <f ca="1">IF(OFFSET('Group Stages'!$H$9,A27,0)&lt;&gt;"",OFFSET('Group Stages'!$H$9,A27,0),"")</f>
        <v/>
      </c>
      <c r="J27" s="3" t="str">
        <f>INDEX(Language!$A$1:$H$110,MATCH(Setup!$C$31,Language!$B$1:$B$107,0),MATCH(Setup!$D$6,Language!$A$1:$H$1,0))</f>
        <v>Ukraine</v>
      </c>
      <c r="M27" s="161" t="s">
        <v>1052</v>
      </c>
      <c r="N27" s="1"/>
      <c r="O27" s="106">
        <v>1</v>
      </c>
      <c r="P27" s="288" t="str">
        <f>VLOOKUP(1,'Dummy Table'!$A$31:$B$35,2,FALSE)</f>
        <v>Romania</v>
      </c>
      <c r="Q27" s="288"/>
      <c r="R27" s="288"/>
      <c r="S27" s="288"/>
      <c r="T27" s="107">
        <f ca="1">SUM(U27:W27)</f>
        <v>0</v>
      </c>
      <c r="U27" s="107">
        <f ca="1">VLOOKUP($P27,'Dummy Table'!$B$4:$C$40,2,FALSE)</f>
        <v>0</v>
      </c>
      <c r="V27" s="107">
        <f ca="1">VLOOKUP($P27,'Dummy Table'!$B$4:$D$40,3,FALSE)</f>
        <v>0</v>
      </c>
      <c r="W27" s="107">
        <f ca="1">VLOOKUP($P27,'Dummy Table'!$B$4:$E$40,4,FALSE)</f>
        <v>0</v>
      </c>
      <c r="X27" s="107">
        <f ca="1">VLOOKUP($P27,'Dummy Table'!$B$4:$F$40,5,FALSE)</f>
        <v>0</v>
      </c>
      <c r="Y27" s="108" t="s">
        <v>17</v>
      </c>
      <c r="Z27" s="107">
        <f ca="1">VLOOKUP($P27,'Dummy Table'!$B$4:$G$40,6,FALSE)</f>
        <v>0</v>
      </c>
      <c r="AA27" s="107">
        <f ca="1">X27-Z27</f>
        <v>0</v>
      </c>
      <c r="AB27" s="107">
        <f ca="1">U27*3+V27*1</f>
        <v>0</v>
      </c>
      <c r="AC27" s="136"/>
      <c r="AE27" s="2"/>
      <c r="CW27" s="5"/>
      <c r="CX27" s="5"/>
      <c r="CY27" s="6"/>
      <c r="CZ27" s="5"/>
    </row>
    <row r="28" spans="1:104" s="3" customFormat="1" ht="14.45" customHeight="1" thickBot="1" x14ac:dyDescent="0.3">
      <c r="A28" s="170">
        <f t="shared" si="3"/>
        <v>42</v>
      </c>
      <c r="B28" s="46">
        <v>22</v>
      </c>
      <c r="C28" s="314" t="s">
        <v>109</v>
      </c>
      <c r="D28" s="314"/>
      <c r="E28" s="66">
        <f t="shared" si="0"/>
        <v>45465.875</v>
      </c>
      <c r="F28" s="132">
        <f>'Dummy Table'!EM28</f>
        <v>45465.875</v>
      </c>
      <c r="G28" s="67" t="str">
        <f>INDEX(Language!$A$1:$H$110,MATCH(Setup!$C$11,Language!$B$1:$B$107,0),MATCH(Setup!$D$6,Language!$A$1:$H$1,0))</f>
        <v>Belgium</v>
      </c>
      <c r="H28" s="228" t="str">
        <f ca="1">IF(OFFSET('Group Stages'!$H$8,A28,0)&lt;&gt;"",OFFSET('Group Stages'!$H$8,A28,0),"")</f>
        <v/>
      </c>
      <c r="I28" s="229" t="str">
        <f ca="1">IF(OFFSET('Group Stages'!$H$9,A28,0)&lt;&gt;"",OFFSET('Group Stages'!$H$9,A28,0),"")</f>
        <v/>
      </c>
      <c r="J28" s="68" t="str">
        <f>INDEX(Language!$A$1:$H$110,MATCH(Setup!$C$22,Language!$B$1:$B$107,0),MATCH(Setup!$D$6,Language!$A$1:$H$1,0))</f>
        <v>Romania</v>
      </c>
      <c r="K28" s="68"/>
      <c r="L28" s="68"/>
      <c r="M28" s="160" t="s">
        <v>1045</v>
      </c>
      <c r="N28" s="1"/>
      <c r="O28" s="106">
        <v>2</v>
      </c>
      <c r="P28" s="304" t="str">
        <f>VLOOKUP(2,'Dummy Table'!$A$31:$B$35,2,FALSE)</f>
        <v>Belgium</v>
      </c>
      <c r="Q28" s="304"/>
      <c r="R28" s="304"/>
      <c r="S28" s="304"/>
      <c r="T28" s="109">
        <f t="shared" ref="T28:T30" ca="1" si="10">SUM(U28:W28)</f>
        <v>0</v>
      </c>
      <c r="U28" s="109">
        <f ca="1">VLOOKUP($P28,'Dummy Table'!$B$4:$C$40,2,FALSE)</f>
        <v>0</v>
      </c>
      <c r="V28" s="109">
        <f ca="1">VLOOKUP($P28,'Dummy Table'!$B$4:$D$40,3,FALSE)</f>
        <v>0</v>
      </c>
      <c r="W28" s="109">
        <f ca="1">VLOOKUP($P28,'Dummy Table'!$B$4:$E$40,4,FALSE)</f>
        <v>0</v>
      </c>
      <c r="X28" s="109">
        <f ca="1">VLOOKUP($P28,'Dummy Table'!$B$4:$F$40,5,FALSE)</f>
        <v>0</v>
      </c>
      <c r="Y28" s="109" t="s">
        <v>17</v>
      </c>
      <c r="Z28" s="109">
        <f ca="1">VLOOKUP($P28,'Dummy Table'!$B$4:$G$40,6,FALSE)</f>
        <v>0</v>
      </c>
      <c r="AA28" s="109">
        <f t="shared" ref="AA28:AA30" ca="1" si="11">X28-Z28</f>
        <v>0</v>
      </c>
      <c r="AB28" s="109">
        <f ca="1">U28*3+V28*1</f>
        <v>0</v>
      </c>
      <c r="AC28" s="136"/>
      <c r="AE28" s="2"/>
      <c r="CW28" s="5"/>
      <c r="CX28" s="5"/>
      <c r="CY28" s="6"/>
      <c r="CZ28" s="5"/>
    </row>
    <row r="29" spans="1:104" s="3" customFormat="1" ht="14.45" customHeight="1" thickBot="1" x14ac:dyDescent="0.3">
      <c r="A29" s="170">
        <f t="shared" si="3"/>
        <v>44</v>
      </c>
      <c r="B29" s="46">
        <v>23</v>
      </c>
      <c r="C29" s="315" t="s">
        <v>114</v>
      </c>
      <c r="D29" s="315"/>
      <c r="E29" s="9">
        <f t="shared" si="0"/>
        <v>45465.75</v>
      </c>
      <c r="F29" s="133">
        <f>'Dummy Table'!EM29</f>
        <v>45465.75</v>
      </c>
      <c r="G29" s="7" t="str">
        <f>INDEX(Language!$A$1:$H$110,MATCH(Setup!$C$29,Language!$B$1:$B$107,0),MATCH(Setup!$D$6,Language!$A$1:$H$1,0))</f>
        <v>Türkiye</v>
      </c>
      <c r="H29" s="228" t="str">
        <f ca="1">IF(OFFSET('Group Stages'!$H$8,A29,0)&lt;&gt;"",OFFSET('Group Stages'!$H$8,A29,0),"")</f>
        <v/>
      </c>
      <c r="I29" s="229" t="str">
        <f ca="1">IF(OFFSET('Group Stages'!$H$9,A29,0)&lt;&gt;"",OFFSET('Group Stages'!$H$9,A29,0),"")</f>
        <v/>
      </c>
      <c r="J29" s="3" t="str">
        <f>INDEX(Language!$A$1:$H$110,MATCH(Setup!$C$21,Language!$B$1:$B$107,0),MATCH(Setup!$D$6,Language!$A$1:$H$1,0))</f>
        <v>Portugal</v>
      </c>
      <c r="M29" s="161" t="s">
        <v>1047</v>
      </c>
      <c r="N29" s="1"/>
      <c r="O29" s="110">
        <v>3</v>
      </c>
      <c r="P29" s="303" t="str">
        <f>VLOOKUP(3,'Dummy Table'!$A$31:$B$35,2,FALSE)</f>
        <v>Slovakia</v>
      </c>
      <c r="Q29" s="303"/>
      <c r="R29" s="303"/>
      <c r="S29" s="303"/>
      <c r="T29" s="110">
        <f t="shared" ca="1" si="10"/>
        <v>0</v>
      </c>
      <c r="U29" s="110">
        <f ca="1">VLOOKUP($P29,'Dummy Table'!$B$4:$C$40,2,FALSE)</f>
        <v>0</v>
      </c>
      <c r="V29" s="110">
        <f ca="1">VLOOKUP($P29,'Dummy Table'!$B$4:$D$40,3,FALSE)</f>
        <v>0</v>
      </c>
      <c r="W29" s="110">
        <f ca="1">VLOOKUP($P29,'Dummy Table'!$B$4:$E$40,4,FALSE)</f>
        <v>0</v>
      </c>
      <c r="X29" s="110">
        <f ca="1">VLOOKUP($P29,'Dummy Table'!$B$4:$F$40,5,FALSE)</f>
        <v>0</v>
      </c>
      <c r="Y29" s="110" t="s">
        <v>17</v>
      </c>
      <c r="Z29" s="110">
        <f ca="1">VLOOKUP($P29,'Dummy Table'!$B$4:$G$40,6,FALSE)</f>
        <v>0</v>
      </c>
      <c r="AA29" s="110">
        <f t="shared" ca="1" si="11"/>
        <v>0</v>
      </c>
      <c r="AB29" s="110">
        <f ca="1">U29*3+V29*1</f>
        <v>0</v>
      </c>
      <c r="AC29" s="136"/>
      <c r="AE29" s="2"/>
      <c r="CW29" s="5"/>
      <c r="CX29" s="5"/>
      <c r="CY29" s="6"/>
      <c r="CZ29" s="5"/>
    </row>
    <row r="30" spans="1:104" s="3" customFormat="1" ht="14.45" customHeight="1" thickBot="1" x14ac:dyDescent="0.3">
      <c r="A30" s="170">
        <f t="shared" si="3"/>
        <v>46</v>
      </c>
      <c r="B30" s="46">
        <v>24</v>
      </c>
      <c r="C30" s="314" t="s">
        <v>114</v>
      </c>
      <c r="D30" s="314"/>
      <c r="E30" s="66">
        <f t="shared" si="0"/>
        <v>45465.625</v>
      </c>
      <c r="F30" s="132">
        <f>'Dummy Table'!EM30</f>
        <v>45465.625</v>
      </c>
      <c r="G30" s="67" t="str">
        <f>INDEX(Language!$A$1:$H$110,MATCH(Setup!$C$32,Language!$B$1:$B$107,0),MATCH(Setup!$D$6,Language!$A$1:$H$1,0))</f>
        <v>Georgia</v>
      </c>
      <c r="H30" s="228" t="str">
        <f ca="1">IF(OFFSET('Group Stages'!$H$8,A30,0)&lt;&gt;"",OFFSET('Group Stages'!$H$8,A30,0),"")</f>
        <v/>
      </c>
      <c r="I30" s="229" t="str">
        <f ca="1">IF(OFFSET('Group Stages'!$H$9,A30,0)&lt;&gt;"",OFFSET('Group Stages'!$H$9,A30,0),"")</f>
        <v/>
      </c>
      <c r="J30" s="68" t="str">
        <f>INDEX(Language!$A$1:$H$110,MATCH(Setup!$C$13,Language!$B$1:$B$107,0),MATCH(Setup!$D$6,Language!$A$1:$H$1,0))</f>
        <v>Czechia</v>
      </c>
      <c r="K30" s="68"/>
      <c r="L30" s="68"/>
      <c r="M30" s="160" t="s">
        <v>1048</v>
      </c>
      <c r="N30" s="1"/>
      <c r="O30" s="4">
        <v>4</v>
      </c>
      <c r="P30" s="289" t="str">
        <f>VLOOKUP(4,'Dummy Table'!$A$31:$B$35,2,FALSE)</f>
        <v>Ukraine</v>
      </c>
      <c r="Q30" s="289"/>
      <c r="R30" s="289"/>
      <c r="S30" s="289"/>
      <c r="T30" s="4">
        <f t="shared" ca="1" si="10"/>
        <v>0</v>
      </c>
      <c r="U30" s="4">
        <f ca="1">VLOOKUP($P30,'Dummy Table'!$B$4:$C$40,2,FALSE)</f>
        <v>0</v>
      </c>
      <c r="V30" s="4">
        <f ca="1">VLOOKUP($P30,'Dummy Table'!$B$4:$D$40,3,FALSE)</f>
        <v>0</v>
      </c>
      <c r="W30" s="4">
        <f ca="1">VLOOKUP($P30,'Dummy Table'!$B$4:$E$40,4,FALSE)</f>
        <v>0</v>
      </c>
      <c r="X30" s="4">
        <f ca="1">VLOOKUP($P30,'Dummy Table'!$B$4:$F$40,5,FALSE)</f>
        <v>0</v>
      </c>
      <c r="Y30" s="4" t="s">
        <v>17</v>
      </c>
      <c r="Z30" s="4">
        <f ca="1">VLOOKUP($P30,'Dummy Table'!$B$4:$G$40,6,FALSE)</f>
        <v>0</v>
      </c>
      <c r="AA30" s="4">
        <f t="shared" ca="1" si="11"/>
        <v>0</v>
      </c>
      <c r="AB30" s="4">
        <f ca="1">U30*3+V30*1</f>
        <v>0</v>
      </c>
      <c r="AC30" s="136"/>
      <c r="AE30" s="2"/>
      <c r="CW30" s="5"/>
      <c r="CX30" s="5"/>
      <c r="CY30" s="6"/>
      <c r="CZ30" s="5"/>
    </row>
    <row r="31" spans="1:104" s="3" customFormat="1" ht="14.45" customHeight="1" thickBot="1" x14ac:dyDescent="0.3">
      <c r="A31" s="170">
        <f t="shared" si="3"/>
        <v>48</v>
      </c>
      <c r="B31" s="46">
        <v>25</v>
      </c>
      <c r="C31" s="315" t="s">
        <v>15</v>
      </c>
      <c r="D31" s="315"/>
      <c r="E31" s="9">
        <f t="shared" si="0"/>
        <v>45466.875</v>
      </c>
      <c r="F31" s="133">
        <f>'Dummy Table'!EM31</f>
        <v>45466.875</v>
      </c>
      <c r="G31" s="7" t="str">
        <f>INDEX(Language!$A$1:$H$110,MATCH(Setup!$C$28,Language!$B$1:$B$107,0),MATCH(Setup!$D$6,Language!$A$1:$H$1,0))</f>
        <v>Switzerland</v>
      </c>
      <c r="H31" s="228" t="str">
        <f ca="1">IF(OFFSET('Group Stages'!$H$8,A31,0)&lt;&gt;"",OFFSET('Group Stages'!$H$8,A31,0),"")</f>
        <v/>
      </c>
      <c r="I31" s="229" t="str">
        <f ca="1">IF(OFFSET('Group Stages'!$H$9,A31,0)&lt;&gt;"",OFFSET('Group Stages'!$H$9,A31,0),"")</f>
        <v/>
      </c>
      <c r="J31" s="3" t="str">
        <f>INDEX(Language!$A$1:$H$110,MATCH(Setup!$C$17,Language!$B$1:$B$107,0),MATCH(Setup!$D$6,Language!$A$1:$H$1,0))</f>
        <v>Germany</v>
      </c>
      <c r="M31" s="161" t="s">
        <v>1051</v>
      </c>
      <c r="N31" s="1"/>
      <c r="O31" s="299" t="str">
        <f>INDEX(Language!$A$1:$I$110,MATCH("Group F",Language!$B$1:$B$107,0),MATCH(Setup!$D$6,Language!$A$1:$H$1,0))</f>
        <v>Group F</v>
      </c>
      <c r="P31" s="299"/>
      <c r="Q31" s="299"/>
      <c r="R31" s="299"/>
      <c r="S31" s="299"/>
      <c r="T31" s="47" t="s">
        <v>0</v>
      </c>
      <c r="U31" s="47" t="s">
        <v>12</v>
      </c>
      <c r="V31" s="47" t="s">
        <v>13</v>
      </c>
      <c r="W31" s="47" t="s">
        <v>14</v>
      </c>
      <c r="X31" s="47" t="s">
        <v>114</v>
      </c>
      <c r="Y31" s="47"/>
      <c r="Z31" s="47" t="s">
        <v>15</v>
      </c>
      <c r="AA31" s="88" t="s">
        <v>33</v>
      </c>
      <c r="AB31" s="47" t="s">
        <v>23</v>
      </c>
      <c r="AC31" s="143"/>
      <c r="AE31" s="2"/>
      <c r="CW31" s="5"/>
      <c r="CX31" s="5"/>
      <c r="CY31" s="6"/>
      <c r="CZ31" s="5"/>
    </row>
    <row r="32" spans="1:104" s="3" customFormat="1" ht="14.45" customHeight="1" thickBot="1" x14ac:dyDescent="0.3">
      <c r="A32" s="170">
        <f t="shared" si="3"/>
        <v>50</v>
      </c>
      <c r="B32" s="46">
        <v>26</v>
      </c>
      <c r="C32" s="314" t="s">
        <v>15</v>
      </c>
      <c r="D32" s="314"/>
      <c r="E32" s="66">
        <f t="shared" si="0"/>
        <v>45466.875</v>
      </c>
      <c r="F32" s="132">
        <f>'Dummy Table'!EM32</f>
        <v>45466.875</v>
      </c>
      <c r="G32" s="67" t="str">
        <f>INDEX(Language!$A$1:$H$110,MATCH(Setup!$C$23,Language!$B$1:$B$107,0),MATCH(Setup!$D$6,Language!$A$1:$H$1,0))</f>
        <v>Scotland</v>
      </c>
      <c r="H32" s="228" t="str">
        <f ca="1">IF(OFFSET('Group Stages'!$H$8,A32,0)&lt;&gt;"",OFFSET('Group Stages'!$H$8,A32,0),"")</f>
        <v/>
      </c>
      <c r="I32" s="229" t="str">
        <f ca="1">IF(OFFSET('Group Stages'!$H$9,A32,0)&lt;&gt;"",OFFSET('Group Stages'!$H$9,A32,0),"")</f>
        <v/>
      </c>
      <c r="J32" s="68" t="str">
        <f>INDEX(Language!$A$1:$H$110,MATCH(Setup!$C$18,Language!$B$1:$B$107,0),MATCH(Setup!$D$6,Language!$A$1:$H$1,0))</f>
        <v>Hungary</v>
      </c>
      <c r="K32" s="68"/>
      <c r="L32" s="68"/>
      <c r="M32" s="160" t="s">
        <v>1049</v>
      </c>
      <c r="N32" s="1"/>
      <c r="O32" s="82">
        <v>1</v>
      </c>
      <c r="P32" s="292" t="str">
        <f ca="1">VLOOKUP(1,'Dummy Table'!$A$37:$B$41,2,FALSE)</f>
        <v>Portugal</v>
      </c>
      <c r="Q32" s="292"/>
      <c r="R32" s="292"/>
      <c r="S32" s="292"/>
      <c r="T32" s="80">
        <f ca="1">SUM(U32:W32)</f>
        <v>0</v>
      </c>
      <c r="U32" s="80">
        <f ca="1">VLOOKUP($P32,'Dummy Table'!$B$4:$C$40,2,FALSE)</f>
        <v>0</v>
      </c>
      <c r="V32" s="80">
        <f ca="1">VLOOKUP($P32,'Dummy Table'!$B$4:$D$40,3,FALSE)</f>
        <v>0</v>
      </c>
      <c r="W32" s="80">
        <f ca="1">VLOOKUP($P32,'Dummy Table'!$B$4:$E$40,4,FALSE)</f>
        <v>0</v>
      </c>
      <c r="X32" s="80">
        <f ca="1">VLOOKUP($P32,'Dummy Table'!$B$4:$F$40,5,FALSE)</f>
        <v>0</v>
      </c>
      <c r="Y32" s="81" t="s">
        <v>17</v>
      </c>
      <c r="Z32" s="80">
        <f ca="1">VLOOKUP($P32,'Dummy Table'!$B$4:$G$40,6,FALSE)</f>
        <v>0</v>
      </c>
      <c r="AA32" s="80">
        <f ca="1">X32-Z32</f>
        <v>0</v>
      </c>
      <c r="AB32" s="80">
        <f ca="1">U32*3+V32*1</f>
        <v>0</v>
      </c>
      <c r="AC32" s="136"/>
      <c r="AE32" s="2"/>
      <c r="CW32" s="5"/>
      <c r="CX32" s="5"/>
      <c r="CY32" s="6"/>
      <c r="CZ32" s="5"/>
    </row>
    <row r="33" spans="1:104" s="3" customFormat="1" ht="14.45" customHeight="1" thickBot="1" x14ac:dyDescent="0.3">
      <c r="A33" s="170">
        <f t="shared" si="3"/>
        <v>52</v>
      </c>
      <c r="B33" s="46">
        <v>27</v>
      </c>
      <c r="C33" s="315" t="s">
        <v>3</v>
      </c>
      <c r="D33" s="315"/>
      <c r="E33" s="9">
        <f t="shared" si="0"/>
        <v>45467.875</v>
      </c>
      <c r="F33" s="133">
        <f>'Dummy Table'!EM33</f>
        <v>45467.875</v>
      </c>
      <c r="G33" s="7" t="str">
        <f>INDEX(Language!$A$1:$H$110,MATCH(Setup!$C$9,Language!$B$1:$B$107,0),MATCH(Setup!$D$6,Language!$A$1:$H$1,0))</f>
        <v>Albania</v>
      </c>
      <c r="H33" s="228" t="str">
        <f ca="1">IF(OFFSET('Group Stages'!$H$8,A33,0)&lt;&gt;"",OFFSET('Group Stages'!$H$8,A33,0),"")</f>
        <v/>
      </c>
      <c r="I33" s="229" t="str">
        <f ca="1">IF(OFFSET('Group Stages'!$H$9,A33,0)&lt;&gt;"",OFFSET('Group Stages'!$H$9,A33,0),"")</f>
        <v/>
      </c>
      <c r="J33" s="3" t="str">
        <f>INDEX(Language!$A$1:$H$110,MATCH(Setup!$C$27,Language!$B$1:$B$107,0),MATCH(Setup!$D$6,Language!$A$1:$H$1,0))</f>
        <v>Spain</v>
      </c>
      <c r="M33" s="161" t="s">
        <v>1052</v>
      </c>
      <c r="N33" s="1"/>
      <c r="O33" s="82">
        <v>2</v>
      </c>
      <c r="P33" s="293" t="str">
        <f ca="1">VLOOKUP(2,'Dummy Table'!$A$37:$B$41,2,FALSE)</f>
        <v>Türkiye</v>
      </c>
      <c r="Q33" s="293"/>
      <c r="R33" s="293"/>
      <c r="S33" s="293"/>
      <c r="T33" s="35">
        <f t="shared" ref="T33:T35" ca="1" si="12">SUM(U33:W33)</f>
        <v>0</v>
      </c>
      <c r="U33" s="35">
        <f ca="1">VLOOKUP($P33,'Dummy Table'!$B$4:$C$40,2,FALSE)</f>
        <v>0</v>
      </c>
      <c r="V33" s="35">
        <f ca="1">VLOOKUP($P33,'Dummy Table'!$B$4:$D$40,3,FALSE)</f>
        <v>0</v>
      </c>
      <c r="W33" s="35">
        <f ca="1">VLOOKUP($P33,'Dummy Table'!$B$4:$E$40,4,FALSE)</f>
        <v>0</v>
      </c>
      <c r="X33" s="35">
        <f ca="1">VLOOKUP($P33,'Dummy Table'!$B$4:$F$40,5,FALSE)</f>
        <v>0</v>
      </c>
      <c r="Y33" s="35" t="s">
        <v>17</v>
      </c>
      <c r="Z33" s="35">
        <f ca="1">VLOOKUP($P33,'Dummy Table'!$B$4:$G$40,6,FALSE)</f>
        <v>0</v>
      </c>
      <c r="AA33" s="35">
        <f t="shared" ref="AA33:AA35" ca="1" si="13">X33-Z33</f>
        <v>0</v>
      </c>
      <c r="AB33" s="35">
        <f ca="1">U33*3+V33*1</f>
        <v>0</v>
      </c>
      <c r="AC33" s="136"/>
      <c r="AE33" s="2"/>
      <c r="CW33" s="5"/>
      <c r="CX33" s="5"/>
      <c r="CY33" s="6"/>
      <c r="CZ33" s="5"/>
    </row>
    <row r="34" spans="1:104" s="3" customFormat="1" ht="14.45" customHeight="1" thickBot="1" x14ac:dyDescent="0.3">
      <c r="A34" s="170">
        <f t="shared" si="3"/>
        <v>54</v>
      </c>
      <c r="B34" s="46">
        <v>28</v>
      </c>
      <c r="C34" s="314" t="s">
        <v>3</v>
      </c>
      <c r="D34" s="314"/>
      <c r="E34" s="66">
        <f t="shared" si="0"/>
        <v>45467.875</v>
      </c>
      <c r="F34" s="132">
        <f>'Dummy Table'!EM34</f>
        <v>45467.875</v>
      </c>
      <c r="G34" s="67" t="str">
        <f>INDEX(Language!$A$1:$H$110,MATCH(Setup!$C$12,Language!$B$1:$B$107,0),MATCH(Setup!$D$6,Language!$A$1:$H$1,0))</f>
        <v>Croatia</v>
      </c>
      <c r="H34" s="228" t="str">
        <f ca="1">IF(OFFSET('Group Stages'!$H$8,A34,0)&lt;&gt;"",OFFSET('Group Stages'!$H$8,A34,0),"")</f>
        <v/>
      </c>
      <c r="I34" s="229" t="str">
        <f ca="1">IF(OFFSET('Group Stages'!$H$9,A34,0)&lt;&gt;"",OFFSET('Group Stages'!$H$9,A34,0),"")</f>
        <v/>
      </c>
      <c r="J34" s="68" t="str">
        <f>INDEX(Language!$A$1:$H$110,MATCH(Setup!$C$19,Language!$B$1:$B$107,0),MATCH(Setup!$D$6,Language!$A$1:$H$1,0))</f>
        <v>Italy</v>
      </c>
      <c r="K34" s="68"/>
      <c r="L34" s="68"/>
      <c r="M34" s="160" t="s">
        <v>1053</v>
      </c>
      <c r="N34" s="1"/>
      <c r="O34" s="111">
        <v>3</v>
      </c>
      <c r="P34" s="290" t="str">
        <f ca="1">VLOOKUP(3,'Dummy Table'!$A$37:$B$41,2,FALSE)</f>
        <v>Czechia</v>
      </c>
      <c r="Q34" s="290"/>
      <c r="R34" s="290"/>
      <c r="S34" s="290"/>
      <c r="T34" s="111">
        <f t="shared" ca="1" si="12"/>
        <v>0</v>
      </c>
      <c r="U34" s="111">
        <f ca="1">VLOOKUP($P34,'Dummy Table'!$B$4:$C$40,2,FALSE)</f>
        <v>0</v>
      </c>
      <c r="V34" s="111">
        <f ca="1">VLOOKUP($P34,'Dummy Table'!$B$4:$D$40,3,FALSE)</f>
        <v>0</v>
      </c>
      <c r="W34" s="111">
        <f ca="1">VLOOKUP($P34,'Dummy Table'!$B$4:$E$40,4,FALSE)</f>
        <v>0</v>
      </c>
      <c r="X34" s="111">
        <f ca="1">VLOOKUP($P34,'Dummy Table'!$B$4:$F$40,5,FALSE)</f>
        <v>0</v>
      </c>
      <c r="Y34" s="111" t="s">
        <v>17</v>
      </c>
      <c r="Z34" s="111">
        <f ca="1">VLOOKUP($P34,'Dummy Table'!$B$4:$G$40,6,FALSE)</f>
        <v>0</v>
      </c>
      <c r="AA34" s="111">
        <f t="shared" ca="1" si="13"/>
        <v>0</v>
      </c>
      <c r="AB34" s="111">
        <f ca="1">U34*3+V34*1</f>
        <v>0</v>
      </c>
      <c r="AC34" s="136"/>
      <c r="AE34" s="2"/>
      <c r="CW34" s="5"/>
      <c r="CX34" s="5"/>
      <c r="CY34" s="6"/>
      <c r="CZ34" s="5"/>
    </row>
    <row r="35" spans="1:104" s="3" customFormat="1" ht="14.45" customHeight="1" thickBot="1" x14ac:dyDescent="0.3">
      <c r="A35" s="170">
        <f t="shared" si="3"/>
        <v>56</v>
      </c>
      <c r="B35" s="46">
        <v>29</v>
      </c>
      <c r="C35" s="315" t="s">
        <v>4</v>
      </c>
      <c r="D35" s="315"/>
      <c r="E35" s="9">
        <f t="shared" si="0"/>
        <v>45468.875</v>
      </c>
      <c r="F35" s="133">
        <f>'Dummy Table'!EM35</f>
        <v>45468.875</v>
      </c>
      <c r="G35" s="7" t="str">
        <f>INDEX(Language!$A$1:$H$110,MATCH(Setup!$C$15,Language!$B$1:$B$107,0),MATCH(Setup!$D$6,Language!$A$1:$H$1,0))</f>
        <v>England</v>
      </c>
      <c r="H35" s="228" t="str">
        <f ca="1">IF(OFFSET('Group Stages'!$H$8,A35,0)&lt;&gt;"",OFFSET('Group Stages'!$H$8,A35,0),"")</f>
        <v/>
      </c>
      <c r="I35" s="229" t="str">
        <f ca="1">IF(OFFSET('Group Stages'!$H$9,A35,0)&lt;&gt;"",OFFSET('Group Stages'!$H$9,A35,0),"")</f>
        <v/>
      </c>
      <c r="J35" s="3" t="str">
        <f>INDEX(Language!$A$1:$H$110,MATCH(Setup!$C$26,Language!$B$1:$B$107,0),MATCH(Setup!$D$6,Language!$A$1:$H$1,0))</f>
        <v>Slovenia</v>
      </c>
      <c r="M35" s="161" t="s">
        <v>1045</v>
      </c>
      <c r="N35" s="1"/>
      <c r="O35" s="4">
        <v>4</v>
      </c>
      <c r="P35" s="289" t="str">
        <f ca="1">VLOOKUP(4,'Dummy Table'!$A$37:$B$41,2,FALSE)</f>
        <v>Georgia</v>
      </c>
      <c r="Q35" s="289"/>
      <c r="R35" s="289"/>
      <c r="S35" s="289"/>
      <c r="T35" s="4">
        <f t="shared" ca="1" si="12"/>
        <v>0</v>
      </c>
      <c r="U35" s="4">
        <f ca="1">VLOOKUP($P35,'Dummy Table'!$B$4:$C$40,2,FALSE)</f>
        <v>0</v>
      </c>
      <c r="V35" s="4">
        <f ca="1">VLOOKUP($P35,'Dummy Table'!$B$4:$D$40,3,FALSE)</f>
        <v>0</v>
      </c>
      <c r="W35" s="4">
        <f ca="1">VLOOKUP($P35,'Dummy Table'!$B$4:$E$40,4,FALSE)</f>
        <v>0</v>
      </c>
      <c r="X35" s="4">
        <f ca="1">VLOOKUP($P35,'Dummy Table'!$B$4:$F$40,5,FALSE)</f>
        <v>0</v>
      </c>
      <c r="Y35" s="4" t="s">
        <v>17</v>
      </c>
      <c r="Z35" s="4">
        <f ca="1">VLOOKUP($P35,'Dummy Table'!$B$4:$G$40,6,FALSE)</f>
        <v>0</v>
      </c>
      <c r="AA35" s="4">
        <f t="shared" ca="1" si="13"/>
        <v>0</v>
      </c>
      <c r="AB35" s="4">
        <f ca="1">U35*3+V35*1</f>
        <v>0</v>
      </c>
      <c r="AC35" s="136"/>
      <c r="AE35" s="2"/>
      <c r="CW35" s="5"/>
      <c r="CX35" s="5"/>
      <c r="CY35" s="6"/>
      <c r="CZ35" s="5"/>
    </row>
    <row r="36" spans="1:104" s="3" customFormat="1" ht="14.45" customHeight="1" thickBot="1" x14ac:dyDescent="0.3">
      <c r="A36" s="170">
        <f t="shared" si="3"/>
        <v>58</v>
      </c>
      <c r="B36" s="46">
        <v>30</v>
      </c>
      <c r="C36" s="314" t="s">
        <v>4</v>
      </c>
      <c r="D36" s="314"/>
      <c r="E36" s="66">
        <f t="shared" si="0"/>
        <v>45468.875</v>
      </c>
      <c r="F36" s="132">
        <f>'Dummy Table'!EM36</f>
        <v>45468.875</v>
      </c>
      <c r="G36" s="67" t="str">
        <f>INDEX(Language!$A$1:$H$110,MATCH(Setup!$C$14,Language!$B$1:$B$107,0),MATCH(Setup!$D$6,Language!$A$1:$H$1,0))</f>
        <v>Denmark</v>
      </c>
      <c r="H36" s="228" t="str">
        <f ca="1">IF(OFFSET('Group Stages'!$H$8,A36,0)&lt;&gt;"",OFFSET('Group Stages'!$H$8,A36,0),"")</f>
        <v/>
      </c>
      <c r="I36" s="229" t="str">
        <f ca="1">IF(OFFSET('Group Stages'!$H$9,A36,0)&lt;&gt;"",OFFSET('Group Stages'!$H$9,A36,0),"")</f>
        <v/>
      </c>
      <c r="J36" s="68" t="str">
        <f>INDEX(Language!$A$1:$H$110,MATCH(Setup!$C$24,Language!$B$1:$B$107,0),MATCH(Setup!$D$6,Language!$A$1:$H$1,0))</f>
        <v>Serbia</v>
      </c>
      <c r="K36" s="68"/>
      <c r="L36" s="68"/>
      <c r="M36" s="160" t="s">
        <v>1044</v>
      </c>
      <c r="N36" s="1"/>
      <c r="AE36" s="2"/>
      <c r="CW36" s="5"/>
      <c r="CX36" s="5"/>
      <c r="CY36" s="6"/>
      <c r="CZ36" s="5"/>
    </row>
    <row r="37" spans="1:104" s="3" customFormat="1" ht="14.45" customHeight="1" thickBot="1" x14ac:dyDescent="0.3">
      <c r="A37" s="170">
        <f t="shared" si="3"/>
        <v>60</v>
      </c>
      <c r="B37" s="46">
        <v>31</v>
      </c>
      <c r="C37" s="315" t="s">
        <v>13</v>
      </c>
      <c r="D37" s="315"/>
      <c r="E37" s="9">
        <f t="shared" si="0"/>
        <v>45468.75</v>
      </c>
      <c r="F37" s="133">
        <f>'Dummy Table'!EM37</f>
        <v>45468.75</v>
      </c>
      <c r="G37" s="7" t="str">
        <f>INDEX(Language!$A$1:$H$110,MATCH(Setup!$C$20,Language!$B$1:$B$107,0),MATCH(Setup!$D$6,Language!$A$1:$H$1,0))</f>
        <v>Netherlands</v>
      </c>
      <c r="H37" s="228" t="str">
        <f ca="1">IF(OFFSET('Group Stages'!$H$8,A37,0)&lt;&gt;"",OFFSET('Group Stages'!$H$8,A37,0),"")</f>
        <v/>
      </c>
      <c r="I37" s="229" t="str">
        <f ca="1">IF(OFFSET('Group Stages'!$H$9,A37,0)&lt;&gt;"",OFFSET('Group Stages'!$H$9,A37,0),"")</f>
        <v/>
      </c>
      <c r="J37" s="3" t="str">
        <f>INDEX(Language!$A$1:$H$110,MATCH(Setup!$C$10,Language!$B$1:$B$107,0),MATCH(Setup!$D$6,Language!$A$1:$H$1,0))</f>
        <v>Austria</v>
      </c>
      <c r="M37" s="161" t="s">
        <v>1046</v>
      </c>
      <c r="N37" s="1"/>
      <c r="O37" s="30" t="str">
        <f>INDEX(Language!$A$1:$I$110,MATCH("Group A-F 3rd Place Standings",Language!$B$1:$B$107,0),MATCH(Setup!$D$6,Language!$A$1:$H$1,0))</f>
        <v>Group A-F 3rd Place Standings</v>
      </c>
      <c r="P37" s="36"/>
      <c r="Q37" s="36"/>
      <c r="R37" s="36"/>
      <c r="S37" s="36"/>
      <c r="T37" s="36"/>
      <c r="U37" s="31"/>
      <c r="V37" s="36"/>
      <c r="W37" s="36"/>
      <c r="X37" s="36"/>
      <c r="Y37" s="36"/>
      <c r="Z37" s="36"/>
      <c r="AA37" s="36"/>
      <c r="AB37" s="36"/>
      <c r="AC37" s="89"/>
      <c r="AE37" s="2"/>
      <c r="CW37" s="5"/>
      <c r="CX37" s="5"/>
      <c r="CY37" s="6"/>
      <c r="CZ37" s="5"/>
    </row>
    <row r="38" spans="1:104" s="3" customFormat="1" ht="14.45" customHeight="1" thickBot="1" x14ac:dyDescent="0.3">
      <c r="A38" s="170">
        <f t="shared" si="3"/>
        <v>62</v>
      </c>
      <c r="B38" s="46">
        <v>32</v>
      </c>
      <c r="C38" s="314" t="s">
        <v>13</v>
      </c>
      <c r="D38" s="314"/>
      <c r="E38" s="66">
        <f t="shared" si="0"/>
        <v>45468.75</v>
      </c>
      <c r="F38" s="132">
        <f>'Dummy Table'!EM38</f>
        <v>45468.75</v>
      </c>
      <c r="G38" s="67" t="str">
        <f>INDEX(Language!$A$1:$H$110,MATCH(Setup!$C$16,Language!$B$1:$B$107,0),MATCH(Setup!$D$6,Language!$A$1:$H$1,0))</f>
        <v>France</v>
      </c>
      <c r="H38" s="228" t="str">
        <f ca="1">IF(OFFSET('Group Stages'!$H$8,A38,0)&lt;&gt;"",OFFSET('Group Stages'!$H$8,A38,0),"")</f>
        <v/>
      </c>
      <c r="I38" s="229" t="str">
        <f ca="1">IF(OFFSET('Group Stages'!$H$9,A38,0)&lt;&gt;"",OFFSET('Group Stages'!$H$9,A38,0),"")</f>
        <v/>
      </c>
      <c r="J38" s="68" t="str">
        <f>INDEX(Language!$A$1:$H$110,MATCH(Setup!$C$30,Language!$B$1:$B$107,0),MATCH(Setup!$D$6,Language!$A$1:$H$1,0))</f>
        <v>Poland</v>
      </c>
      <c r="K38" s="68"/>
      <c r="L38" s="68"/>
      <c r="M38" s="160" t="s">
        <v>1047</v>
      </c>
      <c r="N38" s="1"/>
      <c r="O38" s="14"/>
      <c r="P38" s="14" t="str">
        <f>INDEX(Language!$A$1:$I$110,MATCH("Country",Language!$B$1:$B$107,0),MATCH(Setup!$D$6,Language!$A$1:$H$1,0))</f>
        <v>Country</v>
      </c>
      <c r="Q38" s="14"/>
      <c r="R38" s="14"/>
      <c r="S38" s="14"/>
      <c r="T38" s="19" t="s">
        <v>0</v>
      </c>
      <c r="U38" s="19" t="s">
        <v>12</v>
      </c>
      <c r="V38" s="19" t="s">
        <v>13</v>
      </c>
      <c r="W38" s="19" t="s">
        <v>14</v>
      </c>
      <c r="X38" s="19" t="s">
        <v>114</v>
      </c>
      <c r="Y38" s="19"/>
      <c r="Z38" s="19" t="s">
        <v>15</v>
      </c>
      <c r="AA38" s="19" t="s">
        <v>187</v>
      </c>
      <c r="AB38" s="19" t="s">
        <v>23</v>
      </c>
      <c r="AC38" s="19" t="s">
        <v>119</v>
      </c>
      <c r="AE38" s="2"/>
      <c r="CW38" s="5"/>
      <c r="CX38" s="5"/>
      <c r="CY38" s="6"/>
      <c r="CZ38" s="5"/>
    </row>
    <row r="39" spans="1:104" s="3" customFormat="1" ht="14.45" customHeight="1" thickBot="1" x14ac:dyDescent="0.3">
      <c r="A39" s="170">
        <f t="shared" si="3"/>
        <v>64</v>
      </c>
      <c r="B39" s="46">
        <v>33</v>
      </c>
      <c r="C39" s="315" t="s">
        <v>109</v>
      </c>
      <c r="D39" s="315"/>
      <c r="E39" s="9">
        <f t="shared" si="0"/>
        <v>45469.75</v>
      </c>
      <c r="F39" s="133">
        <f>'Dummy Table'!EM39</f>
        <v>45469.75</v>
      </c>
      <c r="G39" s="7" t="str">
        <f>INDEX(Language!$A$1:$H$110,MATCH(Setup!$C$25,Language!$B$1:$B$107,0),MATCH(Setup!$D$6,Language!$A$1:$H$1,0))</f>
        <v>Slovakia</v>
      </c>
      <c r="H39" s="228" t="str">
        <f ca="1">IF(OFFSET('Group Stages'!$H$8,A39,0)&lt;&gt;"",OFFSET('Group Stages'!$H$8,A39,0),"")</f>
        <v/>
      </c>
      <c r="I39" s="229" t="str">
        <f ca="1">IF(OFFSET('Group Stages'!$H$9,A39,0)&lt;&gt;"",OFFSET('Group Stages'!$H$9,A39,0),"")</f>
        <v/>
      </c>
      <c r="J39" s="3" t="str">
        <f>INDEX(Language!$A$1:$H$110,MATCH(Setup!$C$22,Language!$B$1:$B$107,0),MATCH(Setup!$D$6,Language!$A$1:$H$1,0))</f>
        <v>Romania</v>
      </c>
      <c r="M39" s="161" t="s">
        <v>1051</v>
      </c>
      <c r="N39" s="1"/>
      <c r="O39" s="77">
        <v>1</v>
      </c>
      <c r="P39" s="291" t="str">
        <f ca="1">INDEX('Dummy Table'!$DH$3:$DH$8,MATCH(Tournament!O39,'Dummy Table'!$DU$3:$DU$8,0),0)</f>
        <v>Austria</v>
      </c>
      <c r="Q39" s="291"/>
      <c r="R39" s="291"/>
      <c r="S39" s="291"/>
      <c r="T39" s="77">
        <f t="shared" ref="T39:T44" ca="1" si="14">VLOOKUP($P39,$P$7:$AB$35,5,FALSE)</f>
        <v>0</v>
      </c>
      <c r="U39" s="77">
        <f t="shared" ref="U39:U44" ca="1" si="15">VLOOKUP($P39,$P$7:$AB$35,6,FALSE)</f>
        <v>0</v>
      </c>
      <c r="V39" s="77">
        <f t="shared" ref="V39:V44" ca="1" si="16">VLOOKUP($P39,$P$7:$AB$35,7,FALSE)</f>
        <v>0</v>
      </c>
      <c r="W39" s="77">
        <f t="shared" ref="W39:W44" ca="1" si="17">VLOOKUP($P39,$P$7:$AB$35,8,FALSE)</f>
        <v>0</v>
      </c>
      <c r="X39" s="77">
        <f t="shared" ref="X39:X44" ca="1" si="18">VLOOKUP($P39,$P$7:$AB$35,9,FALSE)</f>
        <v>0</v>
      </c>
      <c r="Y39" s="77" t="s">
        <v>17</v>
      </c>
      <c r="Z39" s="77">
        <f t="shared" ref="Z39:Z44" ca="1" si="19">VLOOKUP($P39,$P$7:$AB$35,11,FALSE)</f>
        <v>0</v>
      </c>
      <c r="AA39" s="77">
        <f t="shared" ref="AA39:AA44" ca="1" si="20">VLOOKUP($P39,$P$7:$AB$35,12,FALSE)</f>
        <v>0</v>
      </c>
      <c r="AB39" s="77">
        <f t="shared" ref="AB39:AB44" ca="1" si="21">VLOOKUP($P39,$P$7:$AB$35,13,FALSE)</f>
        <v>0</v>
      </c>
      <c r="AC39" s="78" t="str">
        <f ca="1">INDEX('Dummy Table'!$DV$3:$DV$8,MATCH(Tournament!O39,'Dummy Table'!$DU$3:$DU$8,0),0)</f>
        <v>D</v>
      </c>
      <c r="AE39" s="2"/>
      <c r="CW39" s="5"/>
      <c r="CX39" s="5"/>
      <c r="CY39" s="6"/>
      <c r="CZ39" s="5"/>
    </row>
    <row r="40" spans="1:104" s="3" customFormat="1" ht="14.45" customHeight="1" thickBot="1" x14ac:dyDescent="0.3">
      <c r="A40" s="170">
        <f t="shared" si="3"/>
        <v>66</v>
      </c>
      <c r="B40" s="46">
        <v>34</v>
      </c>
      <c r="C40" s="314" t="s">
        <v>109</v>
      </c>
      <c r="D40" s="314"/>
      <c r="E40" s="66">
        <f t="shared" si="0"/>
        <v>45469.75</v>
      </c>
      <c r="F40" s="132">
        <f>'Dummy Table'!EM40</f>
        <v>45469.75</v>
      </c>
      <c r="G40" s="67" t="str">
        <f>INDEX(Language!$A$1:$H$110,MATCH(Setup!$C$31,Language!$B$1:$B$107,0),MATCH(Setup!$D$6,Language!$A$1:$H$1,0))</f>
        <v>Ukraine</v>
      </c>
      <c r="H40" s="228" t="str">
        <f ca="1">IF(OFFSET('Group Stages'!$H$8,A40,0)&lt;&gt;"",OFFSET('Group Stages'!$H$8,A40,0),"")</f>
        <v/>
      </c>
      <c r="I40" s="229" t="str">
        <f ca="1">IF(OFFSET('Group Stages'!$H$9,A40,0)&lt;&gt;"",OFFSET('Group Stages'!$H$9,A40,0),"")</f>
        <v/>
      </c>
      <c r="J40" s="68" t="str">
        <f>INDEX(Language!$A$1:$H$110,MATCH(Setup!$C$11,Language!$B$1:$B$107,0),MATCH(Setup!$D$6,Language!$A$1:$H$1,0))</f>
        <v>Belgium</v>
      </c>
      <c r="K40" s="68"/>
      <c r="L40" s="68"/>
      <c r="M40" s="160" t="s">
        <v>1049</v>
      </c>
      <c r="N40" s="1"/>
      <c r="O40" s="77">
        <v>2</v>
      </c>
      <c r="P40" s="291" t="str">
        <f ca="1">INDEX('Dummy Table'!$DH$3:$DH$8,MATCH(Tournament!O40,'Dummy Table'!$DU$3:$DU$8,0),0)</f>
        <v>Slovenia</v>
      </c>
      <c r="Q40" s="291"/>
      <c r="R40" s="291"/>
      <c r="S40" s="291"/>
      <c r="T40" s="77">
        <f t="shared" ca="1" si="14"/>
        <v>0</v>
      </c>
      <c r="U40" s="77">
        <f t="shared" ca="1" si="15"/>
        <v>0</v>
      </c>
      <c r="V40" s="77">
        <f t="shared" ca="1" si="16"/>
        <v>0</v>
      </c>
      <c r="W40" s="77">
        <f t="shared" ca="1" si="17"/>
        <v>0</v>
      </c>
      <c r="X40" s="77">
        <f t="shared" ca="1" si="18"/>
        <v>0</v>
      </c>
      <c r="Y40" s="77" t="s">
        <v>17</v>
      </c>
      <c r="Z40" s="77">
        <f t="shared" ca="1" si="19"/>
        <v>0</v>
      </c>
      <c r="AA40" s="77">
        <f t="shared" ca="1" si="20"/>
        <v>0</v>
      </c>
      <c r="AB40" s="77">
        <f t="shared" ca="1" si="21"/>
        <v>0</v>
      </c>
      <c r="AC40" s="78" t="str">
        <f ca="1">INDEX('Dummy Table'!$DV$3:$DV$8,MATCH(Tournament!O40,'Dummy Table'!$DU$3:$DU$8,0),0)</f>
        <v>C</v>
      </c>
      <c r="AE40" s="2"/>
      <c r="CW40" s="5"/>
      <c r="CX40" s="5"/>
      <c r="CY40" s="6"/>
      <c r="CZ40" s="5"/>
    </row>
    <row r="41" spans="1:104" s="3" customFormat="1" ht="14.45" customHeight="1" thickBot="1" x14ac:dyDescent="0.3">
      <c r="A41" s="170">
        <f t="shared" si="3"/>
        <v>68</v>
      </c>
      <c r="B41" s="46">
        <v>35</v>
      </c>
      <c r="C41" s="315" t="s">
        <v>114</v>
      </c>
      <c r="D41" s="315"/>
      <c r="E41" s="9">
        <f t="shared" si="0"/>
        <v>45469.875</v>
      </c>
      <c r="F41" s="133">
        <f>'Dummy Table'!EM41</f>
        <v>45469.875</v>
      </c>
      <c r="G41" s="7" t="str">
        <f>INDEX(Language!$A$1:$H$110,MATCH(Setup!$C$32,Language!$B$1:$B$107,0),MATCH(Setup!$D$6,Language!$A$1:$H$1,0))</f>
        <v>Georgia</v>
      </c>
      <c r="H41" s="228" t="str">
        <f ca="1">IF(OFFSET('Group Stages'!$H$8,A41,0)&lt;&gt;"",OFFSET('Group Stages'!$H$8,A41,0),"")</f>
        <v/>
      </c>
      <c r="I41" s="229" t="str">
        <f ca="1">IF(OFFSET('Group Stages'!$H$9,A41,0)&lt;&gt;"",OFFSET('Group Stages'!$H$9,A41,0),"")</f>
        <v/>
      </c>
      <c r="J41" s="3" t="str">
        <f>INDEX(Language!$A$1:$H$110,MATCH(Setup!$C$21,Language!$B$1:$B$107,0),MATCH(Setup!$D$6,Language!$A$1:$H$1,0))</f>
        <v>Portugal</v>
      </c>
      <c r="M41" s="161" t="s">
        <v>1050</v>
      </c>
      <c r="N41" s="1"/>
      <c r="O41" s="77">
        <v>3</v>
      </c>
      <c r="P41" s="291" t="str">
        <f ca="1">INDEX('Dummy Table'!$DH$3:$DH$8,MATCH(Tournament!O41,'Dummy Table'!$DU$3:$DU$8,0),0)</f>
        <v>Slovakia</v>
      </c>
      <c r="Q41" s="291"/>
      <c r="R41" s="291"/>
      <c r="S41" s="291"/>
      <c r="T41" s="77">
        <f t="shared" ca="1" si="14"/>
        <v>0</v>
      </c>
      <c r="U41" s="77">
        <f t="shared" ca="1" si="15"/>
        <v>0</v>
      </c>
      <c r="V41" s="77">
        <f t="shared" ca="1" si="16"/>
        <v>0</v>
      </c>
      <c r="W41" s="77">
        <f t="shared" ca="1" si="17"/>
        <v>0</v>
      </c>
      <c r="X41" s="77">
        <f t="shared" ca="1" si="18"/>
        <v>0</v>
      </c>
      <c r="Y41" s="77" t="s">
        <v>17</v>
      </c>
      <c r="Z41" s="77">
        <f t="shared" ca="1" si="19"/>
        <v>0</v>
      </c>
      <c r="AA41" s="77">
        <f t="shared" ca="1" si="20"/>
        <v>0</v>
      </c>
      <c r="AB41" s="77">
        <f t="shared" ca="1" si="21"/>
        <v>0</v>
      </c>
      <c r="AC41" s="78" t="str">
        <f ca="1">INDEX('Dummy Table'!$DV$3:$DV$8,MATCH(Tournament!O41,'Dummy Table'!$DU$3:$DU$8,0),0)</f>
        <v>E</v>
      </c>
      <c r="AE41" s="2"/>
      <c r="CW41" s="5"/>
      <c r="CX41" s="5"/>
      <c r="CY41" s="6"/>
      <c r="CZ41" s="5"/>
    </row>
    <row r="42" spans="1:104" s="3" customFormat="1" ht="14.45" customHeight="1" x14ac:dyDescent="0.25">
      <c r="A42" s="170">
        <f t="shared" si="3"/>
        <v>70</v>
      </c>
      <c r="B42" s="46">
        <v>36</v>
      </c>
      <c r="C42" s="314" t="s">
        <v>114</v>
      </c>
      <c r="D42" s="314"/>
      <c r="E42" s="66">
        <f t="shared" si="0"/>
        <v>45469.875</v>
      </c>
      <c r="F42" s="132">
        <f>'Dummy Table'!EM42</f>
        <v>45469.875</v>
      </c>
      <c r="G42" s="67" t="str">
        <f>INDEX(Language!$A$1:$H$110,MATCH(Setup!$C$13,Language!$B$1:$B$107,0),MATCH(Setup!$D$6,Language!$A$1:$H$1,0))</f>
        <v>Czechia</v>
      </c>
      <c r="H42" s="230" t="str">
        <f ca="1">IF(OFFSET('Group Stages'!$H$8,A42,0)&lt;&gt;"",OFFSET('Group Stages'!$H$8,A42,0),"")</f>
        <v/>
      </c>
      <c r="I42" s="231" t="str">
        <f ca="1">IF(OFFSET('Group Stages'!$H$9,A42,0)&lt;&gt;"",OFFSET('Group Stages'!$H$9,A42,0),"")</f>
        <v/>
      </c>
      <c r="J42" s="68" t="str">
        <f>INDEX(Language!$A$1:$H$110,MATCH(Setup!$C$29,Language!$B$1:$B$107,0),MATCH(Setup!$D$6,Language!$A$1:$H$1,0))</f>
        <v>Türkiye</v>
      </c>
      <c r="K42" s="68"/>
      <c r="L42" s="68"/>
      <c r="M42" s="160" t="s">
        <v>1048</v>
      </c>
      <c r="N42" s="1"/>
      <c r="O42" s="77">
        <v>4</v>
      </c>
      <c r="P42" s="291" t="str">
        <f ca="1">INDEX('Dummy Table'!$DH$3:$DH$8,MATCH(Tournament!O42,'Dummy Table'!$DU$3:$DU$8,0),0)</f>
        <v>Czechia</v>
      </c>
      <c r="Q42" s="291"/>
      <c r="R42" s="291"/>
      <c r="S42" s="291"/>
      <c r="T42" s="77">
        <f t="shared" ca="1" si="14"/>
        <v>0</v>
      </c>
      <c r="U42" s="77">
        <f t="shared" ca="1" si="15"/>
        <v>0</v>
      </c>
      <c r="V42" s="77">
        <f t="shared" ca="1" si="16"/>
        <v>0</v>
      </c>
      <c r="W42" s="77">
        <f t="shared" ca="1" si="17"/>
        <v>0</v>
      </c>
      <c r="X42" s="77">
        <f t="shared" ca="1" si="18"/>
        <v>0</v>
      </c>
      <c r="Y42" s="77" t="s">
        <v>17</v>
      </c>
      <c r="Z42" s="77">
        <f t="shared" ca="1" si="19"/>
        <v>0</v>
      </c>
      <c r="AA42" s="77">
        <f t="shared" ca="1" si="20"/>
        <v>0</v>
      </c>
      <c r="AB42" s="77">
        <f t="shared" ca="1" si="21"/>
        <v>0</v>
      </c>
      <c r="AC42" s="78" t="str">
        <f ca="1">INDEX('Dummy Table'!$DV$3:$DV$8,MATCH(Tournament!O42,'Dummy Table'!$DU$3:$DU$8,0),0)</f>
        <v>F</v>
      </c>
      <c r="AE42" s="2"/>
      <c r="CW42" s="5"/>
      <c r="CX42" s="5"/>
      <c r="CY42" s="6"/>
      <c r="CZ42" s="5"/>
    </row>
    <row r="43" spans="1:104" s="3" customFormat="1" ht="14.45" customHeight="1" x14ac:dyDescent="0.25">
      <c r="A43" s="170"/>
      <c r="B43" s="167" t="str">
        <f>INDEX(Language!$A$1:$I$110,MATCH("Knock Out Rounds",Language!$B$1:$B$107,0),MATCH(Setup!$D$6,Language!$A$1:$H$1,0))</f>
        <v>Knock Out Rounds</v>
      </c>
      <c r="C43" s="223"/>
      <c r="D43" s="47"/>
      <c r="E43" s="224"/>
      <c r="F43" s="225"/>
      <c r="G43" s="226"/>
      <c r="H43" s="47"/>
      <c r="I43" s="47"/>
      <c r="J43" s="167"/>
      <c r="K43" s="316" t="s">
        <v>442</v>
      </c>
      <c r="L43" s="316"/>
      <c r="M43" s="222"/>
      <c r="N43" s="2"/>
      <c r="O43" s="28">
        <v>5</v>
      </c>
      <c r="P43" s="320" t="str">
        <f ca="1">INDEX('Dummy Table'!$DH$3:$DH$8,MATCH(Tournament!O43,'Dummy Table'!$DU$3:$DU$8,0),0)</f>
        <v>Albania</v>
      </c>
      <c r="Q43" s="320"/>
      <c r="R43" s="320"/>
      <c r="S43" s="320"/>
      <c r="T43" s="28">
        <f t="shared" ca="1" si="14"/>
        <v>1</v>
      </c>
      <c r="U43" s="28">
        <f t="shared" ca="1" si="15"/>
        <v>0</v>
      </c>
      <c r="V43" s="28">
        <f t="shared" ca="1" si="16"/>
        <v>0</v>
      </c>
      <c r="W43" s="28">
        <f t="shared" ca="1" si="17"/>
        <v>1</v>
      </c>
      <c r="X43" s="28">
        <f t="shared" ca="1" si="18"/>
        <v>1</v>
      </c>
      <c r="Y43" s="28" t="s">
        <v>17</v>
      </c>
      <c r="Z43" s="28">
        <f t="shared" ca="1" si="19"/>
        <v>2</v>
      </c>
      <c r="AA43" s="28">
        <f t="shared" ca="1" si="20"/>
        <v>-1</v>
      </c>
      <c r="AB43" s="28">
        <f t="shared" ca="1" si="21"/>
        <v>0</v>
      </c>
      <c r="AC43" s="28" t="str">
        <f ca="1">INDEX('Dummy Table'!$DV$3:$DV$8,MATCH(Tournament!O43,'Dummy Table'!$DU$3:$DU$8,0),0)</f>
        <v>B</v>
      </c>
      <c r="AE43" s="2"/>
      <c r="CW43" s="5"/>
      <c r="CX43" s="5"/>
      <c r="CY43" s="6"/>
      <c r="CZ43" s="5"/>
    </row>
    <row r="44" spans="1:104" s="3" customFormat="1" ht="14.45" customHeight="1" thickBot="1" x14ac:dyDescent="0.3">
      <c r="A44" s="170">
        <v>0</v>
      </c>
      <c r="B44" s="46">
        <v>37</v>
      </c>
      <c r="C44" s="319" t="str">
        <f>INDEX(Language!$A$1:$I$110,MATCH("Round of 16",Language!$B$1:$B$107,0),MATCH(Setup!$D$6,Language!$A$1:$H$1,0))</f>
        <v>Round of 16</v>
      </c>
      <c r="D44" s="319"/>
      <c r="E44" s="9">
        <f t="shared" si="0"/>
        <v>45472.875</v>
      </c>
      <c r="F44" s="133">
        <f>'Dummy Table'!EM44</f>
        <v>45472.875</v>
      </c>
      <c r="G44" s="7" t="str">
        <f ca="1">IF(SUM(T7:T10)=12,P7,INDEX(Language!$A$1:$I$110,MATCH("Group A Winner",Language!$B$1:$B$107,0),MATCH(Setup!D6,Language!$A$1:$H$1,0)))</f>
        <v>Group A Winner</v>
      </c>
      <c r="H44" s="232" t="str">
        <f ca="1">IF(OFFSET('Knock Out Stages'!$H$7,A44,0)&lt;&gt;"",OFFSET('Knock Out Stages'!$H$7,A44,0),"")</f>
        <v/>
      </c>
      <c r="I44" s="233" t="str">
        <f ca="1">IF(OFFSET('Knock Out Stages'!$H$8,A44,0)&lt;&gt;"",OFFSET('Knock Out Stages'!$H$8,A44,0),"")</f>
        <v/>
      </c>
      <c r="J44" s="3" t="str">
        <f ca="1">IF(SUM(T17:T20)=12,P18,INDEX(Language!$A$1:$I$110,MATCH("Group C Runner Up",Language!$B$1:$B$107,0),MATCH(Setup!D6,Language!$A$1:$H$1,0)))</f>
        <v>Group C Runner Up</v>
      </c>
      <c r="K44" s="236">
        <f ca="1">OFFSET('Knock Out Stages'!$I$7,A44,0)</f>
        <v>0</v>
      </c>
      <c r="L44" s="237">
        <f ca="1">OFFSET('Knock Out Stages'!$I$8,A44,0)</f>
        <v>0</v>
      </c>
      <c r="M44" s="163" t="s">
        <v>1047</v>
      </c>
      <c r="N44" s="2"/>
      <c r="O44" s="28">
        <v>6</v>
      </c>
      <c r="P44" s="320" t="str">
        <f ca="1">INDEX('Dummy Table'!$DH$3:$DH$8,MATCH(Tournament!O44,'Dummy Table'!$DU$3:$DU$8,0),0)</f>
        <v>Hungary</v>
      </c>
      <c r="Q44" s="320"/>
      <c r="R44" s="320"/>
      <c r="S44" s="320"/>
      <c r="T44" s="28">
        <f t="shared" ca="1" si="14"/>
        <v>1</v>
      </c>
      <c r="U44" s="28">
        <f t="shared" ca="1" si="15"/>
        <v>0</v>
      </c>
      <c r="V44" s="28">
        <f t="shared" ca="1" si="16"/>
        <v>0</v>
      </c>
      <c r="W44" s="28">
        <f t="shared" ca="1" si="17"/>
        <v>1</v>
      </c>
      <c r="X44" s="28">
        <f t="shared" ca="1" si="18"/>
        <v>1</v>
      </c>
      <c r="Y44" s="28" t="s">
        <v>17</v>
      </c>
      <c r="Z44" s="28">
        <f t="shared" ca="1" si="19"/>
        <v>3</v>
      </c>
      <c r="AA44" s="28">
        <f t="shared" ca="1" si="20"/>
        <v>-2</v>
      </c>
      <c r="AB44" s="28">
        <f t="shared" ca="1" si="21"/>
        <v>0</v>
      </c>
      <c r="AC44" s="28" t="str">
        <f ca="1">INDEX('Dummy Table'!$DV$3:$DV$8,MATCH(Tournament!O44,'Dummy Table'!$DU$3:$DU$8,0),0)</f>
        <v>A</v>
      </c>
      <c r="AE44" s="2"/>
      <c r="CT44" s="5"/>
      <c r="CU44" s="5"/>
      <c r="CV44" s="6"/>
      <c r="CW44" s="5"/>
    </row>
    <row r="45" spans="1:104" s="3" customFormat="1" ht="14.45" customHeight="1" thickBot="1" x14ac:dyDescent="0.3">
      <c r="A45" s="170">
        <f>A44+2</f>
        <v>2</v>
      </c>
      <c r="B45" s="46">
        <v>38</v>
      </c>
      <c r="C45" s="319"/>
      <c r="D45" s="319"/>
      <c r="E45" s="66">
        <f t="shared" si="0"/>
        <v>45472.75</v>
      </c>
      <c r="F45" s="132">
        <f>'Dummy Table'!EM45</f>
        <v>45472.75</v>
      </c>
      <c r="G45" s="67" t="str">
        <f ca="1">IF(SUM(T7:T10)=12,P8,INDEX(Language!$A$1:$I$110,MATCH("Group A Runner Up",Language!$B$1:$B$107,0),MATCH(Setup!D6,Language!$A$1:$H$1,0)))</f>
        <v>Group A Runner Up</v>
      </c>
      <c r="H45" s="228" t="str">
        <f ca="1">IF(OFFSET('Knock Out Stages'!$H$7,A45,0)&lt;&gt;"",OFFSET('Knock Out Stages'!$H$7,A45,0),"")</f>
        <v/>
      </c>
      <c r="I45" s="229" t="str">
        <f ca="1">IF(OFFSET('Knock Out Stages'!$H$8,A45,0)&lt;&gt;"",OFFSET('Knock Out Stages'!$H$8,A45,0),"")</f>
        <v/>
      </c>
      <c r="J45" s="68" t="str">
        <f ca="1">IF(SUM(T12:T15)=12,P13,INDEX(Language!$A$1:$I$110,MATCH("Group B Runner Up",Language!$B$1:$B$107,0),MATCH(Setup!D6,Language!$A$1:$H$1,0)))</f>
        <v>Group B Runner Up</v>
      </c>
      <c r="K45" s="238">
        <f ca="1">OFFSET('Knock Out Stages'!$I$7,A45,0)</f>
        <v>0</v>
      </c>
      <c r="L45" s="239">
        <f ca="1">OFFSET('Knock Out Stages'!$I$8,A45,0)</f>
        <v>0</v>
      </c>
      <c r="M45" s="162" t="s">
        <v>1046</v>
      </c>
      <c r="N45" s="2"/>
      <c r="AC45" s="10"/>
      <c r="AE45" s="2"/>
      <c r="CP45" s="5"/>
      <c r="CQ45" s="5"/>
      <c r="CR45" s="6"/>
      <c r="CS45" s="5"/>
    </row>
    <row r="46" spans="1:104" ht="14.45" customHeight="1" thickBot="1" x14ac:dyDescent="0.3">
      <c r="A46" s="170">
        <f t="shared" ref="A46:A57" si="22">A45+2</f>
        <v>4</v>
      </c>
      <c r="B46" s="46">
        <v>39</v>
      </c>
      <c r="C46" s="319"/>
      <c r="D46" s="319"/>
      <c r="E46" s="9">
        <f t="shared" si="0"/>
        <v>45473.875</v>
      </c>
      <c r="F46" s="133">
        <f>'Dummy Table'!EM46</f>
        <v>45473.875</v>
      </c>
      <c r="G46" s="7" t="str">
        <f ca="1">IF(SUM(T12:T15)=12,P12,INDEX(Language!$A$1:$I$110,MATCH("Group B Winner",Language!$B$1:$B$107,0),MATCH(Setup!D6,Language!$A$1:$H$1,0)))</f>
        <v>Group B Winner</v>
      </c>
      <c r="H46" s="228" t="str">
        <f ca="1">IF(OFFSET('Knock Out Stages'!$H$7,A46,0)&lt;&gt;"",OFFSET('Knock Out Stages'!$H$7,A46,0),"")</f>
        <v/>
      </c>
      <c r="I46" s="229" t="str">
        <f ca="1">IF(OFFSET('Knock Out Stages'!$H$8,A46,0)&lt;&gt;"",OFFSET('Knock Out Stages'!$H$8,A46,0),"")</f>
        <v/>
      </c>
      <c r="J46" s="3" t="str">
        <f ca="1">IF(SUM(T39:T44)=18,INDEX(P39:P44,MATCH(INDEX('Dummy Table'!DL13:DL27,MATCH(10,'Dummy Table'!DU13:DU27,0),0),AC39:AC44,0),0),INDEX(Language!$A$1:$I$110,MATCH("Group A/D/E/F 3rd Place",Language!$B$1:$B$107,0),MATCH(Setup!D6,Language!$A$1:$H$1,0)))</f>
        <v>Group A/D/E/F 3rd Place</v>
      </c>
      <c r="K46" s="240">
        <f ca="1">OFFSET('Knock Out Stages'!$I$7,A46,0)</f>
        <v>0</v>
      </c>
      <c r="L46" s="241">
        <f ca="1">OFFSET('Knock Out Stages'!$I$8,A46,0)</f>
        <v>0</v>
      </c>
      <c r="M46" s="163" t="s">
        <v>1045</v>
      </c>
      <c r="O46" s="317" t="str">
        <f>2024&amp;" "&amp;UPPER(INDEX(Language!$A$1:$I$110,MATCH("Champion",Language!$B$1:$B$107,0),MATCH(Setup!$D$6,Language!$A$1:$H$1,0)))</f>
        <v>2024 CHAMPION</v>
      </c>
      <c r="P46" s="317"/>
      <c r="Q46" s="317"/>
      <c r="R46" s="317"/>
      <c r="S46" s="317"/>
      <c r="T46" s="317"/>
      <c r="U46" s="317"/>
      <c r="V46" s="317"/>
      <c r="W46" s="317"/>
      <c r="X46" s="317"/>
      <c r="Y46" s="317"/>
      <c r="Z46" s="317"/>
      <c r="AA46" s="317"/>
      <c r="AB46" s="317"/>
      <c r="AC46" s="317"/>
      <c r="AD46" s="3"/>
      <c r="AF46" s="3"/>
    </row>
    <row r="47" spans="1:104" ht="14.45" customHeight="1" thickBot="1" x14ac:dyDescent="0.3">
      <c r="A47" s="170">
        <f t="shared" si="22"/>
        <v>6</v>
      </c>
      <c r="B47" s="46">
        <v>40</v>
      </c>
      <c r="C47" s="319"/>
      <c r="D47" s="319"/>
      <c r="E47" s="66">
        <f t="shared" si="0"/>
        <v>45473.75</v>
      </c>
      <c r="F47" s="132">
        <f>'Dummy Table'!EM47</f>
        <v>45473.75</v>
      </c>
      <c r="G47" s="67" t="str">
        <f ca="1">IF(SUM(T17:T20)=12,P17,INDEX(Language!$A$1:$I$110,MATCH("Group C Winner",Language!$B$1:$B$107,0),MATCH(Setup!D6,Language!$A$1:$H$1,0)))</f>
        <v>Group C Winner</v>
      </c>
      <c r="H47" s="228" t="str">
        <f ca="1">IF(OFFSET('Knock Out Stages'!$H$7,A47,0)&lt;&gt;"",OFFSET('Knock Out Stages'!$H$7,A47,0),"")</f>
        <v/>
      </c>
      <c r="I47" s="229" t="str">
        <f ca="1">IF(OFFSET('Knock Out Stages'!$H$8,A47,0)&lt;&gt;"",OFFSET('Knock Out Stages'!$H$8,A47,0),"")</f>
        <v/>
      </c>
      <c r="J47" s="68" t="str">
        <f ca="1">IF(SUM(T39:T44)=18,INDEX(P39:P44,MATCH(INDEX('Dummy Table'!DM13:DM27,MATCH(10,'Dummy Table'!DU13:DU27,0),0),AC39:AC44,0),0),INDEX(Language!$A$1:$I$110,MATCH("Group D/E/F 3rd Place",Language!$B$1:$B$107,0),MATCH(Setup!D6,Language!$A$1:$H$1,0)))</f>
        <v>Group D/E/F 3rd Place</v>
      </c>
      <c r="K47" s="238">
        <f ca="1">OFFSET('Knock Out Stages'!$I$7,A47,0)</f>
        <v>0</v>
      </c>
      <c r="L47" s="239">
        <f ca="1">OFFSET('Knock Out Stages'!$I$8,A47,0)</f>
        <v>0</v>
      </c>
      <c r="M47" s="162" t="s">
        <v>1050</v>
      </c>
      <c r="O47" s="317"/>
      <c r="P47" s="317"/>
      <c r="Q47" s="317"/>
      <c r="R47" s="317"/>
      <c r="S47" s="317"/>
      <c r="T47" s="317"/>
      <c r="U47" s="317"/>
      <c r="V47" s="317"/>
      <c r="W47" s="317"/>
      <c r="X47" s="317"/>
      <c r="Y47" s="317"/>
      <c r="Z47" s="317"/>
      <c r="AA47" s="317"/>
      <c r="AB47" s="317"/>
      <c r="AC47" s="317"/>
      <c r="AE47" s="3"/>
      <c r="AF47" s="3"/>
    </row>
    <row r="48" spans="1:104" ht="14.45" customHeight="1" thickBot="1" x14ac:dyDescent="0.3">
      <c r="A48" s="170">
        <f t="shared" si="22"/>
        <v>8</v>
      </c>
      <c r="B48" s="46">
        <v>41</v>
      </c>
      <c r="C48" s="319"/>
      <c r="D48" s="319"/>
      <c r="E48" s="9">
        <f t="shared" si="0"/>
        <v>45474.875</v>
      </c>
      <c r="F48" s="133">
        <f>'Dummy Table'!EM48</f>
        <v>45474.875</v>
      </c>
      <c r="G48" s="7" t="str">
        <f ca="1">IF(SUM(T32:T35)=12,P32,INDEX(Language!$A$1:$I$110,MATCH("Group F Winner",Language!$B$1:$B$107,0),MATCH(Setup!D6,Language!$A$1:$H$1,0)))</f>
        <v>Group F Winner</v>
      </c>
      <c r="H48" s="228" t="str">
        <f ca="1">IF(OFFSET('Knock Out Stages'!$H$7,A48,0)&lt;&gt;"",OFFSET('Knock Out Stages'!$H$7,A48,0),"")</f>
        <v/>
      </c>
      <c r="I48" s="229" t="str">
        <f ca="1">IF(OFFSET('Knock Out Stages'!$H$8,A48,0)&lt;&gt;"",OFFSET('Knock Out Stages'!$H$8,A48,0),"")</f>
        <v/>
      </c>
      <c r="J48" s="3" t="str">
        <f ca="1">IF(SUM(T39:T44)=18,INDEX(P39:P44,MATCH(INDEX('Dummy Table'!DO13:DO27,MATCH(10,'Dummy Table'!DU13:DU27,0),0),AC39:AC44,0),0),INDEX(Language!$A$1:$I$110,MATCH("Group A/B/C 3rd Place",Language!$B$1:$B$107,0),MATCH(Setup!D6,Language!$A$1:$H$1,0)))</f>
        <v>Group A/B/C 3rd Place</v>
      </c>
      <c r="K48" s="240">
        <f ca="1">OFFSET('Knock Out Stages'!$I$7,A48,0)</f>
        <v>0</v>
      </c>
      <c r="L48" s="241">
        <f ca="1">OFFSET('Knock Out Stages'!$I$8,A48,0)</f>
        <v>0</v>
      </c>
      <c r="M48" s="163" t="s">
        <v>1051</v>
      </c>
      <c r="O48" s="318" t="str">
        <f>UPPER(IF(AND(H58&lt;&gt;"",I58&lt;&gt;""),IF((H58+K58)&gt;(I58+L58),G58,IF((H58+K58)&lt;(I58+L58),J58,INDEX(Language!$A$1:$I$110,MATCH("Match 51 Winner",Language!$B$1:$B$107,0),MATCH(Setup!$D$6,Language!$A$1:$H$1,0)))),INDEX(Language!$A$1:$I$110,MATCH("Match 51 Winner",Language!$B$1:$B$107,0),MATCH(Setup!$D$6,Language!$A$1:$H$1,0))))</f>
        <v>MATCH 51 WINNER</v>
      </c>
      <c r="P48" s="318"/>
      <c r="Q48" s="318"/>
      <c r="R48" s="318"/>
      <c r="S48" s="318"/>
      <c r="T48" s="318"/>
      <c r="U48" s="318"/>
      <c r="V48" s="318"/>
      <c r="W48" s="95"/>
      <c r="X48" s="95"/>
      <c r="Y48" s="95"/>
      <c r="Z48" s="95"/>
      <c r="AA48" s="95"/>
      <c r="AB48" s="95"/>
      <c r="AC48" s="95"/>
    </row>
    <row r="49" spans="1:29" ht="14.45" customHeight="1" thickBot="1" x14ac:dyDescent="0.3">
      <c r="A49" s="170">
        <f t="shared" si="22"/>
        <v>10</v>
      </c>
      <c r="B49" s="46">
        <v>42</v>
      </c>
      <c r="C49" s="319"/>
      <c r="D49" s="319"/>
      <c r="E49" s="66">
        <f t="shared" si="0"/>
        <v>45474.75</v>
      </c>
      <c r="F49" s="132">
        <f>'Dummy Table'!EM49</f>
        <v>45474.75</v>
      </c>
      <c r="G49" s="67" t="str">
        <f ca="1">IF(SUM(T22:T25)=12,P23,INDEX(Language!$A$1:$I$110,MATCH("Group D Runner Up",Language!$B$1:$B$107,0),MATCH(Setup!D6,Language!$A$1:$H$1,0)))</f>
        <v>Group D Runner Up</v>
      </c>
      <c r="H49" s="228" t="str">
        <f ca="1">IF(OFFSET('Knock Out Stages'!$H$7,A49,0)&lt;&gt;"",OFFSET('Knock Out Stages'!$H$7,A49,0),"")</f>
        <v/>
      </c>
      <c r="I49" s="229" t="str">
        <f ca="1">IF(OFFSET('Knock Out Stages'!$H$8,A49,0)&lt;&gt;"",OFFSET('Knock Out Stages'!$H$8,A49,0),"")</f>
        <v/>
      </c>
      <c r="J49" s="68" t="str">
        <f ca="1">IF(SUM(T27:T30)=12,P28,INDEX(Language!$A$1:$I$110,MATCH("Group E Runner Up",Language!$B$1:$B$107,0),MATCH(Setup!D6,Language!$A$1:$H$1,0)))</f>
        <v>Group E Runner Up</v>
      </c>
      <c r="K49" s="238">
        <f ca="1">OFFSET('Knock Out Stages'!$I$7,A49,0)</f>
        <v>0</v>
      </c>
      <c r="L49" s="239">
        <f ca="1">OFFSET('Knock Out Stages'!$I$8,A49,0)</f>
        <v>0</v>
      </c>
      <c r="M49" s="162" t="s">
        <v>1052</v>
      </c>
      <c r="O49" s="318"/>
      <c r="P49" s="318"/>
      <c r="Q49" s="318"/>
      <c r="R49" s="318"/>
      <c r="S49" s="318"/>
      <c r="T49" s="318"/>
      <c r="U49" s="318"/>
      <c r="V49" s="318"/>
      <c r="W49" s="95"/>
      <c r="X49" s="95"/>
      <c r="Y49" s="95"/>
      <c r="Z49" s="95"/>
      <c r="AA49" s="95"/>
      <c r="AB49" s="95"/>
      <c r="AC49" s="95"/>
    </row>
    <row r="50" spans="1:29" ht="14.45" customHeight="1" thickBot="1" x14ac:dyDescent="0.3">
      <c r="A50" s="170">
        <f t="shared" si="22"/>
        <v>12</v>
      </c>
      <c r="B50" s="46">
        <v>43</v>
      </c>
      <c r="C50" s="319"/>
      <c r="D50" s="319"/>
      <c r="E50" s="9">
        <f t="shared" si="0"/>
        <v>45475.75</v>
      </c>
      <c r="F50" s="133">
        <f>'Dummy Table'!EM50</f>
        <v>45475.75</v>
      </c>
      <c r="G50" s="7" t="str">
        <f ca="1">IF(SUM(T27:T30)=12,P27,INDEX(Language!$A$1:$I$110,MATCH("Group E Winner",Language!$B$1:$B$107,0),MATCH(Setup!D6,Language!$A$1:$H$1,0)))</f>
        <v>Group E Winner</v>
      </c>
      <c r="H50" s="228" t="str">
        <f ca="1">IF(OFFSET('Knock Out Stages'!$H$7,A50,0)&lt;&gt;"",OFFSET('Knock Out Stages'!$H$7,A50,0),"")</f>
        <v/>
      </c>
      <c r="I50" s="229" t="str">
        <f ca="1">IF(OFFSET('Knock Out Stages'!$H$8,A50,0)&lt;&gt;"",OFFSET('Knock Out Stages'!$H$8,A50,0),"")</f>
        <v/>
      </c>
      <c r="J50" s="3" t="str">
        <f ca="1">IF(SUM(T39:T44)=18,INDEX(P39:P44,MATCH(INDEX('Dummy Table'!DN13:DN27,MATCH(10,'Dummy Table'!DU13:DU27,0),0),AC39:AC44,0),0),INDEX(Language!$A$1:$I$110,MATCH("Group A/B/C/D 3rd Place",Language!$B$1:$B$107,0),MATCH(Setup!D6,Language!$A$1:$H$1,0)))</f>
        <v>Group A/B/C/D 3rd Place</v>
      </c>
      <c r="K50" s="240">
        <f ca="1">OFFSET('Knock Out Stages'!$I$7,A50,0)</f>
        <v>0</v>
      </c>
      <c r="L50" s="241">
        <f ca="1">OFFSET('Knock Out Stages'!$I$8,A50,0)</f>
        <v>0</v>
      </c>
      <c r="M50" s="163" t="s">
        <v>1044</v>
      </c>
      <c r="O50" s="318"/>
      <c r="P50" s="318"/>
      <c r="Q50" s="318"/>
      <c r="R50" s="318"/>
      <c r="S50" s="318"/>
      <c r="T50" s="318"/>
      <c r="U50" s="318"/>
      <c r="V50" s="318"/>
      <c r="W50" s="95"/>
      <c r="X50" s="95"/>
      <c r="Y50" s="95"/>
      <c r="Z50" s="95"/>
      <c r="AA50" s="95"/>
      <c r="AB50" s="95"/>
      <c r="AC50" s="95"/>
    </row>
    <row r="51" spans="1:29" ht="14.45" customHeight="1" thickBot="1" x14ac:dyDescent="0.3">
      <c r="A51" s="170">
        <f t="shared" si="22"/>
        <v>14</v>
      </c>
      <c r="B51" s="45">
        <v>44</v>
      </c>
      <c r="C51" s="311"/>
      <c r="D51" s="311"/>
      <c r="E51" s="69">
        <f t="shared" si="0"/>
        <v>45475.875</v>
      </c>
      <c r="F51" s="134">
        <f>'Dummy Table'!EM51</f>
        <v>45475.875</v>
      </c>
      <c r="G51" s="70" t="str">
        <f ca="1">IF(SUM(T22:T25)=12,P22,INDEX(Language!$A$1:$I$110,MATCH("Group D Winner",Language!$B$1:$B$107,0),MATCH(Setup!D6,Language!$A$1:$H$1,0)))</f>
        <v>Group D Winner</v>
      </c>
      <c r="H51" s="228" t="str">
        <f ca="1">IF(OFFSET('Knock Out Stages'!$H$7,A51,0)&lt;&gt;"",OFFSET('Knock Out Stages'!$H$7,A51,0),"")</f>
        <v/>
      </c>
      <c r="I51" s="229" t="str">
        <f ca="1">IF(OFFSET('Knock Out Stages'!$H$8,A51,0)&lt;&gt;"",OFFSET('Knock Out Stages'!$H$8,A51,0),"")</f>
        <v/>
      </c>
      <c r="J51" s="71" t="str">
        <f ca="1">IF(SUM(T32:T35)=12,P33,INDEX(Language!$A$1:$I$110,MATCH("Group F Runner Up",Language!$B$1:$B$107,0),MATCH(Setup!D6,Language!$A$1:$H$1,0)))</f>
        <v>Group F Runner Up</v>
      </c>
      <c r="K51" s="242">
        <f ca="1">OFFSET('Knock Out Stages'!$I$7,A51,0)</f>
        <v>0</v>
      </c>
      <c r="L51" s="243">
        <f ca="1">OFFSET('Knock Out Stages'!$I$8,A51,0)</f>
        <v>0</v>
      </c>
      <c r="M51" s="164" t="s">
        <v>1053</v>
      </c>
      <c r="O51" s="318"/>
      <c r="P51" s="318"/>
      <c r="Q51" s="318"/>
      <c r="R51" s="318"/>
      <c r="S51" s="318"/>
      <c r="T51" s="318"/>
      <c r="U51" s="318"/>
      <c r="V51" s="318"/>
      <c r="W51" s="95"/>
      <c r="X51" s="95"/>
      <c r="Y51" s="95"/>
      <c r="Z51" s="95"/>
      <c r="AA51" s="95"/>
      <c r="AB51" s="95"/>
      <c r="AC51" s="95"/>
    </row>
    <row r="52" spans="1:29" ht="14.45" customHeight="1" thickBot="1" x14ac:dyDescent="0.3">
      <c r="A52" s="170">
        <v>0</v>
      </c>
      <c r="B52" s="42">
        <v>45</v>
      </c>
      <c r="C52" s="310" t="str">
        <f>INDEX(Language!$A$1:$I$110,MATCH("Quarter finals",Language!$B$1:$B$107,0),MATCH(Setup!$D$6,Language!$A$1:$H$1,0))</f>
        <v>Quarter Finals</v>
      </c>
      <c r="D52" s="310"/>
      <c r="E52" s="43">
        <f t="shared" si="0"/>
        <v>45478.75</v>
      </c>
      <c r="F52" s="131">
        <f>'Dummy Table'!EM52</f>
        <v>45478.75</v>
      </c>
      <c r="G52" s="44" t="str">
        <f ca="1">IF(AND(H46&lt;&gt;"",I46&lt;&gt;""),IF((H46+K46)&gt;(I46+L46),G46,IF((H46+K46)&lt;(I46+L46),J46,INDEX(Language!$A$1:$I$110,MATCH("Match 39 Winner",Language!$B$1:$B$107,0),MATCH(Setup!$D$6,Language!$A$1:$H$1,0)))),INDEX(Language!$A$1:$I$110,MATCH("Match 39 Winner",Language!$B$1:$B$107,0),MATCH(Setup!$D$6,Language!$A$1:$H$1,0)))</f>
        <v>Match 39 Winner</v>
      </c>
      <c r="H52" s="228" t="str">
        <f ca="1">IF(OFFSET('Knock Out Stages'!$H$26,A52,0)&lt;&gt;"",OFFSET('Knock Out Stages'!$H$26,A52,0),"")</f>
        <v/>
      </c>
      <c r="I52" s="229" t="str">
        <f ca="1">IF(OFFSET('Knock Out Stages'!$H$27,A52,0)&lt;&gt;"",OFFSET('Knock Out Stages'!$H$27,A52,0),"")</f>
        <v/>
      </c>
      <c r="J52" s="2" t="str">
        <f ca="1">IF(AND(H44&lt;&gt;"",I44&lt;&gt;""),IF((H44+K44)&gt;(I44+L44),G44,IF((H44+K44)&lt;(I44+L44),J44,INDEX(Language!$A$1:$I$110,MATCH("Match 37 Winner",Language!$B$1:$B$107,0),MATCH(Setup!$D$6,Language!$A$1:$H$1,0)))),INDEX(Language!$A$1:$I$110,MATCH("Match 37 Winner",Language!$B$1:$B$107,0),MATCH(Setup!$D$6,Language!$A$1:$H$1,0)))</f>
        <v>Match 37 Winner</v>
      </c>
      <c r="K52" s="236">
        <f ca="1">OFFSET('Knock Out Stages'!$I$26,A52,0)</f>
        <v>0</v>
      </c>
      <c r="L52" s="237">
        <f ca="1">OFFSET('Knock Out Stages'!$I$27,A52,0)</f>
        <v>0</v>
      </c>
      <c r="M52" s="163" t="s">
        <v>1049</v>
      </c>
      <c r="O52" s="318"/>
      <c r="P52" s="318"/>
      <c r="Q52" s="318"/>
      <c r="R52" s="318"/>
      <c r="S52" s="318"/>
      <c r="T52" s="318"/>
      <c r="U52" s="318"/>
      <c r="V52" s="318"/>
      <c r="W52" s="91"/>
      <c r="X52" s="72"/>
      <c r="Y52" s="72"/>
      <c r="Z52" s="72"/>
      <c r="AA52" s="72"/>
      <c r="AB52" s="72"/>
      <c r="AC52" s="72"/>
    </row>
    <row r="53" spans="1:29" ht="14.45" customHeight="1" thickBot="1" x14ac:dyDescent="0.3">
      <c r="A53" s="170">
        <f t="shared" si="22"/>
        <v>2</v>
      </c>
      <c r="B53" s="46">
        <v>46</v>
      </c>
      <c r="C53" s="319"/>
      <c r="D53" s="319"/>
      <c r="E53" s="66">
        <f t="shared" si="0"/>
        <v>45478.875</v>
      </c>
      <c r="F53" s="132">
        <f>'Dummy Table'!EM53</f>
        <v>45478.875</v>
      </c>
      <c r="G53" s="73" t="str">
        <f ca="1">IF(AND(H48&lt;&gt;"",I48&lt;&gt;""),IF((H48+K48)&gt;(I48+L48),G48,IF((H48+K48)&lt;(I48+L48),J48,INDEX(Language!$A$1:$I$110,MATCH("Match 41 Winner",Language!$B$1:$B$107,0),MATCH(Setup!$D$6,Language!$A$1:$H$1,0)))),INDEX(Language!$A$1:$I$110,MATCH("Match 41 Winner",Language!$B$1:$B$107,0),MATCH(Setup!$D$6,Language!$A$1:$H$1,0)))</f>
        <v>Match 41 Winner</v>
      </c>
      <c r="H53" s="228" t="str">
        <f ca="1">IF(OFFSET('Knock Out Stages'!$H$26,A53,0)&lt;&gt;"",OFFSET('Knock Out Stages'!$H$26,A53,0),"")</f>
        <v/>
      </c>
      <c r="I53" s="229" t="str">
        <f ca="1">IF(OFFSET('Knock Out Stages'!$H$27,A53,0)&lt;&gt;"",OFFSET('Knock Out Stages'!$H$27,A53,0),"")</f>
        <v/>
      </c>
      <c r="J53" s="74" t="str">
        <f ca="1">IF(AND(H49&lt;&gt;"",I49&lt;&gt;""),IF((H49+K49)&gt;(I49+L49),G49,IF((H49+K49)&lt;(I49+L49),J49,INDEX(Language!$A$1:$I$110,MATCH("Match 42 Winner",Language!$B$1:$B$107,0),MATCH(Setup!$D$6,Language!$A$1:$H$1,0)))),INDEX(Language!$A$1:$I$110,MATCH("Match 42 Winner",Language!$B$1:$B$107,0),MATCH(Setup!$D$6,Language!$A$1:$H$1,0)))</f>
        <v>Match 42 Winner</v>
      </c>
      <c r="K53" s="238">
        <f ca="1">OFFSET('Knock Out Stages'!$I$26,A53,0)</f>
        <v>0</v>
      </c>
      <c r="L53" s="239">
        <f ca="1">OFFSET('Knock Out Stages'!$I$27,A53,0)</f>
        <v>0</v>
      </c>
      <c r="M53" s="162" t="s">
        <v>1048</v>
      </c>
      <c r="O53" s="65"/>
      <c r="P53" s="65"/>
      <c r="Q53" s="65"/>
      <c r="R53" s="65"/>
      <c r="S53" s="65"/>
      <c r="T53" s="65"/>
      <c r="U53" s="65"/>
      <c r="V53" s="90"/>
      <c r="W53" s="91"/>
      <c r="X53" s="72"/>
      <c r="Y53" s="72"/>
      <c r="Z53" s="72"/>
      <c r="AA53" s="72"/>
      <c r="AB53" s="72"/>
      <c r="AC53" s="72"/>
    </row>
    <row r="54" spans="1:29" ht="14.45" customHeight="1" thickBot="1" x14ac:dyDescent="0.3">
      <c r="A54" s="170">
        <f t="shared" si="22"/>
        <v>4</v>
      </c>
      <c r="B54" s="46">
        <v>47</v>
      </c>
      <c r="C54" s="319"/>
      <c r="D54" s="319"/>
      <c r="E54" s="9">
        <f t="shared" si="0"/>
        <v>45479.875</v>
      </c>
      <c r="F54" s="133">
        <f>'Dummy Table'!EM54</f>
        <v>45479.875</v>
      </c>
      <c r="G54" s="29" t="str">
        <f ca="1">IF(AND(H50&lt;&gt;"",I50&lt;&gt;""),IF((H50+K50)&gt;(I50+L50),G50,IF((H50+K50)&lt;(I50+L50),J50,INDEX(Language!$A$1:$I$110,MATCH("Match 43 Winner",Language!$B$1:$B$107,0),MATCH(Setup!$D$6,Language!$A$1:$H$1,0)))),INDEX(Language!$A$1:$I$110,MATCH("Match 43 Winner",Language!$B$1:$B$107,0),MATCH(Setup!$D$6,Language!$A$1:$H$1,0)))</f>
        <v>Match 43 Winner</v>
      </c>
      <c r="H54" s="228" t="str">
        <f ca="1">IF(OFFSET('Knock Out Stages'!$H$26,A54,0)&lt;&gt;"",OFFSET('Knock Out Stages'!$H$26,A54,0),"")</f>
        <v/>
      </c>
      <c r="I54" s="229" t="str">
        <f ca="1">IF(OFFSET('Knock Out Stages'!$H$27,A54,0)&lt;&gt;"",OFFSET('Knock Out Stages'!$H$27,A54,0),"")</f>
        <v/>
      </c>
      <c r="J54" s="2" t="str">
        <f ca="1">IF(AND(H51&lt;&gt;"",I51&lt;&gt;""),IF((H51+K51)&gt;(I51+L51),G51,IF((H51+K51)&lt;(I51+L51),J51,INDEX(Language!$A$1:$I$110,MATCH("Match 44 Winner",Language!$B$1:$B$107,0),MATCH(Setup!$D$6,Language!$A$1:$H$1,0)))),INDEX(Language!$A$1:$I$110,MATCH("Match 44 Winner",Language!$B$1:$B$107,0),MATCH(Setup!$D$6,Language!$A$1:$H$1,0)))</f>
        <v>Match 44 Winner</v>
      </c>
      <c r="K54" s="240">
        <f ca="1">OFFSET('Knock Out Stages'!$I$26,A54,0)</f>
        <v>0</v>
      </c>
      <c r="L54" s="241">
        <f ca="1">OFFSET('Knock Out Stages'!$I$27,A54,0)</f>
        <v>0</v>
      </c>
      <c r="M54" s="163" t="s">
        <v>1046</v>
      </c>
      <c r="O54" s="92"/>
      <c r="P54" s="92"/>
      <c r="Q54" s="92"/>
      <c r="R54" s="92"/>
      <c r="S54" s="92"/>
      <c r="T54" s="92"/>
      <c r="U54" s="93"/>
      <c r="V54" s="90"/>
      <c r="W54" s="91"/>
      <c r="X54" s="72"/>
      <c r="Y54" s="72"/>
      <c r="Z54" s="72"/>
      <c r="AA54" s="72"/>
      <c r="AB54" s="72"/>
      <c r="AC54" s="72"/>
    </row>
    <row r="55" spans="1:29" ht="14.45" customHeight="1" thickBot="1" x14ac:dyDescent="0.3">
      <c r="A55" s="170">
        <f t="shared" si="22"/>
        <v>6</v>
      </c>
      <c r="B55" s="45">
        <v>48</v>
      </c>
      <c r="C55" s="311"/>
      <c r="D55" s="311"/>
      <c r="E55" s="69">
        <f t="shared" si="0"/>
        <v>45479.75</v>
      </c>
      <c r="F55" s="134">
        <f>'Dummy Table'!EM55</f>
        <v>45479.75</v>
      </c>
      <c r="G55" s="75" t="str">
        <f ca="1">IF(AND(H47&lt;&gt;"",I47&lt;&gt;""),IF((H47+K47)&gt;(I47+L47),G47,IF((H47+K47)&lt;(I47+L47),J47,INDEX(Language!$A$1:$I$110,MATCH("Match 40 Winner",Language!$B$1:$B$107,0),MATCH(Setup!$D$6,Language!$A$1:$H$1,0)))),INDEX(Language!$A$1:$I$110,MATCH("Match 40 Winner",Language!$B$1:$B$107,0),MATCH(Setup!$D$6,Language!$A$1:$H$1,0)))</f>
        <v>Match 40 Winner</v>
      </c>
      <c r="H55" s="228" t="str">
        <f ca="1">IF(OFFSET('Knock Out Stages'!$H$26,A55,0)&lt;&gt;"",OFFSET('Knock Out Stages'!$H$26,A55,0),"")</f>
        <v/>
      </c>
      <c r="I55" s="229" t="str">
        <f ca="1">IF(OFFSET('Knock Out Stages'!$H$27,A55,0)&lt;&gt;"",OFFSET('Knock Out Stages'!$H$27,A55,0),"")</f>
        <v/>
      </c>
      <c r="J55" s="76" t="str">
        <f ca="1">IF(AND(H45&lt;&gt;"",I45&lt;&gt;""),IF((H45+K45)&gt;(I45+L45),G45,IF((H45+K45)&lt;(I45+L45),J45,INDEX(Language!$A$1:$I$110,MATCH("Match 38 Winner",Language!$B$1:$B$107,0),MATCH(Setup!$D$6,Language!$A$1:$H$1,0)))),INDEX(Language!$A$1:$I$110,MATCH("Match 38 Winner",Language!$B$1:$B$107,0),MATCH(Setup!$D$6,Language!$A$1:$H$1,0)))</f>
        <v>Match 38 Winner</v>
      </c>
      <c r="K55" s="242">
        <f ca="1">OFFSET('Knock Out Stages'!$I$26,A55,0)</f>
        <v>0</v>
      </c>
      <c r="L55" s="243">
        <f ca="1">OFFSET('Knock Out Stages'!$I$27,A55,0)</f>
        <v>0</v>
      </c>
      <c r="M55" s="164" t="s">
        <v>1052</v>
      </c>
      <c r="O55" s="92"/>
      <c r="P55" s="92"/>
      <c r="Q55" s="92"/>
      <c r="R55" s="92"/>
      <c r="S55" s="92"/>
      <c r="T55" s="92"/>
      <c r="U55" s="93"/>
      <c r="V55" s="90"/>
      <c r="W55" s="91"/>
      <c r="X55" s="72"/>
      <c r="Y55" s="72"/>
      <c r="Z55" s="72"/>
      <c r="AA55" s="72"/>
      <c r="AB55" s="72"/>
      <c r="AC55" s="72"/>
    </row>
    <row r="56" spans="1:29" ht="14.45" customHeight="1" thickBot="1" x14ac:dyDescent="0.3">
      <c r="A56" s="170">
        <v>0</v>
      </c>
      <c r="B56" s="42">
        <v>49</v>
      </c>
      <c r="C56" s="310" t="str">
        <f>INDEX(Language!$A$1:$I$110,MATCH("Semi finals",Language!$B$1:$B$107,0),MATCH(Setup!$D$6,Language!$A$1:$H$1,0))</f>
        <v>Semi Finals</v>
      </c>
      <c r="D56" s="310"/>
      <c r="E56" s="43">
        <f t="shared" si="0"/>
        <v>45482.875</v>
      </c>
      <c r="F56" s="131">
        <f>'Dummy Table'!EM56</f>
        <v>45482.875</v>
      </c>
      <c r="G56" s="44" t="str">
        <f ca="1">IF(AND(H52&lt;&gt;"",I52&lt;&gt;""),IF((H52+K52)&gt;(I52+L52),G52,IF((H52+K52)&lt;(I52+L52),J52,INDEX(Language!$A$1:$I$110,MATCH("Match 45 Winner",Language!$B$1:$B$107,0),MATCH(Setup!$D$6,Language!$A$1:$H$1,0)))),INDEX(Language!$A$1:$I$110,MATCH("Match 45 Winner",Language!$B$1:$B$107,0),MATCH(Setup!$D$6,Language!$A$1:$H$1,0)))</f>
        <v>Match 45 Winner</v>
      </c>
      <c r="H56" s="228" t="str">
        <f ca="1">IF(OFFSET('Knock Out Stages'!$H$37,A56,0)&lt;&gt;"",OFFSET('Knock Out Stages'!$H$37,A56,0),"")</f>
        <v/>
      </c>
      <c r="I56" s="229" t="str">
        <f ca="1">IF(OFFSET('Knock Out Stages'!$H$38,A56,0)&lt;&gt;"",OFFSET('Knock Out Stages'!$H$38,A56,0),"")</f>
        <v/>
      </c>
      <c r="J56" s="2" t="str">
        <f ca="1">IF(AND(H53&lt;&gt;"",I53&lt;&gt;""),IF((H53+K53)&gt;(I53+L53),G53,IF((H53+K53)&lt;(I53+L53),J53,INDEX(Language!$A$1:$I$110,MATCH("Match 46 Winner",Language!$B$1:$B$107,0),MATCH(Setup!$D$6,Language!$A$1:$H$1,0)))),INDEX(Language!$A$1:$I$110,MATCH("Match 46 Winner",Language!$B$1:$B$107,0),MATCH(Setup!$D$6,Language!$A$1:$H$1,0)))</f>
        <v>Match 46 Winner</v>
      </c>
      <c r="K56" s="236">
        <f ca="1">OFFSET('Knock Out Stages'!$I$37,A56,0)</f>
        <v>0</v>
      </c>
      <c r="L56" s="237">
        <f ca="1">OFFSET('Knock Out Stages'!$I$38,A56,0)</f>
        <v>0</v>
      </c>
      <c r="M56" s="163" t="s">
        <v>1044</v>
      </c>
      <c r="O56" s="92"/>
      <c r="P56" s="92"/>
      <c r="Q56" s="92"/>
      <c r="R56" s="92"/>
      <c r="S56" s="92"/>
      <c r="T56" s="92"/>
      <c r="U56" s="93"/>
      <c r="V56" s="90"/>
      <c r="W56" s="91"/>
      <c r="X56" s="72"/>
      <c r="Y56" s="72"/>
      <c r="Z56" s="72"/>
      <c r="AA56" s="72"/>
      <c r="AB56" s="72"/>
      <c r="AC56" s="72"/>
    </row>
    <row r="57" spans="1:29" ht="14.45" customHeight="1" thickBot="1" x14ac:dyDescent="0.3">
      <c r="A57" s="170">
        <f t="shared" si="22"/>
        <v>2</v>
      </c>
      <c r="B57" s="45">
        <v>50</v>
      </c>
      <c r="C57" s="311"/>
      <c r="D57" s="311"/>
      <c r="E57" s="69">
        <f t="shared" si="0"/>
        <v>45483.875</v>
      </c>
      <c r="F57" s="134">
        <f>'Dummy Table'!EM57</f>
        <v>45483.875</v>
      </c>
      <c r="G57" s="75" t="str">
        <f ca="1">IF(AND(H54&lt;&gt;"",I54&lt;&gt;""),IF((H54+K54)&gt;(I54+L54),G54,IF((H54+K54)&lt;(I54+L54),J54,INDEX(Language!$A$1:$I$110,MATCH("Match 47 Winner",Language!$B$1:$B$107,0),MATCH(Setup!$D$6,Language!$A$1:$H$1,0)))),INDEX(Language!$A$1:$I$110,MATCH("Match 47 Winner",Language!$B$1:$B$107,0),MATCH(Setup!$D$6,Language!$A$1:$H$1,0)))</f>
        <v>Match 47 Winner</v>
      </c>
      <c r="H57" s="228" t="str">
        <f ca="1">IF(OFFSET('Knock Out Stages'!$H$37,A57,0)&lt;&gt;"",OFFSET('Knock Out Stages'!$H$37,A57,0),"")</f>
        <v/>
      </c>
      <c r="I57" s="229" t="str">
        <f ca="1">IF(OFFSET('Knock Out Stages'!$H$38,A57,0)&lt;&gt;"",OFFSET('Knock Out Stages'!$H$38,A57,0),"")</f>
        <v/>
      </c>
      <c r="J57" s="76" t="str">
        <f ca="1">IF(AND(H55&lt;&gt;"",I55&lt;&gt;""),IF((H55+K55)&gt;(I55+L55),G55,IF((H55+K55)&lt;(I55+L55),J55,INDEX(Language!$A$1:$I$110,MATCH("Match 48 Winner",Language!$B$1:$B$107,0),MATCH(Setup!$D$6,Language!$A$1:$H$1,0)))),INDEX(Language!$A$1:$I$110,MATCH("Match 48 Winner",Language!$B$1:$B$107,0),MATCH(Setup!$D$6,Language!$A$1:$H$1,0)))</f>
        <v>Match 48 Winner</v>
      </c>
      <c r="K57" s="242">
        <f ca="1">OFFSET('Knock Out Stages'!$I$37,A57,0)</f>
        <v>0</v>
      </c>
      <c r="L57" s="243">
        <f ca="1">OFFSET('Knock Out Stages'!$I$38,A57,0)</f>
        <v>0</v>
      </c>
      <c r="M57" s="164" t="s">
        <v>1047</v>
      </c>
      <c r="O57" s="92"/>
      <c r="P57" s="92"/>
      <c r="Q57" s="92"/>
      <c r="R57" s="92"/>
      <c r="S57" s="92"/>
      <c r="T57" s="92"/>
      <c r="U57" s="93"/>
      <c r="V57" s="90"/>
      <c r="W57" s="91"/>
      <c r="X57" s="72"/>
      <c r="Y57" s="72"/>
      <c r="Z57" s="72"/>
      <c r="AA57" s="72"/>
      <c r="AB57" s="72"/>
      <c r="AC57" s="72"/>
    </row>
    <row r="58" spans="1:29" ht="14.45" customHeight="1" x14ac:dyDescent="0.25">
      <c r="A58" s="170">
        <v>0</v>
      </c>
      <c r="B58" s="38">
        <v>51</v>
      </c>
      <c r="C58" s="312" t="str">
        <f>INDEX(Language!$A$1:$I$110,MATCH("Final",Language!$B$1:$B$107,0),MATCH(Setup!$D$6,Language!$A$1:$H$1,0))</f>
        <v>Final</v>
      </c>
      <c r="D58" s="312"/>
      <c r="E58" s="39">
        <f t="shared" si="0"/>
        <v>45487.875</v>
      </c>
      <c r="F58" s="135">
        <f>'Dummy Table'!EM58</f>
        <v>45487.875</v>
      </c>
      <c r="G58" s="40" t="str">
        <f ca="1">IF(AND(H56&lt;&gt;"",I56&lt;&gt;""),IF((H56+K56)&gt;(I56+L56),G56,IF((H56+K56)&lt;(I56+L56),J56,INDEX(Language!$A$1:$I$110,MATCH("Match 49 Winner",Language!$B$1:$B$107,0),MATCH(Setup!$D$6,Language!$A$1:$H$1,0)))),INDEX(Language!$A$1:$I$110,MATCH("Match 49 Winner",Language!$B$1:$B$107,0),MATCH(Setup!$D$6,Language!$A$1:$H$1,0)))</f>
        <v>Match 49 Winner</v>
      </c>
      <c r="H58" s="234" t="str">
        <f>IF('Knock Out Stages'!H44&lt;&gt;"",'Knock Out Stages'!H44,"")</f>
        <v/>
      </c>
      <c r="I58" s="235" t="str">
        <f>IF('Knock Out Stages'!H45&lt;&gt;"",'Knock Out Stages'!H45,"")</f>
        <v/>
      </c>
      <c r="J58" s="41" t="str">
        <f ca="1">IF(AND(H57&lt;&gt;"",I57&lt;&gt;""),IF((H57+K57)&gt;(I57+L57),G57,IF((H57+K57)&lt;(I57+L57),J57,INDEX(Language!$A$1:$I$110,MATCH("Match 50 Winner",Language!$B$1:$B$107,0),MATCH(Setup!$D$6,Language!$A$1:$H$1,0)))),INDEX(Language!$A$1:$I$110,MATCH("Match 50 Winner",Language!$B$1:$B$107,0),MATCH(Setup!$D$6,Language!$A$1:$H$1,0)))</f>
        <v>Match 50 Winner</v>
      </c>
      <c r="K58" s="244">
        <f>'Knock Out Stages'!I44</f>
        <v>0</v>
      </c>
      <c r="L58" s="245">
        <f>'Knock Out Stages'!I45</f>
        <v>0</v>
      </c>
      <c r="M58" s="227" t="s">
        <v>1046</v>
      </c>
      <c r="O58" s="92"/>
      <c r="P58" s="92"/>
      <c r="Q58" s="92"/>
      <c r="R58" s="92"/>
      <c r="S58" s="92"/>
      <c r="T58" s="92"/>
      <c r="U58" s="93"/>
      <c r="V58" s="90"/>
      <c r="W58" s="91"/>
      <c r="X58" s="72"/>
      <c r="Y58" s="72"/>
      <c r="Z58" s="72"/>
      <c r="AA58" s="72"/>
      <c r="AB58" s="72"/>
      <c r="AC58" s="72"/>
    </row>
    <row r="59" spans="1:29" ht="14.45" customHeight="1" x14ac:dyDescent="0.25">
      <c r="B59" s="158" t="s">
        <v>819</v>
      </c>
    </row>
    <row r="60" spans="1:29" ht="14.45" customHeight="1" x14ac:dyDescent="0.25"/>
    <row r="61" spans="1:29" ht="14.45" customHeight="1" x14ac:dyDescent="0.25"/>
  </sheetData>
  <sheetProtection algorithmName="SHA-512" hashValue="2Cpgi4JdSvwL7S+AiN5CPfAbJzXBXnU4nGSMElrxGH5TFUxlMSaICsIgppNgI5pPX/m4WGzVS4v9M529xGh1ow==" saltValue="qD2rVhvHXpcRTSF08apoug==" spinCount="100000" sheet="1" objects="1" scenarios="1"/>
  <mergeCells count="80">
    <mergeCell ref="O48:V52"/>
    <mergeCell ref="C39:D39"/>
    <mergeCell ref="C40:D40"/>
    <mergeCell ref="C41:D41"/>
    <mergeCell ref="C42:D42"/>
    <mergeCell ref="C44:D51"/>
    <mergeCell ref="C52:D55"/>
    <mergeCell ref="P44:S44"/>
    <mergeCell ref="P41:S41"/>
    <mergeCell ref="P42:S42"/>
    <mergeCell ref="P43:S43"/>
    <mergeCell ref="C36:D36"/>
    <mergeCell ref="C37:D37"/>
    <mergeCell ref="C38:D38"/>
    <mergeCell ref="K43:L43"/>
    <mergeCell ref="O46:AC47"/>
    <mergeCell ref="C31:D31"/>
    <mergeCell ref="C32:D32"/>
    <mergeCell ref="C33:D33"/>
    <mergeCell ref="C34:D34"/>
    <mergeCell ref="C35:D35"/>
    <mergeCell ref="C26:D26"/>
    <mergeCell ref="C27:D27"/>
    <mergeCell ref="C28:D28"/>
    <mergeCell ref="C29:D29"/>
    <mergeCell ref="C30:D30"/>
    <mergeCell ref="C21:D21"/>
    <mergeCell ref="C22:D22"/>
    <mergeCell ref="C23:D23"/>
    <mergeCell ref="C24:D24"/>
    <mergeCell ref="C25:D25"/>
    <mergeCell ref="C56:D57"/>
    <mergeCell ref="C58:D58"/>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H5:I5"/>
    <mergeCell ref="P14:S14"/>
    <mergeCell ref="P18:S18"/>
    <mergeCell ref="O31:S31"/>
    <mergeCell ref="O26:S26"/>
    <mergeCell ref="O21:S21"/>
    <mergeCell ref="O16:S16"/>
    <mergeCell ref="P29:S29"/>
    <mergeCell ref="P30:S30"/>
    <mergeCell ref="P28:S28"/>
    <mergeCell ref="P15:S15"/>
    <mergeCell ref="P22:S22"/>
    <mergeCell ref="P17:S17"/>
    <mergeCell ref="P12:S12"/>
    <mergeCell ref="P13:S13"/>
    <mergeCell ref="P7:S7"/>
    <mergeCell ref="P8:S8"/>
    <mergeCell ref="P9:S9"/>
    <mergeCell ref="P10:S10"/>
    <mergeCell ref="O11:S11"/>
    <mergeCell ref="O6:S6"/>
    <mergeCell ref="P19:S19"/>
    <mergeCell ref="P20:S20"/>
    <mergeCell ref="P23:S23"/>
    <mergeCell ref="P24:S24"/>
    <mergeCell ref="P25:S25"/>
    <mergeCell ref="P27:S27"/>
    <mergeCell ref="P35:S35"/>
    <mergeCell ref="P34:S34"/>
    <mergeCell ref="P39:S39"/>
    <mergeCell ref="P40:S40"/>
    <mergeCell ref="P32:S32"/>
    <mergeCell ref="P33:S33"/>
  </mergeCells>
  <phoneticPr fontId="1" type="noConversion"/>
  <conditionalFormatting sqref="G7:G42">
    <cfRule type="expression" dxfId="36" priority="60">
      <formula>$H7&gt;$I7</formula>
    </cfRule>
    <cfRule type="expression" dxfId="35" priority="59">
      <formula>$H7&lt;$I7</formula>
    </cfRule>
  </conditionalFormatting>
  <conditionalFormatting sqref="G44:G58">
    <cfRule type="expression" dxfId="34" priority="56">
      <formula>$H44&gt;$I44</formula>
    </cfRule>
    <cfRule type="expression" dxfId="33" priority="55">
      <formula>$H44&lt;$I44</formula>
    </cfRule>
    <cfRule type="expression" dxfId="32" priority="52">
      <formula>$K44&lt;$L44</formula>
    </cfRule>
    <cfRule type="expression" dxfId="31" priority="51">
      <formula>$K44&gt;$L44</formula>
    </cfRule>
  </conditionalFormatting>
  <conditionalFormatting sqref="H7:I42">
    <cfRule type="expression" dxfId="30" priority="65">
      <formula>ISTEXT(H7)</formula>
    </cfRule>
  </conditionalFormatting>
  <conditionalFormatting sqref="H44:I58">
    <cfRule type="expression" dxfId="29" priority="47">
      <formula>ISTEXT(H44)</formula>
    </cfRule>
  </conditionalFormatting>
  <conditionalFormatting sqref="J7:J42">
    <cfRule type="expression" dxfId="28" priority="58">
      <formula>$H7&lt;$I7</formula>
    </cfRule>
    <cfRule type="expression" dxfId="27" priority="57">
      <formula>$H7&gt;$I7</formula>
    </cfRule>
  </conditionalFormatting>
  <conditionalFormatting sqref="J44:J58">
    <cfRule type="expression" dxfId="26" priority="54">
      <formula>$H44&lt;$I44</formula>
    </cfRule>
    <cfRule type="expression" dxfId="25" priority="53">
      <formula>$H44&gt;$I44</formula>
    </cfRule>
    <cfRule type="expression" dxfId="24" priority="50">
      <formula>$K44&lt;$L44</formula>
    </cfRule>
    <cfRule type="expression" dxfId="23" priority="49">
      <formula>$K44&gt;$L44</formula>
    </cfRule>
  </conditionalFormatting>
  <conditionalFormatting sqref="K44:L44">
    <cfRule type="expression" dxfId="22" priority="46">
      <formula>K44=0</formula>
    </cfRule>
  </conditionalFormatting>
  <conditionalFormatting sqref="K44:L58">
    <cfRule type="expression" dxfId="21" priority="66">
      <formula>AND($H44&lt;&gt;"",$I44&lt;&gt;"",$H44=$I44)</formula>
    </cfRule>
  </conditionalFormatting>
  <conditionalFormatting sqref="K45:L45">
    <cfRule type="expression" dxfId="20" priority="45">
      <formula>K45=0</formula>
    </cfRule>
  </conditionalFormatting>
  <conditionalFormatting sqref="K46:L46">
    <cfRule type="expression" dxfId="19" priority="38">
      <formula>K46=0</formula>
    </cfRule>
  </conditionalFormatting>
  <conditionalFormatting sqref="K47:L47">
    <cfRule type="expression" dxfId="18" priority="43">
      <formula>K47=0</formula>
    </cfRule>
    <cfRule type="expression" dxfId="17" priority="37">
      <formula>K47=0</formula>
    </cfRule>
  </conditionalFormatting>
  <conditionalFormatting sqref="K48:L48">
    <cfRule type="expression" dxfId="16" priority="34">
      <formula>K48=0</formula>
    </cfRule>
  </conditionalFormatting>
  <conditionalFormatting sqref="K49:L49">
    <cfRule type="expression" dxfId="15" priority="33">
      <formula>K49=0</formula>
    </cfRule>
    <cfRule type="expression" dxfId="14" priority="35">
      <formula>K49=0</formula>
    </cfRule>
  </conditionalFormatting>
  <conditionalFormatting sqref="K50:L50">
    <cfRule type="expression" dxfId="13" priority="28">
      <formula>K50=0</formula>
    </cfRule>
  </conditionalFormatting>
  <conditionalFormatting sqref="K51:L51">
    <cfRule type="expression" dxfId="12" priority="29">
      <formula>K51=0</formula>
    </cfRule>
    <cfRule type="expression" dxfId="11" priority="27">
      <formula>K51=0</formula>
    </cfRule>
  </conditionalFormatting>
  <conditionalFormatting sqref="K52:L52">
    <cfRule type="expression" dxfId="10" priority="20">
      <formula>K52=0</formula>
    </cfRule>
  </conditionalFormatting>
  <conditionalFormatting sqref="K53:L53">
    <cfRule type="expression" dxfId="9" priority="21">
      <formula>K53=0</formula>
    </cfRule>
    <cfRule type="expression" dxfId="8" priority="19">
      <formula>K53=0</formula>
    </cfRule>
  </conditionalFormatting>
  <conditionalFormatting sqref="K54:L54">
    <cfRule type="expression" dxfId="7" priority="14">
      <formula>K54=0</formula>
    </cfRule>
  </conditionalFormatting>
  <conditionalFormatting sqref="K55:L55">
    <cfRule type="expression" dxfId="6" priority="15">
      <formula>K55=0</formula>
    </cfRule>
    <cfRule type="expression" dxfId="5" priority="13">
      <formula>K55=0</formula>
    </cfRule>
  </conditionalFormatting>
  <conditionalFormatting sqref="K56:L56">
    <cfRule type="expression" dxfId="4" priority="6">
      <formula>K56=0</formula>
    </cfRule>
  </conditionalFormatting>
  <conditionalFormatting sqref="K57:L57">
    <cfRule type="expression" dxfId="3" priority="7">
      <formula>K57=0</formula>
    </cfRule>
    <cfRule type="expression" dxfId="2" priority="5">
      <formula>K57=0</formula>
    </cfRule>
  </conditionalFormatting>
  <conditionalFormatting sqref="K58:L58">
    <cfRule type="expression" dxfId="1" priority="1">
      <formula>K58=0</formula>
    </cfRule>
  </conditionalFormatting>
  <printOptions horizontalCentered="1" verticalCentered="1"/>
  <pageMargins left="0.04" right="0.4" top="0.4" bottom="0.4" header="0.25" footer="0.2"/>
  <pageSetup scale="68" orientation="landscape" horizontalDpi="300" verticalDpi="300" r:id="rId1"/>
  <headerFooter>
    <oddFooter>&amp;R(c) 2020 | journalSHEET.com</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93"/>
  <sheetViews>
    <sheetView showGridLines="0" zoomScaleNormal="100" workbookViewId="0">
      <selection activeCell="D8" sqref="D8"/>
    </sheetView>
  </sheetViews>
  <sheetFormatPr defaultColWidth="9.140625" defaultRowHeight="12.75" x14ac:dyDescent="0.2"/>
  <cols>
    <col min="1" max="1" width="4" style="256" bestFit="1" customWidth="1"/>
    <col min="2" max="3" width="25.140625" style="256" bestFit="1" customWidth="1"/>
    <col min="4" max="4" width="33.42578125" style="256" bestFit="1" customWidth="1"/>
    <col min="5" max="5" width="31.85546875" style="256" bestFit="1" customWidth="1"/>
    <col min="6" max="6" width="32" style="256" bestFit="1" customWidth="1"/>
    <col min="7" max="7" width="30.28515625" style="256" bestFit="1" customWidth="1"/>
    <col min="8" max="8" width="25.140625" style="256" bestFit="1" customWidth="1"/>
    <col min="9" max="16384" width="9.140625" style="256"/>
  </cols>
  <sheetData>
    <row r="1" spans="1:8" x14ac:dyDescent="0.2">
      <c r="A1" s="256">
        <v>1</v>
      </c>
      <c r="B1" s="256" t="s">
        <v>120</v>
      </c>
      <c r="C1" s="256" t="s">
        <v>121</v>
      </c>
      <c r="D1" s="256" t="s">
        <v>122</v>
      </c>
      <c r="E1" s="256" t="s">
        <v>123</v>
      </c>
      <c r="F1" s="256" t="s">
        <v>124</v>
      </c>
      <c r="G1" s="256" t="s">
        <v>125</v>
      </c>
      <c r="H1" s="256" t="str">
        <f>IF(Setup!D7&lt;&gt;"",Setup!D7,"New Language")</f>
        <v>NEW WORLD</v>
      </c>
    </row>
    <row r="2" spans="1:8" x14ac:dyDescent="0.2">
      <c r="A2" s="256">
        <v>1</v>
      </c>
      <c r="B2" s="256">
        <v>2</v>
      </c>
      <c r="C2" s="256">
        <v>3</v>
      </c>
      <c r="D2" s="256">
        <v>4</v>
      </c>
      <c r="E2" s="256">
        <v>5</v>
      </c>
      <c r="F2" s="256">
        <v>6</v>
      </c>
      <c r="G2" s="256">
        <v>7</v>
      </c>
      <c r="H2" s="256">
        <v>8</v>
      </c>
    </row>
    <row r="3" spans="1:8" x14ac:dyDescent="0.2">
      <c r="A3" s="256">
        <v>2</v>
      </c>
      <c r="B3" s="252" t="str">
        <f>Setup!C9</f>
        <v>Albania</v>
      </c>
      <c r="C3" s="252" t="s">
        <v>1040</v>
      </c>
      <c r="D3" s="252" t="s">
        <v>1211</v>
      </c>
      <c r="E3" s="252" t="s">
        <v>1212</v>
      </c>
      <c r="F3" s="252" t="s">
        <v>1040</v>
      </c>
      <c r="G3" s="252" t="s">
        <v>1040</v>
      </c>
      <c r="H3" s="256" t="str">
        <f>IF(Setup!D9&lt;&gt;"",Setup!D9,Setup!C9)</f>
        <v>Albania</v>
      </c>
    </row>
    <row r="4" spans="1:8" x14ac:dyDescent="0.2">
      <c r="A4" s="256">
        <v>3</v>
      </c>
      <c r="B4" s="252" t="str">
        <f>Setup!C10</f>
        <v>Austria</v>
      </c>
      <c r="C4" s="257" t="s">
        <v>55</v>
      </c>
      <c r="D4" s="252" t="s">
        <v>1213</v>
      </c>
      <c r="E4" s="252" t="s">
        <v>276</v>
      </c>
      <c r="F4" s="252" t="s">
        <v>55</v>
      </c>
      <c r="G4" s="252" t="s">
        <v>55</v>
      </c>
      <c r="H4" s="256" t="str">
        <f>IF(Setup!D10&lt;&gt;"",Setup!D10,Setup!C10)</f>
        <v>Austria</v>
      </c>
    </row>
    <row r="5" spans="1:8" x14ac:dyDescent="0.2">
      <c r="A5" s="256">
        <v>4</v>
      </c>
      <c r="B5" s="252" t="str">
        <f>Setup!C11</f>
        <v>Belgium</v>
      </c>
      <c r="C5" s="256" t="s">
        <v>53</v>
      </c>
      <c r="D5" s="252" t="s">
        <v>222</v>
      </c>
      <c r="E5" s="252" t="s">
        <v>207</v>
      </c>
      <c r="F5" s="252" t="s">
        <v>317</v>
      </c>
      <c r="G5" s="252" t="s">
        <v>373</v>
      </c>
      <c r="H5" s="256" t="str">
        <f>IF(Setup!D11&lt;&gt;"",Setup!D11,Setup!C11)</f>
        <v>Belgium</v>
      </c>
    </row>
    <row r="6" spans="1:8" x14ac:dyDescent="0.2">
      <c r="A6" s="256">
        <v>5</v>
      </c>
      <c r="B6" s="252" t="str">
        <f>Setup!C12</f>
        <v>Croatia</v>
      </c>
      <c r="C6" s="252" t="s">
        <v>52</v>
      </c>
      <c r="D6" s="252" t="s">
        <v>126</v>
      </c>
      <c r="E6" s="252" t="s">
        <v>127</v>
      </c>
      <c r="F6" s="252" t="s">
        <v>128</v>
      </c>
      <c r="G6" s="252" t="s">
        <v>129</v>
      </c>
      <c r="H6" s="256" t="str">
        <f>IF(Setup!D12&lt;&gt;"",Setup!D12,Setup!C12)</f>
        <v>Croatia</v>
      </c>
    </row>
    <row r="7" spans="1:8" x14ac:dyDescent="0.2">
      <c r="A7" s="256">
        <v>6</v>
      </c>
      <c r="B7" s="252" t="str">
        <f>Setup!C13</f>
        <v>Czechia</v>
      </c>
      <c r="C7" s="252" t="s">
        <v>1061</v>
      </c>
      <c r="D7" s="252" t="s">
        <v>1214</v>
      </c>
      <c r="E7" s="252" t="s">
        <v>275</v>
      </c>
      <c r="F7" s="252" t="s">
        <v>1215</v>
      </c>
      <c r="G7" s="252" t="s">
        <v>1216</v>
      </c>
      <c r="H7" s="256" t="str">
        <f>IF(Setup!D13&lt;&gt;"",Setup!D13,Setup!C13)</f>
        <v>Czechia</v>
      </c>
    </row>
    <row r="8" spans="1:8" x14ac:dyDescent="0.2">
      <c r="A8" s="256">
        <v>7</v>
      </c>
      <c r="B8" s="252" t="str">
        <f>Setup!C14</f>
        <v>Denmark</v>
      </c>
      <c r="C8" s="256" t="s">
        <v>443</v>
      </c>
      <c r="D8" s="252" t="s">
        <v>493</v>
      </c>
      <c r="E8" s="252" t="s">
        <v>496</v>
      </c>
      <c r="F8" s="252" t="s">
        <v>502</v>
      </c>
      <c r="G8" s="252" t="s">
        <v>499</v>
      </c>
      <c r="H8" s="256" t="str">
        <f>IF(Setup!D14&lt;&gt;"",Setup!D14,Setup!C14)</f>
        <v>Denmark</v>
      </c>
    </row>
    <row r="9" spans="1:8" x14ac:dyDescent="0.2">
      <c r="A9" s="256">
        <v>8</v>
      </c>
      <c r="B9" s="252" t="str">
        <f>Setup!C15</f>
        <v>England</v>
      </c>
      <c r="C9" s="252" t="s">
        <v>1</v>
      </c>
      <c r="D9" s="252" t="s">
        <v>133</v>
      </c>
      <c r="E9" s="252" t="s">
        <v>1</v>
      </c>
      <c r="F9" s="252" t="s">
        <v>134</v>
      </c>
      <c r="G9" s="252" t="s">
        <v>135</v>
      </c>
      <c r="H9" s="256" t="str">
        <f>IF(Setup!D15&lt;&gt;"",Setup!D15,Setup!C15)</f>
        <v>England</v>
      </c>
    </row>
    <row r="10" spans="1:8" x14ac:dyDescent="0.2">
      <c r="A10" s="256">
        <v>9</v>
      </c>
      <c r="B10" s="252" t="str">
        <f>Setup!C16</f>
        <v>France</v>
      </c>
      <c r="C10" s="256" t="s">
        <v>11</v>
      </c>
      <c r="D10" s="252" t="s">
        <v>11</v>
      </c>
      <c r="E10" s="252" t="s">
        <v>143</v>
      </c>
      <c r="F10" s="252" t="s">
        <v>144</v>
      </c>
      <c r="G10" s="252" t="s">
        <v>144</v>
      </c>
      <c r="H10" s="256" t="str">
        <f>IF(Setup!D16&lt;&gt;"",Setup!D16,Setup!C16)</f>
        <v>France</v>
      </c>
    </row>
    <row r="11" spans="1:8" x14ac:dyDescent="0.2">
      <c r="A11" s="256">
        <v>10</v>
      </c>
      <c r="B11" s="252" t="str">
        <f>Setup!C17</f>
        <v>Germany</v>
      </c>
      <c r="C11" s="252" t="s">
        <v>50</v>
      </c>
      <c r="D11" s="252" t="s">
        <v>1217</v>
      </c>
      <c r="E11" s="252" t="s">
        <v>274</v>
      </c>
      <c r="F11" s="252" t="s">
        <v>316</v>
      </c>
      <c r="G11" s="252" t="s">
        <v>382</v>
      </c>
      <c r="H11" s="256" t="str">
        <f>IF(Setup!D17&lt;&gt;"",Setup!D17,Setup!C17)</f>
        <v>Germany</v>
      </c>
    </row>
    <row r="12" spans="1:8" x14ac:dyDescent="0.2">
      <c r="A12" s="256">
        <v>11</v>
      </c>
      <c r="B12" s="252" t="str">
        <f>Setup!C18</f>
        <v>Hungary</v>
      </c>
      <c r="C12" s="256" t="s">
        <v>56</v>
      </c>
      <c r="D12" s="252" t="s">
        <v>224</v>
      </c>
      <c r="E12" s="252" t="s">
        <v>208</v>
      </c>
      <c r="F12" s="252" t="s">
        <v>319</v>
      </c>
      <c r="G12" s="252" t="s">
        <v>383</v>
      </c>
      <c r="H12" s="256" t="str">
        <f>IF(Setup!D18&lt;&gt;"",Setup!D18,Setup!C18)</f>
        <v>Hungary</v>
      </c>
    </row>
    <row r="13" spans="1:8" x14ac:dyDescent="0.2">
      <c r="A13" s="256">
        <v>12</v>
      </c>
      <c r="B13" s="252" t="str">
        <f>Setup!C19</f>
        <v>Italy</v>
      </c>
      <c r="C13" s="252" t="s">
        <v>10</v>
      </c>
      <c r="D13" s="252" t="s">
        <v>136</v>
      </c>
      <c r="E13" s="252" t="s">
        <v>137</v>
      </c>
      <c r="F13" s="252" t="s">
        <v>138</v>
      </c>
      <c r="G13" s="252" t="s">
        <v>138</v>
      </c>
      <c r="H13" s="256" t="str">
        <f>IF(Setup!D19&lt;&gt;"",Setup!D19,Setup!C19)</f>
        <v>Italy</v>
      </c>
    </row>
    <row r="14" spans="1:8" x14ac:dyDescent="0.2">
      <c r="A14" s="256">
        <v>13</v>
      </c>
      <c r="B14" s="252" t="str">
        <f>Setup!C20</f>
        <v>Netherlands</v>
      </c>
      <c r="C14" s="256" t="s">
        <v>444</v>
      </c>
      <c r="D14" s="252" t="s">
        <v>494</v>
      </c>
      <c r="E14" s="252" t="s">
        <v>497</v>
      </c>
      <c r="F14" s="252" t="s">
        <v>1218</v>
      </c>
      <c r="G14" s="252" t="s">
        <v>500</v>
      </c>
      <c r="H14" s="256" t="str">
        <f>IF(Setup!D20&lt;&gt;"",Setup!D20,Setup!C20)</f>
        <v>Netherlands</v>
      </c>
    </row>
    <row r="15" spans="1:8" x14ac:dyDescent="0.2">
      <c r="A15" s="256">
        <v>14</v>
      </c>
      <c r="B15" s="252" t="str">
        <f>Setup!C21</f>
        <v>Portugal</v>
      </c>
      <c r="C15" s="252" t="s">
        <v>54</v>
      </c>
      <c r="D15" s="252" t="s">
        <v>223</v>
      </c>
      <c r="E15" s="252" t="s">
        <v>54</v>
      </c>
      <c r="F15" s="252" t="s">
        <v>318</v>
      </c>
      <c r="G15" s="252" t="s">
        <v>54</v>
      </c>
      <c r="H15" s="256" t="str">
        <f>IF(Setup!D21&lt;&gt;"",Setup!D21,Setup!C21)</f>
        <v>Portugal</v>
      </c>
    </row>
    <row r="16" spans="1:8" x14ac:dyDescent="0.2">
      <c r="A16" s="256">
        <v>15</v>
      </c>
      <c r="B16" s="252" t="str">
        <f>Setup!C22</f>
        <v>Romania</v>
      </c>
      <c r="C16" s="252" t="s">
        <v>1041</v>
      </c>
      <c r="D16" s="252" t="s">
        <v>1219</v>
      </c>
      <c r="E16" s="252" t="s">
        <v>1220</v>
      </c>
      <c r="F16" s="252" t="s">
        <v>1041</v>
      </c>
      <c r="G16" s="252" t="s">
        <v>1221</v>
      </c>
      <c r="H16" s="256" t="str">
        <f>IF(Setup!D22&lt;&gt;"",Setup!D22,Setup!C22)</f>
        <v>Romania</v>
      </c>
    </row>
    <row r="17" spans="1:8" x14ac:dyDescent="0.2">
      <c r="A17" s="256">
        <v>16</v>
      </c>
      <c r="B17" s="252" t="str">
        <f>Setup!C23</f>
        <v>Scotland</v>
      </c>
      <c r="C17" s="256" t="s">
        <v>19</v>
      </c>
      <c r="D17" s="252" t="s">
        <v>495</v>
      </c>
      <c r="E17" s="252" t="s">
        <v>498</v>
      </c>
      <c r="F17" s="252" t="s">
        <v>503</v>
      </c>
      <c r="G17" s="252" t="s">
        <v>501</v>
      </c>
      <c r="H17" s="256" t="str">
        <f>IF(Setup!D23&lt;&gt;"",Setup!D23,Setup!C23)</f>
        <v>Scotland</v>
      </c>
    </row>
    <row r="18" spans="1:8" x14ac:dyDescent="0.2">
      <c r="A18" s="256">
        <v>17</v>
      </c>
      <c r="B18" s="252" t="str">
        <f>Setup!C24</f>
        <v>Serbia</v>
      </c>
      <c r="C18" s="252" t="s">
        <v>1042</v>
      </c>
      <c r="D18" s="252" t="s">
        <v>1222</v>
      </c>
      <c r="E18" s="252" t="s">
        <v>1223</v>
      </c>
      <c r="F18" s="252" t="s">
        <v>1042</v>
      </c>
      <c r="G18" s="252" t="s">
        <v>1042</v>
      </c>
      <c r="H18" s="256" t="str">
        <f>IF(Setup!D24&lt;&gt;"",Setup!D24,Setup!C24)</f>
        <v>Serbia</v>
      </c>
    </row>
    <row r="19" spans="1:8" x14ac:dyDescent="0.2">
      <c r="A19" s="256">
        <v>18</v>
      </c>
      <c r="B19" s="252" t="str">
        <f>Setup!C25</f>
        <v>Slovakia</v>
      </c>
      <c r="C19" s="252" t="s">
        <v>49</v>
      </c>
      <c r="D19" s="252" t="s">
        <v>221</v>
      </c>
      <c r="E19" s="252" t="s">
        <v>273</v>
      </c>
      <c r="F19" s="252" t="s">
        <v>315</v>
      </c>
      <c r="G19" s="252" t="s">
        <v>381</v>
      </c>
      <c r="H19" s="256" t="str">
        <f>IF(Setup!D25&lt;&gt;"",Setup!D25,Setup!C25)</f>
        <v>Slovakia</v>
      </c>
    </row>
    <row r="20" spans="1:8" x14ac:dyDescent="0.2">
      <c r="A20" s="256">
        <v>19</v>
      </c>
      <c r="B20" s="252" t="str">
        <f>Setup!C26</f>
        <v>Slovenia</v>
      </c>
      <c r="C20" s="252" t="s">
        <v>1043</v>
      </c>
      <c r="D20" s="252" t="s">
        <v>1224</v>
      </c>
      <c r="E20" s="252" t="s">
        <v>1225</v>
      </c>
      <c r="F20" s="252" t="s">
        <v>1043</v>
      </c>
      <c r="G20" s="252" t="s">
        <v>1226</v>
      </c>
      <c r="H20" s="256" t="str">
        <f>IF(Setup!D26&lt;&gt;"",Setup!D26,Setup!C26)</f>
        <v>Slovenia</v>
      </c>
    </row>
    <row r="21" spans="1:8" x14ac:dyDescent="0.2">
      <c r="A21" s="256">
        <v>20</v>
      </c>
      <c r="B21" s="252" t="str">
        <f>Setup!C27</f>
        <v>Spain</v>
      </c>
      <c r="C21" s="256" t="s">
        <v>51</v>
      </c>
      <c r="D21" s="252" t="s">
        <v>1227</v>
      </c>
      <c r="E21" s="252" t="s">
        <v>130</v>
      </c>
      <c r="F21" s="252" t="s">
        <v>131</v>
      </c>
      <c r="G21" s="252" t="s">
        <v>132</v>
      </c>
      <c r="H21" s="256" t="str">
        <f>IF(Setup!D27&lt;&gt;"",Setup!D27,Setup!C27)</f>
        <v>Spain</v>
      </c>
    </row>
    <row r="22" spans="1:8" x14ac:dyDescent="0.2">
      <c r="A22" s="256">
        <v>21</v>
      </c>
      <c r="B22" s="252" t="str">
        <f>Setup!C28</f>
        <v>Switzerland</v>
      </c>
      <c r="C22" s="256" t="s">
        <v>48</v>
      </c>
      <c r="D22" s="252" t="s">
        <v>139</v>
      </c>
      <c r="E22" s="252" t="s">
        <v>140</v>
      </c>
      <c r="F22" s="252" t="s">
        <v>141</v>
      </c>
      <c r="G22" s="252" t="s">
        <v>142</v>
      </c>
      <c r="H22" s="256" t="str">
        <f>IF(Setup!D28&lt;&gt;"",Setup!D28,Setup!C28)</f>
        <v>Switzerland</v>
      </c>
    </row>
    <row r="23" spans="1:8" x14ac:dyDescent="0.2">
      <c r="A23" s="256">
        <v>22</v>
      </c>
      <c r="B23" s="252" t="str">
        <f>Setup!C29</f>
        <v>Türkiye</v>
      </c>
      <c r="C23" s="252" t="s">
        <v>1062</v>
      </c>
      <c r="D23" s="252" t="s">
        <v>433</v>
      </c>
      <c r="E23" s="252" t="s">
        <v>1228</v>
      </c>
      <c r="F23" s="252" t="s">
        <v>434</v>
      </c>
      <c r="G23" s="252" t="s">
        <v>1229</v>
      </c>
      <c r="H23" s="256" t="str">
        <f>IF(Setup!D29&lt;&gt;"",Setup!D29,Setup!C29)</f>
        <v>Türkiye</v>
      </c>
    </row>
    <row r="24" spans="1:8" x14ac:dyDescent="0.2">
      <c r="A24" s="256">
        <v>23</v>
      </c>
      <c r="B24" s="252" t="str">
        <f>Setup!C30</f>
        <v>Poland</v>
      </c>
      <c r="C24" s="252" t="s">
        <v>1208</v>
      </c>
      <c r="D24" s="252" t="s">
        <v>1230</v>
      </c>
      <c r="E24" s="252" t="s">
        <v>1231</v>
      </c>
      <c r="F24" s="252" t="s">
        <v>1232</v>
      </c>
      <c r="G24" s="252" t="s">
        <v>1232</v>
      </c>
      <c r="H24" s="256" t="str">
        <f>IF(Setup!D30&lt;&gt;"",Setup!D30,Setup!C30)</f>
        <v>Poland</v>
      </c>
    </row>
    <row r="25" spans="1:8" x14ac:dyDescent="0.2">
      <c r="A25" s="256">
        <v>24</v>
      </c>
      <c r="B25" s="252" t="str">
        <f>Setup!C31</f>
        <v>Ukraine</v>
      </c>
      <c r="C25" s="252" t="s">
        <v>1209</v>
      </c>
      <c r="D25" s="252" t="s">
        <v>1209</v>
      </c>
      <c r="E25" s="252" t="s">
        <v>1209</v>
      </c>
      <c r="F25" s="252" t="s">
        <v>1233</v>
      </c>
      <c r="G25" s="252" t="s">
        <v>1234</v>
      </c>
      <c r="H25" s="256" t="str">
        <f>IF(Setup!D31&lt;&gt;"",Setup!D31,Setup!C31)</f>
        <v>Ukraine</v>
      </c>
    </row>
    <row r="26" spans="1:8" x14ac:dyDescent="0.2">
      <c r="A26" s="256">
        <v>25</v>
      </c>
      <c r="B26" s="252" t="str">
        <f>Setup!C32</f>
        <v>Georgia</v>
      </c>
      <c r="C26" s="252" t="s">
        <v>1210</v>
      </c>
      <c r="D26" s="252" t="s">
        <v>1235</v>
      </c>
      <c r="E26" s="252" t="s">
        <v>1210</v>
      </c>
      <c r="F26" s="252" t="s">
        <v>1210</v>
      </c>
      <c r="G26" s="252" t="s">
        <v>1210</v>
      </c>
      <c r="H26" s="256" t="str">
        <f>IF(Setup!D32&lt;&gt;"",Setup!D32,Setup!C32)</f>
        <v>Georgia</v>
      </c>
    </row>
    <row r="27" spans="1:8" x14ac:dyDescent="0.2">
      <c r="A27" s="256">
        <v>26</v>
      </c>
      <c r="B27" s="252" t="str">
        <f>Setup!C33</f>
        <v>Language</v>
      </c>
      <c r="C27" s="256" t="s">
        <v>57</v>
      </c>
      <c r="D27" s="252" t="s">
        <v>145</v>
      </c>
      <c r="E27" s="252" t="s">
        <v>146</v>
      </c>
      <c r="F27" s="252" t="s">
        <v>320</v>
      </c>
      <c r="G27" s="252" t="s">
        <v>384</v>
      </c>
      <c r="H27" s="256" t="str">
        <f>IF(Setup!D33&lt;&gt;"",Setup!D33,Setup!C33)</f>
        <v>Language</v>
      </c>
    </row>
    <row r="28" spans="1:8" x14ac:dyDescent="0.2">
      <c r="A28" s="256">
        <v>27</v>
      </c>
      <c r="B28" s="252" t="str">
        <f>Setup!C34</f>
        <v>Timezone</v>
      </c>
      <c r="C28" s="256" t="s">
        <v>58</v>
      </c>
      <c r="D28" s="252" t="s">
        <v>147</v>
      </c>
      <c r="E28" s="252" t="s">
        <v>148</v>
      </c>
      <c r="F28" s="252" t="s">
        <v>149</v>
      </c>
      <c r="G28" s="252" t="s">
        <v>385</v>
      </c>
      <c r="H28" s="256" t="str">
        <f>IF(Setup!D34&lt;&gt;"",Setup!D34,Setup!C34)</f>
        <v>Timezone</v>
      </c>
    </row>
    <row r="29" spans="1:8" x14ac:dyDescent="0.2">
      <c r="A29" s="256">
        <v>28</v>
      </c>
      <c r="B29" s="252" t="str">
        <f>Setup!C35</f>
        <v>Group Stages</v>
      </c>
      <c r="C29" s="256" t="s">
        <v>59</v>
      </c>
      <c r="D29" s="252" t="s">
        <v>225</v>
      </c>
      <c r="E29" s="252" t="s">
        <v>150</v>
      </c>
      <c r="F29" s="252" t="s">
        <v>321</v>
      </c>
      <c r="G29" s="252" t="s">
        <v>386</v>
      </c>
      <c r="H29" s="256" t="str">
        <f>IF(Setup!D35&lt;&gt;"",Setup!D35,Setup!C35)</f>
        <v>Group Stages</v>
      </c>
    </row>
    <row r="30" spans="1:8" x14ac:dyDescent="0.2">
      <c r="A30" s="256">
        <v>29</v>
      </c>
      <c r="B30" s="252" t="str">
        <f>Setup!C36</f>
        <v>Venue</v>
      </c>
      <c r="C30" s="256" t="s">
        <v>18</v>
      </c>
      <c r="D30" s="252" t="s">
        <v>226</v>
      </c>
      <c r="E30" s="252" t="s">
        <v>277</v>
      </c>
      <c r="F30" s="252" t="s">
        <v>322</v>
      </c>
      <c r="G30" s="252" t="s">
        <v>387</v>
      </c>
      <c r="H30" s="256" t="str">
        <f>IF(Setup!D36&lt;&gt;"",Setup!D36,Setup!C36)</f>
        <v>Venue</v>
      </c>
    </row>
    <row r="31" spans="1:8" x14ac:dyDescent="0.2">
      <c r="A31" s="256">
        <v>30</v>
      </c>
      <c r="B31" s="252" t="str">
        <f>Setup!C37</f>
        <v>Standings</v>
      </c>
      <c r="C31" s="256" t="s">
        <v>5</v>
      </c>
      <c r="D31" s="252" t="s">
        <v>151</v>
      </c>
      <c r="E31" s="252" t="s">
        <v>278</v>
      </c>
      <c r="F31" s="252" t="s">
        <v>323</v>
      </c>
      <c r="G31" s="252" t="s">
        <v>388</v>
      </c>
      <c r="H31" s="256" t="str">
        <f>IF(Setup!D37&lt;&gt;"",Setup!D37,Setup!C37)</f>
        <v>Standings</v>
      </c>
    </row>
    <row r="32" spans="1:8" x14ac:dyDescent="0.2">
      <c r="A32" s="256">
        <v>31</v>
      </c>
      <c r="B32" s="252" t="str">
        <f>Setup!C38</f>
        <v>Group</v>
      </c>
      <c r="C32" s="256" t="s">
        <v>2</v>
      </c>
      <c r="D32" s="252" t="s">
        <v>152</v>
      </c>
      <c r="E32" s="252" t="s">
        <v>153</v>
      </c>
      <c r="F32" s="252" t="s">
        <v>154</v>
      </c>
      <c r="G32" s="252" t="s">
        <v>155</v>
      </c>
      <c r="H32" s="256" t="str">
        <f>IF(Setup!D38&lt;&gt;"",Setup!D38,Setup!C38)</f>
        <v>Group</v>
      </c>
    </row>
    <row r="33" spans="1:8" x14ac:dyDescent="0.2">
      <c r="A33" s="256">
        <v>32</v>
      </c>
      <c r="B33" s="252" t="str">
        <f>Setup!C39</f>
        <v>Date</v>
      </c>
      <c r="C33" s="256" t="s">
        <v>8</v>
      </c>
      <c r="D33" s="252" t="s">
        <v>227</v>
      </c>
      <c r="E33" s="252" t="s">
        <v>156</v>
      </c>
      <c r="F33" s="252" t="s">
        <v>157</v>
      </c>
      <c r="G33" s="252" t="s">
        <v>158</v>
      </c>
      <c r="H33" s="256" t="str">
        <f>IF(Setup!D39&lt;&gt;"",Setup!D39,Setup!C39)</f>
        <v>Date</v>
      </c>
    </row>
    <row r="34" spans="1:8" x14ac:dyDescent="0.2">
      <c r="A34" s="256">
        <v>33</v>
      </c>
      <c r="B34" s="252" t="str">
        <f>Setup!C40</f>
        <v>Country</v>
      </c>
      <c r="C34" s="256" t="s">
        <v>16</v>
      </c>
      <c r="D34" s="252" t="s">
        <v>160</v>
      </c>
      <c r="E34" s="252" t="s">
        <v>159</v>
      </c>
      <c r="F34" s="252" t="s">
        <v>161</v>
      </c>
      <c r="G34" s="252" t="s">
        <v>162</v>
      </c>
      <c r="H34" s="256" t="str">
        <f>IF(Setup!D40&lt;&gt;"",Setup!D40,Setup!C40)</f>
        <v>Country</v>
      </c>
    </row>
    <row r="35" spans="1:8" x14ac:dyDescent="0.2">
      <c r="A35" s="256">
        <v>34</v>
      </c>
      <c r="B35" s="252" t="str">
        <f>Setup!C41</f>
        <v>Score</v>
      </c>
      <c r="C35" s="256" t="s">
        <v>6</v>
      </c>
      <c r="D35" s="252" t="s">
        <v>228</v>
      </c>
      <c r="E35" s="252" t="s">
        <v>163</v>
      </c>
      <c r="F35" s="252" t="s">
        <v>324</v>
      </c>
      <c r="G35" s="252" t="s">
        <v>389</v>
      </c>
      <c r="H35" s="256" t="str">
        <f>IF(Setup!D41&lt;&gt;"",Setup!D41,Setup!C41)</f>
        <v>Score</v>
      </c>
    </row>
    <row r="36" spans="1:8" x14ac:dyDescent="0.2">
      <c r="A36" s="256">
        <v>35</v>
      </c>
      <c r="B36" s="252" t="str">
        <f>Setup!C42</f>
        <v>Time</v>
      </c>
      <c r="C36" s="256" t="s">
        <v>9</v>
      </c>
      <c r="D36" s="252" t="s">
        <v>204</v>
      </c>
      <c r="E36" s="252" t="s">
        <v>279</v>
      </c>
      <c r="F36" s="252" t="s">
        <v>325</v>
      </c>
      <c r="G36" s="252" t="s">
        <v>164</v>
      </c>
      <c r="H36" s="256" t="str">
        <f>IF(Setup!D42&lt;&gt;"",Setup!D42,Setup!C42)</f>
        <v>Time</v>
      </c>
    </row>
    <row r="37" spans="1:8" x14ac:dyDescent="0.2">
      <c r="A37" s="256">
        <v>36</v>
      </c>
      <c r="B37" s="252" t="str">
        <f>Setup!C43</f>
        <v>Round of 16</v>
      </c>
      <c r="C37" s="256" t="s">
        <v>60</v>
      </c>
      <c r="D37" s="252" t="s">
        <v>229</v>
      </c>
      <c r="E37" s="252" t="s">
        <v>280</v>
      </c>
      <c r="F37" s="252" t="s">
        <v>326</v>
      </c>
      <c r="G37" s="252" t="s">
        <v>205</v>
      </c>
      <c r="H37" s="256" t="str">
        <f>IF(Setup!D43&lt;&gt;"",Setup!D43,Setup!C43)</f>
        <v>Round of 16</v>
      </c>
    </row>
    <row r="38" spans="1:8" x14ac:dyDescent="0.2">
      <c r="A38" s="256">
        <v>37</v>
      </c>
      <c r="B38" s="252" t="str">
        <f>Setup!C44</f>
        <v>Quarter Finals</v>
      </c>
      <c r="C38" s="256" t="s">
        <v>61</v>
      </c>
      <c r="D38" s="252" t="s">
        <v>165</v>
      </c>
      <c r="E38" s="252" t="s">
        <v>281</v>
      </c>
      <c r="F38" s="252" t="s">
        <v>166</v>
      </c>
      <c r="G38" s="252" t="s">
        <v>167</v>
      </c>
      <c r="H38" s="256" t="str">
        <f>IF(Setup!D44&lt;&gt;"",Setup!D44,Setup!C44)</f>
        <v>Quarter Finals</v>
      </c>
    </row>
    <row r="39" spans="1:8" x14ac:dyDescent="0.2">
      <c r="A39" s="256">
        <v>38</v>
      </c>
      <c r="B39" s="252" t="str">
        <f>Setup!C45</f>
        <v>Semi Finals</v>
      </c>
      <c r="C39" s="256" t="s">
        <v>62</v>
      </c>
      <c r="D39" s="252" t="s">
        <v>168</v>
      </c>
      <c r="E39" s="252" t="s">
        <v>169</v>
      </c>
      <c r="F39" s="252" t="s">
        <v>327</v>
      </c>
      <c r="G39" s="252" t="s">
        <v>170</v>
      </c>
      <c r="H39" s="256" t="str">
        <f>IF(Setup!D45&lt;&gt;"",Setup!D45,Setup!C45)</f>
        <v>Semi Finals</v>
      </c>
    </row>
    <row r="40" spans="1:8" x14ac:dyDescent="0.2">
      <c r="A40" s="256">
        <v>39</v>
      </c>
      <c r="B40" s="252" t="str">
        <f>Setup!C46</f>
        <v>Final</v>
      </c>
      <c r="C40" s="256" t="s">
        <v>7</v>
      </c>
      <c r="D40" s="252" t="s">
        <v>7</v>
      </c>
      <c r="E40" s="252" t="s">
        <v>171</v>
      </c>
      <c r="F40" s="252" t="s">
        <v>328</v>
      </c>
      <c r="G40" s="252" t="s">
        <v>7</v>
      </c>
      <c r="H40" s="256" t="str">
        <f>IF(Setup!D46&lt;&gt;"",Setup!D46,Setup!C46)</f>
        <v>Final</v>
      </c>
    </row>
    <row r="41" spans="1:8" x14ac:dyDescent="0.2">
      <c r="A41" s="256">
        <v>40</v>
      </c>
      <c r="B41" s="252" t="str">
        <f>Setup!C47</f>
        <v>Winner</v>
      </c>
      <c r="C41" s="256" t="s">
        <v>63</v>
      </c>
      <c r="D41" s="252" t="s">
        <v>172</v>
      </c>
      <c r="E41" s="252" t="s">
        <v>282</v>
      </c>
      <c r="F41" s="252" t="s">
        <v>173</v>
      </c>
      <c r="G41" s="252" t="s">
        <v>174</v>
      </c>
      <c r="H41" s="256" t="str">
        <f>IF(Setup!D47&lt;&gt;"",Setup!D47,Setup!C47)</f>
        <v>Winner</v>
      </c>
    </row>
    <row r="42" spans="1:8" x14ac:dyDescent="0.2">
      <c r="A42" s="256">
        <v>41</v>
      </c>
      <c r="B42" s="252" t="str">
        <f>Setup!C48</f>
        <v>Runner Up</v>
      </c>
      <c r="C42" s="256" t="s">
        <v>44</v>
      </c>
      <c r="D42" s="252" t="s">
        <v>230</v>
      </c>
      <c r="E42" s="252" t="s">
        <v>283</v>
      </c>
      <c r="F42" s="252" t="s">
        <v>329</v>
      </c>
      <c r="G42" s="252" t="s">
        <v>175</v>
      </c>
      <c r="H42" s="256" t="str">
        <f>IF(Setup!D48&lt;&gt;"",Setup!D48,Setup!C48)</f>
        <v>Runner Up</v>
      </c>
    </row>
    <row r="43" spans="1:8" x14ac:dyDescent="0.2">
      <c r="A43" s="256">
        <v>42</v>
      </c>
      <c r="B43" s="252" t="str">
        <f>Setup!C49</f>
        <v>Normal Time</v>
      </c>
      <c r="C43" s="256" t="s">
        <v>64</v>
      </c>
      <c r="D43" s="252" t="s">
        <v>231</v>
      </c>
      <c r="E43" s="252" t="s">
        <v>284</v>
      </c>
      <c r="F43" s="252" t="s">
        <v>330</v>
      </c>
      <c r="G43" s="252" t="s">
        <v>390</v>
      </c>
      <c r="H43" s="256" t="str">
        <f>IF(Setup!D49&lt;&gt;"",Setup!D49,Setup!C49)</f>
        <v>Normal Time</v>
      </c>
    </row>
    <row r="44" spans="1:8" x14ac:dyDescent="0.2">
      <c r="A44" s="256">
        <v>43</v>
      </c>
      <c r="B44" s="252" t="str">
        <f>Setup!C50</f>
        <v>Extra Time</v>
      </c>
      <c r="C44" s="256" t="s">
        <v>65</v>
      </c>
      <c r="D44" s="252" t="s">
        <v>232</v>
      </c>
      <c r="E44" s="252" t="s">
        <v>285</v>
      </c>
      <c r="F44" s="252" t="s">
        <v>331</v>
      </c>
      <c r="G44" s="252" t="s">
        <v>391</v>
      </c>
      <c r="H44" s="256" t="str">
        <f>IF(Setup!D50&lt;&gt;"",Setup!D50,Setup!C50)</f>
        <v>Extra Time</v>
      </c>
    </row>
    <row r="45" spans="1:8" x14ac:dyDescent="0.2">
      <c r="A45" s="256">
        <v>44</v>
      </c>
      <c r="B45" s="252" t="str">
        <f>Setup!C51</f>
        <v>Penalty Shoot Out</v>
      </c>
      <c r="C45" s="256" t="s">
        <v>66</v>
      </c>
      <c r="D45" s="252" t="s">
        <v>233</v>
      </c>
      <c r="E45" s="252" t="s">
        <v>176</v>
      </c>
      <c r="F45" s="252" t="s">
        <v>332</v>
      </c>
      <c r="G45" s="252" t="s">
        <v>66</v>
      </c>
      <c r="H45" s="256" t="str">
        <f>IF(Setup!D51&lt;&gt;"",Setup!D51,Setup!C51)</f>
        <v>Penalty Shoot Out</v>
      </c>
    </row>
    <row r="46" spans="1:8" x14ac:dyDescent="0.2">
      <c r="A46" s="256">
        <v>45</v>
      </c>
      <c r="B46" s="252" t="str">
        <f>Setup!C52</f>
        <v>Champion</v>
      </c>
      <c r="C46" s="256" t="s">
        <v>67</v>
      </c>
      <c r="D46" s="252" t="s">
        <v>67</v>
      </c>
      <c r="E46" s="252" t="s">
        <v>67</v>
      </c>
      <c r="F46" s="252" t="s">
        <v>177</v>
      </c>
      <c r="G46" s="252" t="s">
        <v>178</v>
      </c>
      <c r="H46" s="256" t="str">
        <f>IF(Setup!D52&lt;&gt;"",Setup!D52,Setup!C52)</f>
        <v>Champion</v>
      </c>
    </row>
    <row r="47" spans="1:8" x14ac:dyDescent="0.2">
      <c r="A47" s="256">
        <v>46</v>
      </c>
      <c r="B47" s="252" t="str">
        <f>Setup!C53</f>
        <v>M#</v>
      </c>
      <c r="C47" s="256" t="s">
        <v>68</v>
      </c>
      <c r="D47" s="252" t="s">
        <v>234</v>
      </c>
      <c r="E47" s="252" t="s">
        <v>179</v>
      </c>
      <c r="F47" s="252" t="s">
        <v>333</v>
      </c>
      <c r="G47" s="252" t="s">
        <v>392</v>
      </c>
      <c r="H47" s="256" t="str">
        <f>IF(Setup!D53&lt;&gt;"",Setup!D53,Setup!C53)</f>
        <v>M#</v>
      </c>
    </row>
    <row r="48" spans="1:8" x14ac:dyDescent="0.2">
      <c r="A48" s="256">
        <v>47</v>
      </c>
      <c r="B48" s="252" t="str">
        <f>Setup!C54</f>
        <v>Group A Winner</v>
      </c>
      <c r="C48" s="256" t="s">
        <v>69</v>
      </c>
      <c r="D48" s="252" t="s">
        <v>235</v>
      </c>
      <c r="E48" s="252" t="s">
        <v>286</v>
      </c>
      <c r="F48" s="252" t="s">
        <v>334</v>
      </c>
      <c r="G48" s="252" t="s">
        <v>393</v>
      </c>
      <c r="H48" s="256" t="str">
        <f>IF(Setup!D54&lt;&gt;"",Setup!D54,Setup!C54)</f>
        <v>Group A Winner</v>
      </c>
    </row>
    <row r="49" spans="1:8" x14ac:dyDescent="0.2">
      <c r="A49" s="256">
        <v>48</v>
      </c>
      <c r="B49" s="252" t="str">
        <f>Setup!C55</f>
        <v>Group B Winner</v>
      </c>
      <c r="C49" s="256" t="s">
        <v>70</v>
      </c>
      <c r="D49" s="252" t="s">
        <v>236</v>
      </c>
      <c r="E49" s="252" t="s">
        <v>287</v>
      </c>
      <c r="F49" s="252" t="s">
        <v>335</v>
      </c>
      <c r="G49" s="252" t="s">
        <v>394</v>
      </c>
      <c r="H49" s="256" t="str">
        <f>IF(Setup!D55&lt;&gt;"",Setup!D55,Setup!C55)</f>
        <v>Group B Winner</v>
      </c>
    </row>
    <row r="50" spans="1:8" x14ac:dyDescent="0.2">
      <c r="A50" s="256">
        <v>49</v>
      </c>
      <c r="B50" s="252" t="str">
        <f>Setup!C56</f>
        <v>Group C Winner</v>
      </c>
      <c r="C50" s="256" t="s">
        <v>71</v>
      </c>
      <c r="D50" s="252" t="s">
        <v>180</v>
      </c>
      <c r="E50" s="252" t="s">
        <v>288</v>
      </c>
      <c r="F50" s="252" t="s">
        <v>336</v>
      </c>
      <c r="G50" s="252" t="s">
        <v>395</v>
      </c>
      <c r="H50" s="256" t="str">
        <f>IF(Setup!D56&lt;&gt;"",Setup!D56,Setup!C56)</f>
        <v>Group C Winner</v>
      </c>
    </row>
    <row r="51" spans="1:8" x14ac:dyDescent="0.2">
      <c r="A51" s="256">
        <v>50</v>
      </c>
      <c r="B51" s="252" t="str">
        <f>Setup!C57</f>
        <v>Group D Winner</v>
      </c>
      <c r="C51" s="256" t="s">
        <v>72</v>
      </c>
      <c r="D51" s="252" t="s">
        <v>181</v>
      </c>
      <c r="E51" s="252" t="s">
        <v>289</v>
      </c>
      <c r="F51" s="252" t="s">
        <v>337</v>
      </c>
      <c r="G51" s="252" t="s">
        <v>396</v>
      </c>
      <c r="H51" s="256" t="str">
        <f>IF(Setup!D57&lt;&gt;"",Setup!D57,Setup!C57)</f>
        <v>Group D Winner</v>
      </c>
    </row>
    <row r="52" spans="1:8" x14ac:dyDescent="0.2">
      <c r="A52" s="256">
        <v>51</v>
      </c>
      <c r="B52" s="252" t="str">
        <f>Setup!C58</f>
        <v>Group E Winner</v>
      </c>
      <c r="C52" s="256" t="s">
        <v>73</v>
      </c>
      <c r="D52" s="252" t="s">
        <v>237</v>
      </c>
      <c r="E52" s="252" t="s">
        <v>290</v>
      </c>
      <c r="F52" s="252" t="s">
        <v>338</v>
      </c>
      <c r="G52" s="252" t="s">
        <v>397</v>
      </c>
      <c r="H52" s="256" t="str">
        <f>IF(Setup!D58&lt;&gt;"",Setup!D58,Setup!C58)</f>
        <v>Group E Winner</v>
      </c>
    </row>
    <row r="53" spans="1:8" x14ac:dyDescent="0.2">
      <c r="A53" s="256">
        <v>52</v>
      </c>
      <c r="B53" s="252" t="str">
        <f>Setup!C59</f>
        <v>Group F Winner</v>
      </c>
      <c r="C53" s="256" t="s">
        <v>74</v>
      </c>
      <c r="D53" s="252" t="s">
        <v>182</v>
      </c>
      <c r="E53" s="252" t="s">
        <v>291</v>
      </c>
      <c r="F53" s="252" t="s">
        <v>339</v>
      </c>
      <c r="G53" s="252" t="s">
        <v>398</v>
      </c>
      <c r="H53" s="256" t="str">
        <f>IF(Setup!D59&lt;&gt;"",Setup!D59,Setup!C59)</f>
        <v>Group F Winner</v>
      </c>
    </row>
    <row r="54" spans="1:8" x14ac:dyDescent="0.2">
      <c r="A54" s="256">
        <v>53</v>
      </c>
      <c r="B54" s="252" t="str">
        <f>Setup!C60</f>
        <v>Group A Runner Up</v>
      </c>
      <c r="C54" s="256" t="s">
        <v>75</v>
      </c>
      <c r="D54" s="252" t="s">
        <v>238</v>
      </c>
      <c r="E54" s="252" t="s">
        <v>209</v>
      </c>
      <c r="F54" s="252" t="s">
        <v>340</v>
      </c>
      <c r="G54" s="252" t="s">
        <v>399</v>
      </c>
      <c r="H54" s="256" t="str">
        <f>IF(Setup!D60&lt;&gt;"",Setup!D60,Setup!C60)</f>
        <v>Group A Runner Up</v>
      </c>
    </row>
    <row r="55" spans="1:8" x14ac:dyDescent="0.2">
      <c r="A55" s="256">
        <v>54</v>
      </c>
      <c r="B55" s="252" t="str">
        <f>Setup!C61</f>
        <v>Group B Runner Up</v>
      </c>
      <c r="C55" s="256" t="s">
        <v>76</v>
      </c>
      <c r="D55" s="252" t="s">
        <v>239</v>
      </c>
      <c r="E55" s="252" t="s">
        <v>210</v>
      </c>
      <c r="F55" s="252" t="s">
        <v>341</v>
      </c>
      <c r="G55" s="252" t="s">
        <v>400</v>
      </c>
      <c r="H55" s="256" t="str">
        <f>IF(Setup!D61&lt;&gt;"",Setup!D61,Setup!C61)</f>
        <v>Group B Runner Up</v>
      </c>
    </row>
    <row r="56" spans="1:8" x14ac:dyDescent="0.2">
      <c r="A56" s="256">
        <v>55</v>
      </c>
      <c r="B56" s="252" t="str">
        <f>Setup!C62</f>
        <v>Group C Runner Up</v>
      </c>
      <c r="C56" s="256" t="s">
        <v>77</v>
      </c>
      <c r="D56" s="252" t="s">
        <v>240</v>
      </c>
      <c r="E56" s="252" t="s">
        <v>211</v>
      </c>
      <c r="F56" s="252" t="s">
        <v>342</v>
      </c>
      <c r="G56" s="252" t="s">
        <v>401</v>
      </c>
      <c r="H56" s="256" t="str">
        <f>IF(Setup!D62&lt;&gt;"",Setup!D62,Setup!C62)</f>
        <v>Group C Runner Up</v>
      </c>
    </row>
    <row r="57" spans="1:8" x14ac:dyDescent="0.2">
      <c r="A57" s="256">
        <v>56</v>
      </c>
      <c r="B57" s="252" t="str">
        <f>Setup!C63</f>
        <v>Group D Runner Up</v>
      </c>
      <c r="C57" s="256" t="s">
        <v>78</v>
      </c>
      <c r="D57" s="252" t="s">
        <v>241</v>
      </c>
      <c r="E57" s="252" t="s">
        <v>212</v>
      </c>
      <c r="F57" s="252" t="s">
        <v>343</v>
      </c>
      <c r="G57" s="252" t="s">
        <v>402</v>
      </c>
      <c r="H57" s="256" t="str">
        <f>IF(Setup!D63&lt;&gt;"",Setup!D63,Setup!C63)</f>
        <v>Group D Runner Up</v>
      </c>
    </row>
    <row r="58" spans="1:8" x14ac:dyDescent="0.2">
      <c r="A58" s="256">
        <v>57</v>
      </c>
      <c r="B58" s="252" t="str">
        <f>Setup!C64</f>
        <v>Group E Runner Up</v>
      </c>
      <c r="C58" s="256" t="s">
        <v>79</v>
      </c>
      <c r="D58" s="252" t="s">
        <v>242</v>
      </c>
      <c r="E58" s="252" t="s">
        <v>213</v>
      </c>
      <c r="F58" s="252" t="s">
        <v>344</v>
      </c>
      <c r="G58" s="252" t="s">
        <v>403</v>
      </c>
      <c r="H58" s="256" t="str">
        <f>IF(Setup!D64&lt;&gt;"",Setup!D64,Setup!C64)</f>
        <v>Group E Runner Up</v>
      </c>
    </row>
    <row r="59" spans="1:8" x14ac:dyDescent="0.2">
      <c r="A59" s="256">
        <v>58</v>
      </c>
      <c r="B59" s="252" t="str">
        <f>Setup!C65</f>
        <v>Group F Runner Up</v>
      </c>
      <c r="C59" s="256" t="s">
        <v>80</v>
      </c>
      <c r="D59" s="252" t="s">
        <v>243</v>
      </c>
      <c r="E59" s="252" t="s">
        <v>214</v>
      </c>
      <c r="F59" s="252" t="s">
        <v>345</v>
      </c>
      <c r="G59" s="252" t="s">
        <v>404</v>
      </c>
      <c r="H59" s="256" t="str">
        <f>IF(Setup!D65&lt;&gt;"",Setup!D65,Setup!C65)</f>
        <v>Group F Runner Up</v>
      </c>
    </row>
    <row r="60" spans="1:8" x14ac:dyDescent="0.2">
      <c r="A60" s="256">
        <v>59</v>
      </c>
      <c r="B60" s="252" t="str">
        <f>Setup!C66</f>
        <v>Match 37 Winner</v>
      </c>
      <c r="C60" s="256" t="s">
        <v>190</v>
      </c>
      <c r="D60" s="252" t="s">
        <v>244</v>
      </c>
      <c r="E60" s="252" t="s">
        <v>292</v>
      </c>
      <c r="F60" s="252" t="s">
        <v>346</v>
      </c>
      <c r="G60" s="252" t="s">
        <v>405</v>
      </c>
      <c r="H60" s="256" t="str">
        <f>IF(Setup!D66&lt;&gt;"",Setup!D66,Setup!C66)</f>
        <v>Match 37 Winner</v>
      </c>
    </row>
    <row r="61" spans="1:8" x14ac:dyDescent="0.2">
      <c r="A61" s="256">
        <v>60</v>
      </c>
      <c r="B61" s="252" t="str">
        <f>Setup!C67</f>
        <v>Match 38 Winner</v>
      </c>
      <c r="C61" s="256" t="s">
        <v>191</v>
      </c>
      <c r="D61" s="252" t="s">
        <v>245</v>
      </c>
      <c r="E61" s="252" t="s">
        <v>293</v>
      </c>
      <c r="F61" s="252" t="s">
        <v>347</v>
      </c>
      <c r="G61" s="252" t="s">
        <v>406</v>
      </c>
      <c r="H61" s="256" t="str">
        <f>IF(Setup!D67&lt;&gt;"",Setup!D67,Setup!C67)</f>
        <v>Match 38 Winner</v>
      </c>
    </row>
    <row r="62" spans="1:8" x14ac:dyDescent="0.2">
      <c r="A62" s="256">
        <v>61</v>
      </c>
      <c r="B62" s="252" t="str">
        <f>Setup!C68</f>
        <v>Match 39 Winner</v>
      </c>
      <c r="C62" s="256" t="s">
        <v>192</v>
      </c>
      <c r="D62" s="252" t="s">
        <v>246</v>
      </c>
      <c r="E62" s="252" t="s">
        <v>294</v>
      </c>
      <c r="F62" s="252" t="s">
        <v>348</v>
      </c>
      <c r="G62" s="252" t="s">
        <v>407</v>
      </c>
      <c r="H62" s="256" t="str">
        <f>IF(Setup!D68&lt;&gt;"",Setup!D68,Setup!C68)</f>
        <v>Match 39 Winner</v>
      </c>
    </row>
    <row r="63" spans="1:8" x14ac:dyDescent="0.2">
      <c r="A63" s="256">
        <v>62</v>
      </c>
      <c r="B63" s="252" t="str">
        <f>Setup!C69</f>
        <v>Match 40 Winner</v>
      </c>
      <c r="C63" s="256" t="s">
        <v>193</v>
      </c>
      <c r="D63" s="252" t="s">
        <v>247</v>
      </c>
      <c r="E63" s="252" t="s">
        <v>295</v>
      </c>
      <c r="F63" s="252" t="s">
        <v>349</v>
      </c>
      <c r="G63" s="252" t="s">
        <v>408</v>
      </c>
      <c r="H63" s="256" t="str">
        <f>IF(Setup!D69&lt;&gt;"",Setup!D69,Setup!C69)</f>
        <v>Match 40 Winner</v>
      </c>
    </row>
    <row r="64" spans="1:8" x14ac:dyDescent="0.2">
      <c r="A64" s="256">
        <v>63</v>
      </c>
      <c r="B64" s="252" t="str">
        <f>Setup!C70</f>
        <v>Match 41 Winner</v>
      </c>
      <c r="C64" s="256" t="s">
        <v>194</v>
      </c>
      <c r="D64" s="252" t="s">
        <v>248</v>
      </c>
      <c r="E64" s="252" t="s">
        <v>296</v>
      </c>
      <c r="F64" s="252" t="s">
        <v>350</v>
      </c>
      <c r="G64" s="252" t="s">
        <v>409</v>
      </c>
      <c r="H64" s="256" t="str">
        <f>IF(Setup!D70&lt;&gt;"",Setup!D70,Setup!C70)</f>
        <v>Match 41 Winner</v>
      </c>
    </row>
    <row r="65" spans="1:8" x14ac:dyDescent="0.2">
      <c r="A65" s="256">
        <v>64</v>
      </c>
      <c r="B65" s="252" t="str">
        <f>Setup!C71</f>
        <v>Match 42 Winner</v>
      </c>
      <c r="C65" s="256" t="s">
        <v>195</v>
      </c>
      <c r="D65" s="252" t="s">
        <v>249</v>
      </c>
      <c r="E65" s="252" t="s">
        <v>297</v>
      </c>
      <c r="F65" s="252" t="s">
        <v>351</v>
      </c>
      <c r="G65" s="252" t="s">
        <v>410</v>
      </c>
      <c r="H65" s="256" t="str">
        <f>IF(Setup!D71&lt;&gt;"",Setup!D71,Setup!C71)</f>
        <v>Match 42 Winner</v>
      </c>
    </row>
    <row r="66" spans="1:8" x14ac:dyDescent="0.2">
      <c r="A66" s="256">
        <v>65</v>
      </c>
      <c r="B66" s="252" t="str">
        <f>Setup!C72</f>
        <v>Match 43 Winner</v>
      </c>
      <c r="C66" s="256" t="s">
        <v>196</v>
      </c>
      <c r="D66" s="252" t="s">
        <v>250</v>
      </c>
      <c r="E66" s="252" t="s">
        <v>298</v>
      </c>
      <c r="F66" s="252" t="s">
        <v>352</v>
      </c>
      <c r="G66" s="252" t="s">
        <v>411</v>
      </c>
      <c r="H66" s="256" t="str">
        <f>IF(Setup!D72&lt;&gt;"",Setup!D72,Setup!C72)</f>
        <v>Match 43 Winner</v>
      </c>
    </row>
    <row r="67" spans="1:8" x14ac:dyDescent="0.2">
      <c r="A67" s="256">
        <v>66</v>
      </c>
      <c r="B67" s="252" t="str">
        <f>Setup!C73</f>
        <v>Match 44 Winner</v>
      </c>
      <c r="C67" s="256" t="s">
        <v>197</v>
      </c>
      <c r="D67" s="252" t="s">
        <v>251</v>
      </c>
      <c r="E67" s="252" t="s">
        <v>299</v>
      </c>
      <c r="F67" s="252" t="s">
        <v>353</v>
      </c>
      <c r="G67" s="252" t="s">
        <v>412</v>
      </c>
      <c r="H67" s="256" t="str">
        <f>IF(Setup!D73&lt;&gt;"",Setup!D73,Setup!C73)</f>
        <v>Match 44 Winner</v>
      </c>
    </row>
    <row r="68" spans="1:8" x14ac:dyDescent="0.2">
      <c r="A68" s="256">
        <v>67</v>
      </c>
      <c r="B68" s="252" t="str">
        <f>Setup!C74</f>
        <v>Match 45 Winner</v>
      </c>
      <c r="C68" s="256" t="s">
        <v>198</v>
      </c>
      <c r="D68" s="252" t="s">
        <v>252</v>
      </c>
      <c r="E68" s="252" t="s">
        <v>300</v>
      </c>
      <c r="F68" s="252" t="s">
        <v>354</v>
      </c>
      <c r="G68" s="252" t="s">
        <v>413</v>
      </c>
      <c r="H68" s="256" t="str">
        <f>IF(Setup!D74&lt;&gt;"",Setup!D74,Setup!C74)</f>
        <v>Match 45 Winner</v>
      </c>
    </row>
    <row r="69" spans="1:8" x14ac:dyDescent="0.2">
      <c r="A69" s="256">
        <v>68</v>
      </c>
      <c r="B69" s="252" t="str">
        <f>Setup!C75</f>
        <v>Match 46 Winner</v>
      </c>
      <c r="C69" s="256" t="s">
        <v>199</v>
      </c>
      <c r="D69" s="252" t="s">
        <v>253</v>
      </c>
      <c r="E69" s="252" t="s">
        <v>301</v>
      </c>
      <c r="F69" s="252" t="s">
        <v>355</v>
      </c>
      <c r="G69" s="252" t="s">
        <v>414</v>
      </c>
      <c r="H69" s="256" t="str">
        <f>IF(Setup!D75&lt;&gt;"",Setup!D75,Setup!C75)</f>
        <v>Match 46 Winner</v>
      </c>
    </row>
    <row r="70" spans="1:8" x14ac:dyDescent="0.2">
      <c r="A70" s="256">
        <v>69</v>
      </c>
      <c r="B70" s="252" t="str">
        <f>Setup!C76</f>
        <v>Match 47 Winner</v>
      </c>
      <c r="C70" s="256" t="s">
        <v>200</v>
      </c>
      <c r="D70" s="252" t="s">
        <v>254</v>
      </c>
      <c r="E70" s="252" t="s">
        <v>302</v>
      </c>
      <c r="F70" s="252" t="s">
        <v>356</v>
      </c>
      <c r="G70" s="252" t="s">
        <v>415</v>
      </c>
      <c r="H70" s="256" t="str">
        <f>IF(Setup!D76&lt;&gt;"",Setup!D76,Setup!C76)</f>
        <v>Match 47 Winner</v>
      </c>
    </row>
    <row r="71" spans="1:8" x14ac:dyDescent="0.2">
      <c r="A71" s="256">
        <v>70</v>
      </c>
      <c r="B71" s="252" t="str">
        <f>Setup!C77</f>
        <v>Match 48 Winner</v>
      </c>
      <c r="C71" s="256" t="s">
        <v>201</v>
      </c>
      <c r="D71" s="252" t="s">
        <v>255</v>
      </c>
      <c r="E71" s="252" t="s">
        <v>303</v>
      </c>
      <c r="F71" s="252" t="s">
        <v>357</v>
      </c>
      <c r="G71" s="252" t="s">
        <v>416</v>
      </c>
      <c r="H71" s="256" t="str">
        <f>IF(Setup!D77&lt;&gt;"",Setup!D77,Setup!C77)</f>
        <v>Match 48 Winner</v>
      </c>
    </row>
    <row r="72" spans="1:8" x14ac:dyDescent="0.2">
      <c r="A72" s="256">
        <v>71</v>
      </c>
      <c r="B72" s="252" t="str">
        <f>Setup!C78</f>
        <v>Match 49 Winner</v>
      </c>
      <c r="C72" s="256" t="s">
        <v>90</v>
      </c>
      <c r="D72" s="252" t="s">
        <v>256</v>
      </c>
      <c r="E72" s="252" t="s">
        <v>304</v>
      </c>
      <c r="F72" s="252" t="s">
        <v>358</v>
      </c>
      <c r="G72" s="252" t="s">
        <v>417</v>
      </c>
      <c r="H72" s="256" t="str">
        <f>IF(Setup!D78&lt;&gt;"",Setup!D78,Setup!C78)</f>
        <v>Match 49 Winner</v>
      </c>
    </row>
    <row r="73" spans="1:8" x14ac:dyDescent="0.2">
      <c r="A73" s="256">
        <v>72</v>
      </c>
      <c r="B73" s="252" t="str">
        <f>Setup!C79</f>
        <v>Match 50 Winner</v>
      </c>
      <c r="C73" s="256" t="s">
        <v>91</v>
      </c>
      <c r="D73" s="252" t="s">
        <v>257</v>
      </c>
      <c r="E73" s="252" t="s">
        <v>305</v>
      </c>
      <c r="F73" s="252" t="s">
        <v>359</v>
      </c>
      <c r="G73" s="252" t="s">
        <v>418</v>
      </c>
      <c r="H73" s="256" t="str">
        <f>IF(Setup!D79&lt;&gt;"",Setup!D79,Setup!C79)</f>
        <v>Match 50 Winner</v>
      </c>
    </row>
    <row r="74" spans="1:8" x14ac:dyDescent="0.2">
      <c r="A74" s="256">
        <v>73</v>
      </c>
      <c r="B74" s="252" t="str">
        <f>Setup!C80</f>
        <v>Match 51 Winner</v>
      </c>
      <c r="C74" s="256" t="s">
        <v>92</v>
      </c>
      <c r="D74" s="252" t="s">
        <v>258</v>
      </c>
      <c r="E74" s="252" t="s">
        <v>306</v>
      </c>
      <c r="F74" s="252" t="s">
        <v>360</v>
      </c>
      <c r="G74" s="252" t="s">
        <v>419</v>
      </c>
      <c r="H74" s="256" t="str">
        <f>IF(Setup!D80&lt;&gt;"",Setup!D80,Setup!C80)</f>
        <v>Match 51 Winner</v>
      </c>
    </row>
    <row r="75" spans="1:8" x14ac:dyDescent="0.2">
      <c r="A75" s="256">
        <v>74</v>
      </c>
      <c r="B75" s="252" t="str">
        <f>Setup!C81</f>
        <v>UEFA EURO 2024 Fixtures</v>
      </c>
      <c r="C75" s="256" t="s">
        <v>1054</v>
      </c>
      <c r="D75" s="252" t="s">
        <v>1055</v>
      </c>
      <c r="E75" s="252" t="s">
        <v>1056</v>
      </c>
      <c r="F75" s="252" t="s">
        <v>1057</v>
      </c>
      <c r="G75" s="252" t="s">
        <v>1058</v>
      </c>
      <c r="H75" s="256" t="str">
        <f>IF(Setup!D81&lt;&gt;"",Setup!D81,Setup!C81)</f>
        <v>UEFA EURO 2024 Fixtures</v>
      </c>
    </row>
    <row r="76" spans="1:8" x14ac:dyDescent="0.2">
      <c r="A76" s="256">
        <v>75</v>
      </c>
      <c r="B76" s="252" t="str">
        <f>Setup!C82</f>
        <v>Group A</v>
      </c>
      <c r="C76" s="256" t="s">
        <v>84</v>
      </c>
      <c r="D76" s="252" t="s">
        <v>259</v>
      </c>
      <c r="E76" s="252" t="s">
        <v>215</v>
      </c>
      <c r="F76" s="252" t="s">
        <v>361</v>
      </c>
      <c r="G76" s="252" t="s">
        <v>374</v>
      </c>
      <c r="H76" s="256" t="str">
        <f>IF(Setup!D82&lt;&gt;"",Setup!D82,Setup!C82)</f>
        <v>Group A</v>
      </c>
    </row>
    <row r="77" spans="1:8" x14ac:dyDescent="0.2">
      <c r="A77" s="256">
        <v>76</v>
      </c>
      <c r="B77" s="252" t="str">
        <f>Setup!C83</f>
        <v>Group B</v>
      </c>
      <c r="C77" s="256" t="s">
        <v>85</v>
      </c>
      <c r="D77" s="252" t="s">
        <v>260</v>
      </c>
      <c r="E77" s="252" t="s">
        <v>216</v>
      </c>
      <c r="F77" s="252" t="s">
        <v>362</v>
      </c>
      <c r="G77" s="252" t="s">
        <v>375</v>
      </c>
      <c r="H77" s="256" t="str">
        <f>IF(Setup!D83&lt;&gt;"",Setup!D83,Setup!C83)</f>
        <v>Group B</v>
      </c>
    </row>
    <row r="78" spans="1:8" x14ac:dyDescent="0.2">
      <c r="A78" s="256">
        <v>77</v>
      </c>
      <c r="B78" s="252" t="str">
        <f>Setup!C84</f>
        <v>Group C</v>
      </c>
      <c r="C78" s="256" t="s">
        <v>86</v>
      </c>
      <c r="D78" s="252" t="s">
        <v>261</v>
      </c>
      <c r="E78" s="252" t="s">
        <v>217</v>
      </c>
      <c r="F78" s="252" t="s">
        <v>363</v>
      </c>
      <c r="G78" s="252" t="s">
        <v>376</v>
      </c>
      <c r="H78" s="256" t="str">
        <f>IF(Setup!D84&lt;&gt;"",Setup!D84,Setup!C84)</f>
        <v>Group C</v>
      </c>
    </row>
    <row r="79" spans="1:8" x14ac:dyDescent="0.2">
      <c r="A79" s="256">
        <v>78</v>
      </c>
      <c r="B79" s="252" t="str">
        <f>Setup!C85</f>
        <v>Group D</v>
      </c>
      <c r="C79" s="256" t="s">
        <v>87</v>
      </c>
      <c r="D79" s="252" t="s">
        <v>262</v>
      </c>
      <c r="E79" s="252" t="s">
        <v>218</v>
      </c>
      <c r="F79" s="252" t="s">
        <v>364</v>
      </c>
      <c r="G79" s="252" t="s">
        <v>377</v>
      </c>
      <c r="H79" s="256" t="str">
        <f>IF(Setup!D85&lt;&gt;"",Setup!D85,Setup!C85)</f>
        <v>Group D</v>
      </c>
    </row>
    <row r="80" spans="1:8" x14ac:dyDescent="0.2">
      <c r="A80" s="256">
        <v>79</v>
      </c>
      <c r="B80" s="252" t="str">
        <f>Setup!C86</f>
        <v>Group E</v>
      </c>
      <c r="C80" s="256" t="s">
        <v>88</v>
      </c>
      <c r="D80" s="252" t="s">
        <v>263</v>
      </c>
      <c r="E80" s="252" t="s">
        <v>219</v>
      </c>
      <c r="F80" s="252" t="s">
        <v>365</v>
      </c>
      <c r="G80" s="252" t="s">
        <v>378</v>
      </c>
      <c r="H80" s="256" t="str">
        <f>IF(Setup!D86&lt;&gt;"",Setup!D86,Setup!C86)</f>
        <v>Group E</v>
      </c>
    </row>
    <row r="81" spans="1:8" x14ac:dyDescent="0.2">
      <c r="A81" s="256">
        <v>80</v>
      </c>
      <c r="B81" s="252" t="str">
        <f>Setup!C87</f>
        <v>Group F</v>
      </c>
      <c r="C81" s="256" t="s">
        <v>89</v>
      </c>
      <c r="D81" s="252" t="s">
        <v>264</v>
      </c>
      <c r="E81" s="252" t="s">
        <v>220</v>
      </c>
      <c r="F81" s="252" t="s">
        <v>366</v>
      </c>
      <c r="G81" s="252" t="s">
        <v>379</v>
      </c>
      <c r="H81" s="256" t="str">
        <f>IF(Setup!D87&lt;&gt;"",Setup!D87,Setup!C87)</f>
        <v>Group F</v>
      </c>
    </row>
    <row r="82" spans="1:8" x14ac:dyDescent="0.2">
      <c r="A82" s="256">
        <v>81</v>
      </c>
      <c r="B82" s="252" t="str">
        <f>Setup!C88</f>
        <v>Win</v>
      </c>
      <c r="C82" s="256" t="s">
        <v>81</v>
      </c>
      <c r="D82" s="252" t="s">
        <v>265</v>
      </c>
      <c r="E82" s="252" t="s">
        <v>307</v>
      </c>
      <c r="F82" s="252" t="s">
        <v>367</v>
      </c>
      <c r="G82" s="252" t="s">
        <v>420</v>
      </c>
      <c r="H82" s="256" t="str">
        <f>IF(Setup!D88&lt;&gt;"",Setup!D88,Setup!C88)</f>
        <v>Win</v>
      </c>
    </row>
    <row r="83" spans="1:8" x14ac:dyDescent="0.2">
      <c r="A83" s="256">
        <v>82</v>
      </c>
      <c r="B83" s="252" t="str">
        <f>Setup!C89</f>
        <v>Draw</v>
      </c>
      <c r="C83" s="256" t="s">
        <v>82</v>
      </c>
      <c r="D83" s="252" t="s">
        <v>266</v>
      </c>
      <c r="E83" s="252" t="s">
        <v>308</v>
      </c>
      <c r="F83" s="252" t="s">
        <v>368</v>
      </c>
      <c r="G83" s="252" t="s">
        <v>421</v>
      </c>
      <c r="H83" s="256" t="str">
        <f>IF(Setup!D89&lt;&gt;"",Setup!D89,Setup!C89)</f>
        <v>Draw</v>
      </c>
    </row>
    <row r="84" spans="1:8" x14ac:dyDescent="0.2">
      <c r="A84" s="256">
        <v>83</v>
      </c>
      <c r="B84" s="252" t="str">
        <f>Setup!C90</f>
        <v>Lose</v>
      </c>
      <c r="C84" s="256" t="s">
        <v>83</v>
      </c>
      <c r="D84" s="252" t="s">
        <v>267</v>
      </c>
      <c r="E84" s="252" t="s">
        <v>309</v>
      </c>
      <c r="F84" s="252" t="s">
        <v>369</v>
      </c>
      <c r="G84" s="252" t="s">
        <v>380</v>
      </c>
      <c r="H84" s="256" t="str">
        <f>IF(Setup!D90&lt;&gt;"",Setup!D90,Setup!C90)</f>
        <v>Lose</v>
      </c>
    </row>
    <row r="85" spans="1:8" x14ac:dyDescent="0.2">
      <c r="A85" s="256">
        <v>84</v>
      </c>
      <c r="B85" s="252" t="str">
        <f>Setup!C91</f>
        <v>For</v>
      </c>
      <c r="C85" s="256" t="s">
        <v>188</v>
      </c>
      <c r="D85" s="252" t="s">
        <v>268</v>
      </c>
      <c r="E85" s="252" t="s">
        <v>310</v>
      </c>
      <c r="F85" s="252" t="s">
        <v>206</v>
      </c>
      <c r="G85" s="252" t="s">
        <v>422</v>
      </c>
      <c r="H85" s="256" t="str">
        <f>IF(Setup!D91&lt;&gt;"",Setup!D91,Setup!C91)</f>
        <v>For</v>
      </c>
    </row>
    <row r="86" spans="1:8" x14ac:dyDescent="0.2">
      <c r="A86" s="256">
        <v>85</v>
      </c>
      <c r="B86" s="252" t="str">
        <f>Setup!C92</f>
        <v>Against</v>
      </c>
      <c r="C86" s="256" t="s">
        <v>189</v>
      </c>
      <c r="D86" s="252" t="s">
        <v>269</v>
      </c>
      <c r="E86" s="252" t="s">
        <v>311</v>
      </c>
      <c r="F86" s="252" t="s">
        <v>370</v>
      </c>
      <c r="G86" s="252" t="s">
        <v>423</v>
      </c>
      <c r="H86" s="256" t="str">
        <f>IF(Setup!D92&lt;&gt;"",Setup!D92,Setup!C92)</f>
        <v>Against</v>
      </c>
    </row>
    <row r="87" spans="1:8" x14ac:dyDescent="0.2">
      <c r="A87" s="256">
        <v>86</v>
      </c>
      <c r="B87" s="252" t="str">
        <f>Setup!C93</f>
        <v>Points</v>
      </c>
      <c r="C87" s="256" t="s">
        <v>37</v>
      </c>
      <c r="D87" s="252" t="s">
        <v>270</v>
      </c>
      <c r="E87" s="252" t="s">
        <v>312</v>
      </c>
      <c r="F87" s="252" t="s">
        <v>371</v>
      </c>
      <c r="G87" s="252" t="s">
        <v>424</v>
      </c>
      <c r="H87" s="256" t="str">
        <f>IF(Setup!D93&lt;&gt;"",Setup!D93,Setup!C93)</f>
        <v>Points</v>
      </c>
    </row>
    <row r="88" spans="1:8" x14ac:dyDescent="0.2">
      <c r="A88" s="256">
        <v>87</v>
      </c>
      <c r="B88" s="252" t="str">
        <f>Setup!C94</f>
        <v>Knock Out Rounds</v>
      </c>
      <c r="C88" s="256" t="s">
        <v>202</v>
      </c>
      <c r="D88" s="252" t="s">
        <v>271</v>
      </c>
      <c r="E88" s="252" t="s">
        <v>313</v>
      </c>
      <c r="F88" s="252" t="s">
        <v>202</v>
      </c>
      <c r="G88" s="252" t="s">
        <v>425</v>
      </c>
      <c r="H88" s="256" t="str">
        <f>IF(Setup!D94&lt;&gt;"",Setup!D94,Setup!C94)</f>
        <v>Knock Out Rounds</v>
      </c>
    </row>
    <row r="89" spans="1:8" x14ac:dyDescent="0.2">
      <c r="A89" s="256">
        <v>88</v>
      </c>
      <c r="B89" s="252" t="str">
        <f>Setup!C95</f>
        <v>Group D/E/F 3rd Place</v>
      </c>
      <c r="C89" s="256" t="s">
        <v>438</v>
      </c>
      <c r="D89" s="252" t="s">
        <v>489</v>
      </c>
      <c r="E89" s="252" t="s">
        <v>490</v>
      </c>
      <c r="F89" s="252" t="s">
        <v>491</v>
      </c>
      <c r="G89" s="252" t="s">
        <v>492</v>
      </c>
      <c r="H89" s="256" t="str">
        <f>IF(Setup!D95&lt;&gt;"",Setup!D95,Setup!C95)</f>
        <v>Group D/E/F 3rd Place</v>
      </c>
    </row>
    <row r="90" spans="1:8" x14ac:dyDescent="0.2">
      <c r="A90" s="256">
        <v>89</v>
      </c>
      <c r="B90" s="252" t="str">
        <f>Setup!C96</f>
        <v>Group A/D/E/F 3rd Place</v>
      </c>
      <c r="C90" s="256" t="s">
        <v>439</v>
      </c>
      <c r="D90" s="252" t="s">
        <v>477</v>
      </c>
      <c r="E90" s="252" t="s">
        <v>478</v>
      </c>
      <c r="F90" s="252" t="s">
        <v>479</v>
      </c>
      <c r="G90" s="252" t="s">
        <v>480</v>
      </c>
      <c r="H90" s="256" t="str">
        <f>IF(Setup!D96&lt;&gt;"",Setup!D96,Setup!C96)</f>
        <v>Group A/D/E/F 3rd Place</v>
      </c>
    </row>
    <row r="91" spans="1:8" x14ac:dyDescent="0.2">
      <c r="A91" s="256">
        <v>90</v>
      </c>
      <c r="B91" s="252" t="str">
        <f>Setup!C97</f>
        <v>Group A/B/C 3rd Place</v>
      </c>
      <c r="C91" s="256" t="s">
        <v>440</v>
      </c>
      <c r="D91" s="252" t="s">
        <v>481</v>
      </c>
      <c r="E91" s="252" t="s">
        <v>482</v>
      </c>
      <c r="F91" s="252" t="s">
        <v>483</v>
      </c>
      <c r="G91" s="252" t="s">
        <v>484</v>
      </c>
      <c r="H91" s="256" t="str">
        <f>IF(Setup!D97&lt;&gt;"",Setup!D97,Setup!C97)</f>
        <v>Group A/B/C 3rd Place</v>
      </c>
    </row>
    <row r="92" spans="1:8" x14ac:dyDescent="0.2">
      <c r="A92" s="256">
        <v>91</v>
      </c>
      <c r="B92" s="252" t="str">
        <f>Setup!C98</f>
        <v>Group A/B/C/D 3rd Place</v>
      </c>
      <c r="C92" s="256" t="s">
        <v>441</v>
      </c>
      <c r="D92" s="252" t="s">
        <v>485</v>
      </c>
      <c r="E92" s="252" t="s">
        <v>486</v>
      </c>
      <c r="F92" s="252" t="s">
        <v>487</v>
      </c>
      <c r="G92" s="252" t="s">
        <v>488</v>
      </c>
      <c r="H92" s="256" t="str">
        <f>IF(Setup!D98&lt;&gt;"",Setup!D98,Setup!C98)</f>
        <v>Group A/B/C/D 3rd Place</v>
      </c>
    </row>
    <row r="93" spans="1:8" x14ac:dyDescent="0.2">
      <c r="A93" s="256">
        <v>92</v>
      </c>
      <c r="B93" s="252" t="str">
        <f>Setup!C99</f>
        <v>Group A-F 3rd Place Standings</v>
      </c>
      <c r="C93" s="256" t="s">
        <v>203</v>
      </c>
      <c r="D93" s="252" t="s">
        <v>272</v>
      </c>
      <c r="E93" s="252" t="s">
        <v>314</v>
      </c>
      <c r="F93" s="252" t="s">
        <v>372</v>
      </c>
      <c r="G93" s="252" t="s">
        <v>426</v>
      </c>
      <c r="H93" s="256" t="str">
        <f>IF(Setup!D99&lt;&gt;"",Setup!D99,Setup!C99)</f>
        <v>Group A-F 3rd Place Standings</v>
      </c>
    </row>
  </sheetData>
  <sheetProtection algorithmName="SHA-512" hashValue="dakQaclJfN2QJ9FekMOnUe7Z6fFZlF6ajb5mZMAOyiZD8B1rlFykS8IuwDrD09G1tTTX9D4T5aGaSuj+iSStlQ==" saltValue="HMLiTOcMrMn3S87mZSJm5Q==" spinCount="100000" sheet="1" objects="1" scenarios="1" selectLockedCells="1" selectUnlockedCells="1"/>
  <pageMargins left="0.75" right="0.75" top="1" bottom="1" header="0.5" footer="0.5"/>
  <pageSetup orientation="portrait" horizontalDpi="300" verticalDpi="300" r:id="rId1"/>
  <headerFooter alignWithMargins="0">
    <oddFooter>&amp;R(c) 2020 | journalSHEET.com</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R143"/>
  <sheetViews>
    <sheetView showGridLines="0" topLeftCell="A19" workbookViewId="0">
      <selection activeCell="K29" sqref="K29"/>
    </sheetView>
  </sheetViews>
  <sheetFormatPr defaultColWidth="9.140625" defaultRowHeight="15" x14ac:dyDescent="0.25"/>
  <cols>
    <col min="1" max="1" width="1.85546875" style="23" bestFit="1" customWidth="1"/>
    <col min="2" max="2" width="15.42578125" style="23" bestFit="1" customWidth="1"/>
    <col min="3" max="3" width="5.28515625" style="23" customWidth="1"/>
    <col min="4" max="4" width="2.140625" style="23" bestFit="1" customWidth="1"/>
    <col min="5" max="5" width="1.85546875" style="23" bestFit="1" customWidth="1"/>
    <col min="6" max="6" width="3.140625" style="23" bestFit="1" customWidth="1"/>
    <col min="7" max="7" width="3.42578125" style="23" bestFit="1" customWidth="1"/>
    <col min="8" max="8" width="10.85546875" style="23" bestFit="1" customWidth="1"/>
    <col min="9" max="9" width="6.140625" style="23" bestFit="1" customWidth="1"/>
    <col min="10" max="10" width="9.85546875" style="23" bestFit="1" customWidth="1"/>
    <col min="11" max="11" width="12.140625" style="23" bestFit="1" customWidth="1"/>
    <col min="12" max="12" width="2.85546875" style="23" customWidth="1"/>
    <col min="13" max="13" width="6.42578125" style="23" bestFit="1" customWidth="1"/>
    <col min="14" max="14" width="15.42578125" style="23" bestFit="1" customWidth="1"/>
    <col min="15" max="15" width="5.5703125" style="23" bestFit="1" customWidth="1"/>
    <col min="16" max="16" width="15.42578125" style="23" bestFit="1" customWidth="1"/>
    <col min="17" max="19" width="6" style="23" bestFit="1" customWidth="1"/>
    <col min="20" max="20" width="1.85546875" style="23" bestFit="1" customWidth="1"/>
    <col min="21" max="21" width="15.42578125" style="23" bestFit="1" customWidth="1"/>
    <col min="22" max="22" width="2.7109375" style="23" bestFit="1" customWidth="1"/>
    <col min="23" max="23" width="2.140625" style="23" bestFit="1" customWidth="1"/>
    <col min="24" max="24" width="51" style="23" bestFit="1" customWidth="1"/>
    <col min="25" max="25" width="3.140625" style="23" bestFit="1" customWidth="1"/>
    <col min="26" max="26" width="3.42578125" style="23" bestFit="1" customWidth="1"/>
    <col min="27" max="27" width="4.85546875" style="23" bestFit="1" customWidth="1"/>
    <col min="28" max="28" width="1.85546875" style="23" bestFit="1" customWidth="1"/>
    <col min="29" max="29" width="4.85546875" style="23" bestFit="1" customWidth="1"/>
    <col min="30" max="30" width="4" style="23" bestFit="1" customWidth="1"/>
    <col min="31" max="31" width="4.5703125" style="23" bestFit="1" customWidth="1"/>
    <col min="32" max="32" width="3.42578125" style="23" bestFit="1" customWidth="1"/>
    <col min="33" max="33" width="4.5703125" style="23" bestFit="1" customWidth="1"/>
    <col min="34" max="34" width="3.42578125" style="23" bestFit="1" customWidth="1"/>
    <col min="35" max="35" width="3.140625" style="23" bestFit="1" customWidth="1"/>
    <col min="36" max="36" width="4.5703125" style="23" bestFit="1" customWidth="1"/>
    <col min="37" max="37" width="4" style="23" bestFit="1" customWidth="1"/>
    <col min="38" max="38" width="4.5703125" style="23" bestFit="1" customWidth="1"/>
    <col min="39" max="39" width="13.5703125" style="23" bestFit="1" customWidth="1"/>
    <col min="40" max="40" width="15.5703125" style="23" bestFit="1" customWidth="1"/>
    <col min="41" max="41" width="12.28515625" style="23" bestFit="1" customWidth="1"/>
    <col min="42" max="42" width="2.7109375" style="23" bestFit="1" customWidth="1"/>
    <col min="43" max="43" width="2.140625" style="23" bestFit="1" customWidth="1"/>
    <col min="44" max="44" width="1.85546875" style="23" bestFit="1" customWidth="1"/>
    <col min="45" max="45" width="3.140625" style="23" bestFit="1" customWidth="1"/>
    <col min="46" max="46" width="3.42578125" style="23" bestFit="1" customWidth="1"/>
    <col min="47" max="47" width="4.85546875" style="23" bestFit="1" customWidth="1"/>
    <col min="48" max="48" width="1.85546875" style="23" bestFit="1" customWidth="1"/>
    <col min="49" max="49" width="4.85546875" style="23" bestFit="1" customWidth="1"/>
    <col min="50" max="50" width="4" style="23" bestFit="1" customWidth="1"/>
    <col min="51" max="51" width="4.5703125" style="23" bestFit="1" customWidth="1"/>
    <col min="52" max="52" width="3.42578125" style="23" bestFit="1" customWidth="1"/>
    <col min="53" max="53" width="2" style="23" bestFit="1" customWidth="1"/>
    <col min="54" max="54" width="3.42578125" style="23" bestFit="1" customWidth="1"/>
    <col min="55" max="55" width="3.140625" style="23" bestFit="1" customWidth="1"/>
    <col min="56" max="56" width="4.5703125" style="23" bestFit="1" customWidth="1"/>
    <col min="57" max="57" width="4" style="23" bestFit="1" customWidth="1"/>
    <col min="58" max="58" width="4.5703125" style="23" bestFit="1" customWidth="1"/>
    <col min="59" max="59" width="2.85546875" style="23" bestFit="1" customWidth="1"/>
    <col min="60" max="60" width="7.7109375" style="23" bestFit="1" customWidth="1"/>
    <col min="61" max="61" width="10.5703125" style="23" bestFit="1" customWidth="1"/>
    <col min="62" max="62" width="2.7109375" style="23" bestFit="1" customWidth="1"/>
    <col min="63" max="63" width="2.140625" style="23" bestFit="1" customWidth="1"/>
    <col min="64" max="64" width="1.85546875" style="23" bestFit="1" customWidth="1"/>
    <col min="65" max="65" width="3.140625" style="23" bestFit="1" customWidth="1"/>
    <col min="66" max="66" width="3.42578125" style="23" bestFit="1" customWidth="1"/>
    <col min="67" max="67" width="4.85546875" style="23" bestFit="1" customWidth="1"/>
    <col min="68" max="68" width="1.85546875" style="23" bestFit="1" customWidth="1"/>
    <col min="69" max="69" width="4.85546875" style="23" bestFit="1" customWidth="1"/>
    <col min="70" max="70" width="4" style="23" bestFit="1" customWidth="1"/>
    <col min="71" max="71" width="4.5703125" style="23" bestFit="1" customWidth="1"/>
    <col min="72" max="72" width="3.42578125" style="23" bestFit="1" customWidth="1"/>
    <col min="73" max="73" width="2" style="23" bestFit="1" customWidth="1"/>
    <col min="74" max="74" width="3.42578125" style="23" bestFit="1" customWidth="1"/>
    <col min="75" max="75" width="3.140625" style="23" bestFit="1" customWidth="1"/>
    <col min="76" max="77" width="4" style="23" bestFit="1" customWidth="1"/>
    <col min="78" max="78" width="4.5703125" style="23" bestFit="1" customWidth="1"/>
    <col min="79" max="79" width="2.85546875" style="23" bestFit="1" customWidth="1"/>
    <col min="80" max="80" width="16.5703125" style="23" bestFit="1" customWidth="1"/>
    <col min="81" max="81" width="10.5703125" style="23" bestFit="1" customWidth="1"/>
    <col min="82" max="82" width="2.7109375" style="23" bestFit="1" customWidth="1"/>
    <col min="83" max="83" width="2.140625" style="23" bestFit="1" customWidth="1"/>
    <col min="84" max="84" width="1.85546875" style="23" bestFit="1" customWidth="1"/>
    <col min="85" max="85" width="3.140625" style="23" bestFit="1" customWidth="1"/>
    <col min="86" max="86" width="3.42578125" style="23" bestFit="1" customWidth="1"/>
    <col min="87" max="87" width="4.85546875" style="23" bestFit="1" customWidth="1"/>
    <col min="88" max="88" width="1.85546875" style="23" bestFit="1" customWidth="1"/>
    <col min="89" max="90" width="3.85546875" style="23" bestFit="1" customWidth="1"/>
    <col min="91" max="91" width="4.5703125" style="23" bestFit="1" customWidth="1"/>
    <col min="92" max="92" width="3.28515625" style="23" bestFit="1" customWidth="1"/>
    <col min="93" max="93" width="1.85546875" style="23" bestFit="1" customWidth="1"/>
    <col min="94" max="94" width="3.42578125" style="23" bestFit="1" customWidth="1"/>
    <col min="95" max="95" width="3" style="23" bestFit="1" customWidth="1"/>
    <col min="96" max="97" width="3.85546875" style="23" bestFit="1" customWidth="1"/>
    <col min="98" max="98" width="4.5703125" style="23" bestFit="1" customWidth="1"/>
    <col min="99" max="99" width="2.85546875" style="23" bestFit="1" customWidth="1"/>
    <col min="100" max="100" width="2.85546875" style="23" customWidth="1"/>
    <col min="101" max="101" width="15.42578125" style="23" bestFit="1" customWidth="1"/>
    <col min="102" max="102" width="1.85546875" style="23" bestFit="1" customWidth="1"/>
    <col min="103" max="103" width="2.85546875" style="23" bestFit="1" customWidth="1"/>
    <col min="104" max="104" width="15.42578125" style="23" bestFit="1" customWidth="1"/>
    <col min="105" max="105" width="3.140625" style="23" bestFit="1" customWidth="1"/>
    <col min="106" max="106" width="3.42578125" style="23" bestFit="1" customWidth="1"/>
    <col min="107" max="107" width="15.42578125" style="23" bestFit="1" customWidth="1"/>
    <col min="108" max="109" width="2.5703125" style="23" bestFit="1" customWidth="1"/>
    <col min="110" max="111" width="2.85546875" style="23" customWidth="1"/>
    <col min="112" max="112" width="35" style="23" bestFit="1" customWidth="1"/>
    <col min="113" max="113" width="2.7109375" style="258" bestFit="1" customWidth="1"/>
    <col min="114" max="115" width="2.140625" style="258" bestFit="1" customWidth="1"/>
    <col min="116" max="116" width="3.140625" style="258" bestFit="1" customWidth="1"/>
    <col min="117" max="119" width="3.42578125" style="258" bestFit="1" customWidth="1"/>
    <col min="120" max="120" width="4.5703125" style="23" bestFit="1" customWidth="1"/>
    <col min="121" max="121" width="7.85546875" style="23" bestFit="1" customWidth="1"/>
    <col min="122" max="122" width="8" style="23" bestFit="1" customWidth="1"/>
    <col min="123" max="123" width="7.5703125" style="23" bestFit="1" customWidth="1"/>
    <col min="124" max="124" width="9.140625" style="23" bestFit="1" customWidth="1"/>
    <col min="125" max="125" width="2.85546875" style="23" bestFit="1" customWidth="1"/>
    <col min="126" max="126" width="2.140625" style="23" bestFit="1" customWidth="1"/>
    <col min="127" max="127" width="1.85546875" style="23" bestFit="1" customWidth="1"/>
    <col min="128" max="128" width="2.85546875" style="23" customWidth="1"/>
    <col min="129" max="135" width="9.140625" style="23"/>
    <col min="136" max="136" width="10.85546875" style="252" customWidth="1"/>
    <col min="137" max="137" width="4.42578125" style="252" customWidth="1"/>
    <col min="138" max="138" width="23" style="252" customWidth="1"/>
    <col min="139" max="139" width="30.85546875" style="252" customWidth="1"/>
    <col min="140" max="140" width="40.85546875" style="252" customWidth="1"/>
    <col min="141" max="141" width="9.140625" style="23"/>
    <col min="142" max="142" width="12.5703125" style="23" bestFit="1" customWidth="1"/>
    <col min="143" max="143" width="13.140625" style="23" customWidth="1"/>
    <col min="144" max="144" width="8.85546875" style="23" customWidth="1"/>
    <col min="145" max="145" width="11" style="23" customWidth="1"/>
    <col min="146" max="146" width="5.42578125" style="23" customWidth="1"/>
    <col min="147" max="147" width="29.7109375" style="23" bestFit="1" customWidth="1"/>
    <col min="148" max="16384" width="9.140625" style="23"/>
  </cols>
  <sheetData>
    <row r="1" spans="1:148" x14ac:dyDescent="0.25">
      <c r="AG1" s="23" t="s">
        <v>40</v>
      </c>
    </row>
    <row r="2" spans="1:148" x14ac:dyDescent="0.25">
      <c r="U2" s="23" t="s">
        <v>820</v>
      </c>
      <c r="AG2" s="23">
        <v>1</v>
      </c>
      <c r="AH2" s="23">
        <v>2</v>
      </c>
      <c r="AI2" s="23">
        <v>3</v>
      </c>
      <c r="AJ2" s="23">
        <v>5</v>
      </c>
      <c r="AK2" s="23">
        <v>6</v>
      </c>
      <c r="AL2" s="23">
        <v>9</v>
      </c>
      <c r="AO2" s="23" t="s">
        <v>31</v>
      </c>
      <c r="BI2" s="23" t="s">
        <v>35</v>
      </c>
      <c r="CC2" s="23" t="s">
        <v>36</v>
      </c>
      <c r="DA2" s="23" t="s">
        <v>20</v>
      </c>
      <c r="DB2" s="23" t="s">
        <v>21</v>
      </c>
      <c r="DI2" s="258" t="s">
        <v>12</v>
      </c>
      <c r="DJ2" s="258" t="s">
        <v>13</v>
      </c>
      <c r="DK2" s="258" t="s">
        <v>14</v>
      </c>
      <c r="DL2" s="258" t="s">
        <v>20</v>
      </c>
      <c r="DM2" s="258" t="s">
        <v>21</v>
      </c>
      <c r="DN2" s="258" t="s">
        <v>33</v>
      </c>
      <c r="DO2" s="258" t="s">
        <v>23</v>
      </c>
      <c r="DP2" s="23" t="s">
        <v>39</v>
      </c>
      <c r="DQ2" s="23" t="s">
        <v>183</v>
      </c>
      <c r="DR2" s="23" t="s">
        <v>184</v>
      </c>
      <c r="DS2" s="23" t="s">
        <v>185</v>
      </c>
      <c r="DT2" s="23" t="s">
        <v>186</v>
      </c>
    </row>
    <row r="3" spans="1:148" x14ac:dyDescent="0.25">
      <c r="C3" s="23" t="s">
        <v>12</v>
      </c>
      <c r="D3" s="23" t="s">
        <v>13</v>
      </c>
      <c r="E3" s="23" t="s">
        <v>14</v>
      </c>
      <c r="F3" s="23" t="s">
        <v>20</v>
      </c>
      <c r="G3" s="23" t="s">
        <v>21</v>
      </c>
      <c r="H3" s="23" t="s">
        <v>22</v>
      </c>
      <c r="I3" s="23" t="s">
        <v>37</v>
      </c>
      <c r="J3" s="23" t="s">
        <v>38</v>
      </c>
      <c r="K3" s="23" t="s">
        <v>24</v>
      </c>
      <c r="M3" s="23" t="s">
        <v>29</v>
      </c>
      <c r="P3" s="23" t="s">
        <v>25</v>
      </c>
      <c r="Q3" s="23" t="s">
        <v>26</v>
      </c>
      <c r="R3" s="23" t="s">
        <v>27</v>
      </c>
      <c r="S3" s="23" t="s">
        <v>28</v>
      </c>
      <c r="U3" s="23" t="s">
        <v>30</v>
      </c>
      <c r="V3" s="23" t="s">
        <v>12</v>
      </c>
      <c r="W3" s="23" t="s">
        <v>13</v>
      </c>
      <c r="X3" s="23" t="s">
        <v>14</v>
      </c>
      <c r="Y3" s="23" t="s">
        <v>20</v>
      </c>
      <c r="Z3" s="23" t="s">
        <v>21</v>
      </c>
      <c r="AA3" s="23" t="s">
        <v>22</v>
      </c>
      <c r="AB3" s="23" t="s">
        <v>0</v>
      </c>
      <c r="AC3" s="23" t="s">
        <v>43</v>
      </c>
      <c r="AD3" s="23" t="s">
        <v>41</v>
      </c>
      <c r="AE3" s="23" t="s">
        <v>39</v>
      </c>
      <c r="AF3" s="23" t="s">
        <v>23</v>
      </c>
      <c r="AG3" s="23" t="s">
        <v>32</v>
      </c>
      <c r="AH3" s="23" t="s">
        <v>33</v>
      </c>
      <c r="AI3" s="23" t="s">
        <v>20</v>
      </c>
      <c r="AJ3" s="23" t="s">
        <v>42</v>
      </c>
      <c r="AK3" s="23" t="s">
        <v>41</v>
      </c>
      <c r="AL3" s="23" t="s">
        <v>39</v>
      </c>
      <c r="AM3" s="23" t="s">
        <v>34</v>
      </c>
      <c r="AO3" s="23" t="s">
        <v>30</v>
      </c>
      <c r="AP3" s="23" t="s">
        <v>12</v>
      </c>
      <c r="AQ3" s="23" t="s">
        <v>13</v>
      </c>
      <c r="AR3" s="23" t="s">
        <v>14</v>
      </c>
      <c r="AS3" s="23" t="s">
        <v>20</v>
      </c>
      <c r="AT3" s="23" t="s">
        <v>21</v>
      </c>
      <c r="AU3" s="23" t="s">
        <v>22</v>
      </c>
      <c r="AV3" s="23" t="s">
        <v>0</v>
      </c>
      <c r="AW3" s="23" t="s">
        <v>43</v>
      </c>
      <c r="AX3" s="23" t="s">
        <v>41</v>
      </c>
      <c r="AY3" s="23" t="s">
        <v>39</v>
      </c>
      <c r="AZ3" s="23" t="s">
        <v>23</v>
      </c>
      <c r="BA3" s="23" t="s">
        <v>32</v>
      </c>
      <c r="BB3" s="23" t="s">
        <v>33</v>
      </c>
      <c r="BC3" s="23" t="s">
        <v>20</v>
      </c>
      <c r="BD3" s="23" t="s">
        <v>42</v>
      </c>
      <c r="BE3" s="23" t="s">
        <v>41</v>
      </c>
      <c r="BF3" s="23" t="s">
        <v>39</v>
      </c>
      <c r="BG3" s="23" t="s">
        <v>34</v>
      </c>
      <c r="BI3" s="23" t="s">
        <v>30</v>
      </c>
      <c r="BJ3" s="23" t="s">
        <v>12</v>
      </c>
      <c r="BK3" s="23" t="s">
        <v>13</v>
      </c>
      <c r="BL3" s="23" t="s">
        <v>14</v>
      </c>
      <c r="BM3" s="23" t="s">
        <v>20</v>
      </c>
      <c r="BN3" s="23" t="s">
        <v>21</v>
      </c>
      <c r="BO3" s="23" t="s">
        <v>22</v>
      </c>
      <c r="BP3" s="23" t="s">
        <v>0</v>
      </c>
      <c r="BQ3" s="23" t="s">
        <v>43</v>
      </c>
      <c r="BR3" s="23" t="s">
        <v>41</v>
      </c>
      <c r="BS3" s="23" t="s">
        <v>39</v>
      </c>
      <c r="BT3" s="23" t="s">
        <v>23</v>
      </c>
      <c r="BU3" s="23" t="s">
        <v>32</v>
      </c>
      <c r="BV3" s="23" t="s">
        <v>33</v>
      </c>
      <c r="BW3" s="23" t="s">
        <v>20</v>
      </c>
      <c r="BX3" s="23" t="s">
        <v>43</v>
      </c>
      <c r="BY3" s="23" t="s">
        <v>41</v>
      </c>
      <c r="BZ3" s="23" t="s">
        <v>39</v>
      </c>
      <c r="CA3" s="23" t="s">
        <v>34</v>
      </c>
      <c r="CC3" s="23" t="s">
        <v>30</v>
      </c>
      <c r="CD3" s="23" t="s">
        <v>12</v>
      </c>
      <c r="CE3" s="23" t="s">
        <v>13</v>
      </c>
      <c r="CF3" s="23" t="s">
        <v>14</v>
      </c>
      <c r="CG3" s="23" t="s">
        <v>20</v>
      </c>
      <c r="CH3" s="23" t="s">
        <v>21</v>
      </c>
      <c r="CI3" s="23" t="s">
        <v>22</v>
      </c>
      <c r="CJ3" s="23" t="s">
        <v>0</v>
      </c>
      <c r="CK3" s="23" t="s">
        <v>43</v>
      </c>
      <c r="CL3" s="23" t="s">
        <v>41</v>
      </c>
      <c r="CM3" s="23" t="s">
        <v>39</v>
      </c>
      <c r="CN3" s="23" t="s">
        <v>23</v>
      </c>
      <c r="CO3" s="23" t="s">
        <v>32</v>
      </c>
      <c r="CP3" s="23" t="s">
        <v>33</v>
      </c>
      <c r="CQ3" s="23" t="s">
        <v>20</v>
      </c>
      <c r="CR3" s="23" t="s">
        <v>43</v>
      </c>
      <c r="CS3" s="23" t="s">
        <v>41</v>
      </c>
      <c r="CT3" s="23" t="s">
        <v>39</v>
      </c>
      <c r="CU3" s="23" t="s">
        <v>34</v>
      </c>
      <c r="CY3" s="23">
        <v>1</v>
      </c>
      <c r="CZ3" s="23" t="str">
        <f>Tournament!G7</f>
        <v>Germany</v>
      </c>
      <c r="DA3" s="23">
        <f ca="1">IF(AND(Tournament!H7&lt;&gt;"",Tournament!I7&lt;&gt;""),Tournament!H7,0)</f>
        <v>5</v>
      </c>
      <c r="DB3" s="23">
        <f ca="1">IF(AND(Tournament!I7&lt;&gt;"",Tournament!H7&lt;&gt;""),Tournament!I7,0)</f>
        <v>1</v>
      </c>
      <c r="DC3" s="23" t="str">
        <f>Tournament!J7</f>
        <v>Scotland</v>
      </c>
      <c r="DD3" s="23" t="str">
        <f ca="1">IF(AND(Tournament!H7&lt;&gt;"",Tournament!I7&lt;&gt;""),IF(DA3&gt;DB3,"W",IF(DA3=DB3,"D","L")),"")</f>
        <v>W</v>
      </c>
      <c r="DE3" s="23" t="str">
        <f ca="1">IF(DD3&lt;&gt;"",IF(DD3="W","L",IF(DD3="L","W","D")),"")</f>
        <v>L</v>
      </c>
      <c r="DH3" s="23" t="str">
        <f ca="1">Tournament!P9</f>
        <v>Hungary</v>
      </c>
      <c r="DI3" s="258">
        <f ca="1">Tournament!U9</f>
        <v>0</v>
      </c>
      <c r="DJ3" s="258">
        <f ca="1">Tournament!V9</f>
        <v>0</v>
      </c>
      <c r="DK3" s="258">
        <f ca="1">Tournament!W9</f>
        <v>1</v>
      </c>
      <c r="DL3" s="258">
        <f ca="1">Tournament!X9</f>
        <v>1</v>
      </c>
      <c r="DM3" s="258">
        <f ca="1">Tournament!Z9</f>
        <v>3</v>
      </c>
      <c r="DN3" s="258">
        <f ca="1">Tournament!AA9</f>
        <v>-2</v>
      </c>
      <c r="DO3" s="258">
        <f ca="1">Tournament!AB9</f>
        <v>0</v>
      </c>
      <c r="DP3" s="23">
        <f ca="1">IF(Tournament!AC9&lt;&gt;"",30,VLOOKUP(DH3,B4:J40,9,FALSE))</f>
        <v>48</v>
      </c>
      <c r="DQ3" s="23">
        <f ca="1">RANK(DO3,DO3:DO8)</f>
        <v>1</v>
      </c>
      <c r="DR3" s="23">
        <f ca="1">SUMPRODUCT((DQ3:DQ8=DQ3)*(DN3:DN8&gt;DN3))</f>
        <v>5</v>
      </c>
      <c r="DS3" s="23">
        <f ca="1">SUMPRODUCT((DQ3:DQ8=DQ3)*(DN3:DN8=DN3)*(DL3:DL8&gt;DL3))</f>
        <v>0</v>
      </c>
      <c r="DT3" s="23">
        <f ca="1">SUMPRODUCT((DQ3:DQ8=DQ3)*(DN3:DN8=DN3)*(DL3:DL8=DL3)*(DP3:DP8&gt;DP3))</f>
        <v>0</v>
      </c>
      <c r="DU3" s="23">
        <f ca="1">IF('Knock Out Stages'!B50="© 2024 | journalSHEET.com",SUM(DQ3:DT3),1)</f>
        <v>6</v>
      </c>
      <c r="DV3" s="23" t="s">
        <v>15</v>
      </c>
      <c r="DW3" s="23">
        <v>1</v>
      </c>
    </row>
    <row r="4" spans="1:148" x14ac:dyDescent="0.25">
      <c r="A4" s="23">
        <f ca="1">VLOOKUP(B4,CW4:CX8,2,FALSE)</f>
        <v>1</v>
      </c>
      <c r="B4" s="23" t="str">
        <f>'Dummy Table'!EH7</f>
        <v>Germany</v>
      </c>
      <c r="C4" s="23">
        <f ca="1">SUMPRODUCT((CZ3:CZ42=B4)*(DD3:DD42="W"))+SUMPRODUCT((DC3:DC42=B4)*(DE3:DE42="W"))</f>
        <v>1</v>
      </c>
      <c r="D4" s="23">
        <f ca="1">SUMPRODUCT((CZ3:CZ42=B4)*(DD3:DD42="D"))+SUMPRODUCT((DC3:DC42=B4)*(DE3:DE42="D"))</f>
        <v>0</v>
      </c>
      <c r="E4" s="23">
        <f ca="1">SUMPRODUCT((CZ3:CZ42=B4)*(DD3:DD42="L"))+SUMPRODUCT((DC3:DC42=B4)*(DE3:DE42="L"))</f>
        <v>0</v>
      </c>
      <c r="F4" s="23">
        <f ca="1">SUMIF(CZ3:CZ60,B4,DA3:DA60)+SUMIF(DC3:DC60,B4,DB3:DB60)</f>
        <v>5</v>
      </c>
      <c r="G4" s="23">
        <f ca="1">SUMIF(DC3:DC60,B4,DA3:DA60)+SUMIF(CZ3:CZ60,B4,DB3:DB60)</f>
        <v>1</v>
      </c>
      <c r="H4" s="23">
        <f ca="1">F4-G4+1000</f>
        <v>1004</v>
      </c>
      <c r="I4" s="23">
        <f ca="1">C4*3+D4*1</f>
        <v>3</v>
      </c>
      <c r="J4" s="23">
        <v>54</v>
      </c>
      <c r="K4" s="23">
        <f ca="1">IF(COUNTIF(I4:I8,4)&lt;&gt;4,RANK(I4,I4:I8),I44)</f>
        <v>1</v>
      </c>
      <c r="M4" s="23">
        <f ca="1">SUMPRODUCT((K4:K7=K4)*(J4:J7&lt;J4))+K4</f>
        <v>2</v>
      </c>
      <c r="N4" s="23" t="str">
        <f ca="1">INDEX(B4:B8,MATCH(1,M4:M8,0),0)</f>
        <v>Switzerland</v>
      </c>
      <c r="O4" s="23">
        <f ca="1">INDEX(K4:K8,MATCH(N4,B4:B8,0),0)</f>
        <v>1</v>
      </c>
      <c r="P4" s="23" t="str">
        <f ca="1">IF(O5=1,N4,"")</f>
        <v>Switzerland</v>
      </c>
      <c r="Q4" s="23" t="str">
        <f ca="1">IF(O6=2,N5,"")</f>
        <v/>
      </c>
      <c r="R4" s="23" t="str">
        <f ca="1">IF(O7=3,N6,"")</f>
        <v>Scotland</v>
      </c>
      <c r="S4" s="23" t="str">
        <f>IF(O8=4,N7,"")</f>
        <v/>
      </c>
      <c r="U4" s="23" t="str">
        <f ca="1">IF(P4&lt;&gt;"",P4,"")</f>
        <v>Switzerland</v>
      </c>
      <c r="V4" s="23">
        <f ca="1">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23">
        <f ca="1">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23">
        <f ca="1">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23">
        <f ca="1">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23">
        <f ca="1">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23">
        <f ca="1">Y4-Z4+1000</f>
        <v>1000</v>
      </c>
      <c r="AB4" s="23">
        <f ca="1">IF(U4&lt;&gt;"",V4*3+W4*1,"")</f>
        <v>0</v>
      </c>
      <c r="AC4" s="23">
        <f ca="1">IF(U4&lt;&gt;"",VLOOKUP(U4,B4:H40,7,FALSE),"")</f>
        <v>1002</v>
      </c>
      <c r="AD4" s="23">
        <f ca="1">IF(U4&lt;&gt;"",VLOOKUP(U4,B4:H40,5,FALSE),"")</f>
        <v>3</v>
      </c>
      <c r="AE4" s="23">
        <f ca="1">IF(U4&lt;&gt;"",VLOOKUP(U4,B4:J40,9,FALSE),"")</f>
        <v>34</v>
      </c>
      <c r="AF4" s="23">
        <f ca="1">AB4</f>
        <v>0</v>
      </c>
      <c r="AG4" s="23">
        <f ca="1">IF(U4&lt;&gt;"",RANK(AF4,AF4:AF8),"")</f>
        <v>1</v>
      </c>
      <c r="AH4" s="23">
        <f ca="1">IF(U4&lt;&gt;"",SUMPRODUCT((AF4:AF8=AF4)*(AA4:AA8&gt;AA4)),"")</f>
        <v>0</v>
      </c>
      <c r="AI4" s="23">
        <f ca="1">IF(U4&lt;&gt;"",SUMPRODUCT((AF4:AF8=AF4)*(AA4:AA8=AA4)*(Y4:Y8&gt;Y4)),"")</f>
        <v>0</v>
      </c>
      <c r="AJ4" s="23">
        <f ca="1">IF(U4&lt;&gt;"",SUMPRODUCT((AF4:AF8=AF4)*(AA4:AA8=AA4)*(Y4:Y8=Y4)*(AC4:AC8&gt;AC4)),"")</f>
        <v>1</v>
      </c>
      <c r="AK4" s="23">
        <f ca="1">IF(U4&lt;&gt;"",SUMPRODUCT((AF4:AF8=AF4)*(AA4:AA8=AA4)*(Y4:Y8=Y4)*(AC4:AC8=AC4)*(AD4:AD8&gt;AD4)),"")</f>
        <v>0</v>
      </c>
      <c r="AL4" s="23">
        <f ca="1">IF(U4&lt;&gt;"",SUMPRODUCT((AF4:AF8=AF4)*(AA4:AA8=AA4)*(Y4:Y8=Y4)*(AC4:AC8=AC4)*(AD4:AD8=AD4)*(AE4:AE8&gt;AE4)),"")</f>
        <v>0</v>
      </c>
      <c r="AM4" s="23">
        <f ca="1">IF(U4&lt;&gt;"",IF(AM44&lt;&gt;"",IF(T43=3,AM44,AM44+T43),SUM(AG4:AL4)),"")</f>
        <v>2</v>
      </c>
      <c r="AN4" s="23" t="str">
        <f ca="1">IF(U4&lt;&gt;"",INDEX(U4:U8,MATCH(1,AM4:AM8,0),0),"")</f>
        <v>Germany</v>
      </c>
      <c r="CW4" s="23" t="str">
        <f ca="1">IF(AN4&lt;&gt;"",AN4,N4)</f>
        <v>Germany</v>
      </c>
      <c r="CX4" s="23">
        <v>1</v>
      </c>
      <c r="CY4" s="23">
        <v>2</v>
      </c>
      <c r="CZ4" s="23" t="str">
        <f>Tournament!G8</f>
        <v>Hungary</v>
      </c>
      <c r="DA4" s="23">
        <f ca="1">IF(AND(Tournament!H8&lt;&gt;"",Tournament!I8&lt;&gt;""),Tournament!H8,0)</f>
        <v>1</v>
      </c>
      <c r="DB4" s="23">
        <f ca="1">IF(AND(Tournament!I8&lt;&gt;"",Tournament!H8&lt;&gt;""),Tournament!I8,0)</f>
        <v>3</v>
      </c>
      <c r="DC4" s="23" t="str">
        <f>Tournament!J8</f>
        <v>Switzerland</v>
      </c>
      <c r="DD4" s="23" t="str">
        <f ca="1">IF(AND(Tournament!H8&lt;&gt;"",Tournament!I8&lt;&gt;""),IF(DA4&gt;DB4,"W",IF(DA4=DB4,"D","L")),"")</f>
        <v>L</v>
      </c>
      <c r="DE4" s="23" t="str">
        <f t="shared" ref="DE4:DE38" ca="1" si="0">IF(DD4&lt;&gt;"",IF(DD4="W","L",IF(DD4="L","W","D")),"")</f>
        <v>W</v>
      </c>
      <c r="DH4" s="23" t="str">
        <f ca="1">Tournament!P14</f>
        <v>Albania</v>
      </c>
      <c r="DI4" s="258">
        <f ca="1">Tournament!U14</f>
        <v>0</v>
      </c>
      <c r="DJ4" s="258">
        <f ca="1">Tournament!V14</f>
        <v>0</v>
      </c>
      <c r="DK4" s="258">
        <f ca="1">Tournament!W14</f>
        <v>1</v>
      </c>
      <c r="DL4" s="258">
        <f ca="1">Tournament!X14</f>
        <v>1</v>
      </c>
      <c r="DM4" s="258">
        <f ca="1">Tournament!Z14</f>
        <v>2</v>
      </c>
      <c r="DN4" s="258">
        <f ca="1">Tournament!AA14</f>
        <v>-1</v>
      </c>
      <c r="DO4" s="258">
        <f ca="1">Tournament!AB14</f>
        <v>0</v>
      </c>
      <c r="DP4" s="23">
        <f ca="1">IF(Tournament!AC14&lt;&gt;"",29,VLOOKUP(DH4,B4:J40,9,FALSE))</f>
        <v>44</v>
      </c>
      <c r="DQ4" s="23">
        <f ca="1">RANK(DO4,DO3:DO8)</f>
        <v>1</v>
      </c>
      <c r="DR4" s="23">
        <f ca="1">SUMPRODUCT((DQ3:DQ8=DQ4)*(DN3:DN8&gt;DN4))</f>
        <v>4</v>
      </c>
      <c r="DS4" s="23">
        <f ca="1">SUMPRODUCT((DQ3:DQ8=DQ4)*(DN3:DN8=DN4)*(DL3:DL8&gt;DL4))</f>
        <v>0</v>
      </c>
      <c r="DT4" s="23">
        <f ca="1">SUMPRODUCT((DQ3:DQ8=DQ4)*(DN3:DN8=DN4)*(DL3:DL8=DL4)*(DP3:DP8&gt;DP4))</f>
        <v>0</v>
      </c>
      <c r="DU4" s="23">
        <f t="shared" ref="DU4:DU8" ca="1" si="1">SUM(DQ4:DT4)</f>
        <v>5</v>
      </c>
      <c r="DV4" s="23" t="s">
        <v>3</v>
      </c>
      <c r="DW4" s="23">
        <v>2</v>
      </c>
    </row>
    <row r="5" spans="1:148" x14ac:dyDescent="0.25">
      <c r="A5" s="23">
        <f ca="1">VLOOKUP(B5,CW4:CX8,2,FALSE)</f>
        <v>4</v>
      </c>
      <c r="B5" s="23" t="str">
        <f>'Dummy Table'!EH8</f>
        <v>Scotland</v>
      </c>
      <c r="C5" s="23">
        <f ca="1">SUMPRODUCT((CZ3:CZ42=B5)*(DD3:DD42="W"))+SUMPRODUCT((DC3:DC42=B5)*(DE3:DE42="W"))</f>
        <v>0</v>
      </c>
      <c r="D5" s="23">
        <f ca="1">SUMPRODUCT((CZ3:CZ42=B5)*(DD3:DD42="D"))+SUMPRODUCT((DC3:DC42=B5)*(DE3:DE42="D"))</f>
        <v>0</v>
      </c>
      <c r="E5" s="23">
        <f ca="1">SUMPRODUCT((CZ3:CZ42=B5)*(DD3:DD42="L"))+SUMPRODUCT((DC3:DC42=B5)*(DE3:DE42="L"))</f>
        <v>1</v>
      </c>
      <c r="F5" s="23">
        <f ca="1">SUMIF(CZ3:CZ60,B5,DA3:DA60)+SUMIF(DC3:DC60,B5,DB3:DB60)</f>
        <v>1</v>
      </c>
      <c r="G5" s="23">
        <f ca="1">SUMIF(DC3:DC60,B5,DA3:DA60)+SUMIF(CZ3:CZ60,B5,DB3:DB60)</f>
        <v>5</v>
      </c>
      <c r="H5" s="23">
        <f t="shared" ref="H5:H7" ca="1" si="2">F5-G5+1000</f>
        <v>996</v>
      </c>
      <c r="I5" s="23">
        <f t="shared" ref="I5:I7" ca="1" si="3">C5*3+D5*1</f>
        <v>0</v>
      </c>
      <c r="J5" s="23">
        <v>43</v>
      </c>
      <c r="K5" s="23">
        <f ca="1">IF(COUNTIF(I4:I8,4)&lt;&gt;4,RANK(I5,I4:I8),I45)</f>
        <v>3</v>
      </c>
      <c r="M5" s="23">
        <f ca="1">SUMPRODUCT((K4:K7=K5)*(J4:J7&lt;J5))+K5</f>
        <v>3</v>
      </c>
      <c r="N5" s="23" t="str">
        <f ca="1">INDEX(B4:B8,MATCH(2,M4:M8,0),0)</f>
        <v>Germany</v>
      </c>
      <c r="O5" s="23">
        <f ca="1">INDEX(K4:K8,MATCH(N5,B4:B8,0),0)</f>
        <v>1</v>
      </c>
      <c r="P5" s="23" t="str">
        <f ca="1">IF(P4&lt;&gt;"",N5,"")</f>
        <v>Germany</v>
      </c>
      <c r="Q5" s="23" t="str">
        <f ca="1">IF(Q4&lt;&gt;"",N6,"")</f>
        <v/>
      </c>
      <c r="R5" s="23" t="str">
        <f ca="1">IF(R4&lt;&gt;"",N7,"")</f>
        <v>Hungary</v>
      </c>
      <c r="S5" s="23" t="str">
        <f>IF(S4&lt;&gt;"",N8,"")</f>
        <v/>
      </c>
      <c r="U5" s="23" t="str">
        <f t="shared" ref="U5:U7" ca="1" si="4">IF(P5&lt;&gt;"",P5,"")</f>
        <v>Germany</v>
      </c>
      <c r="V5" s="23">
        <f ca="1">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23">
        <f ca="1">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23">
        <f ca="1">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23">
        <f ca="1">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23">
        <f ca="1">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23">
        <f ca="1">Y5-Z5+1000</f>
        <v>1000</v>
      </c>
      <c r="AB5" s="23">
        <f t="shared" ref="AB5:AB7" ca="1" si="5">IF(U5&lt;&gt;"",V5*3+W5*1,"")</f>
        <v>0</v>
      </c>
      <c r="AC5" s="23">
        <f ca="1">IF(U5&lt;&gt;"",VLOOKUP(U5,B4:H40,7,FALSE),"")</f>
        <v>1004</v>
      </c>
      <c r="AD5" s="23">
        <f ca="1">IF(U5&lt;&gt;"",VLOOKUP(U5,B4:H40,5,FALSE),"")</f>
        <v>5</v>
      </c>
      <c r="AE5" s="23">
        <f ca="1">IF(U5&lt;&gt;"",VLOOKUP(U5,B4:J40,9,FALSE),"")</f>
        <v>54</v>
      </c>
      <c r="AF5" s="23">
        <f t="shared" ref="AF5:AF7" ca="1" si="6">AB5</f>
        <v>0</v>
      </c>
      <c r="AG5" s="23">
        <f ca="1">IF(U5&lt;&gt;"",RANK(AF5,AF4:AF8),"")</f>
        <v>1</v>
      </c>
      <c r="AH5" s="23">
        <f ca="1">IF(U5&lt;&gt;"",SUMPRODUCT((AF4:AF8=AF5)*(AA4:AA8&gt;AA5)),"")</f>
        <v>0</v>
      </c>
      <c r="AI5" s="23">
        <f ca="1">IF(U5&lt;&gt;"",SUMPRODUCT((AF4:AF8=AF5)*(AA4:AA8=AA5)*(Y4:Y8&gt;Y5)),"")</f>
        <v>0</v>
      </c>
      <c r="AJ5" s="23">
        <f ca="1">IF(U5&lt;&gt;"",SUMPRODUCT((AF4:AF8=AF5)*(AA4:AA8=AA5)*(Y4:Y8=Y5)*(AC4:AC8&gt;AC5)),"")</f>
        <v>0</v>
      </c>
      <c r="AK5" s="23">
        <f ca="1">IF(U5&lt;&gt;"",SUMPRODUCT((AF4:AF8=AF5)*(AA4:AA8=AA5)*(Y4:Y8=Y5)*(AC4:AC8=AC5)*(AD4:AD8&gt;AD5)),"")</f>
        <v>0</v>
      </c>
      <c r="AL5" s="23">
        <f ca="1">IF(U5&lt;&gt;"",SUMPRODUCT((AF4:AF8=AF5)*(AA4:AA8=AA5)*(Y4:Y8=Y5)*(AC4:AC8=AC5)*(AD4:AD8=AD5)*(AE4:AE8&gt;AE5)),"")</f>
        <v>0</v>
      </c>
      <c r="AM5" s="23">
        <f ca="1">IF(U5&lt;&gt;"",IF(AM45&lt;&gt;"",IF(T43=3,AM45,AM45+T43),SUM(AG5:AL5)),"")</f>
        <v>1</v>
      </c>
      <c r="AN5" s="23" t="str">
        <f ca="1">IF(U5&lt;&gt;"",INDEX(U4:U8,MATCH(2,AM4:AM8,0),0),"")</f>
        <v>Switzerland</v>
      </c>
      <c r="AO5" s="23" t="str">
        <f ca="1">IF(Q4&lt;&gt;"",Q4,"")</f>
        <v/>
      </c>
      <c r="AP5" s="23">
        <f ca="1">SUMPRODUCT((CZ3:CZ42=AO5)*(DC3:DC42=AO6)*(DD3:DD42="W"))+SUMPRODUCT((CZ3:CZ42=AO5)*(DC3:DC42=AO7)*(DD3:DD42="W"))+SUMPRODUCT((CZ3:CZ42=AO5)*(DC3:DC42=AO8)*(DD3:DD42="W"))+SUMPRODUCT((CZ3:CZ42=AO6)*(DC3:DC42=AO5)*(DE3:DE42="W"))+SUMPRODUCT((CZ3:CZ42=AO7)*(DC3:DC42=AO5)*(DE3:DE42="W"))+SUMPRODUCT((CZ3:CZ42=AO8)*(DC3:DC42=AO5)*(DE3:DE42="W"))</f>
        <v>0</v>
      </c>
      <c r="AQ5" s="23">
        <f ca="1">SUMPRODUCT((CZ3:CZ42=AO5)*(DC3:DC42=AO6)*(DD3:DD42="D"))+SUMPRODUCT((CZ3:CZ42=AO5)*(DC3:DC42=AO7)*(DD3:DD42="D"))+SUMPRODUCT((CZ3:CZ42=AO5)*(DC3:DC42=AO8)*(DD3:DD42="D"))+SUMPRODUCT((CZ3:CZ42=AO6)*(DC3:DC42=AO5)*(DD3:DD42="D"))+SUMPRODUCT((CZ3:CZ42=AO7)*(DC3:DC42=AO5)*(DD3:DD42="D"))+SUMPRODUCT((CZ3:CZ42=AO8)*(DC3:DC42=AO5)*(DD3:DD42="D"))</f>
        <v>0</v>
      </c>
      <c r="AR5" s="23">
        <f ca="1">SUMPRODUCT((CZ3:CZ42=AO5)*(DC3:DC42=AO6)*(DD3:DD42="L"))+SUMPRODUCT((CZ3:CZ42=AO5)*(DC3:DC42=AO7)*(DD3:DD42="L"))+SUMPRODUCT((CZ3:CZ42=AO5)*(DC3:DC42=AO8)*(DD3:DD42="L"))+SUMPRODUCT((CZ3:CZ42=AO6)*(DC3:DC42=AO5)*(DE3:DE42="L"))+SUMPRODUCT((CZ3:CZ42=AO7)*(DC3:DC42=AO5)*(DE3:DE42="L"))+SUMPRODUCT((CZ3:CZ42=AO8)*(DC3:DC42=AO5)*(DE3:DE42="L"))</f>
        <v>0</v>
      </c>
      <c r="AS5" s="23">
        <f ca="1">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23">
        <f ca="1">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23">
        <f ca="1">AS5-AT5+1000</f>
        <v>1000</v>
      </c>
      <c r="AV5" s="23" t="str">
        <f t="shared" ref="AV5:AV7" ca="1" si="7">IF(AO5&lt;&gt;"",AP5*3+AQ5*1,"")</f>
        <v/>
      </c>
      <c r="AW5" s="23" t="str">
        <f ca="1">IF(AO5&lt;&gt;"",VLOOKUP(AO5,B4:H40,7,FALSE),"")</f>
        <v/>
      </c>
      <c r="AX5" s="23" t="str">
        <f ca="1">IF(AO5&lt;&gt;"",VLOOKUP(AO5,B4:H40,5,FALSE),"")</f>
        <v/>
      </c>
      <c r="AY5" s="23" t="str">
        <f ca="1">IF(AO5&lt;&gt;"",VLOOKUP(AO5,B4:J40,9,FALSE),"")</f>
        <v/>
      </c>
      <c r="AZ5" s="23" t="str">
        <f t="shared" ref="AZ5:AZ7" ca="1" si="8">AV5</f>
        <v/>
      </c>
      <c r="BA5" s="23" t="str">
        <f ca="1">IF(AO5&lt;&gt;"",RANK(AZ5,AZ4:AZ8),"")</f>
        <v/>
      </c>
      <c r="BB5" s="23" t="str">
        <f ca="1">IF(AO5&lt;&gt;"",SUMPRODUCT((AZ4:AZ8=AZ5)*(AU4:AU8&gt;AU5)),"")</f>
        <v/>
      </c>
      <c r="BC5" s="23" t="str">
        <f ca="1">IF(AO5&lt;&gt;"",SUMPRODUCT((AZ4:AZ8=AZ5)*(AU4:AU8=AU5)*(AS4:AS8&gt;AS5)),"")</f>
        <v/>
      </c>
      <c r="BD5" s="23" t="str">
        <f ca="1">IF(AO5&lt;&gt;"",SUMPRODUCT((AZ4:AZ8=AZ5)*(AU4:AU8=AU5)*(AS4:AS8=AS5)*(AW4:AW8&gt;AW5)),"")</f>
        <v/>
      </c>
      <c r="BE5" s="23" t="str">
        <f ca="1">IF(AO5&lt;&gt;"",SUMPRODUCT((AZ4:AZ8=AZ5)*(AU4:AU8=AU5)*(AS4:AS8=AS5)*(AW4:AW8=AW5)*(AX4:AX8&gt;AX5)),"")</f>
        <v/>
      </c>
      <c r="BF5" s="23" t="str">
        <f ca="1">IF(AO5&lt;&gt;"",SUMPRODUCT((AZ4:AZ8=AZ5)*(AU4:AU8=AU5)*(AS4:AS8=AS5)*(AW4:AW8=AW5)*(AX4:AX8=AX5)*(AY4:AY8&gt;AY5)),"")</f>
        <v/>
      </c>
      <c r="BG5" s="23" t="str">
        <f ca="1">IF(AO5&lt;&gt;"",IF(BG45&lt;&gt;"",IF(AN43=3,BG45,BG45+AN43),SUM(BA5:BF5)+1),"")</f>
        <v/>
      </c>
      <c r="BH5" s="23" t="str">
        <f ca="1">IF(AO5&lt;&gt;"",INDEX(AO5:AO8,MATCH(2,BG5:BG8,0),0),"")</f>
        <v/>
      </c>
      <c r="CW5" s="23" t="str">
        <f ca="1">IF(BH5&lt;&gt;"",BH5,IF(AN5&lt;&gt;"",AN5,N5))</f>
        <v>Switzerland</v>
      </c>
      <c r="CX5" s="23">
        <v>2</v>
      </c>
      <c r="CY5" s="23">
        <v>3</v>
      </c>
      <c r="CZ5" s="23" t="str">
        <f>Tournament!G9</f>
        <v>Spain</v>
      </c>
      <c r="DA5" s="23">
        <f ca="1">IF(AND(Tournament!H9&lt;&gt;"",Tournament!I9&lt;&gt;""),Tournament!H9,0)</f>
        <v>3</v>
      </c>
      <c r="DB5" s="23">
        <f ca="1">IF(AND(Tournament!I9&lt;&gt;"",Tournament!H9&lt;&gt;""),Tournament!I9,0)</f>
        <v>0</v>
      </c>
      <c r="DC5" s="23" t="str">
        <f>Tournament!J9</f>
        <v>Croatia</v>
      </c>
      <c r="DD5" s="23" t="str">
        <f ca="1">IF(AND(Tournament!H9&lt;&gt;"",Tournament!I9&lt;&gt;""),IF(DA5&gt;DB5,"W",IF(DA5=DB5,"D","L")),"")</f>
        <v>W</v>
      </c>
      <c r="DE5" s="23" t="str">
        <f t="shared" ca="1" si="0"/>
        <v>L</v>
      </c>
      <c r="DH5" s="23" t="str">
        <f ca="1">Tournament!P19</f>
        <v>Slovenia</v>
      </c>
      <c r="DI5" s="258">
        <f ca="1">Tournament!U19</f>
        <v>0</v>
      </c>
      <c r="DJ5" s="258">
        <f ca="1">Tournament!V19</f>
        <v>0</v>
      </c>
      <c r="DK5" s="258">
        <f ca="1">Tournament!W19</f>
        <v>0</v>
      </c>
      <c r="DL5" s="258">
        <f ca="1">Tournament!X19</f>
        <v>0</v>
      </c>
      <c r="DM5" s="258">
        <f ca="1">Tournament!Z19</f>
        <v>0</v>
      </c>
      <c r="DN5" s="258">
        <f ca="1">Tournament!AA19</f>
        <v>0</v>
      </c>
      <c r="DO5" s="258">
        <f ca="1">Tournament!AB19</f>
        <v>0</v>
      </c>
      <c r="DP5" s="23">
        <f ca="1">IF(Tournament!AC19&lt;&gt;"",28,VLOOKUP(DH5,B4:J40,9,FALSE))</f>
        <v>39</v>
      </c>
      <c r="DQ5" s="23">
        <f ca="1">RANK(DO5,DO3:DO8)</f>
        <v>1</v>
      </c>
      <c r="DR5" s="23">
        <f ca="1">SUMPRODUCT((DQ3:DQ8=DQ5)*(DN3:DN8&gt;DN5))</f>
        <v>0</v>
      </c>
      <c r="DS5" s="23">
        <f ca="1">SUMPRODUCT((DQ3:DQ8=DQ5)*(DN3:DN8=DN5)*(DL3:DL8&gt;DL5))</f>
        <v>0</v>
      </c>
      <c r="DT5" s="23">
        <f ca="1">SUMPRODUCT((DQ3:DQ8=DQ5)*(DN3:DN8=DN5)*(DL3:DL8=DL5)*(DP3:DP8&gt;DP5))</f>
        <v>1</v>
      </c>
      <c r="DU5" s="23">
        <f t="shared" ca="1" si="1"/>
        <v>2</v>
      </c>
      <c r="DV5" s="23" t="s">
        <v>4</v>
      </c>
      <c r="DW5" s="23">
        <v>3</v>
      </c>
    </row>
    <row r="6" spans="1:148" x14ac:dyDescent="0.25">
      <c r="A6" s="23">
        <f ca="1">VLOOKUP(B6,CW4:CX8,2,FALSE)</f>
        <v>3</v>
      </c>
      <c r="B6" s="23" t="str">
        <f>'Dummy Table'!EH9</f>
        <v>Hungary</v>
      </c>
      <c r="C6" s="23">
        <f ca="1">SUMPRODUCT((CZ3:CZ42=B6)*(DD3:DD42="W"))+SUMPRODUCT((DC3:DC42=B6)*(DE3:DE42="W"))</f>
        <v>0</v>
      </c>
      <c r="D6" s="23">
        <f ca="1">SUMPRODUCT((CZ3:CZ42=B6)*(DD3:DD42="D"))+SUMPRODUCT((DC3:DC42=B6)*(DE3:DE42="D"))</f>
        <v>0</v>
      </c>
      <c r="E6" s="23">
        <f ca="1">SUMPRODUCT((CZ3:CZ42=B6)*(DD3:DD42="L"))+SUMPRODUCT((DC3:DC42=B6)*(DE3:DE42="L"))</f>
        <v>1</v>
      </c>
      <c r="F6" s="23">
        <f ca="1">SUMIF(CZ3:CZ60,B6,DA3:DA60)+SUMIF(DC3:DC60,B6,DB3:DB60)</f>
        <v>1</v>
      </c>
      <c r="G6" s="23">
        <f ca="1">SUMIF(DC3:DC60,B6,DA3:DA60)+SUMIF(CZ3:CZ60,B6,DB3:DB60)</f>
        <v>3</v>
      </c>
      <c r="H6" s="23">
        <f t="shared" ca="1" si="2"/>
        <v>998</v>
      </c>
      <c r="I6" s="23">
        <f t="shared" ca="1" si="3"/>
        <v>0</v>
      </c>
      <c r="J6" s="23">
        <v>48</v>
      </c>
      <c r="K6" s="23">
        <f ca="1">IF(COUNTIF(I4:I8,4)&lt;&gt;4,RANK(I6,I4:I8),I46)</f>
        <v>3</v>
      </c>
      <c r="M6" s="23">
        <f ca="1">SUMPRODUCT((K4:K7=K6)*(J4:J7&lt;J6))+K6</f>
        <v>4</v>
      </c>
      <c r="N6" s="23" t="str">
        <f ca="1">INDEX(B4:B8,MATCH(3,M4:M8,0),0)</f>
        <v>Scotland</v>
      </c>
      <c r="O6" s="23">
        <f ca="1">INDEX(K4:K8,MATCH(N6,B4:B8,0),0)</f>
        <v>3</v>
      </c>
      <c r="P6" s="23" t="str">
        <f ca="1">IF(AND(P5&lt;&gt;"",O6=1),N6,"")</f>
        <v/>
      </c>
      <c r="Q6" s="23" t="str">
        <f ca="1">IF(AND(Q5&lt;&gt;"",O7=2),N7,"")</f>
        <v/>
      </c>
      <c r="R6" s="23" t="str">
        <f ca="1">IF(AND(R5&lt;&gt;"",O8=3),N8,"")</f>
        <v/>
      </c>
      <c r="U6" s="23" t="str">
        <f t="shared" ca="1" si="4"/>
        <v/>
      </c>
      <c r="V6" s="23">
        <f ca="1">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23">
        <f ca="1">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23">
        <f ca="1">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23">
        <f ca="1">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23">
        <f ca="1">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23">
        <f ca="1">Y6-Z6+1000</f>
        <v>1000</v>
      </c>
      <c r="AB6" s="23" t="str">
        <f t="shared" ca="1" si="5"/>
        <v/>
      </c>
      <c r="AC6" s="23" t="str">
        <f ca="1">IF(U6&lt;&gt;"",VLOOKUP(U6,B4:H40,7,FALSE),"")</f>
        <v/>
      </c>
      <c r="AD6" s="23" t="str">
        <f ca="1">IF(U6&lt;&gt;"",VLOOKUP(U6,B4:H40,5,FALSE),"")</f>
        <v/>
      </c>
      <c r="AE6" s="23" t="str">
        <f ca="1">IF(U6&lt;&gt;"",VLOOKUP(U6,B4:J40,9,FALSE),"")</f>
        <v/>
      </c>
      <c r="AF6" s="23" t="str">
        <f t="shared" ca="1" si="6"/>
        <v/>
      </c>
      <c r="AG6" s="23" t="str">
        <f ca="1">IF(U6&lt;&gt;"",RANK(AF6,AF4:AF8),"")</f>
        <v/>
      </c>
      <c r="AH6" s="23" t="str">
        <f ca="1">IF(U6&lt;&gt;"",SUMPRODUCT((AF4:AF8=AF6)*(AA4:AA8&gt;AA6)),"")</f>
        <v/>
      </c>
      <c r="AI6" s="23" t="str">
        <f ca="1">IF(U6&lt;&gt;"",SUMPRODUCT((AF4:AF8=AF6)*(AA4:AA8=AA6)*(Y4:Y8&gt;Y6)),"")</f>
        <v/>
      </c>
      <c r="AJ6" s="23" t="str">
        <f ca="1">IF(U6&lt;&gt;"",SUMPRODUCT((AF4:AF8=AF6)*(AA4:AA8=AA6)*(Y4:Y8=Y6)*(AC4:AC8&gt;AC6)),"")</f>
        <v/>
      </c>
      <c r="AK6" s="23" t="str">
        <f ca="1">IF(U6&lt;&gt;"",SUMPRODUCT((AF4:AF8=AF6)*(AA4:AA8=AA6)*(Y4:Y8=Y6)*(AC4:AC8=AC6)*(AD4:AD8&gt;AD6)),"")</f>
        <v/>
      </c>
      <c r="AL6" s="23" t="str">
        <f ca="1">IF(U6&lt;&gt;"",SUMPRODUCT((AF4:AF8=AF6)*(AA4:AA8=AA6)*(Y4:Y8=Y6)*(AC4:AC8=AC6)*(AD4:AD8=AD6)*(AE4:AE8&gt;AE6)),"")</f>
        <v/>
      </c>
      <c r="AM6" s="23" t="str">
        <f ca="1">IF(U6&lt;&gt;"",IF(AM46&lt;&gt;"",IF(T43=3,AM46,AM46+T43),SUM(AG6:AL6)),"")</f>
        <v/>
      </c>
      <c r="AN6" s="23" t="str">
        <f ca="1">IF(U6&lt;&gt;"",INDEX(U4:U8,MATCH(3,AM4:AM8,0),0),"")</f>
        <v/>
      </c>
      <c r="AO6" s="23" t="str">
        <f ca="1">IF(Q5&lt;&gt;"",Q5,"")</f>
        <v/>
      </c>
      <c r="AP6" s="23">
        <f ca="1">SUMPRODUCT((CZ3:CZ42=AO6)*(DC3:DC42=AO7)*(DD3:DD42="W"))+SUMPRODUCT((CZ3:CZ42=AO6)*(DC3:DC42=AO8)*(DD3:DD42="W"))+SUMPRODUCT((CZ3:CZ42=AO6)*(DC3:DC42=AO5)*(DD3:DD42="W"))+SUMPRODUCT((CZ3:CZ42=AO7)*(DC3:DC42=AO6)*(DE3:DE42="W"))+SUMPRODUCT((CZ3:CZ42=AO8)*(DC3:DC42=AO6)*(DE3:DE42="W"))+SUMPRODUCT((CZ3:CZ42=AO5)*(DC3:DC42=AO6)*(DE3:DE42="W"))</f>
        <v>0</v>
      </c>
      <c r="AQ6" s="23">
        <f ca="1">SUMPRODUCT((CZ3:CZ42=AO6)*(DC3:DC42=AO7)*(DD3:DD42="D"))+SUMPRODUCT((CZ3:CZ42=AO6)*(DC3:DC42=AO8)*(DD3:DD42="D"))+SUMPRODUCT((CZ3:CZ42=AO6)*(DC3:DC42=AO5)*(DD3:DD42="D"))+SUMPRODUCT((CZ3:CZ42=AO7)*(DC3:DC42=AO6)*(DD3:DD42="D"))+SUMPRODUCT((CZ3:CZ42=AO8)*(DC3:DC42=AO6)*(DD3:DD42="D"))+SUMPRODUCT((CZ3:CZ42=AO5)*(DC3:DC42=AO6)*(DD3:DD42="D"))</f>
        <v>0</v>
      </c>
      <c r="AR6" s="23">
        <f ca="1">SUMPRODUCT((CZ3:CZ42=AO6)*(DC3:DC42=AO7)*(DD3:DD42="L"))+SUMPRODUCT((CZ3:CZ42=AO6)*(DC3:DC42=AO8)*(DD3:DD42="L"))+SUMPRODUCT((CZ3:CZ42=AO6)*(DC3:DC42=AO5)*(DD3:DD42="L"))+SUMPRODUCT((CZ3:CZ42=AO7)*(DC3:DC42=AO6)*(DE3:DE42="L"))+SUMPRODUCT((CZ3:CZ42=AO8)*(DC3:DC42=AO6)*(DE3:DE42="L"))+SUMPRODUCT((CZ3:CZ42=AO5)*(DC3:DC42=AO6)*(DE3:DE42="L"))</f>
        <v>0</v>
      </c>
      <c r="AS6" s="23">
        <f ca="1">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23">
        <f ca="1">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23">
        <f ca="1">AS6-AT6+1000</f>
        <v>1000</v>
      </c>
      <c r="AV6" s="23" t="str">
        <f t="shared" ca="1" si="7"/>
        <v/>
      </c>
      <c r="AW6" s="23" t="str">
        <f ca="1">IF(AO6&lt;&gt;"",VLOOKUP(AO6,B4:H40,7,FALSE),"")</f>
        <v/>
      </c>
      <c r="AX6" s="23" t="str">
        <f ca="1">IF(AO6&lt;&gt;"",VLOOKUP(AO6,B4:H40,5,FALSE),"")</f>
        <v/>
      </c>
      <c r="AY6" s="23" t="str">
        <f ca="1">IF(AO6&lt;&gt;"",VLOOKUP(AO6,B4:J40,9,FALSE),"")</f>
        <v/>
      </c>
      <c r="AZ6" s="23" t="str">
        <f t="shared" ca="1" si="8"/>
        <v/>
      </c>
      <c r="BA6" s="23" t="str">
        <f ca="1">IF(AO6&lt;&gt;"",RANK(AZ6,AZ4:AZ8),"")</f>
        <v/>
      </c>
      <c r="BB6" s="23" t="str">
        <f ca="1">IF(AO6&lt;&gt;"",SUMPRODUCT((AZ4:AZ8=AZ6)*(AU4:AU8&gt;AU6)),"")</f>
        <v/>
      </c>
      <c r="BC6" s="23" t="str">
        <f ca="1">IF(AO6&lt;&gt;"",SUMPRODUCT((AZ4:AZ8=AZ6)*(AU4:AU8=AU6)*(AS4:AS8&gt;AS6)),"")</f>
        <v/>
      </c>
      <c r="BD6" s="23" t="str">
        <f ca="1">IF(AO6&lt;&gt;"",SUMPRODUCT((AZ4:AZ8=AZ6)*(AU4:AU8=AU6)*(AS4:AS8=AS6)*(AW4:AW8&gt;AW6)),"")</f>
        <v/>
      </c>
      <c r="BE6" s="23" t="str">
        <f ca="1">IF(AO6&lt;&gt;"",SUMPRODUCT((AZ4:AZ8=AZ6)*(AU4:AU8=AU6)*(AS4:AS8=AS6)*(AW4:AW8=AW6)*(AX4:AX8&gt;AX6)),"")</f>
        <v/>
      </c>
      <c r="BF6" s="23" t="str">
        <f ca="1">IF(AO6&lt;&gt;"",SUMPRODUCT((AZ4:AZ8=AZ6)*(AU4:AU8=AU6)*(AS4:AS8=AS6)*(AW4:AW8=AW6)*(AX4:AX8=AX6)*(AY4:AY8&gt;AY6)),"")</f>
        <v/>
      </c>
      <c r="BG6" s="23" t="str">
        <f ca="1">IF(AO6&lt;&gt;"",IF(BG46&lt;&gt;"",IF(AN43=3,BG46,BG46+AN43),SUM(BA6:BF6)+1),"")</f>
        <v/>
      </c>
      <c r="BH6" s="23" t="str">
        <f ca="1">IF(AO6&lt;&gt;"",INDEX(AO5:AO8,MATCH(3,BG5:BG8,0),0),"")</f>
        <v/>
      </c>
      <c r="BI6" s="23" t="str">
        <f ca="1">IF(R4&lt;&gt;"",R4,"")</f>
        <v>Scotland</v>
      </c>
      <c r="BJ6" s="23">
        <f ca="1">SUMPRODUCT((CZ3:CZ42=BI6)*(DC3:DC42=BI7)*(DD3:DD42="W"))+SUMPRODUCT((CZ3:CZ42=BI6)*(DC3:DC42=BI8)*(DD3:DD42="W"))+SUMPRODUCT((CZ3:CZ42=BI6)*(DC3:DC42=BI9)*(DD3:DD42="W"))+SUMPRODUCT((CZ3:CZ42=BI7)*(DC3:DC42=BI6)*(DE3:DE42="W"))+SUMPRODUCT((CZ3:CZ42=BI8)*(DC3:DC42=BI6)*(DE3:DE42="W"))+SUMPRODUCT((CZ3:CZ42=BI9)*(DC3:DC42=BI6)*(DE3:DE42="W"))</f>
        <v>0</v>
      </c>
      <c r="BK6" s="23">
        <f ca="1">SUMPRODUCT((CZ3:CZ42=BI6)*(DC3:DC42=BI7)*(DD3:DD42="D"))+SUMPRODUCT((CZ3:CZ42=BI6)*(DC3:DC42=BI8)*(DD3:DD42="D"))+SUMPRODUCT((CZ3:CZ42=BI6)*(DC3:DC42=BI9)*(DD3:DD42="D"))+SUMPRODUCT((CZ3:CZ42=BI7)*(DC3:DC42=BI6)*(DD3:DD42="D"))+SUMPRODUCT((CZ3:CZ42=BI8)*(DC3:DC42=BI6)*(DD3:DD42="D"))+SUMPRODUCT((CZ3:CZ42=BI9)*(DC3:DC42=BI6)*(DD3:DD42="D"))</f>
        <v>0</v>
      </c>
      <c r="BL6" s="23">
        <f ca="1">SUMPRODUCT((CZ3:CZ42=BI6)*(DC3:DC42=BI7)*(DD3:DD42="L"))+SUMPRODUCT((CZ3:CZ42=BI6)*(DC3:DC42=BI8)*(DD3:DD42="L"))+SUMPRODUCT((CZ3:CZ42=BI6)*(DC3:DC42=BI9)*(DD3:DD42="L"))+SUMPRODUCT((CZ3:CZ42=BI7)*(DC3:DC42=BI6)*(DE3:DE42="L"))+SUMPRODUCT((CZ3:CZ42=BI8)*(DC3:DC42=BI6)*(DE3:DE42="L"))+SUMPRODUCT((CZ3:CZ42=BI9)*(DC3:DC42=BI6)*(DE3:DE42="L"))</f>
        <v>0</v>
      </c>
      <c r="BM6" s="23">
        <f ca="1">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23">
        <f ca="1">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23">
        <f ca="1">BM6-BN6+1000</f>
        <v>1000</v>
      </c>
      <c r="BP6" s="23">
        <f t="shared" ref="BP6:BP7" ca="1" si="9">IF(BI6&lt;&gt;"",BJ6*3+BK6*1,"")</f>
        <v>0</v>
      </c>
      <c r="BQ6" s="23">
        <f ca="1">IF(BI6&lt;&gt;"",VLOOKUP(BI6,B4:H40,7,FALSE),"")</f>
        <v>996</v>
      </c>
      <c r="BR6" s="23">
        <f ca="1">IF(BI6&lt;&gt;"",VLOOKUP(BI6,B4:H40,5,FALSE),"")</f>
        <v>1</v>
      </c>
      <c r="BS6" s="23">
        <f ca="1">IF(BI6&lt;&gt;"",VLOOKUP(BI6,B4:J40,9,FALSE),"")</f>
        <v>43</v>
      </c>
      <c r="BT6" s="23">
        <f t="shared" ref="BT6:BT7" ca="1" si="10">BP6</f>
        <v>0</v>
      </c>
      <c r="BU6" s="23">
        <f ca="1">IF(BI6&lt;&gt;"",RANK(BT6,BT4:BT8),"")</f>
        <v>1</v>
      </c>
      <c r="BV6" s="23">
        <f ca="1">IF(BI6&lt;&gt;"",SUMPRODUCT((BT4:BT8=BT6)*(BO4:BO8&gt;BO6)),"")</f>
        <v>0</v>
      </c>
      <c r="BW6" s="23">
        <f ca="1">IF(BI6&lt;&gt;"",SUMPRODUCT((BT4:BT8=BT6)*(BO4:BO8=BO6)*(BM4:BM8&gt;BM6)),"")</f>
        <v>0</v>
      </c>
      <c r="BX6" s="23">
        <f ca="1">IF(BI6&lt;&gt;"",SUMPRODUCT((BT4:BT8=BT6)*(BO4:BO8=BO6)*(BM4:BM8=BM6)*(BQ4:BQ8&gt;BQ6)),"")</f>
        <v>1</v>
      </c>
      <c r="BY6" s="23">
        <f ca="1">IF(BI6&lt;&gt;"",SUMPRODUCT((BT4:BT8=BT6)*(BO4:BO8=BO6)*(BM4:BM8=BM6)*(BQ4:BQ8=BQ6)*(BR4:BR8&gt;BR6)),"")</f>
        <v>0</v>
      </c>
      <c r="BZ6" s="23">
        <f ca="1">IF(BI6&lt;&gt;"",SUMPRODUCT((BT4:BT8=BT6)*(BO4:BO8=BO6)*(BM4:BM8=BM6)*(BQ4:BQ8=BQ6)*(BR4:BR8=BR6)*(BS4:BS8&gt;BS6)),"")</f>
        <v>0</v>
      </c>
      <c r="CA6" s="23">
        <f ca="1">IF(BI6&lt;&gt;"",SUM(BU6:BZ6)+2,"")</f>
        <v>4</v>
      </c>
      <c r="CB6" s="23" t="str">
        <f ca="1">IF(BI6&lt;&gt;"",INDEX(BI6:BI8,MATCH(3,CA6:CA8,0),0),"")</f>
        <v>Hungary</v>
      </c>
      <c r="CW6" s="23" t="str">
        <f ca="1">IF(CB6&lt;&gt;"",CB6,IF(BH6&lt;&gt;"",BH6,IF(AN6&lt;&gt;"",AN6,N6)))</f>
        <v>Hungary</v>
      </c>
      <c r="CX6" s="23">
        <v>3</v>
      </c>
      <c r="CY6" s="23">
        <v>4</v>
      </c>
      <c r="CZ6" s="23" t="str">
        <f>Tournament!G10</f>
        <v>Italy</v>
      </c>
      <c r="DA6" s="23">
        <f ca="1">IF(AND(Tournament!H10&lt;&gt;"",Tournament!I10&lt;&gt;""),Tournament!H10,0)</f>
        <v>2</v>
      </c>
      <c r="DB6" s="23">
        <f ca="1">IF(AND(Tournament!I10&lt;&gt;"",Tournament!H10&lt;&gt;""),Tournament!I10,0)</f>
        <v>1</v>
      </c>
      <c r="DC6" s="23" t="str">
        <f>Tournament!J10</f>
        <v>Albania</v>
      </c>
      <c r="DD6" s="23" t="str">
        <f ca="1">IF(AND(Tournament!H10&lt;&gt;"",Tournament!I10&lt;&gt;""),IF(DA6&gt;DB6,"W",IF(DA6=DB6,"D","L")),"")</f>
        <v>W</v>
      </c>
      <c r="DE6" s="23" t="str">
        <f t="shared" ca="1" si="0"/>
        <v>L</v>
      </c>
      <c r="DH6" s="23" t="str">
        <f ca="1">Tournament!P24</f>
        <v>Austria</v>
      </c>
      <c r="DI6" s="258">
        <f ca="1">Tournament!U24</f>
        <v>0</v>
      </c>
      <c r="DJ6" s="258">
        <f ca="1">Tournament!V24</f>
        <v>0</v>
      </c>
      <c r="DK6" s="258">
        <f ca="1">Tournament!W24</f>
        <v>0</v>
      </c>
      <c r="DL6" s="258">
        <f ca="1">Tournament!X24</f>
        <v>0</v>
      </c>
      <c r="DM6" s="258">
        <f ca="1">Tournament!Z24</f>
        <v>0</v>
      </c>
      <c r="DN6" s="258">
        <f ca="1">Tournament!AA24</f>
        <v>0</v>
      </c>
      <c r="DO6" s="258">
        <f ca="1">Tournament!AB24</f>
        <v>0</v>
      </c>
      <c r="DP6" s="23">
        <f ca="1">IF(Tournament!AC24&lt;&gt;"",27,VLOOKUP(DH6,B4:J40,9,FALSE))</f>
        <v>41</v>
      </c>
      <c r="DQ6" s="23">
        <f ca="1">RANK(DO6,DO3:DO8)</f>
        <v>1</v>
      </c>
      <c r="DR6" s="23">
        <f ca="1">SUMPRODUCT((DQ3:DQ8=DQ6)*(DN3:DN8&gt;DN6))</f>
        <v>0</v>
      </c>
      <c r="DS6" s="23">
        <f ca="1">SUMPRODUCT((DQ3:DQ8=DQ6)*(DN3:DN8=DN6)*(DL3:DL8&gt;DL6))</f>
        <v>0</v>
      </c>
      <c r="DT6" s="23">
        <f ca="1">SUMPRODUCT((DQ3:DQ8=DQ6)*(DN3:DN8=DN6)*(DL3:DL8=DL6)*(DP3:DP8&gt;DP6))</f>
        <v>0</v>
      </c>
      <c r="DU6" s="23">
        <f t="shared" ca="1" si="1"/>
        <v>1</v>
      </c>
      <c r="DV6" s="23" t="s">
        <v>13</v>
      </c>
      <c r="DW6" s="23">
        <v>4</v>
      </c>
      <c r="EF6" s="259" t="s">
        <v>2</v>
      </c>
      <c r="EG6" s="259"/>
      <c r="EH6" s="259" t="s">
        <v>16</v>
      </c>
      <c r="EI6" s="259"/>
      <c r="EJ6" s="259"/>
      <c r="EK6" s="23" t="s">
        <v>58</v>
      </c>
    </row>
    <row r="7" spans="1:148" x14ac:dyDescent="0.25">
      <c r="A7" s="23">
        <f ca="1">VLOOKUP(B7,CW4:CX8,2,FALSE)</f>
        <v>2</v>
      </c>
      <c r="B7" s="23" t="str">
        <f>'Dummy Table'!EH10</f>
        <v>Switzerland</v>
      </c>
      <c r="C7" s="23">
        <f ca="1">SUMPRODUCT((CZ3:CZ42=B7)*(DD3:DD42="W"))+SUMPRODUCT((DC3:DC42=B7)*(DE3:DE42="W"))</f>
        <v>1</v>
      </c>
      <c r="D7" s="23">
        <f ca="1">SUMPRODUCT((CZ3:CZ42=B7)*(DD3:DD42="D"))+SUMPRODUCT((DC3:DC42=B7)*(DE3:DE42="D"))</f>
        <v>0</v>
      </c>
      <c r="E7" s="23">
        <f ca="1">SUMPRODUCT((CZ3:CZ42=B7)*(DD3:DD42="L"))+SUMPRODUCT((DC3:DC42=B7)*(DE3:DE42="L"))</f>
        <v>0</v>
      </c>
      <c r="F7" s="23">
        <f ca="1">SUMIF(CZ3:CZ60,B7,DA3:DA60)+SUMIF(DC3:DC60,B7,DB3:DB60)</f>
        <v>3</v>
      </c>
      <c r="G7" s="23">
        <f ca="1">SUMIF(DC3:DC60,B7,DA3:DA60)+SUMIF(CZ3:CZ60,B7,DB3:DB60)</f>
        <v>1</v>
      </c>
      <c r="H7" s="23">
        <f t="shared" ca="1" si="2"/>
        <v>1002</v>
      </c>
      <c r="I7" s="23">
        <f t="shared" ca="1" si="3"/>
        <v>3</v>
      </c>
      <c r="J7" s="23">
        <v>34</v>
      </c>
      <c r="K7" s="23">
        <f ca="1">IF(COUNTIF(I4:I8,4)&lt;&gt;4,RANK(I7,I4:I8),I47)</f>
        <v>1</v>
      </c>
      <c r="M7" s="23">
        <f ca="1">SUMPRODUCT((K4:K7=K7)*(J4:J7&lt;J7))+K7</f>
        <v>1</v>
      </c>
      <c r="N7" s="23" t="str">
        <f ca="1">INDEX(B4:B8,MATCH(4,M4:M8,0),0)</f>
        <v>Hungary</v>
      </c>
      <c r="O7" s="23">
        <f ca="1">INDEX(K4:K8,MATCH(N7,B4:B8,0),0)</f>
        <v>3</v>
      </c>
      <c r="P7" s="23" t="str">
        <f ca="1">IF(AND(P6&lt;&gt;"",O7=1),N7,"")</f>
        <v/>
      </c>
      <c r="Q7" s="23" t="str">
        <f ca="1">IF(AND(Q6&lt;&gt;"",O8=2),N8,"")</f>
        <v/>
      </c>
      <c r="U7" s="23" t="str">
        <f t="shared" ca="1" si="4"/>
        <v/>
      </c>
      <c r="V7" s="23">
        <f ca="1">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23">
        <f ca="1">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23">
        <f ca="1">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23">
        <f ca="1">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23">
        <f ca="1">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23">
        <f ca="1">Y7-Z7+1000</f>
        <v>1000</v>
      </c>
      <c r="AB7" s="23" t="str">
        <f t="shared" ca="1" si="5"/>
        <v/>
      </c>
      <c r="AC7" s="23" t="str">
        <f ca="1">IF(U7&lt;&gt;"",VLOOKUP(U7,B4:H40,7,FALSE),"")</f>
        <v/>
      </c>
      <c r="AD7" s="23" t="str">
        <f ca="1">IF(U7&lt;&gt;"",VLOOKUP(U7,B4:H40,5,FALSE),"")</f>
        <v/>
      </c>
      <c r="AE7" s="23" t="str">
        <f ca="1">IF(U7&lt;&gt;"",VLOOKUP(U7,B4:J40,9,FALSE),"")</f>
        <v/>
      </c>
      <c r="AF7" s="23" t="str">
        <f t="shared" ca="1" si="6"/>
        <v/>
      </c>
      <c r="AG7" s="23" t="str">
        <f ca="1">IF(U7&lt;&gt;"",RANK(AF7,AF4:AF8),"")</f>
        <v/>
      </c>
      <c r="AH7" s="23" t="str">
        <f ca="1">IF(U7&lt;&gt;"",SUMPRODUCT((AF4:AF8=AF7)*(AA4:AA8&gt;AA7)),"")</f>
        <v/>
      </c>
      <c r="AI7" s="23" t="str">
        <f ca="1">IF(U7&lt;&gt;"",SUMPRODUCT((AF4:AF8=AF7)*(AA4:AA8=AA7)*(Y4:Y8&gt;Y7)),"")</f>
        <v/>
      </c>
      <c r="AJ7" s="23" t="str">
        <f ca="1">IF(U7&lt;&gt;"",SUMPRODUCT((AF4:AF8=AF7)*(AA4:AA8=AA7)*(Y4:Y8=Y7)*(AC4:AC8&gt;AC7)),"")</f>
        <v/>
      </c>
      <c r="AK7" s="23" t="str">
        <f ca="1">IF(U7&lt;&gt;"",SUMPRODUCT((AF4:AF8=AF7)*(AA4:AA8=AA7)*(Y4:Y8=Y7)*(AC4:AC8=AC7)*(AD4:AD8&gt;AD7)),"")</f>
        <v/>
      </c>
      <c r="AL7" s="23" t="str">
        <f ca="1">IF(U7&lt;&gt;"",SUMPRODUCT((AF4:AF8=AF7)*(AA4:AA8=AA7)*(Y4:Y8=Y7)*(AC4:AC8=AC7)*(AD4:AD8=AD7)*(AE4:AE8&gt;AE7)),"")</f>
        <v/>
      </c>
      <c r="AM7" s="23" t="str">
        <f ca="1">IF(U7&lt;&gt;"",IF(AM47&lt;&gt;"",IF(T43=3,AM47,AM47+T43),SUM(AG7:AL7)),"")</f>
        <v/>
      </c>
      <c r="AN7" s="23" t="str">
        <f ca="1">IF(U7&lt;&gt;"",INDEX(U4:U8,MATCH(4,AM4:AM8,0),0),"")</f>
        <v/>
      </c>
      <c r="AO7" s="23" t="str">
        <f ca="1">IF(Q6&lt;&gt;"",Q6,"")</f>
        <v/>
      </c>
      <c r="AP7" s="23">
        <f ca="1">SUMPRODUCT((CZ3:CZ42=AO7)*(DC3:DC42=AO8)*(DD3:DD42="W"))+SUMPRODUCT((CZ3:CZ42=AO7)*(DC3:DC42=AO5)*(DD3:DD42="W"))+SUMPRODUCT((CZ3:CZ42=AO7)*(DC3:DC42=AO6)*(DD3:DD42="W"))+SUMPRODUCT((CZ3:CZ42=AO8)*(DC3:DC42=AO7)*(DE3:DE42="W"))+SUMPRODUCT((CZ3:CZ42=AO5)*(DC3:DC42=AO7)*(DE3:DE42="W"))+SUMPRODUCT((CZ3:CZ42=AO6)*(DC3:DC42=AO7)*(DE3:DE42="W"))</f>
        <v>0</v>
      </c>
      <c r="AQ7" s="23">
        <f ca="1">SUMPRODUCT((CZ3:CZ42=AO7)*(DC3:DC42=AO8)*(DD3:DD42="D"))+SUMPRODUCT((CZ3:CZ42=AO7)*(DC3:DC42=AO5)*(DD3:DD42="D"))+SUMPRODUCT((CZ3:CZ42=AO7)*(DC3:DC42=AO6)*(DD3:DD42="D"))+SUMPRODUCT((CZ3:CZ42=AO8)*(DC3:DC42=AO7)*(DD3:DD42="D"))+SUMPRODUCT((CZ3:CZ42=AO5)*(DC3:DC42=AO7)*(DD3:DD42="D"))+SUMPRODUCT((CZ3:CZ42=AO6)*(DC3:DC42=AO7)*(DD3:DD42="D"))</f>
        <v>0</v>
      </c>
      <c r="AR7" s="23">
        <f ca="1">SUMPRODUCT((CZ3:CZ42=AO7)*(DC3:DC42=AO8)*(DD3:DD42="L"))+SUMPRODUCT((CZ3:CZ42=AO7)*(DC3:DC42=AO5)*(DD3:DD42="L"))+SUMPRODUCT((CZ3:CZ42=AO7)*(DC3:DC42=AO6)*(DD3:DD42="L"))+SUMPRODUCT((CZ3:CZ42=AO8)*(DC3:DC42=AO7)*(DE3:DE42="L"))+SUMPRODUCT((CZ3:CZ42=AO5)*(DC3:DC42=AO7)*(DE3:DE42="L"))+SUMPRODUCT((CZ3:CZ42=AO6)*(DC3:DC42=AO7)*(DE3:DE42="L"))</f>
        <v>0</v>
      </c>
      <c r="AS7" s="23">
        <f ca="1">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23">
        <f ca="1">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23">
        <f ca="1">AS7-AT7+1000</f>
        <v>1000</v>
      </c>
      <c r="AV7" s="23" t="str">
        <f t="shared" ca="1" si="7"/>
        <v/>
      </c>
      <c r="AW7" s="23" t="str">
        <f ca="1">IF(AO7&lt;&gt;"",VLOOKUP(AO7,B4:H40,7,FALSE),"")</f>
        <v/>
      </c>
      <c r="AX7" s="23" t="str">
        <f ca="1">IF(AO7&lt;&gt;"",VLOOKUP(AO7,B4:H40,5,FALSE),"")</f>
        <v/>
      </c>
      <c r="AY7" s="23" t="str">
        <f ca="1">IF(AO7&lt;&gt;"",VLOOKUP(AO7,B4:J40,9,FALSE),"")</f>
        <v/>
      </c>
      <c r="AZ7" s="23" t="str">
        <f t="shared" ca="1" si="8"/>
        <v/>
      </c>
      <c r="BA7" s="23" t="str">
        <f ca="1">IF(AO7&lt;&gt;"",RANK(AZ7,AZ4:AZ8),"")</f>
        <v/>
      </c>
      <c r="BB7" s="23" t="str">
        <f ca="1">IF(AO7&lt;&gt;"",SUMPRODUCT((AZ4:AZ8=AZ7)*(AU4:AU8&gt;AU7)),"")</f>
        <v/>
      </c>
      <c r="BC7" s="23" t="str">
        <f ca="1">IF(AO7&lt;&gt;"",SUMPRODUCT((AZ4:AZ8=AZ7)*(AU4:AU8=AU7)*(AS4:AS8&gt;AS7)),"")</f>
        <v/>
      </c>
      <c r="BD7" s="23" t="str">
        <f ca="1">IF(AO7&lt;&gt;"",SUMPRODUCT((AZ4:AZ8=AZ7)*(AU4:AU8=AU7)*(AS4:AS8=AS7)*(AW4:AW8&gt;AW7)),"")</f>
        <v/>
      </c>
      <c r="BE7" s="23" t="str">
        <f ca="1">IF(AO7&lt;&gt;"",SUMPRODUCT((AZ4:AZ8=AZ7)*(AU4:AU8=AU7)*(AS4:AS8=AS7)*(AW4:AW8=AW7)*(AX4:AX8&gt;AX7)),"")</f>
        <v/>
      </c>
      <c r="BF7" s="23" t="str">
        <f ca="1">IF(AO7&lt;&gt;"",SUMPRODUCT((AZ4:AZ8=AZ7)*(AU4:AU8=AU7)*(AS4:AS8=AS7)*(AW4:AW8=AW7)*(AX4:AX8=AX7)*(AY4:AY8&gt;AY7)),"")</f>
        <v/>
      </c>
      <c r="BG7" s="23" t="str">
        <f ca="1">IF(AO7&lt;&gt;"",IF(BG47&lt;&gt;"",IF(AN43=3,BG47,BG47+AN43),SUM(BA7:BF7)+1),"")</f>
        <v/>
      </c>
      <c r="BH7" s="23" t="str">
        <f ca="1">IF(AO7&lt;&gt;"",INDEX(AO5:AO8,MATCH(4,BG5:BG8,0),0),"")</f>
        <v/>
      </c>
      <c r="BI7" s="23" t="str">
        <f ca="1">IF(R5&lt;&gt;"",R5,"")</f>
        <v>Hungary</v>
      </c>
      <c r="BJ7" s="23">
        <f ca="1">SUMPRODUCT((CZ3:CZ42=BI7)*(DC3:DC42=BI8)*(DD3:DD42="W"))+SUMPRODUCT((CZ3:CZ42=BI7)*(DC3:DC42=BI9)*(DD3:DD42="W"))+SUMPRODUCT((CZ3:CZ42=BI7)*(DC3:DC42=BI6)*(DD3:DD42="W"))+SUMPRODUCT((CZ3:CZ42=BI8)*(DC3:DC42=BI7)*(DE3:DE42="W"))+SUMPRODUCT((CZ3:CZ42=BI9)*(DC3:DC42=BI7)*(DE3:DE42="W"))+SUMPRODUCT((CZ3:CZ42=BI6)*(DC3:DC42=BI7)*(DE3:DE42="W"))</f>
        <v>0</v>
      </c>
      <c r="BK7" s="23">
        <f ca="1">SUMPRODUCT((CZ3:CZ42=BI7)*(DC3:DC42=BI8)*(DD3:DD42="D"))+SUMPRODUCT((CZ3:CZ42=BI7)*(DC3:DC42=BI9)*(DD3:DD42="D"))+SUMPRODUCT((CZ3:CZ42=BI7)*(DC3:DC42=BI6)*(DD3:DD42="D"))+SUMPRODUCT((CZ3:CZ42=BI8)*(DC3:DC42=BI7)*(DD3:DD42="D"))+SUMPRODUCT((CZ3:CZ42=BI9)*(DC3:DC42=BI7)*(DD3:DD42="D"))+SUMPRODUCT((CZ3:CZ42=BI6)*(DC3:DC42=BI7)*(DD3:DD42="D"))</f>
        <v>0</v>
      </c>
      <c r="BL7" s="23">
        <f ca="1">SUMPRODUCT((CZ3:CZ42=BI7)*(DC3:DC42=BI8)*(DD3:DD42="L"))+SUMPRODUCT((CZ3:CZ42=BI7)*(DC3:DC42=BI9)*(DD3:DD42="L"))+SUMPRODUCT((CZ3:CZ42=BI7)*(DC3:DC42=BI6)*(DD3:DD42="L"))+SUMPRODUCT((CZ3:CZ42=BI8)*(DC3:DC42=BI7)*(DE3:DE42="L"))+SUMPRODUCT((CZ3:CZ42=BI9)*(DC3:DC42=BI7)*(DE3:DE42="L"))+SUMPRODUCT((CZ3:CZ42=BI6)*(DC3:DC42=BI7)*(DE3:DE42="L"))</f>
        <v>0</v>
      </c>
      <c r="BM7" s="23">
        <f ca="1">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23">
        <f ca="1">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23">
        <f ca="1">BM7-BN7+1000</f>
        <v>1000</v>
      </c>
      <c r="BP7" s="23">
        <f t="shared" ca="1" si="9"/>
        <v>0</v>
      </c>
      <c r="BQ7" s="23">
        <f ca="1">IF(BI7&lt;&gt;"",VLOOKUP(BI7,B4:H40,7,FALSE),"")</f>
        <v>998</v>
      </c>
      <c r="BR7" s="23">
        <f ca="1">IF(BI7&lt;&gt;"",VLOOKUP(BI7,B4:H40,5,FALSE),"")</f>
        <v>1</v>
      </c>
      <c r="BS7" s="23">
        <f ca="1">IF(BI7&lt;&gt;"",VLOOKUP(BI7,B4:J40,9,FALSE),"")</f>
        <v>48</v>
      </c>
      <c r="BT7" s="23">
        <f t="shared" ca="1" si="10"/>
        <v>0</v>
      </c>
      <c r="BU7" s="23">
        <f ca="1">IF(BI7&lt;&gt;"",RANK(BT7,BT4:BT8),"")</f>
        <v>1</v>
      </c>
      <c r="BV7" s="23">
        <f ca="1">IF(BI7&lt;&gt;"",SUMPRODUCT((BT4:BT8=BT7)*(BO4:BO8&gt;BO7)),"")</f>
        <v>0</v>
      </c>
      <c r="BW7" s="23">
        <f ca="1">IF(BI7&lt;&gt;"",SUMPRODUCT((BT4:BT8=BT7)*(BO4:BO8=BO7)*(BM4:BM8&gt;BM7)),"")</f>
        <v>0</v>
      </c>
      <c r="BX7" s="23">
        <f ca="1">IF(BI7&lt;&gt;"",SUMPRODUCT((BT4:BT8=BT7)*(BO4:BO8=BO7)*(BM4:BM8=BM7)*(BQ4:BQ8&gt;BQ7)),"")</f>
        <v>0</v>
      </c>
      <c r="BY7" s="23">
        <f ca="1">IF(BI7&lt;&gt;"",SUMPRODUCT((BT4:BT8=BT7)*(BO4:BO8=BO7)*(BM4:BM8=BM7)*(BQ4:BQ8=BQ7)*(BR4:BR8&gt;BR7)),"")</f>
        <v>0</v>
      </c>
      <c r="BZ7" s="23">
        <f ca="1">IF(BI7&lt;&gt;"",SUMPRODUCT((BT4:BT8=BT7)*(BO4:BO8=BO7)*(BM4:BM8=BM7)*(BQ4:BQ8=BQ7)*(BR4:BR8=BR7)*(BS4:BS8&gt;BS7)),"")</f>
        <v>0</v>
      </c>
      <c r="CA7" s="23">
        <f ca="1">IF(BI7&lt;&gt;"",SUM(BU7:BZ7)+2,"")</f>
        <v>3</v>
      </c>
      <c r="CB7" s="23" t="str">
        <f ca="1">IF(BI7&lt;&gt;"",INDEX(BI6:BI8,MATCH(4,CA6:CA8,0),0),"")</f>
        <v>Scotland</v>
      </c>
      <c r="CC7" s="23" t="str">
        <f>IF(S4&lt;&gt;"",S4,"")</f>
        <v/>
      </c>
      <c r="CD7" s="23">
        <f ca="1">SUMPRODUCT((CZ3:CZ42=CC7)*(DC3:DC42=CC8)*(DD3:DD42="W"))+SUMPRODUCT((CZ3:CZ42=CC7)*(DC3:DC42=CC9)*(DD3:DD42="W"))+SUMPRODUCT((CZ3:CZ42=CC7)*(DC3:DC42=CC10)*(DD3:DD42="W"))+SUMPRODUCT((CZ3:CZ42=CC8)*(DC3:DC42=CC7)*(DE3:DE42="W"))+SUMPRODUCT((CZ3:CZ42=CC9)*(DC3:DC42=CC7)*(DE3:DE42="W"))+SUMPRODUCT((CZ3:CZ42=CC10)*(DC3:DC42=CC7)*(DE3:DE42="W"))</f>
        <v>0</v>
      </c>
      <c r="CE7" s="23">
        <f ca="1">SUMPRODUCT((CZ3:CZ42=CC7)*(DC3:DC42=CC8)*(DD3:DD42="D"))+SUMPRODUCT((CZ3:CZ42=CC7)*(DC3:DC42=CC9)*(DD3:DD42="D"))+SUMPRODUCT((CZ3:CZ42=CC7)*(DC3:DC42=CC10)*(DD3:DD42="D"))+SUMPRODUCT((CZ3:CZ42=CC8)*(DC3:DC42=CC7)*(DD3:DD42="D"))+SUMPRODUCT((CZ3:CZ42=CC9)*(DC3:DC42=CC7)*(DD3:DD42="D"))+SUMPRODUCT((CZ3:CZ42=CC10)*(DC3:DC42=CC7)*(DD3:DD42="D"))</f>
        <v>0</v>
      </c>
      <c r="CF7" s="23">
        <f ca="1">SUMPRODUCT((CZ3:CZ42=CC7)*(DC3:DC42=CC8)*(DD3:DD42="L"))+SUMPRODUCT((CZ3:CZ42=CC7)*(DC3:DC42=CC9)*(DD3:DD42="L"))+SUMPRODUCT((CZ3:CZ42=CC7)*(DC3:DC42=CC10)*(DD3:DD42="L"))+SUMPRODUCT((CZ3:CZ42=CC8)*(DC3:DC42=CC7)*(DE3:DE42="L"))+SUMPRODUCT((CZ3:CZ42=CC9)*(DC3:DC42=CC7)*(DE3:DE42="L"))+SUMPRODUCT((CZ3:CZ42=CC10)*(DC3:DC42=CC7)*(DE3:DE42="L"))</f>
        <v>0</v>
      </c>
      <c r="CG7" s="23">
        <f ca="1">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23">
        <f ca="1">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23">
        <f ca="1">CG7-CH7+1000</f>
        <v>1000</v>
      </c>
      <c r="CJ7" s="23" t="str">
        <f t="shared" ref="CJ7" si="11">IF(CC7&lt;&gt;"",CD7*3+CE7*1,"")</f>
        <v/>
      </c>
      <c r="CK7" s="23" t="str">
        <f>IF(CC7&lt;&gt;"",VLOOKUP(CC7,B4:H40,7,FALSE),"")</f>
        <v/>
      </c>
      <c r="CL7" s="23" t="str">
        <f>IF(CC7&lt;&gt;"",VLOOKUP(CC7,B4:H40,5,FALSE),"")</f>
        <v/>
      </c>
      <c r="CM7" s="23" t="str">
        <f>IF(CC7&lt;&gt;"",VLOOKUP(CC7,B4:J40,9,FALSE),"")</f>
        <v/>
      </c>
      <c r="CN7" s="23" t="str">
        <f t="shared" ref="CN7" si="12">CJ7</f>
        <v/>
      </c>
      <c r="CO7" s="23" t="str">
        <f>IF(CC7&lt;&gt;"",RANK(CN7,CN4:CN8),"")</f>
        <v/>
      </c>
      <c r="CP7" s="23" t="str">
        <f>IF(CC7&lt;&gt;"",SUMPRODUCT((CN4:CN8=CN7)*(CI4:CI8&gt;CI7)),"")</f>
        <v/>
      </c>
      <c r="CQ7" s="23" t="str">
        <f>IF(CC7&lt;&gt;"",SUMPRODUCT((CN4:CN8=CN7)*(CI4:CI8=CI7)*(CG4:CG8&gt;CG7)),"")</f>
        <v/>
      </c>
      <c r="CR7" s="23" t="str">
        <f>IF(CC7&lt;&gt;"",SUMPRODUCT((CN4:CN8=CN7)*(CI4:CI8=CI7)*(CG4:CG8=CG7)*(CK4:CK8&gt;CK7)),"")</f>
        <v/>
      </c>
      <c r="CS7" s="23" t="str">
        <f>IF(CC7&lt;&gt;"",SUMPRODUCT((CN4:CN8=CN7)*(CI4:CI8=CI7)*(CG4:CG8=CG7)*(CK4:CK8=CK7)*(CL4:CL8&gt;CL7)),"")</f>
        <v/>
      </c>
      <c r="CT7" s="23" t="str">
        <f>IF(CC7&lt;&gt;"",SUMPRODUCT((CN4:CN8=CN7)*(CI4:CI8=CI7)*(CG4:CG8=CG7)*(CK4:CK8=CK7)*(CL4:CL8=CL7)*(CM4:CM8&gt;CM7)),"")</f>
        <v/>
      </c>
      <c r="CU7" s="23" t="str">
        <f>IF(CC7&lt;&gt;"",SUM(CO7:CT7)+3,"")</f>
        <v/>
      </c>
      <c r="CV7" s="23" t="str">
        <f>IF(CC7&lt;&gt;"",IF(CU7=4,CC7,CC8),"")</f>
        <v/>
      </c>
      <c r="CW7" s="23" t="str">
        <f ca="1">IF(CV7&lt;&gt;"",CV7,IF(CB7&lt;&gt;"",CB7,IF(BH7&lt;&gt;"",BH7,IF(AN7&lt;&gt;"",AN7,N7))))</f>
        <v>Scotland</v>
      </c>
      <c r="CX7" s="23">
        <v>4</v>
      </c>
      <c r="CY7" s="23">
        <v>5</v>
      </c>
      <c r="CZ7" s="23" t="str">
        <f>Tournament!G11</f>
        <v>Serbia</v>
      </c>
      <c r="DA7" s="23">
        <f ca="1">IF(AND(Tournament!H11&lt;&gt;"",Tournament!I11&lt;&gt;""),Tournament!H11,0)</f>
        <v>0</v>
      </c>
      <c r="DB7" s="23">
        <f ca="1">IF(AND(Tournament!I11&lt;&gt;"",Tournament!H11&lt;&gt;""),Tournament!I11,0)</f>
        <v>0</v>
      </c>
      <c r="DC7" s="23" t="str">
        <f>Tournament!J11</f>
        <v>England</v>
      </c>
      <c r="DD7" s="23" t="str">
        <f ca="1">IF(AND(Tournament!H11&lt;&gt;"",Tournament!I11&lt;&gt;""),IF(DA7&gt;DB7,"W",IF(DA7=DB7,"D","L")),"")</f>
        <v/>
      </c>
      <c r="DE7" s="23" t="str">
        <f t="shared" ca="1" si="0"/>
        <v/>
      </c>
      <c r="DH7" s="23" t="str">
        <f>Tournament!P29</f>
        <v>Slovakia</v>
      </c>
      <c r="DI7" s="258">
        <f ca="1">Tournament!U29</f>
        <v>0</v>
      </c>
      <c r="DJ7" s="258">
        <f ca="1">Tournament!V29</f>
        <v>0</v>
      </c>
      <c r="DK7" s="258">
        <f ca="1">Tournament!W29</f>
        <v>0</v>
      </c>
      <c r="DL7" s="258">
        <f ca="1">Tournament!X29</f>
        <v>0</v>
      </c>
      <c r="DM7" s="258">
        <f ca="1">Tournament!Z29</f>
        <v>0</v>
      </c>
      <c r="DN7" s="258">
        <f ca="1">Tournament!AA29</f>
        <v>0</v>
      </c>
      <c r="DO7" s="258">
        <f ca="1">Tournament!AB29</f>
        <v>0</v>
      </c>
      <c r="DP7" s="23">
        <f>IF(Tournament!AC29&lt;&gt;"",26,VLOOKUP(DH7,B4:J40,9,FALSE))</f>
        <v>38</v>
      </c>
      <c r="DQ7" s="23">
        <f ca="1">RANK(DO7,DO3:DO8)</f>
        <v>1</v>
      </c>
      <c r="DR7" s="23">
        <f ca="1">SUMPRODUCT((DQ3:DQ8=DQ7)*(DN3:DN8&gt;DN7))</f>
        <v>0</v>
      </c>
      <c r="DS7" s="23">
        <f ca="1">SUMPRODUCT((DQ3:DQ8=DQ7)*(DN3:DN8=DN7)*(DL3:DL8&gt;DL7))</f>
        <v>0</v>
      </c>
      <c r="DT7" s="23">
        <f ca="1">SUMPRODUCT((DQ3:DQ8=DQ7)*(DN3:DN8=DN7)*(DL3:DL8=DL7)*(DP3:DP8&gt;DP7))</f>
        <v>2</v>
      </c>
      <c r="DU7" s="23">
        <f t="shared" ca="1" si="1"/>
        <v>3</v>
      </c>
      <c r="DV7" s="23" t="s">
        <v>109</v>
      </c>
      <c r="DW7" s="23">
        <v>5</v>
      </c>
      <c r="EE7" s="23">
        <v>1</v>
      </c>
      <c r="EF7" s="260" t="s">
        <v>15</v>
      </c>
      <c r="EG7" s="261"/>
      <c r="EH7" s="262" t="str">
        <f>Setup!C17</f>
        <v>Germany</v>
      </c>
      <c r="EI7" s="263" t="s">
        <v>93</v>
      </c>
      <c r="EJ7" s="262" t="str">
        <f ca="1">"'Countries and Timezone'!"&amp;VLOOKUP(Tournament!P7,EH7:EI38,2,FALSE)</f>
        <v>'Countries and Timezone'!B7</v>
      </c>
      <c r="EK7" s="23">
        <f>TimezoneData</f>
        <v>0</v>
      </c>
      <c r="EL7" s="264">
        <v>45457.875</v>
      </c>
      <c r="EM7" s="265">
        <f>EL7+EK7/24</f>
        <v>45457.875</v>
      </c>
      <c r="EQ7" s="23" t="s">
        <v>505</v>
      </c>
    </row>
    <row r="8" spans="1:148" x14ac:dyDescent="0.25">
      <c r="CY8" s="23">
        <v>6</v>
      </c>
      <c r="CZ8" s="23" t="str">
        <f>Tournament!G12</f>
        <v>Slovenia</v>
      </c>
      <c r="DA8" s="23">
        <f ca="1">IF(AND(Tournament!H12&lt;&gt;"",Tournament!I12&lt;&gt;""),Tournament!H12,0)</f>
        <v>0</v>
      </c>
      <c r="DB8" s="23">
        <f ca="1">IF(AND(Tournament!I12&lt;&gt;"",Tournament!H12&lt;&gt;""),Tournament!I12,0)</f>
        <v>0</v>
      </c>
      <c r="DC8" s="23" t="str">
        <f>Tournament!J12</f>
        <v>Denmark</v>
      </c>
      <c r="DD8" s="23" t="str">
        <f ca="1">IF(AND(Tournament!H12&lt;&gt;"",Tournament!I12&lt;&gt;""),IF(DA8&gt;DB8,"W",IF(DA8=DB8,"D","L")),"")</f>
        <v/>
      </c>
      <c r="DE8" s="23" t="str">
        <f t="shared" ca="1" si="0"/>
        <v/>
      </c>
      <c r="DH8" s="23" t="str">
        <f ca="1">Tournament!P34</f>
        <v>Czechia</v>
      </c>
      <c r="DI8" s="258">
        <f ca="1">Tournament!U34</f>
        <v>0</v>
      </c>
      <c r="DJ8" s="258">
        <f ca="1">Tournament!V34</f>
        <v>0</v>
      </c>
      <c r="DK8" s="258">
        <f ca="1">Tournament!W34</f>
        <v>0</v>
      </c>
      <c r="DL8" s="258">
        <f ca="1">Tournament!X34</f>
        <v>0</v>
      </c>
      <c r="DM8" s="258">
        <f ca="1">Tournament!Z34</f>
        <v>0</v>
      </c>
      <c r="DN8" s="258">
        <f ca="1">Tournament!AA34</f>
        <v>0</v>
      </c>
      <c r="DO8" s="258">
        <f ca="1">Tournament!AB34</f>
        <v>0</v>
      </c>
      <c r="DP8" s="23">
        <f ca="1">IF(Tournament!AC34&lt;&gt;"",25,VLOOKUP(DH8,B4:J40,9,FALSE))</f>
        <v>37</v>
      </c>
      <c r="DQ8" s="23">
        <f ca="1">RANK(DO8,DO3:DO8)</f>
        <v>1</v>
      </c>
      <c r="DR8" s="23">
        <f ca="1">SUMPRODUCT((DQ3:DQ8=DQ8)*(DN3:DN8&gt;DN8))</f>
        <v>0</v>
      </c>
      <c r="DS8" s="23">
        <f ca="1">SUMPRODUCT((DQ3:DQ8=DQ8)*(DN3:DN8=DN8)*(DL3:DL8&gt;DL8))</f>
        <v>0</v>
      </c>
      <c r="DT8" s="23">
        <f ca="1">SUMPRODUCT((DQ3:DQ8=DQ8)*(DN3:DN8=DN8)*(DL3:DL8=DL8)*(DP3:DP8&gt;DP8))</f>
        <v>3</v>
      </c>
      <c r="DU8" s="23">
        <f t="shared" ca="1" si="1"/>
        <v>4</v>
      </c>
      <c r="DV8" s="23" t="s">
        <v>114</v>
      </c>
      <c r="DW8" s="23">
        <v>6</v>
      </c>
      <c r="EE8" s="23">
        <v>2</v>
      </c>
      <c r="EF8" s="260" t="s">
        <v>15</v>
      </c>
      <c r="EG8" s="261"/>
      <c r="EH8" s="262" t="str">
        <f>Setup!C23</f>
        <v>Scotland</v>
      </c>
      <c r="EI8" s="263" t="s">
        <v>94</v>
      </c>
      <c r="EJ8" s="262" t="str">
        <f ca="1">"'Countries and Timezone'!"&amp;VLOOKUP(Tournament!P8,EH7:EI38,2,FALSE)</f>
        <v>'Countries and Timezone'!B10</v>
      </c>
      <c r="EL8" s="264">
        <v>45458.625</v>
      </c>
      <c r="EM8" s="265">
        <f>EL8+EK7/24</f>
        <v>45458.625</v>
      </c>
      <c r="EO8" s="266">
        <v>-12</v>
      </c>
      <c r="EP8" s="23">
        <v>-12</v>
      </c>
      <c r="EQ8" s="23" t="s">
        <v>507</v>
      </c>
      <c r="ER8" s="23" t="s">
        <v>506</v>
      </c>
    </row>
    <row r="9" spans="1:148" x14ac:dyDescent="0.25">
      <c r="BG9" s="23" t="s">
        <v>428</v>
      </c>
      <c r="CY9" s="23">
        <v>7</v>
      </c>
      <c r="CZ9" s="23" t="str">
        <f>Tournament!G13</f>
        <v>Poland</v>
      </c>
      <c r="DA9" s="23">
        <f ca="1">IF(AND(Tournament!H13&lt;&gt;"",Tournament!I13&lt;&gt;""),Tournament!H13,0)</f>
        <v>0</v>
      </c>
      <c r="DB9" s="23">
        <f ca="1">IF(AND(Tournament!I13&lt;&gt;"",Tournament!H13&lt;&gt;""),Tournament!I13,0)</f>
        <v>0</v>
      </c>
      <c r="DC9" s="23" t="str">
        <f>Tournament!J13</f>
        <v>Netherlands</v>
      </c>
      <c r="DD9" s="23" t="str">
        <f ca="1">IF(AND(Tournament!H13&lt;&gt;"",Tournament!I13&lt;&gt;""),IF(DA9&gt;DB9,"W",IF(DA9=DB9,"D","L")),"")</f>
        <v/>
      </c>
      <c r="DE9" s="23" t="str">
        <f t="shared" ca="1" si="0"/>
        <v/>
      </c>
      <c r="EE9" s="23">
        <v>3</v>
      </c>
      <c r="EF9" s="260" t="s">
        <v>15</v>
      </c>
      <c r="EG9" s="261"/>
      <c r="EH9" s="262" t="str">
        <f>Setup!C18</f>
        <v>Hungary</v>
      </c>
      <c r="EI9" s="263" t="s">
        <v>95</v>
      </c>
      <c r="EJ9" s="262" t="str">
        <f ca="1">"'Countries and Timezone'!"&amp;VLOOKUP(Tournament!P9,EH7:EI38,2,FALSE)</f>
        <v>'Countries and Timezone'!B9</v>
      </c>
      <c r="EL9" s="264">
        <v>45458.75</v>
      </c>
      <c r="EM9" s="265">
        <f>EL9+EK7/24</f>
        <v>45458.75</v>
      </c>
      <c r="EO9" s="267">
        <v>-11.5</v>
      </c>
      <c r="EP9" s="23">
        <v>-11</v>
      </c>
      <c r="EQ9" s="23" t="s">
        <v>509</v>
      </c>
      <c r="ER9" s="23" t="s">
        <v>508</v>
      </c>
    </row>
    <row r="10" spans="1:148" x14ac:dyDescent="0.25">
      <c r="CY10" s="23">
        <v>8</v>
      </c>
      <c r="CZ10" s="23" t="str">
        <f>Tournament!G14</f>
        <v>Austria</v>
      </c>
      <c r="DA10" s="23">
        <f ca="1">IF(AND(Tournament!H14&lt;&gt;"",Tournament!I14&lt;&gt;""),Tournament!H14,0)</f>
        <v>0</v>
      </c>
      <c r="DB10" s="23">
        <f ca="1">IF(AND(Tournament!I14&lt;&gt;"",Tournament!H14&lt;&gt;""),Tournament!I14,0)</f>
        <v>0</v>
      </c>
      <c r="DC10" s="23" t="str">
        <f>Tournament!J14</f>
        <v>France</v>
      </c>
      <c r="DD10" s="23" t="str">
        <f ca="1">IF(AND(Tournament!H14&lt;&gt;"",Tournament!I14&lt;&gt;""),IF(DA10&gt;DB10,"W",IF(DA10=DB10,"D","L")),"")</f>
        <v/>
      </c>
      <c r="DE10" s="23" t="str">
        <f t="shared" ca="1" si="0"/>
        <v/>
      </c>
      <c r="EE10" s="23">
        <v>4</v>
      </c>
      <c r="EF10" s="260" t="s">
        <v>15</v>
      </c>
      <c r="EG10" s="261"/>
      <c r="EH10" s="262" t="str">
        <f>Setup!C28</f>
        <v>Switzerland</v>
      </c>
      <c r="EI10" s="263" t="s">
        <v>96</v>
      </c>
      <c r="EJ10" s="262" t="str">
        <f ca="1">"'Countries and Timezone'!"&amp;VLOOKUP(Tournament!P10,EH7:EI38,2,FALSE)</f>
        <v>'Countries and Timezone'!B8</v>
      </c>
      <c r="EL10" s="264">
        <v>45458.875</v>
      </c>
      <c r="EM10" s="265">
        <f>EL10+EK7/24</f>
        <v>45458.875</v>
      </c>
      <c r="EO10" s="267">
        <v>-11</v>
      </c>
      <c r="EP10" s="23">
        <v>-10</v>
      </c>
      <c r="EQ10" s="23" t="s">
        <v>511</v>
      </c>
      <c r="ER10" s="23" t="s">
        <v>510</v>
      </c>
    </row>
    <row r="11" spans="1:148" x14ac:dyDescent="0.25">
      <c r="A11" s="23">
        <f ca="1">VLOOKUP(B11,CW11:CX15,2,FALSE)</f>
        <v>2</v>
      </c>
      <c r="B11" s="23" t="str">
        <f>'Dummy Table'!EH11</f>
        <v>Italy</v>
      </c>
      <c r="C11" s="23">
        <f ca="1">SUMPRODUCT((CZ3:CZ42=B11)*(DD3:DD42="W"))+SUMPRODUCT((DC3:DC42=B11)*(DE3:DE42="W"))</f>
        <v>1</v>
      </c>
      <c r="D11" s="23">
        <f ca="1">SUMPRODUCT((CZ3:CZ42=B11)*(DD3:DD42="D"))+SUMPRODUCT((DC3:DC42=B11)*(DE3:DE42="D"))</f>
        <v>0</v>
      </c>
      <c r="E11" s="23">
        <f ca="1">SUMPRODUCT((CZ3:CZ42=B11)*(DD3:DD42="L"))+SUMPRODUCT((DC3:DC42=B11)*(DE3:DE42="L"))</f>
        <v>0</v>
      </c>
      <c r="F11" s="23">
        <f ca="1">SUMIF(CZ3:CZ60,B11,DA3:DA60)+SUMIF(DC3:DC60,B11,DB3:DB60)</f>
        <v>2</v>
      </c>
      <c r="G11" s="23">
        <f ca="1">SUMIF(DC3:DC60,B11,DA3:DA60)+SUMIF(CZ3:CZ60,B11,DB3:DB60)</f>
        <v>1</v>
      </c>
      <c r="H11" s="23">
        <f t="shared" ref="H11:H14" ca="1" si="13">F11-G11+1000</f>
        <v>1001</v>
      </c>
      <c r="I11" s="23">
        <f t="shared" ref="I11:I14" ca="1" si="14">C11*3+D11*1</f>
        <v>3</v>
      </c>
      <c r="J11" s="23">
        <v>36</v>
      </c>
      <c r="K11" s="23">
        <f ca="1">IF(COUNTIF(I11:I15,4)&lt;&gt;4,RANK(I11,I11:I15),I51)</f>
        <v>1</v>
      </c>
      <c r="M11" s="23">
        <f ca="1">SUMPRODUCT((K11:K14=K11)*(J11:J14&lt;J11))+K11</f>
        <v>1</v>
      </c>
      <c r="N11" s="23" t="str">
        <f ca="1">INDEX(B11:B15,MATCH(1,M11:M15,0),0)</f>
        <v>Italy</v>
      </c>
      <c r="O11" s="23">
        <f ca="1">INDEX(K11:K15,MATCH(N11,B11:B15,0),0)</f>
        <v>1</v>
      </c>
      <c r="P11" s="23" t="str">
        <f ca="1">IF(O12=1,N11,"")</f>
        <v>Italy</v>
      </c>
      <c r="Q11" s="23" t="str">
        <f ca="1">IF(O13=2,N12,"")</f>
        <v/>
      </c>
      <c r="R11" s="23" t="str">
        <f ca="1">IF(O14=3,N13,"")</f>
        <v>Croatia</v>
      </c>
      <c r="S11" s="23" t="str">
        <f>IF(O15=4,N14,"")</f>
        <v/>
      </c>
      <c r="U11" s="23" t="str">
        <f ca="1">IF(P11&lt;&gt;"",P11,"")</f>
        <v>Italy</v>
      </c>
      <c r="V11" s="23">
        <f ca="1">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23">
        <f ca="1">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23">
        <f ca="1">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23">
        <f ca="1">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23">
        <f ca="1">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23">
        <f ca="1">Y11-Z11+1000</f>
        <v>1000</v>
      </c>
      <c r="AB11" s="23">
        <f t="shared" ref="AB11:AB14" ca="1" si="15">IF(U11&lt;&gt;"",V11*3+W11*1,"")</f>
        <v>0</v>
      </c>
      <c r="AC11" s="23">
        <f ca="1">IF(U11&lt;&gt;"",VLOOKUP(U11,B4:H40,7,FALSE),"")</f>
        <v>1001</v>
      </c>
      <c r="AD11" s="23">
        <f ca="1">IF(U11&lt;&gt;"",VLOOKUP(U11,B4:H40,5,FALSE),"")</f>
        <v>2</v>
      </c>
      <c r="AE11" s="23">
        <f ca="1">IF(U11&lt;&gt;"",VLOOKUP(U11,B4:J40,9,FALSE),"")</f>
        <v>36</v>
      </c>
      <c r="AF11" s="23">
        <f t="shared" ref="AF11:AF14" ca="1" si="16">AB11</f>
        <v>0</v>
      </c>
      <c r="AG11" s="23">
        <f ca="1">IF(U11&lt;&gt;"",RANK(AF11,AF11:AF15),"")</f>
        <v>1</v>
      </c>
      <c r="AH11" s="23">
        <f ca="1">IF(U11&lt;&gt;"",SUMPRODUCT((AF11:AF15=AF11)*(AA11:AA15&gt;AA11)),"")</f>
        <v>0</v>
      </c>
      <c r="AI11" s="23">
        <f ca="1">IF(U11&lt;&gt;"",SUMPRODUCT((AF11:AF15=AF11)*(AA11:AA15=AA11)*(Y11:Y15&gt;Y11)),"")</f>
        <v>0</v>
      </c>
      <c r="AJ11" s="23">
        <f ca="1">IF(U11&lt;&gt;"",SUMPRODUCT((AF11:AF15=AF11)*(AA11:AA15=AA11)*(Y11:Y15=Y11)*(AC11:AC15&gt;AC11)),"")</f>
        <v>1</v>
      </c>
      <c r="AK11" s="23">
        <f ca="1">IF(U11&lt;&gt;"",SUMPRODUCT((AF11:AF15=AF11)*(AA11:AA15=AA11)*(Y11:Y15=Y11)*(AC11:AC15=AC11)*(AD11:AD15&gt;AD11)),"")</f>
        <v>0</v>
      </c>
      <c r="AL11" s="23">
        <f ca="1">IF(U11&lt;&gt;"",SUMPRODUCT((AF11:AF15=AF11)*(AA11:AA15=AA11)*(Y11:Y15=Y11)*(AC11:AC15=AC11)*(AD11:AD15=AD11)*(AE11:AE15&gt;AE11)),"")</f>
        <v>0</v>
      </c>
      <c r="AM11" s="23">
        <f ca="1">IF(U11&lt;&gt;"",IF(AM51&lt;&gt;"",IF(T50=3,AM51,AM51+T50),SUM(AG11:AL11)),"")</f>
        <v>2</v>
      </c>
      <c r="AN11" s="23" t="str">
        <f ca="1">IF(U11&lt;&gt;"",INDEX(U11:U15,MATCH(1,AM11:AM15,0),0),"")</f>
        <v>Spain</v>
      </c>
      <c r="CW11" s="23" t="str">
        <f ca="1">IF(AN11&lt;&gt;"",AN11,N11)</f>
        <v>Spain</v>
      </c>
      <c r="CX11" s="23">
        <v>1</v>
      </c>
      <c r="CY11" s="23">
        <v>9</v>
      </c>
      <c r="CZ11" s="23" t="str">
        <f>Tournament!G15</f>
        <v>Belgium</v>
      </c>
      <c r="DA11" s="23">
        <f ca="1">IF(AND(Tournament!H15&lt;&gt;"",Tournament!I15&lt;&gt;""),Tournament!H15,0)</f>
        <v>0</v>
      </c>
      <c r="DB11" s="23">
        <f ca="1">IF(AND(Tournament!I15&lt;&gt;"",Tournament!H15&lt;&gt;""),Tournament!I15,0)</f>
        <v>0</v>
      </c>
      <c r="DC11" s="23" t="str">
        <f>Tournament!J15</f>
        <v>Slovakia</v>
      </c>
      <c r="DD11" s="23" t="str">
        <f ca="1">IF(AND(Tournament!H15&lt;&gt;"",Tournament!I15&lt;&gt;""),IF(DA11&gt;DB11,"W",IF(DA11=DB11,"D","L")),"")</f>
        <v/>
      </c>
      <c r="DE11" s="23" t="str">
        <f t="shared" ca="1" si="0"/>
        <v/>
      </c>
      <c r="EE11" s="23">
        <v>1</v>
      </c>
      <c r="EF11" s="260" t="s">
        <v>3</v>
      </c>
      <c r="EG11" s="261"/>
      <c r="EH11" s="262" t="str">
        <f>Setup!C19</f>
        <v>Italy</v>
      </c>
      <c r="EI11" s="263" t="s">
        <v>97</v>
      </c>
      <c r="EJ11" s="262" t="str">
        <f ca="1">"'Countries and Timezone'!"&amp;VLOOKUP(Tournament!P12,EH7:EI38,2,FALSE)</f>
        <v>'Countries and Timezone'!B13</v>
      </c>
      <c r="EL11" s="264">
        <v>45459.875</v>
      </c>
      <c r="EM11" s="265">
        <f>EL11+EK7/24</f>
        <v>45459.875</v>
      </c>
      <c r="EO11" s="267">
        <v>-10.5</v>
      </c>
      <c r="EP11" s="23">
        <v>-10</v>
      </c>
      <c r="EQ11" s="23" t="s">
        <v>513</v>
      </c>
      <c r="ER11" s="23" t="s">
        <v>512</v>
      </c>
    </row>
    <row r="12" spans="1:148" ht="14.45" customHeight="1" x14ac:dyDescent="0.25">
      <c r="A12" s="23">
        <f ca="1">VLOOKUP(B12,CW11:CX15,2,FALSE)</f>
        <v>3</v>
      </c>
      <c r="B12" s="23" t="str">
        <f>'Dummy Table'!EH12</f>
        <v>Albania</v>
      </c>
      <c r="C12" s="23">
        <f ca="1">SUMPRODUCT((CZ3:CZ42=B12)*(DD3:DD42="W"))+SUMPRODUCT((DC3:DC42=B12)*(DE3:DE42="W"))</f>
        <v>0</v>
      </c>
      <c r="D12" s="23">
        <f ca="1">SUMPRODUCT((CZ3:CZ42=B12)*(DD3:DD42="D"))+SUMPRODUCT((DC3:DC42=B12)*(DE3:DE42="D"))</f>
        <v>0</v>
      </c>
      <c r="E12" s="23">
        <f ca="1">SUMPRODUCT((CZ3:CZ42=B12)*(DD3:DD42="L"))+SUMPRODUCT((DC3:DC42=B12)*(DE3:DE42="L"))</f>
        <v>1</v>
      </c>
      <c r="F12" s="23">
        <f ca="1">SUMIF(CZ3:CZ60,B12,DA3:DA60)+SUMIF(DC3:DC60,B12,DB3:DB60)</f>
        <v>1</v>
      </c>
      <c r="G12" s="23">
        <f ca="1">SUMIF(DC3:DC60,B12,DA3:DA60)+SUMIF(CZ3:CZ60,B12,DB3:DB60)</f>
        <v>2</v>
      </c>
      <c r="H12" s="23">
        <f t="shared" ca="1" si="13"/>
        <v>999</v>
      </c>
      <c r="I12" s="23">
        <f t="shared" ca="1" si="14"/>
        <v>0</v>
      </c>
      <c r="J12" s="23">
        <v>44</v>
      </c>
      <c r="K12" s="23">
        <f ca="1">IF(COUNTIF(I11:I15,4)&lt;&gt;4,RANK(I12,I11:I15),I52)</f>
        <v>3</v>
      </c>
      <c r="M12" s="23">
        <f ca="1">SUMPRODUCT((K11:K14=K12)*(J11:J14&lt;J12))+K12</f>
        <v>4</v>
      </c>
      <c r="N12" s="23" t="str">
        <f ca="1">INDEX(B11:B15,MATCH(2,M11:M15,0),0)</f>
        <v>Spain</v>
      </c>
      <c r="O12" s="23">
        <f ca="1">INDEX(K11:K15,MATCH(N12,B11:B15,0),0)</f>
        <v>1</v>
      </c>
      <c r="P12" s="23" t="str">
        <f ca="1">IF(P11&lt;&gt;"",N12,"")</f>
        <v>Spain</v>
      </c>
      <c r="Q12" s="23" t="str">
        <f ca="1">IF(Q11&lt;&gt;"",N13,"")</f>
        <v/>
      </c>
      <c r="R12" s="23" t="str">
        <f ca="1">IF(R11&lt;&gt;"",N14,"")</f>
        <v>Albania</v>
      </c>
      <c r="S12" s="23" t="str">
        <f>IF(S11&lt;&gt;"",N15,"")</f>
        <v/>
      </c>
      <c r="U12" s="23" t="str">
        <f t="shared" ref="U12:U14" ca="1" si="17">IF(P12&lt;&gt;"",P12,"")</f>
        <v>Spain</v>
      </c>
      <c r="V12" s="23">
        <f ca="1">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23">
        <f ca="1">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23">
        <f ca="1">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23">
        <f ca="1">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23">
        <f ca="1">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23">
        <f ca="1">Y12-Z12+1000</f>
        <v>1000</v>
      </c>
      <c r="AB12" s="23">
        <f t="shared" ca="1" si="15"/>
        <v>0</v>
      </c>
      <c r="AC12" s="23">
        <f ca="1">IF(U12&lt;&gt;"",VLOOKUP(U12,B4:H40,7,FALSE),"")</f>
        <v>1003</v>
      </c>
      <c r="AD12" s="23">
        <f ca="1">IF(U12&lt;&gt;"",VLOOKUP(U12,B4:H40,5,FALSE),"")</f>
        <v>3</v>
      </c>
      <c r="AE12" s="23">
        <f ca="1">IF(U12&lt;&gt;"",VLOOKUP(U12,B4:J40,9,FALSE),"")</f>
        <v>51</v>
      </c>
      <c r="AF12" s="23">
        <f t="shared" ca="1" si="16"/>
        <v>0</v>
      </c>
      <c r="AG12" s="23">
        <f ca="1">IF(U12&lt;&gt;"",RANK(AF12,AF11:AF15),"")</f>
        <v>1</v>
      </c>
      <c r="AH12" s="23">
        <f ca="1">IF(U12&lt;&gt;"",SUMPRODUCT((AF11:AF15=AF12)*(AA11:AA15&gt;AA12)),"")</f>
        <v>0</v>
      </c>
      <c r="AI12" s="23">
        <f ca="1">IF(U12&lt;&gt;"",SUMPRODUCT((AF11:AF15=AF12)*(AA11:AA15=AA12)*(Y11:Y15&gt;Y12)),"")</f>
        <v>0</v>
      </c>
      <c r="AJ12" s="23">
        <f ca="1">IF(U12&lt;&gt;"",SUMPRODUCT((AF11:AF15=AF12)*(AA11:AA15=AA12)*(Y11:Y15=Y12)*(AC11:AC15&gt;AC12)),"")</f>
        <v>0</v>
      </c>
      <c r="AK12" s="23">
        <f ca="1">IF(U12&lt;&gt;"",SUMPRODUCT((AF11:AF15=AF12)*(AA11:AA15=AA12)*(Y11:Y15=Y12)*(AC11:AC15=AC12)*(AD11:AD15&gt;AD12)),"")</f>
        <v>0</v>
      </c>
      <c r="AL12" s="23">
        <f ca="1">IF(U12&lt;&gt;"",SUMPRODUCT((AF11:AF15=AF12)*(AA11:AA15=AA12)*(Y11:Y15=Y12)*(AC11:AC15=AC12)*(AD11:AD15=AD12)*(AE11:AE15&gt;AE12)),"")</f>
        <v>0</v>
      </c>
      <c r="AM12" s="23">
        <f ca="1">IF(U12&lt;&gt;"",IF(AM52&lt;&gt;"",IF(T50=3,AM52,AM52+T50),SUM(AG12:AL12)),"")</f>
        <v>1</v>
      </c>
      <c r="AN12" s="23" t="str">
        <f ca="1">IF(U12&lt;&gt;"",INDEX(U11:U15,MATCH(2,AM11:AM15,0),0),"")</f>
        <v>Italy</v>
      </c>
      <c r="AO12" s="23" t="str">
        <f ca="1">IF(Q11&lt;&gt;"",Q11,"")</f>
        <v/>
      </c>
      <c r="AP12" s="23">
        <f ca="1">SUMPRODUCT((CZ3:CZ42=AO12)*(DC3:DC42=AO13)*(DD3:DD42="W"))+SUMPRODUCT((CZ3:CZ42=AO12)*(DC3:DC42=AO14)*(DD3:DD42="W"))+SUMPRODUCT((CZ3:CZ42=AO12)*(DC3:DC42=AO15)*(DD3:DD42="W"))+SUMPRODUCT((CZ3:CZ42=AO13)*(DC3:DC42=AO12)*(DE3:DE42="W"))+SUMPRODUCT((CZ3:CZ42=AO14)*(DC3:DC42=AO12)*(DE3:DE42="W"))+SUMPRODUCT((CZ3:CZ42=AO15)*(DC3:DC42=AO12)*(DE3:DE42="W"))</f>
        <v>0</v>
      </c>
      <c r="AQ12" s="23">
        <f ca="1">SUMPRODUCT((CZ3:CZ42=AO12)*(DC3:DC42=AO13)*(DD3:DD42="D"))+SUMPRODUCT((CZ3:CZ42=AO12)*(DC3:DC42=AO14)*(DD3:DD42="D"))+SUMPRODUCT((CZ3:CZ42=AO12)*(DC3:DC42=AO15)*(DD3:DD42="D"))+SUMPRODUCT((CZ3:CZ42=AO13)*(DC3:DC42=AO12)*(DD3:DD42="D"))+SUMPRODUCT((CZ3:CZ42=AO14)*(DC3:DC42=AO12)*(DD3:DD42="D"))+SUMPRODUCT((CZ3:CZ42=AO15)*(DC3:DC42=AO12)*(DD3:DD42="D"))</f>
        <v>0</v>
      </c>
      <c r="AR12" s="23">
        <f ca="1">SUMPRODUCT((CZ3:CZ42=AO12)*(DC3:DC42=AO13)*(DD3:DD42="L"))+SUMPRODUCT((CZ3:CZ42=AO12)*(DC3:DC42=AO14)*(DD3:DD42="L"))+SUMPRODUCT((CZ3:CZ42=AO12)*(DC3:DC42=AO15)*(DD3:DD42="L"))+SUMPRODUCT((CZ3:CZ42=AO13)*(DC3:DC42=AO12)*(DE3:DE42="L"))+SUMPRODUCT((CZ3:CZ42=AO14)*(DC3:DC42=AO12)*(DE3:DE42="L"))+SUMPRODUCT((CZ3:CZ42=AO15)*(DC3:DC42=AO12)*(DE3:DE42="L"))</f>
        <v>0</v>
      </c>
      <c r="AS12" s="23">
        <f ca="1">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23">
        <f ca="1">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23">
        <f ca="1">AS12-AT12+1000</f>
        <v>1000</v>
      </c>
      <c r="AV12" s="23" t="str">
        <f t="shared" ref="AV12:AV14" ca="1" si="18">IF(AO12&lt;&gt;"",AP12*3+AQ12*1,"")</f>
        <v/>
      </c>
      <c r="AW12" s="23" t="str">
        <f ca="1">IF(AO12&lt;&gt;"",VLOOKUP(AO12,B4:H40,7,FALSE),"")</f>
        <v/>
      </c>
      <c r="AX12" s="23" t="str">
        <f ca="1">IF(AO12&lt;&gt;"",VLOOKUP(AO12,B4:H40,5,FALSE),"")</f>
        <v/>
      </c>
      <c r="AY12" s="23" t="str">
        <f ca="1">IF(AO12&lt;&gt;"",VLOOKUP(AO12,B4:J40,9,FALSE),"")</f>
        <v/>
      </c>
      <c r="AZ12" s="23" t="str">
        <f t="shared" ref="AZ12:AZ14" ca="1" si="19">AV12</f>
        <v/>
      </c>
      <c r="BA12" s="23" t="str">
        <f ca="1">IF(AO12&lt;&gt;"",RANK(AZ12,AZ11:AZ15),"")</f>
        <v/>
      </c>
      <c r="BB12" s="23" t="str">
        <f ca="1">IF(AO12&lt;&gt;"",SUMPRODUCT((AZ11:AZ15=AZ12)*(AU11:AU15&gt;AU12)),"")</f>
        <v/>
      </c>
      <c r="BC12" s="23" t="str">
        <f ca="1">IF(AO12&lt;&gt;"",SUMPRODUCT((AZ11:AZ15=AZ12)*(AU11:AU15=AU12)*(AS11:AS15&gt;AS12)),"")</f>
        <v/>
      </c>
      <c r="BD12" s="23" t="str">
        <f ca="1">IF(AO12&lt;&gt;"",SUMPRODUCT((AZ11:AZ15=AZ12)*(AU11:AU15=AU12)*(AS11:AS15=AS12)*(AW11:AW15&gt;AW12)),"")</f>
        <v/>
      </c>
      <c r="BE12" s="23" t="str">
        <f ca="1">IF(AO12&lt;&gt;"",SUMPRODUCT((AZ11:AZ15=AZ12)*(AU11:AU15=AU12)*(AS11:AS15=AS12)*(AW11:AW15=AW12)*(AX11:AX15&gt;AX12)),"")</f>
        <v/>
      </c>
      <c r="BF12" s="23" t="str">
        <f ca="1">IF(AO12&lt;&gt;"",SUMPRODUCT((AZ11:AZ15=AZ12)*(AU11:AU15=AU12)*(AS11:AS15=AS12)*(AW11:AW15=AW12)*(AX11:AX15=AX12)*(AY11:AY15&gt;AY12)),"")</f>
        <v/>
      </c>
      <c r="BG12" s="23" t="str">
        <f ca="1">IF(AO12&lt;&gt;"",IF(BG52&lt;&gt;"",IF(AN50=3,BG52,BG52+AN50),SUM(BA12:BF12)+1),"")</f>
        <v/>
      </c>
      <c r="BH12" s="23" t="str">
        <f ca="1">IF(AO12&lt;&gt;"",INDEX(AO12:AO15,MATCH(2,BG12:BG15,0),0),"")</f>
        <v/>
      </c>
      <c r="CW12" s="23" t="str">
        <f ca="1">IF(BH12&lt;&gt;"",BH12,IF(AN12&lt;&gt;"",AN12,N12))</f>
        <v>Italy</v>
      </c>
      <c r="CX12" s="23">
        <v>2</v>
      </c>
      <c r="CY12" s="23">
        <v>10</v>
      </c>
      <c r="CZ12" s="23" t="str">
        <f>Tournament!G16</f>
        <v>Romania</v>
      </c>
      <c r="DA12" s="23">
        <f ca="1">IF(AND(Tournament!H16&lt;&gt;"",Tournament!I16&lt;&gt;""),Tournament!H16,0)</f>
        <v>0</v>
      </c>
      <c r="DB12" s="23">
        <f ca="1">IF(AND(Tournament!I16&lt;&gt;"",Tournament!H16&lt;&gt;""),Tournament!I16,0)</f>
        <v>0</v>
      </c>
      <c r="DC12" s="23" t="str">
        <f>Tournament!J16</f>
        <v>Ukraine</v>
      </c>
      <c r="DD12" s="23" t="str">
        <f ca="1">IF(AND(Tournament!H16&lt;&gt;"",Tournament!I16&lt;&gt;""),IF(DA12&gt;DB12,"W",IF(DA12=DB12,"D","L")),"")</f>
        <v/>
      </c>
      <c r="DE12" s="23" t="str">
        <f t="shared" ca="1" si="0"/>
        <v/>
      </c>
      <c r="DH12" s="268" t="s">
        <v>47</v>
      </c>
      <c r="DI12" s="268"/>
      <c r="DJ12" s="268"/>
      <c r="DK12" s="268"/>
      <c r="DL12" s="269" t="s">
        <v>45</v>
      </c>
      <c r="DM12" s="269" t="s">
        <v>46</v>
      </c>
      <c r="DN12" s="269" t="s">
        <v>435</v>
      </c>
      <c r="DO12" s="269" t="s">
        <v>436</v>
      </c>
      <c r="DP12" s="270"/>
      <c r="DQ12" s="269" t="str">
        <f ca="1">Tournament!AC39</f>
        <v>D</v>
      </c>
      <c r="DR12" s="271" t="str">
        <f ca="1">Tournament!AC40</f>
        <v>C</v>
      </c>
      <c r="DS12" s="271" t="str">
        <f ca="1">Tournament!AC41</f>
        <v>E</v>
      </c>
      <c r="DT12" s="271" t="str">
        <f ca="1">Tournament!AC42</f>
        <v>F</v>
      </c>
      <c r="DU12" s="271"/>
      <c r="DV12" s="270"/>
      <c r="DW12" s="270"/>
      <c r="DX12" s="270"/>
      <c r="EE12" s="23">
        <v>2</v>
      </c>
      <c r="EF12" s="260" t="s">
        <v>3</v>
      </c>
      <c r="EG12" s="261"/>
      <c r="EH12" s="262" t="str">
        <f>Setup!C9</f>
        <v>Albania</v>
      </c>
      <c r="EI12" s="263" t="s">
        <v>98</v>
      </c>
      <c r="EJ12" s="262" t="str">
        <f ca="1">"'Countries and Timezone'!"&amp;VLOOKUP(Tournament!P13,EH7:EI38,2,FALSE)</f>
        <v>'Countries and Timezone'!B11</v>
      </c>
      <c r="EL12" s="264">
        <v>45459.75</v>
      </c>
      <c r="EM12" s="265">
        <f>EL12+EK7/24</f>
        <v>45459.75</v>
      </c>
      <c r="EO12" s="267">
        <v>-10</v>
      </c>
      <c r="EP12" s="23">
        <v>-9.5</v>
      </c>
      <c r="EQ12" s="23" t="s">
        <v>515</v>
      </c>
      <c r="ER12" s="23" t="s">
        <v>514</v>
      </c>
    </row>
    <row r="13" spans="1:148" x14ac:dyDescent="0.25">
      <c r="A13" s="23">
        <f ca="1">VLOOKUP(B13,CW11:CX15,2,FALSE)</f>
        <v>1</v>
      </c>
      <c r="B13" s="23" t="str">
        <f>'Dummy Table'!EH13</f>
        <v>Spain</v>
      </c>
      <c r="C13" s="23">
        <f ca="1">SUMPRODUCT((CZ3:CZ42=B13)*(DD3:DD42="W"))+SUMPRODUCT((DC3:DC42=B13)*(DE3:DE42="W"))</f>
        <v>1</v>
      </c>
      <c r="D13" s="23">
        <f ca="1">SUMPRODUCT((CZ3:CZ42=B13)*(DD3:DD42="D"))+SUMPRODUCT((DC3:DC42=B13)*(DE3:DE42="D"))</f>
        <v>0</v>
      </c>
      <c r="E13" s="23">
        <f ca="1">SUMPRODUCT((CZ3:CZ42=B13)*(DD3:DD42="L"))+SUMPRODUCT((DC3:DC42=B13)*(DE3:DE42="L"))</f>
        <v>0</v>
      </c>
      <c r="F13" s="23">
        <f ca="1">SUMIF(CZ3:CZ60,B13,DA3:DA60)+SUMIF(DC3:DC60,B13,DB3:DB60)</f>
        <v>3</v>
      </c>
      <c r="G13" s="23">
        <f ca="1">SUMIF(DC3:DC60,B13,DA3:DA60)+SUMIF(CZ3:CZ60,B13,DB3:DB60)</f>
        <v>0</v>
      </c>
      <c r="H13" s="23">
        <f t="shared" ca="1" si="13"/>
        <v>1003</v>
      </c>
      <c r="I13" s="23">
        <f t="shared" ca="1" si="14"/>
        <v>3</v>
      </c>
      <c r="J13" s="23">
        <v>51</v>
      </c>
      <c r="K13" s="23">
        <f ca="1">IF(COUNTIF(I11:I15,4)&lt;&gt;4,RANK(I13,I11:I15),I53)</f>
        <v>1</v>
      </c>
      <c r="M13" s="23">
        <f ca="1">SUMPRODUCT((K11:K14=K13)*(J11:J14&lt;J13))+K13</f>
        <v>2</v>
      </c>
      <c r="N13" s="23" t="str">
        <f ca="1">INDEX(B11:B15,MATCH(3,M11:M15,0),0)</f>
        <v>Croatia</v>
      </c>
      <c r="O13" s="23">
        <f ca="1">INDEX(K11:K15,MATCH(N13,B11:B15,0),0)</f>
        <v>3</v>
      </c>
      <c r="P13" s="23" t="str">
        <f ca="1">IF(AND(P12&lt;&gt;"",O13=1),N13,"")</f>
        <v/>
      </c>
      <c r="Q13" s="23" t="str">
        <f ca="1">IF(AND(Q12&lt;&gt;"",O14=2),N14,"")</f>
        <v/>
      </c>
      <c r="R13" s="23" t="str">
        <f ca="1">IF(AND(R12&lt;&gt;"",O15=3),N15,"")</f>
        <v/>
      </c>
      <c r="U13" s="23" t="str">
        <f t="shared" ca="1" si="17"/>
        <v/>
      </c>
      <c r="V13" s="23">
        <f ca="1">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23">
        <f ca="1">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23">
        <f ca="1">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23">
        <f ca="1">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23">
        <f ca="1">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23">
        <f ca="1">Y13-Z13+1000</f>
        <v>1000</v>
      </c>
      <c r="AB13" s="23" t="str">
        <f t="shared" ca="1" si="15"/>
        <v/>
      </c>
      <c r="AC13" s="23" t="str">
        <f ca="1">IF(U13&lt;&gt;"",VLOOKUP(U13,B4:H40,7,FALSE),"")</f>
        <v/>
      </c>
      <c r="AD13" s="23" t="str">
        <f ca="1">IF(U13&lt;&gt;"",VLOOKUP(U13,B4:H40,5,FALSE),"")</f>
        <v/>
      </c>
      <c r="AE13" s="23" t="str">
        <f ca="1">IF(U13&lt;&gt;"",VLOOKUP(U13,B4:J40,9,FALSE),"")</f>
        <v/>
      </c>
      <c r="AF13" s="23" t="str">
        <f t="shared" ca="1" si="16"/>
        <v/>
      </c>
      <c r="AG13" s="23" t="str">
        <f ca="1">IF(U13&lt;&gt;"",RANK(AF13,AF11:AF15),"")</f>
        <v/>
      </c>
      <c r="AH13" s="23" t="str">
        <f ca="1">IF(U13&lt;&gt;"",SUMPRODUCT((AF11:AF15=AF13)*(AA11:AA15&gt;AA13)),"")</f>
        <v/>
      </c>
      <c r="AI13" s="23" t="str">
        <f ca="1">IF(U13&lt;&gt;"",SUMPRODUCT((AF11:AF15=AF13)*(AA11:AA15=AA13)*(Y11:Y15&gt;Y13)),"")</f>
        <v/>
      </c>
      <c r="AJ13" s="23" t="str">
        <f ca="1">IF(U13&lt;&gt;"",SUMPRODUCT((AF11:AF15=AF13)*(AA11:AA15=AA13)*(Y11:Y15=Y13)*(AC11:AC15&gt;AC13)),"")</f>
        <v/>
      </c>
      <c r="AK13" s="23" t="str">
        <f ca="1">IF(U13&lt;&gt;"",SUMPRODUCT((AF11:AF15=AF13)*(AA11:AA15=AA13)*(Y11:Y15=Y13)*(AC11:AC15=AC13)*(AD11:AD15&gt;AD13)),"")</f>
        <v/>
      </c>
      <c r="AL13" s="23" t="str">
        <f ca="1">IF(U13&lt;&gt;"",SUMPRODUCT((AF11:AF15=AF13)*(AA11:AA15=AA13)*(Y11:Y15=Y13)*(AC11:AC15=AC13)*(AD11:AD15=AD13)*(AE11:AE15&gt;AE13)),"")</f>
        <v/>
      </c>
      <c r="AM13" s="23" t="str">
        <f ca="1">IF(U13&lt;&gt;"",IF(AM53&lt;&gt;"",IF(T50=3,AM53,AM53+T50),SUM(AG13:AL13)),"")</f>
        <v/>
      </c>
      <c r="AN13" s="23" t="str">
        <f ca="1">IF(U13&lt;&gt;"",INDEX(U11:U15,MATCH(3,AM11:AM15,0),0),"")</f>
        <v/>
      </c>
      <c r="AO13" s="23" t="str">
        <f ca="1">IF(Q12&lt;&gt;"",Q12,"")</f>
        <v/>
      </c>
      <c r="AP13" s="23">
        <f ca="1">SUMPRODUCT((CZ3:CZ42=AO13)*(DC3:DC42=AO14)*(DD3:DD42="W"))+SUMPRODUCT((CZ3:CZ42=AO13)*(DC3:DC42=AO15)*(DD3:DD42="W"))+SUMPRODUCT((CZ3:CZ42=AO13)*(DC3:DC42=AO12)*(DD3:DD42="W"))+SUMPRODUCT((CZ3:CZ42=AO14)*(DC3:DC42=AO13)*(DE3:DE42="W"))+SUMPRODUCT((CZ3:CZ42=AO15)*(DC3:DC42=AO13)*(DE3:DE42="W"))+SUMPRODUCT((CZ3:CZ42=AO12)*(DC3:DC42=AO13)*(DE3:DE42="W"))</f>
        <v>0</v>
      </c>
      <c r="AQ13" s="23">
        <f ca="1">SUMPRODUCT((CZ3:CZ42=AO13)*(DC3:DC42=AO14)*(DD3:DD42="D"))+SUMPRODUCT((CZ3:CZ42=AO13)*(DC3:DC42=AO15)*(DD3:DD42="D"))+SUMPRODUCT((CZ3:CZ42=AO13)*(DC3:DC42=AO12)*(DD3:DD42="D"))+SUMPRODUCT((CZ3:CZ42=AO14)*(DC3:DC42=AO13)*(DD3:DD42="D"))+SUMPRODUCT((CZ3:CZ42=AO15)*(DC3:DC42=AO13)*(DD3:DD42="D"))+SUMPRODUCT((CZ3:CZ42=AO12)*(DC3:DC42=AO13)*(DD3:DD42="D"))</f>
        <v>0</v>
      </c>
      <c r="AR13" s="23">
        <f ca="1">SUMPRODUCT((CZ3:CZ42=AO13)*(DC3:DC42=AO14)*(DD3:DD42="L"))+SUMPRODUCT((CZ3:CZ42=AO13)*(DC3:DC42=AO15)*(DD3:DD42="L"))+SUMPRODUCT((CZ3:CZ42=AO13)*(DC3:DC42=AO12)*(DD3:DD42="L"))+SUMPRODUCT((CZ3:CZ42=AO14)*(DC3:DC42=AO13)*(DE3:DE42="L"))+SUMPRODUCT((CZ3:CZ42=AO15)*(DC3:DC42=AO13)*(DE3:DE42="L"))+SUMPRODUCT((CZ3:CZ42=AO12)*(DC3:DC42=AO13)*(DE3:DE42="L"))</f>
        <v>0</v>
      </c>
      <c r="AS13" s="23">
        <f ca="1">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23">
        <f ca="1">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23">
        <f ca="1">AS13-AT13+1000</f>
        <v>1000</v>
      </c>
      <c r="AV13" s="23" t="str">
        <f t="shared" ca="1" si="18"/>
        <v/>
      </c>
      <c r="AW13" s="23" t="str">
        <f ca="1">IF(AO13&lt;&gt;"",VLOOKUP(AO13,B4:H40,7,FALSE),"")</f>
        <v/>
      </c>
      <c r="AX13" s="23" t="str">
        <f ca="1">IF(AO13&lt;&gt;"",VLOOKUP(AO13,B4:H40,5,FALSE),"")</f>
        <v/>
      </c>
      <c r="AY13" s="23" t="str">
        <f ca="1">IF(AO13&lt;&gt;"",VLOOKUP(AO13,B4:J40,9,FALSE),"")</f>
        <v/>
      </c>
      <c r="AZ13" s="23" t="str">
        <f t="shared" ca="1" si="19"/>
        <v/>
      </c>
      <c r="BA13" s="23" t="str">
        <f ca="1">IF(AO13&lt;&gt;"",RANK(AZ13,AZ11:AZ15),"")</f>
        <v/>
      </c>
      <c r="BB13" s="23" t="str">
        <f ca="1">IF(AO13&lt;&gt;"",SUMPRODUCT((AZ11:AZ15=AZ13)*(AU11:AU15&gt;AU13)),"")</f>
        <v/>
      </c>
      <c r="BC13" s="23" t="str">
        <f ca="1">IF(AO13&lt;&gt;"",SUMPRODUCT((AZ11:AZ15=AZ13)*(AU11:AU15=AU13)*(AS11:AS15&gt;AS13)),"")</f>
        <v/>
      </c>
      <c r="BD13" s="23" t="str">
        <f ca="1">IF(AO13&lt;&gt;"",SUMPRODUCT((AZ11:AZ15=AZ13)*(AU11:AU15=AU13)*(AS11:AS15=AS13)*(AW11:AW15&gt;AW13)),"")</f>
        <v/>
      </c>
      <c r="BE13" s="23" t="str">
        <f ca="1">IF(AO13&lt;&gt;"",SUMPRODUCT((AZ11:AZ15=AZ13)*(AU11:AU15=AU13)*(AS11:AS15=AS13)*(AW11:AW15=AW13)*(AX11:AX15&gt;AX13)),"")</f>
        <v/>
      </c>
      <c r="BF13" s="23" t="str">
        <f ca="1">IF(AO13&lt;&gt;"",SUMPRODUCT((AZ11:AZ15=AZ13)*(AU11:AU15=AU13)*(AS11:AS15=AS13)*(AW11:AW15=AW13)*(AX11:AX15=AX13)*(AY11:AY15&gt;AY13)),"")</f>
        <v/>
      </c>
      <c r="BG13" s="23" t="str">
        <f ca="1">IF(AO13&lt;&gt;"",IF(BG53&lt;&gt;"",IF(AN50=3,BG53,BG53+AN50),SUM(BA13:BF13)+1),"")</f>
        <v/>
      </c>
      <c r="BH13" s="23" t="str">
        <f ca="1">IF(AO13&lt;&gt;"",INDEX(AO12:AO15,MATCH(3,BG12:BG15,0),0),"")</f>
        <v/>
      </c>
      <c r="BI13" s="23" t="str">
        <f ca="1">IF(R11&lt;&gt;"",R11,"")</f>
        <v>Croatia</v>
      </c>
      <c r="BJ13" s="23">
        <f ca="1">SUMPRODUCT((CZ3:CZ42=BI13)*(DC3:DC42=BI14)*(DD3:DD42="W"))+SUMPRODUCT((CZ3:CZ42=BI13)*(DC3:DC42=BI15)*(DD3:DD42="W"))+SUMPRODUCT((CZ3:CZ42=BI13)*(DC3:DC42=BI16)*(DD3:DD42="W"))+SUMPRODUCT((CZ3:CZ42=BI14)*(DC3:DC42=BI13)*(DE3:DE42="W"))+SUMPRODUCT((CZ3:CZ42=BI15)*(DC3:DC42=BI13)*(DE3:DE42="W"))+SUMPRODUCT((CZ3:CZ42=BI16)*(DC3:DC42=BI13)*(DE3:DE42="W"))</f>
        <v>0</v>
      </c>
      <c r="BK13" s="23">
        <f ca="1">SUMPRODUCT((CZ3:CZ42=BI13)*(DC3:DC42=BI14)*(DD3:DD42="D"))+SUMPRODUCT((CZ3:CZ42=BI13)*(DC3:DC42=BI15)*(DD3:DD42="D"))+SUMPRODUCT((CZ3:CZ42=BI13)*(DC3:DC42=BI16)*(DD3:DD42="D"))+SUMPRODUCT((CZ3:CZ42=BI14)*(DC3:DC42=BI13)*(DD3:DD42="D"))+SUMPRODUCT((CZ3:CZ42=BI15)*(DC3:DC42=BI13)*(DD3:DD42="D"))+SUMPRODUCT((CZ3:CZ42=BI16)*(DC3:DC42=BI13)*(DD3:DD42="D"))</f>
        <v>0</v>
      </c>
      <c r="BL13" s="23">
        <f ca="1">SUMPRODUCT((CZ3:CZ42=BI13)*(DC3:DC42=BI14)*(DD3:DD42="L"))+SUMPRODUCT((CZ3:CZ42=BI13)*(DC3:DC42=BI15)*(DD3:DD42="L"))+SUMPRODUCT((CZ3:CZ42=BI13)*(DC3:DC42=BI16)*(DD3:DD42="L"))+SUMPRODUCT((CZ3:CZ42=BI14)*(DC3:DC42=BI13)*(DE3:DE42="L"))+SUMPRODUCT((CZ3:CZ42=BI15)*(DC3:DC42=BI13)*(DE3:DE42="L"))+SUMPRODUCT((CZ3:CZ42=BI16)*(DC3:DC42=BI13)*(DE3:DE42="L"))</f>
        <v>0</v>
      </c>
      <c r="BM13" s="23">
        <f ca="1">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23">
        <f ca="1">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23">
        <f ca="1">BM13-BN13+1000</f>
        <v>1000</v>
      </c>
      <c r="BP13" s="23">
        <f t="shared" ref="BP13:BP14" ca="1" si="20">IF(BI13&lt;&gt;"",BJ13*3+BK13*1,"")</f>
        <v>0</v>
      </c>
      <c r="BQ13" s="23">
        <f ca="1">IF(BI13&lt;&gt;"",VLOOKUP(BI13,B4:H40,7,FALSE),"")</f>
        <v>997</v>
      </c>
      <c r="BR13" s="23">
        <f ca="1">IF(BI13&lt;&gt;"",VLOOKUP(BI13,B4:H40,5,FALSE),"")</f>
        <v>0</v>
      </c>
      <c r="BS13" s="23">
        <f ca="1">IF(BI13&lt;&gt;"",VLOOKUP(BI13,B4:J40,9,FALSE),"")</f>
        <v>40</v>
      </c>
      <c r="BT13" s="23">
        <f t="shared" ref="BT13:BT14" ca="1" si="21">BP13</f>
        <v>0</v>
      </c>
      <c r="BU13" s="23">
        <f ca="1">IF(BI13&lt;&gt;"",RANK(BT13,BT11:BT15),"")</f>
        <v>1</v>
      </c>
      <c r="BV13" s="23">
        <f ca="1">IF(BI13&lt;&gt;"",SUMPRODUCT((BT11:BT15=BT13)*(BO11:BO15&gt;BO13)),"")</f>
        <v>0</v>
      </c>
      <c r="BW13" s="23">
        <f ca="1">IF(BI13&lt;&gt;"",SUMPRODUCT((BT11:BT15=BT13)*(BO11:BO15=BO13)*(BM11:BM15&gt;BM13)),"")</f>
        <v>0</v>
      </c>
      <c r="BX13" s="23">
        <f ca="1">IF(BI13&lt;&gt;"",SUMPRODUCT((BT11:BT15=BT13)*(BO11:BO15=BO13)*(BM11:BM15=BM13)*(BQ11:BQ15&gt;BQ13)),"")</f>
        <v>1</v>
      </c>
      <c r="BY13" s="23">
        <f ca="1">IF(BI13&lt;&gt;"",SUMPRODUCT((BT11:BT15=BT13)*(BO11:BO15=BO13)*(BM11:BM15=BM13)*(BQ11:BQ15=BQ13)*(BR11:BR15&gt;BR13)),"")</f>
        <v>0</v>
      </c>
      <c r="BZ13" s="23">
        <f ca="1">IF(BI13&lt;&gt;"",SUMPRODUCT((BT11:BT15=BT13)*(BO11:BO15=BO13)*(BM11:BM15=BM13)*(BQ11:BQ15=BQ13)*(BR11:BR15=BR13)*(BS11:BS15&gt;BS13)),"")</f>
        <v>0</v>
      </c>
      <c r="CA13" s="23">
        <f ca="1">IF(BI13&lt;&gt;"",SUM(BU13:BZ13)+2,"")</f>
        <v>4</v>
      </c>
      <c r="CB13" s="23" t="str">
        <f ca="1">IF(BI13&lt;&gt;"",INDEX(BI13:BI15,MATCH(3,CA13:CA15,0),0),"")</f>
        <v>Albania</v>
      </c>
      <c r="CW13" s="23" t="str">
        <f ca="1">IF(CB13&lt;&gt;"",CB13,IF(BH13&lt;&gt;"",BH13,IF(AN13&lt;&gt;"",AN13,N13)))</f>
        <v>Albania</v>
      </c>
      <c r="CX13" s="23">
        <v>3</v>
      </c>
      <c r="CY13" s="23">
        <v>11</v>
      </c>
      <c r="CZ13" s="23" t="str">
        <f>Tournament!G17</f>
        <v>Türkiye</v>
      </c>
      <c r="DA13" s="23">
        <f ca="1">IF(AND(Tournament!H17&lt;&gt;"",Tournament!I17&lt;&gt;""),Tournament!H17,0)</f>
        <v>0</v>
      </c>
      <c r="DB13" s="23">
        <f ca="1">IF(AND(Tournament!I17&lt;&gt;"",Tournament!H17&lt;&gt;""),Tournament!I17,0)</f>
        <v>0</v>
      </c>
      <c r="DC13" s="23" t="str">
        <f>Tournament!J17</f>
        <v>Georgia</v>
      </c>
      <c r="DD13" s="23" t="str">
        <f ca="1">IF(AND(Tournament!H17&lt;&gt;"",Tournament!I17&lt;&gt;""),IF(DA13&gt;DB13,"W",IF(DA13=DB13,"D","L")),"")</f>
        <v/>
      </c>
      <c r="DE13" s="23" t="str">
        <f t="shared" ca="1" si="0"/>
        <v/>
      </c>
      <c r="DH13" s="269" t="s">
        <v>15</v>
      </c>
      <c r="DI13" s="270" t="s">
        <v>3</v>
      </c>
      <c r="DJ13" s="270" t="s">
        <v>4</v>
      </c>
      <c r="DK13" s="270" t="s">
        <v>13</v>
      </c>
      <c r="DL13" s="269" t="s">
        <v>15</v>
      </c>
      <c r="DM13" s="269" t="s">
        <v>13</v>
      </c>
      <c r="DN13" s="269" t="s">
        <v>3</v>
      </c>
      <c r="DO13" s="269" t="s">
        <v>4</v>
      </c>
      <c r="DP13" s="270"/>
      <c r="DQ13" s="271">
        <f ca="1">IFERROR(MATCH(DQ12,DH13:DK13,0),0)</f>
        <v>4</v>
      </c>
      <c r="DR13" s="271">
        <f ca="1">IFERROR(MATCH(DR12,DH13:DK13,0),0)</f>
        <v>3</v>
      </c>
      <c r="DS13" s="271">
        <f ca="1">IFERROR(MATCH(DS12,DH13:DK13,0),0)</f>
        <v>0</v>
      </c>
      <c r="DT13" s="271">
        <f ca="1">IFERROR(MATCH(DT12,DH13:DK13,0),0)</f>
        <v>0</v>
      </c>
      <c r="DU13" s="271">
        <f t="shared" ref="DU13:DU27" ca="1" si="22">SUM(DQ13:DT13)</f>
        <v>7</v>
      </c>
      <c r="DV13" s="270"/>
      <c r="DW13" s="270"/>
      <c r="DX13" s="270"/>
      <c r="EE13" s="23">
        <v>3</v>
      </c>
      <c r="EF13" s="260" t="s">
        <v>3</v>
      </c>
      <c r="EG13" s="261"/>
      <c r="EH13" s="262" t="str">
        <f>Setup!C27</f>
        <v>Spain</v>
      </c>
      <c r="EI13" s="263" t="s">
        <v>99</v>
      </c>
      <c r="EJ13" s="262" t="str">
        <f ca="1">"'Countries and Timezone'!"&amp;VLOOKUP(Tournament!P14,EH7:EI38,2,FALSE)</f>
        <v>'Countries and Timezone'!B12</v>
      </c>
      <c r="EL13" s="264">
        <v>45459.625</v>
      </c>
      <c r="EM13" s="265">
        <f>EL13+EK7/24</f>
        <v>45459.625</v>
      </c>
      <c r="EO13" s="267">
        <v>-9.5</v>
      </c>
      <c r="EP13" s="23">
        <v>-9</v>
      </c>
      <c r="EQ13" s="23" t="s">
        <v>517</v>
      </c>
      <c r="ER13" s="23" t="s">
        <v>516</v>
      </c>
    </row>
    <row r="14" spans="1:148" x14ac:dyDescent="0.25">
      <c r="A14" s="23">
        <f ca="1">IF(C3="W",VLOOKUP(B14,CW11:CX15,2,FALSE),3)</f>
        <v>4</v>
      </c>
      <c r="B14" s="23" t="str">
        <f>'Dummy Table'!EH14</f>
        <v>Croatia</v>
      </c>
      <c r="C14" s="23">
        <f ca="1">SUMPRODUCT((CZ3:CZ42=B14)*(DD3:DD42="W"))+SUMPRODUCT((DC3:DC42=B14)*(DE3:DE42="W"))</f>
        <v>0</v>
      </c>
      <c r="D14" s="23">
        <f ca="1">SUMPRODUCT((CZ3:CZ42=B14)*(DD3:DD42="D"))+SUMPRODUCT((DC3:DC42=B14)*(DE3:DE42="D"))</f>
        <v>0</v>
      </c>
      <c r="E14" s="23">
        <f ca="1">SUMPRODUCT((CZ3:CZ42=B14)*(DD3:DD42="L"))+SUMPRODUCT((DC3:DC42=B14)*(DE3:DE42="L"))</f>
        <v>1</v>
      </c>
      <c r="F14" s="23">
        <f ca="1">SUMIF(CZ3:CZ60,B14,DA3:DA60)+SUMIF(DC3:DC60,B14,DB3:DB60)</f>
        <v>0</v>
      </c>
      <c r="G14" s="23">
        <f ca="1">SUMIF(DC3:DC60,B14,DA3:DA60)+SUMIF(CZ3:CZ60,B14,DB3:DB60)</f>
        <v>3</v>
      </c>
      <c r="H14" s="23">
        <f t="shared" ca="1" si="13"/>
        <v>997</v>
      </c>
      <c r="I14" s="23">
        <f t="shared" ca="1" si="14"/>
        <v>0</v>
      </c>
      <c r="J14" s="23">
        <v>40</v>
      </c>
      <c r="K14" s="23">
        <f ca="1">IF(COUNTIF(I11:I15,4)&lt;&gt;4,RANK(I14,I11:I15),I54)</f>
        <v>3</v>
      </c>
      <c r="M14" s="23">
        <f ca="1">SUMPRODUCT((K11:K14=K14)*(J11:J14&lt;J14))+K14</f>
        <v>3</v>
      </c>
      <c r="N14" s="23" t="str">
        <f ca="1">INDEX(B11:B15,MATCH(4,M11:M15,0),0)</f>
        <v>Albania</v>
      </c>
      <c r="O14" s="23">
        <f ca="1">INDEX(K11:K15,MATCH(N14,B11:B15,0),0)</f>
        <v>3</v>
      </c>
      <c r="P14" s="23" t="str">
        <f ca="1">IF(AND(P13&lt;&gt;"",O14=1),N14,"")</f>
        <v/>
      </c>
      <c r="Q14" s="23" t="str">
        <f ca="1">IF(AND(Q13&lt;&gt;"",O15=2),N15,"")</f>
        <v/>
      </c>
      <c r="U14" s="23" t="str">
        <f t="shared" ca="1" si="17"/>
        <v/>
      </c>
      <c r="V14" s="23">
        <f ca="1">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23">
        <f ca="1">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23">
        <f ca="1">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23">
        <f ca="1">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23">
        <f ca="1">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23">
        <f ca="1">Y14-Z14+1000</f>
        <v>1000</v>
      </c>
      <c r="AB14" s="23" t="str">
        <f t="shared" ca="1" si="15"/>
        <v/>
      </c>
      <c r="AC14" s="23" t="str">
        <f ca="1">IF(U14&lt;&gt;"",VLOOKUP(U14,B4:H40,7,FALSE),"")</f>
        <v/>
      </c>
      <c r="AD14" s="23" t="str">
        <f ca="1">IF(U14&lt;&gt;"",VLOOKUP(U14,B4:H40,5,FALSE),"")</f>
        <v/>
      </c>
      <c r="AE14" s="23" t="str">
        <f ca="1">IF(U14&lt;&gt;"",VLOOKUP(U14,B4:J40,9,FALSE),"")</f>
        <v/>
      </c>
      <c r="AF14" s="23" t="str">
        <f t="shared" ca="1" si="16"/>
        <v/>
      </c>
      <c r="AG14" s="23" t="str">
        <f ca="1">IF(U14&lt;&gt;"",RANK(AF14,AF11:AF15),"")</f>
        <v/>
      </c>
      <c r="AH14" s="23" t="str">
        <f ca="1">IF(U14&lt;&gt;"",SUMPRODUCT((AF11:AF15=AF14)*(AA11:AA15&gt;AA14)),"")</f>
        <v/>
      </c>
      <c r="AI14" s="23" t="str">
        <f ca="1">IF(U14&lt;&gt;"",SUMPRODUCT((AF11:AF15=AF14)*(AA11:AA15=AA14)*(Y11:Y15&gt;Y14)),"")</f>
        <v/>
      </c>
      <c r="AJ14" s="23" t="str">
        <f ca="1">IF(U14&lt;&gt;"",SUMPRODUCT((AF11:AF15=AF14)*(AA11:AA15=AA14)*(Y11:Y15=Y14)*(AC11:AC15&gt;AC14)),"")</f>
        <v/>
      </c>
      <c r="AK14" s="23" t="str">
        <f ca="1">IF(U14&lt;&gt;"",SUMPRODUCT((AF11:AF15=AF14)*(AA11:AA15=AA14)*(Y11:Y15=Y14)*(AC11:AC15=AC14)*(AD11:AD15&gt;AD14)),"")</f>
        <v/>
      </c>
      <c r="AL14" s="23" t="str">
        <f ca="1">IF(U14&lt;&gt;"",SUMPRODUCT((AF11:AF15=AF14)*(AA11:AA15=AA14)*(Y11:Y15=Y14)*(AC11:AC15=AC14)*(AD11:AD15=AD14)*(AE11:AE15&gt;AE14)),"")</f>
        <v/>
      </c>
      <c r="AM14" s="23" t="str">
        <f ca="1">IF(U14&lt;&gt;"",IF(AM54&lt;&gt;"",IF(T50=3,AM54,AM54+T50),SUM(AG14:AL14)),"")</f>
        <v/>
      </c>
      <c r="AN14" s="23" t="str">
        <f ca="1">IF(U14&lt;&gt;"",INDEX(U11:U15,MATCH(4,AM11:AM15,0),0),"")</f>
        <v/>
      </c>
      <c r="AO14" s="23" t="str">
        <f ca="1">IF(Q13&lt;&gt;"",Q13,"")</f>
        <v/>
      </c>
      <c r="AP14" s="23" t="str">
        <f ca="1">IF(AO14&lt;&gt;"",SUMPRODUCT((CZ3:CZ42=AO14)*(DC3:DC42=AO15)*(DD3:DD42="W"))+SUMPRODUCT((CZ3:CZ42=AO14)*(DC3:DC42=AO12)*(DD3:DD42="W"))+SUMPRODUCT((CZ3:CZ42=AO14)*(DC3:DC42=AO13)*(DD3:DD42="W"))+SUMPRODUCT((CZ3:CZ42=AO15)*(DC3:DC42=AO14)*(DE3:DE42="W"))+SUMPRODUCT((CZ3:CZ42=AO12)*(DC3:DC42=AO14)*(DE3:DE42="W"))+SUMPRODUCT((CZ3:CZ42=AO13)*(DC3:DC42=AO14)*(DE3:DE42="W")),"")</f>
        <v/>
      </c>
      <c r="AQ14" s="23" t="str">
        <f ca="1">IF(AO14&lt;&gt;"",SUMPRODUCT((CZ3:CZ42=AO14)*(DC3:DC42=AO15)*(DD3:DD42="D"))+SUMPRODUCT((CZ3:CZ42=AO14)*(DC3:DC42=AO12)*(DD3:DD42="D"))+SUMPRODUCT((CZ3:CZ42=AO14)*(DC3:DC42=AO13)*(DD3:DD42="D"))+SUMPRODUCT((CZ3:CZ42=AO15)*(DC3:DC42=AO14)*(DD3:DD42="D"))+SUMPRODUCT((CZ3:CZ42=AO12)*(DC3:DC42=AO14)*(DD3:DD42="D"))+SUMPRODUCT((CZ3:CZ42=AO13)*(DC3:DC42=AO14)*(DD3:DD42="D")),"")</f>
        <v/>
      </c>
      <c r="AR14" s="23" t="str">
        <f ca="1">IF(AO14&lt;&gt;"",SUMPRODUCT((CZ3:CZ42=AO14)*(DC3:DC42=AO15)*(DD3:DD42="L"))+SUMPRODUCT((CZ3:CZ42=AO14)*(DC3:DC42=AO12)*(DD3:DD42="L"))+SUMPRODUCT((CZ3:CZ42=AO14)*(DC3:DC42=AO13)*(DD3:DD42="L"))+SUMPRODUCT((CZ3:CZ42=AO15)*(DC3:DC42=AO14)*(DE3:DE42="L"))+SUMPRODUCT((CZ3:CZ42=AO12)*(DC3:DC42=AO14)*(DE3:DE42="L"))+SUMPRODUCT((CZ3:CZ42=AO13)*(DC3:DC42=AO14)*(DE3:DE42="L")),"")</f>
        <v/>
      </c>
      <c r="AS14" s="23">
        <f ca="1">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23">
        <f ca="1">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23">
        <f ca="1">AS14-AT14+1000</f>
        <v>1000</v>
      </c>
      <c r="AV14" s="23" t="str">
        <f t="shared" ca="1" si="18"/>
        <v/>
      </c>
      <c r="AW14" s="23" t="str">
        <f ca="1">IF(AO14&lt;&gt;"",VLOOKUP(AO14,B4:H40,7,FALSE),"")</f>
        <v/>
      </c>
      <c r="AX14" s="23" t="str">
        <f ca="1">IF(AO14&lt;&gt;"",VLOOKUP(AO14,B4:H40,5,FALSE),"")</f>
        <v/>
      </c>
      <c r="AY14" s="23" t="str">
        <f ca="1">IF(AO14&lt;&gt;"",VLOOKUP(AO14,B4:J40,9,FALSE),"")</f>
        <v/>
      </c>
      <c r="AZ14" s="23" t="str">
        <f t="shared" ca="1" si="19"/>
        <v/>
      </c>
      <c r="BA14" s="23" t="str">
        <f ca="1">IF(AO14&lt;&gt;"",RANK(AZ14,AZ11:AZ15),"")</f>
        <v/>
      </c>
      <c r="BB14" s="23" t="str">
        <f ca="1">IF(AO14&lt;&gt;"",SUMPRODUCT((AZ11:AZ15=AZ14)*(AU11:AU15&gt;AU14)),"")</f>
        <v/>
      </c>
      <c r="BC14" s="23" t="str">
        <f ca="1">IF(AO14&lt;&gt;"",SUMPRODUCT((AZ11:AZ15=AZ14)*(AU11:AU15=AU14)*(AS11:AS15&gt;AS14)),"")</f>
        <v/>
      </c>
      <c r="BD14" s="23" t="str">
        <f ca="1">IF(AO14&lt;&gt;"",SUMPRODUCT((AZ11:AZ15=AZ14)*(AU11:AU15=AU14)*(AS11:AS15=AS14)*(AW11:AW15&gt;AW14)),"")</f>
        <v/>
      </c>
      <c r="BE14" s="23" t="str">
        <f ca="1">IF(AO14&lt;&gt;"",SUMPRODUCT((AZ11:AZ15=AZ14)*(AU11:AU15=AU14)*(AS11:AS15=AS14)*(AW11:AW15=AW14)*(AX11:AX15&gt;AX14)),"")</f>
        <v/>
      </c>
      <c r="BF14" s="23" t="str">
        <f ca="1">IF(AO14&lt;&gt;"",SUMPRODUCT((AZ11:AZ15=AZ14)*(AU11:AU15=AU14)*(AS11:AS15=AS14)*(AW11:AW15=AW14)*(AX11:AX15=AX14)*(AY11:AY15&gt;AY14)),"")</f>
        <v/>
      </c>
      <c r="BG14" s="23" t="str">
        <f ca="1">IF(AO14&lt;&gt;"",IF(BG54&lt;&gt;"",IF(AN50=3,BG54,BG54+AN50),SUM(BA14:BF14)+1),"")</f>
        <v/>
      </c>
      <c r="BH14" s="23" t="str">
        <f ca="1">IF(AO14&lt;&gt;"",INDEX(AO12:AO15,MATCH(4,BG12:BG15,0),0),"")</f>
        <v/>
      </c>
      <c r="BI14" s="23" t="str">
        <f ca="1">IF(R12&lt;&gt;"",R12,"")</f>
        <v>Albania</v>
      </c>
      <c r="BJ14" s="23">
        <f ca="1">SUMPRODUCT((CZ3:CZ42=BI14)*(DC3:DC42=BI15)*(DD3:DD42="W"))+SUMPRODUCT((CZ3:CZ42=BI14)*(DC3:DC42=BI16)*(DD3:DD42="W"))+SUMPRODUCT((CZ3:CZ42=BI14)*(DC3:DC42=BI13)*(DD3:DD42="W"))+SUMPRODUCT((CZ3:CZ42=BI15)*(DC3:DC42=BI14)*(DE3:DE42="W"))+SUMPRODUCT((CZ3:CZ42=BI16)*(DC3:DC42=BI14)*(DE3:DE42="W"))+SUMPRODUCT((CZ3:CZ42=BI13)*(DC3:DC42=BI14)*(DE3:DE42="W"))</f>
        <v>0</v>
      </c>
      <c r="BK14" s="23">
        <f ca="1">SUMPRODUCT((CZ3:CZ42=BI14)*(DC3:DC42=BI15)*(DD3:DD42="D"))+SUMPRODUCT((CZ3:CZ42=BI14)*(DC3:DC42=BI16)*(DD3:DD42="D"))+SUMPRODUCT((CZ3:CZ42=BI14)*(DC3:DC42=BI13)*(DD3:DD42="D"))+SUMPRODUCT((CZ3:CZ42=BI15)*(DC3:DC42=BI14)*(DD3:DD42="D"))+SUMPRODUCT((CZ3:CZ42=BI16)*(DC3:DC42=BI14)*(DD3:DD42="D"))+SUMPRODUCT((CZ3:CZ42=BI13)*(DC3:DC42=BI14)*(DD3:DD42="D"))</f>
        <v>0</v>
      </c>
      <c r="BL14" s="23">
        <f ca="1">SUMPRODUCT((CZ3:CZ42=BI14)*(DC3:DC42=BI15)*(DD3:DD42="L"))+SUMPRODUCT((CZ3:CZ42=BI14)*(DC3:DC42=BI16)*(DD3:DD42="L"))+SUMPRODUCT((CZ3:CZ42=BI14)*(DC3:DC42=BI13)*(DD3:DD42="L"))+SUMPRODUCT((CZ3:CZ42=BI15)*(DC3:DC42=BI14)*(DE3:DE42="L"))+SUMPRODUCT((CZ3:CZ42=BI16)*(DC3:DC42=BI14)*(DE3:DE42="L"))+SUMPRODUCT((CZ3:CZ42=BI13)*(DC3:DC42=BI14)*(DE3:DE42="L"))</f>
        <v>0</v>
      </c>
      <c r="BM14" s="23">
        <f ca="1">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23">
        <f ca="1">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23">
        <f ca="1">BM14-BN14+1000</f>
        <v>1000</v>
      </c>
      <c r="BP14" s="23">
        <f t="shared" ca="1" si="20"/>
        <v>0</v>
      </c>
      <c r="BQ14" s="23">
        <f ca="1">IF(BI14&lt;&gt;"",VLOOKUP(BI14,B4:H40,7,FALSE),"")</f>
        <v>999</v>
      </c>
      <c r="BR14" s="23">
        <f ca="1">IF(BI14&lt;&gt;"",VLOOKUP(BI14,B4:H40,5,FALSE),"")</f>
        <v>1</v>
      </c>
      <c r="BS14" s="23">
        <f ca="1">IF(BI14&lt;&gt;"",VLOOKUP(BI14,B4:J40,9,FALSE),"")</f>
        <v>44</v>
      </c>
      <c r="BT14" s="23">
        <f t="shared" ca="1" si="21"/>
        <v>0</v>
      </c>
      <c r="BU14" s="23">
        <f ca="1">IF(BI14&lt;&gt;"",RANK(BT14,BT11:BT15),"")</f>
        <v>1</v>
      </c>
      <c r="BV14" s="23">
        <f ca="1">IF(BI14&lt;&gt;"",SUMPRODUCT((BT11:BT15=BT14)*(BO11:BO15&gt;BO14)),"")</f>
        <v>0</v>
      </c>
      <c r="BW14" s="23">
        <f ca="1">IF(BI14&lt;&gt;"",SUMPRODUCT((BT11:BT15=BT14)*(BO11:BO15=BO14)*(BM11:BM15&gt;BM14)),"")</f>
        <v>0</v>
      </c>
      <c r="BX14" s="23">
        <f ca="1">IF(BI14&lt;&gt;"",SUMPRODUCT((BT11:BT15=BT14)*(BO11:BO15=BO14)*(BM11:BM15=BM14)*(BQ11:BQ15&gt;BQ14)),"")</f>
        <v>0</v>
      </c>
      <c r="BY14" s="23">
        <f ca="1">IF(BI14&lt;&gt;"",SUMPRODUCT((BT11:BT15=BT14)*(BO11:BO15=BO14)*(BM11:BM15=BM14)*(BQ11:BQ15=BQ14)*(BR11:BR15&gt;BR14)),"")</f>
        <v>0</v>
      </c>
      <c r="BZ14" s="23">
        <f ca="1">IF(BI14&lt;&gt;"",SUMPRODUCT((BT11:BT15=BT14)*(BO11:BO15=BO14)*(BM11:BM15=BM14)*(BQ11:BQ15=BQ14)*(BR11:BR15=BR14)*(BS11:BS15&gt;BS14)),"")</f>
        <v>0</v>
      </c>
      <c r="CA14" s="23">
        <f ca="1">IF(BI14&lt;&gt;"",SUM(BU14:BZ14)+2,"")</f>
        <v>3</v>
      </c>
      <c r="CB14" s="23" t="str">
        <f ca="1">IF(BI14&lt;&gt;"",INDEX(BI13:BI15,MATCH(4,CA13:CA15,0),0),"")</f>
        <v>Croatia</v>
      </c>
      <c r="CC14" s="23" t="str">
        <f>IF(S11&lt;&gt;"",S11,"")</f>
        <v/>
      </c>
      <c r="CD14" s="23">
        <f ca="1">SUMPRODUCT((CZ3:CZ42=CC14)*(DC3:DC42=CC15)*(DD3:DD42="W"))+SUMPRODUCT((CZ3:CZ42=CC14)*(DC3:DC42=CC16)*(DD3:DD42="W"))+SUMPRODUCT((CZ3:CZ42=CC14)*(DC3:DC42=CC17)*(DD3:DD42="W"))+SUMPRODUCT((CZ3:CZ42=CC15)*(DC3:DC42=CC14)*(DE3:DE42="W"))+SUMPRODUCT((CZ3:CZ42=CC16)*(DC3:DC42=CC14)*(DE3:DE42="W"))+SUMPRODUCT((CZ3:CZ42=CC17)*(DC3:DC42=CC14)*(DE3:DE42="W"))</f>
        <v>0</v>
      </c>
      <c r="CE14" s="23">
        <f ca="1">SUMPRODUCT((CZ3:CZ42=CC14)*(DC3:DC42=CC15)*(DD3:DD42="D"))+SUMPRODUCT((CZ3:CZ42=CC14)*(DC3:DC42=CC16)*(DD3:DD42="D"))+SUMPRODUCT((CZ3:CZ42=CC14)*(DC3:DC42=CC17)*(DD3:DD42="D"))+SUMPRODUCT((CZ3:CZ42=CC15)*(DC3:DC42=CC14)*(DD3:DD42="D"))+SUMPRODUCT((CZ3:CZ42=CC16)*(DC3:DC42=CC14)*(DD3:DD42="D"))+SUMPRODUCT((CZ3:CZ42=CC17)*(DC3:DC42=CC14)*(DD3:DD42="D"))</f>
        <v>0</v>
      </c>
      <c r="CF14" s="23">
        <f ca="1">SUMPRODUCT((CZ3:CZ42=CC14)*(DC3:DC42=CC15)*(DD3:DD42="L"))+SUMPRODUCT((CZ3:CZ42=CC14)*(DC3:DC42=CC16)*(DD3:DD42="L"))+SUMPRODUCT((CZ3:CZ42=CC14)*(DC3:DC42=CC17)*(DD3:DD42="L"))+SUMPRODUCT((CZ3:CZ42=CC15)*(DC3:DC42=CC14)*(DE3:DE42="L"))+SUMPRODUCT((CZ3:CZ42=CC16)*(DC3:DC42=CC14)*(DE3:DE42="L"))+SUMPRODUCT((CZ3:CZ42=CC17)*(DC3:DC42=CC14)*(DE3:DE42="L"))</f>
        <v>0</v>
      </c>
      <c r="CG14" s="23">
        <f ca="1">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23">
        <f ca="1">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23">
        <f ca="1">CG14-CH14+1000</f>
        <v>1000</v>
      </c>
      <c r="CJ14" s="23" t="str">
        <f t="shared" ref="CJ14" si="23">IF(CC14&lt;&gt;"",CD14*3+CE14*1,"")</f>
        <v/>
      </c>
      <c r="CK14" s="23" t="str">
        <f>IF(CC14&lt;&gt;"",VLOOKUP(CC14,B4:H40,7,FALSE),"")</f>
        <v/>
      </c>
      <c r="CL14" s="23" t="str">
        <f>IF(CC14&lt;&gt;"",VLOOKUP(CC14,B4:H40,5,FALSE),"")</f>
        <v/>
      </c>
      <c r="CM14" s="23" t="str">
        <f>IF(CC14&lt;&gt;"",VLOOKUP(CC14,B4:J40,9,FALSE),"")</f>
        <v/>
      </c>
      <c r="CN14" s="23" t="str">
        <f t="shared" ref="CN14" si="24">CJ14</f>
        <v/>
      </c>
      <c r="CO14" s="23" t="str">
        <f>IF(CC14&lt;&gt;"",RANK(CN14,CN11:CN15),"")</f>
        <v/>
      </c>
      <c r="CP14" s="23" t="str">
        <f>IF(CC14&lt;&gt;"",SUMPRODUCT((CN11:CN15=CN14)*(CI11:CI15&gt;CI14)),"")</f>
        <v/>
      </c>
      <c r="CQ14" s="23" t="str">
        <f>IF(CC14&lt;&gt;"",SUMPRODUCT((CN11:CN15=CN14)*(CI11:CI15=CI14)*(CG11:CG15&gt;CG14)),"")</f>
        <v/>
      </c>
      <c r="CR14" s="23" t="str">
        <f>IF(CC14&lt;&gt;"",SUMPRODUCT((CN11:CN15=CN14)*(CI11:CI15=CI14)*(CG11:CG15=CG14)*(CK11:CK15&gt;CK14)),"")</f>
        <v/>
      </c>
      <c r="CS14" s="23" t="str">
        <f>IF(CC14&lt;&gt;"",SUMPRODUCT((CN11:CN15=CN14)*(CI11:CI15=CI14)*(CG11:CG15=CG14)*(CK11:CK15=CK14)*(CL11:CL15&gt;CL14)),"")</f>
        <v/>
      </c>
      <c r="CT14" s="23" t="str">
        <f>IF(CC14&lt;&gt;"",SUMPRODUCT((CN11:CN15=CN14)*(CI11:CI15=CI14)*(CG11:CG15=CG14)*(CK11:CK15=CK14)*(CL11:CL15=CL14)*(CM11:CM15&gt;CM14)),"")</f>
        <v/>
      </c>
      <c r="CU14" s="23" t="str">
        <f>IF(CC14&lt;&gt;"",SUM(CO14:CT14)+3,"")</f>
        <v/>
      </c>
      <c r="CV14" s="23" t="str">
        <f>IF(CC14&lt;&gt;"",IF(CU14=4,CC14,CC15),"")</f>
        <v/>
      </c>
      <c r="CW14" s="23" t="str">
        <f ca="1">IF(CV14&lt;&gt;"",CV14,IF(CB14&lt;&gt;"",CB14,IF(BH14&lt;&gt;"",BH14,IF(AN14&lt;&gt;"",AN14,N14))))</f>
        <v>Croatia</v>
      </c>
      <c r="CX14" s="23">
        <v>4</v>
      </c>
      <c r="CY14" s="23">
        <v>12</v>
      </c>
      <c r="CZ14" s="23" t="str">
        <f>Tournament!G18</f>
        <v>Portugal</v>
      </c>
      <c r="DA14" s="23">
        <f ca="1">IF(AND(Tournament!H18&lt;&gt;"",Tournament!I18&lt;&gt;""),Tournament!H18,0)</f>
        <v>0</v>
      </c>
      <c r="DB14" s="23">
        <f ca="1">IF(AND(Tournament!I18&lt;&gt;"",Tournament!H18&lt;&gt;""),Tournament!I18,0)</f>
        <v>0</v>
      </c>
      <c r="DC14" s="23" t="str">
        <f>Tournament!J18</f>
        <v>Czechia</v>
      </c>
      <c r="DD14" s="23" t="str">
        <f ca="1">IF(AND(Tournament!H18&lt;&gt;"",Tournament!I18&lt;&gt;""),IF(DA14&gt;DB14,"W",IF(DA14=DB14,"D","L")),"")</f>
        <v/>
      </c>
      <c r="DE14" s="23" t="str">
        <f t="shared" ca="1" si="0"/>
        <v/>
      </c>
      <c r="DH14" s="269" t="s">
        <v>15</v>
      </c>
      <c r="DI14" s="270" t="s">
        <v>3</v>
      </c>
      <c r="DJ14" s="270" t="s">
        <v>4</v>
      </c>
      <c r="DK14" s="270" t="s">
        <v>109</v>
      </c>
      <c r="DL14" s="269" t="s">
        <v>15</v>
      </c>
      <c r="DM14" s="269" t="s">
        <v>109</v>
      </c>
      <c r="DN14" s="269" t="s">
        <v>3</v>
      </c>
      <c r="DO14" s="269" t="s">
        <v>4</v>
      </c>
      <c r="DP14" s="270"/>
      <c r="DQ14" s="271">
        <f ca="1">IFERROR(MATCH(DQ12,DH14:DK14,0),0)</f>
        <v>0</v>
      </c>
      <c r="DR14" s="271">
        <f ca="1">IFERROR(MATCH(DR12,DH14:DK14,0),0)</f>
        <v>3</v>
      </c>
      <c r="DS14" s="271">
        <f ca="1">IFERROR(MATCH(DS12,DH14:DK14,0),0)</f>
        <v>4</v>
      </c>
      <c r="DT14" s="271">
        <f ca="1">IFERROR(MATCH(DT12,DH14:DK14,0),0)</f>
        <v>0</v>
      </c>
      <c r="DU14" s="271">
        <f t="shared" ca="1" si="22"/>
        <v>7</v>
      </c>
      <c r="DV14" s="270"/>
      <c r="DW14" s="270"/>
      <c r="DX14" s="270"/>
      <c r="EE14" s="23">
        <v>4</v>
      </c>
      <c r="EF14" s="260" t="s">
        <v>3</v>
      </c>
      <c r="EG14" s="261"/>
      <c r="EH14" s="262" t="str">
        <f>Setup!C12</f>
        <v>Croatia</v>
      </c>
      <c r="EI14" s="263" t="s">
        <v>100</v>
      </c>
      <c r="EJ14" s="262" t="str">
        <f ca="1">"'Countries and Timezone'!"&amp;VLOOKUP(Tournament!P15,EH7:EI38,2,FALSE)</f>
        <v>'Countries and Timezone'!B14</v>
      </c>
      <c r="EL14" s="264">
        <v>45460.875</v>
      </c>
      <c r="EM14" s="265">
        <f>EL14+EK7/24</f>
        <v>45460.875</v>
      </c>
      <c r="EO14" s="267">
        <v>-9</v>
      </c>
      <c r="EP14" s="23">
        <v>-9</v>
      </c>
      <c r="EQ14" s="23" t="s">
        <v>519</v>
      </c>
      <c r="ER14" s="23" t="s">
        <v>518</v>
      </c>
    </row>
    <row r="15" spans="1:148" x14ac:dyDescent="0.25">
      <c r="CY15" s="23">
        <v>13</v>
      </c>
      <c r="CZ15" s="23" t="str">
        <f>Tournament!G19</f>
        <v>Scotland</v>
      </c>
      <c r="DA15" s="23">
        <f ca="1">IF(AND(Tournament!H19&lt;&gt;"",Tournament!I19&lt;&gt;""),Tournament!H19,0)</f>
        <v>0</v>
      </c>
      <c r="DB15" s="23">
        <f ca="1">IF(AND(Tournament!I19&lt;&gt;"",Tournament!H19&lt;&gt;""),Tournament!I19,0)</f>
        <v>0</v>
      </c>
      <c r="DC15" s="23" t="str">
        <f>Tournament!J19</f>
        <v>Switzerland</v>
      </c>
      <c r="DD15" s="23" t="str">
        <f ca="1">IF(AND(Tournament!H19&lt;&gt;"",Tournament!I19&lt;&gt;""),IF(DA15&gt;DB15,"W",IF(DA15=DB15,"D","L")),"")</f>
        <v/>
      </c>
      <c r="DE15" s="23" t="str">
        <f t="shared" ca="1" si="0"/>
        <v/>
      </c>
      <c r="DH15" s="269" t="s">
        <v>15</v>
      </c>
      <c r="DI15" s="270" t="s">
        <v>3</v>
      </c>
      <c r="DJ15" s="270" t="s">
        <v>4</v>
      </c>
      <c r="DK15" s="270" t="s">
        <v>114</v>
      </c>
      <c r="DL15" s="269" t="s">
        <v>15</v>
      </c>
      <c r="DM15" s="269" t="s">
        <v>114</v>
      </c>
      <c r="DN15" s="269" t="s">
        <v>3</v>
      </c>
      <c r="DO15" s="269" t="s">
        <v>4</v>
      </c>
      <c r="DP15" s="270"/>
      <c r="DQ15" s="271">
        <f ca="1">IFERROR(MATCH(DQ12,DH15:DK15,0),0)</f>
        <v>0</v>
      </c>
      <c r="DR15" s="271">
        <f ca="1">IFERROR(MATCH(DR12,DH15:DK15,0),0)</f>
        <v>3</v>
      </c>
      <c r="DS15" s="271">
        <f ca="1">IFERROR(MATCH(DS12,DH15:DK15,0),0)</f>
        <v>0</v>
      </c>
      <c r="DT15" s="271">
        <f ca="1">IFERROR(MATCH(DT12,DH15:DK15,0),0)</f>
        <v>4</v>
      </c>
      <c r="DU15" s="271">
        <f t="shared" ca="1" si="22"/>
        <v>7</v>
      </c>
      <c r="DV15" s="270"/>
      <c r="DW15" s="270"/>
      <c r="DX15" s="270"/>
      <c r="EE15" s="23">
        <v>1</v>
      </c>
      <c r="EF15" s="260" t="s">
        <v>4</v>
      </c>
      <c r="EG15" s="261"/>
      <c r="EH15" s="262" t="str">
        <f>Setup!C24</f>
        <v>Serbia</v>
      </c>
      <c r="EI15" s="263" t="s">
        <v>101</v>
      </c>
      <c r="EJ15" s="262" t="str">
        <f ca="1">"'Countries and Timezone'!"&amp;VLOOKUP(Tournament!P17,EH7:EI38,2,FALSE)</f>
        <v>'Countries and Timezone'!B16</v>
      </c>
      <c r="EL15" s="264">
        <v>45460.75</v>
      </c>
      <c r="EM15" s="265">
        <f>EL15+EK7/24</f>
        <v>45460.75</v>
      </c>
      <c r="EO15" s="267">
        <v>-8.5</v>
      </c>
      <c r="EP15" s="23">
        <v>-8</v>
      </c>
      <c r="EQ15" s="23" t="s">
        <v>521</v>
      </c>
      <c r="ER15" s="23" t="s">
        <v>520</v>
      </c>
    </row>
    <row r="16" spans="1:148" x14ac:dyDescent="0.25">
      <c r="CY16" s="23">
        <v>14</v>
      </c>
      <c r="CZ16" s="23" t="str">
        <f>Tournament!G20</f>
        <v>Germany</v>
      </c>
      <c r="DA16" s="23">
        <f ca="1">IF(AND(Tournament!H20&lt;&gt;"",Tournament!I20&lt;&gt;""),Tournament!H20,0)</f>
        <v>0</v>
      </c>
      <c r="DB16" s="23">
        <f ca="1">IF(AND(Tournament!I20&lt;&gt;"",Tournament!H20&lt;&gt;""),Tournament!I20,0)</f>
        <v>0</v>
      </c>
      <c r="DC16" s="23" t="str">
        <f>Tournament!J20</f>
        <v>Hungary</v>
      </c>
      <c r="DD16" s="23" t="str">
        <f ca="1">IF(AND(Tournament!H20&lt;&gt;"",Tournament!I20&lt;&gt;""),IF(DA16&gt;DB16,"W",IF(DA16=DB16,"D","L")),"")</f>
        <v/>
      </c>
      <c r="DE16" s="23" t="str">
        <f t="shared" ca="1" si="0"/>
        <v/>
      </c>
      <c r="DH16" s="269" t="s">
        <v>15</v>
      </c>
      <c r="DI16" s="270" t="s">
        <v>3</v>
      </c>
      <c r="DJ16" s="270" t="s">
        <v>13</v>
      </c>
      <c r="DK16" s="270" t="s">
        <v>109</v>
      </c>
      <c r="DL16" s="269" t="s">
        <v>13</v>
      </c>
      <c r="DM16" s="269" t="s">
        <v>109</v>
      </c>
      <c r="DN16" s="269" t="s">
        <v>15</v>
      </c>
      <c r="DO16" s="269" t="s">
        <v>3</v>
      </c>
      <c r="DP16" s="270"/>
      <c r="DQ16" s="271">
        <f ca="1">IFERROR(MATCH(DQ12,DH16:DK16,0),0)</f>
        <v>3</v>
      </c>
      <c r="DR16" s="271">
        <f ca="1">IFERROR(MATCH(DR12,DH16:DK16,0),0)</f>
        <v>0</v>
      </c>
      <c r="DS16" s="271">
        <f ca="1">IFERROR(MATCH(DS12,DH16:DK16,0),0)</f>
        <v>4</v>
      </c>
      <c r="DT16" s="271">
        <f ca="1">IFERROR(MATCH(DT12,DH16:DK16,0),0)</f>
        <v>0</v>
      </c>
      <c r="DU16" s="271">
        <f t="shared" ca="1" si="22"/>
        <v>7</v>
      </c>
      <c r="DV16" s="270"/>
      <c r="DW16" s="270"/>
      <c r="DX16" s="270"/>
      <c r="EE16" s="23">
        <v>2</v>
      </c>
      <c r="EF16" s="260" t="s">
        <v>4</v>
      </c>
      <c r="EG16" s="261"/>
      <c r="EH16" s="262" t="str">
        <f>Setup!C15</f>
        <v>England</v>
      </c>
      <c r="EI16" s="263" t="s">
        <v>102</v>
      </c>
      <c r="EJ16" s="262" t="str">
        <f ca="1">"'Countries and Timezone'!"&amp;VLOOKUP(Tournament!P18,EH7:EI38,2,FALSE)</f>
        <v>'Countries and Timezone'!B18</v>
      </c>
      <c r="EL16" s="264">
        <v>45460.625</v>
      </c>
      <c r="EM16" s="265">
        <f>EL16+EK7/24</f>
        <v>45460.625</v>
      </c>
      <c r="EO16" s="267">
        <v>-8</v>
      </c>
      <c r="EP16" s="23">
        <v>-8</v>
      </c>
      <c r="EQ16" s="23" t="s">
        <v>523</v>
      </c>
      <c r="ER16" s="23" t="s">
        <v>522</v>
      </c>
    </row>
    <row r="17" spans="1:148" x14ac:dyDescent="0.25">
      <c r="V17" s="23" t="s">
        <v>15</v>
      </c>
      <c r="CY17" s="23">
        <v>15</v>
      </c>
      <c r="CZ17" s="23" t="str">
        <f>Tournament!G21</f>
        <v>Croatia</v>
      </c>
      <c r="DA17" s="23">
        <f ca="1">IF(AND(Tournament!H21&lt;&gt;"",Tournament!I21&lt;&gt;""),Tournament!H21,0)</f>
        <v>0</v>
      </c>
      <c r="DB17" s="23">
        <f ca="1">IF(AND(Tournament!I21&lt;&gt;"",Tournament!H21&lt;&gt;""),Tournament!I21,0)</f>
        <v>0</v>
      </c>
      <c r="DC17" s="23" t="str">
        <f>Tournament!J21</f>
        <v>Albania</v>
      </c>
      <c r="DD17" s="23" t="str">
        <f ca="1">IF(AND(Tournament!H21&lt;&gt;"",Tournament!I21&lt;&gt;""),IF(DA17&gt;DB17,"W",IF(DA17=DB17,"D","L")),"")</f>
        <v/>
      </c>
      <c r="DE17" s="23" t="str">
        <f t="shared" ca="1" si="0"/>
        <v/>
      </c>
      <c r="DH17" s="269" t="s">
        <v>15</v>
      </c>
      <c r="DI17" s="270" t="s">
        <v>3</v>
      </c>
      <c r="DJ17" s="270" t="s">
        <v>13</v>
      </c>
      <c r="DK17" s="270" t="s">
        <v>114</v>
      </c>
      <c r="DL17" s="269" t="s">
        <v>13</v>
      </c>
      <c r="DM17" s="269" t="s">
        <v>114</v>
      </c>
      <c r="DN17" s="269" t="s">
        <v>15</v>
      </c>
      <c r="DO17" s="269" t="s">
        <v>3</v>
      </c>
      <c r="DP17" s="270"/>
      <c r="DQ17" s="271">
        <f ca="1">IFERROR(MATCH(DQ12,DH17:DK17,0),0)</f>
        <v>3</v>
      </c>
      <c r="DR17" s="271">
        <f ca="1">IFERROR(MATCH(DR12,DH17:DK17,0),0)</f>
        <v>0</v>
      </c>
      <c r="DS17" s="271">
        <f ca="1">IFERROR(MATCH(DS12,DH17:DK17,0),0)</f>
        <v>0</v>
      </c>
      <c r="DT17" s="271">
        <f ca="1">IFERROR(MATCH(DT12,DH17:DK17,0),0)</f>
        <v>4</v>
      </c>
      <c r="DU17" s="271">
        <f t="shared" ca="1" si="22"/>
        <v>7</v>
      </c>
      <c r="DV17" s="270"/>
      <c r="DW17" s="270"/>
      <c r="DX17" s="270"/>
      <c r="EE17" s="23">
        <v>3</v>
      </c>
      <c r="EF17" s="260" t="s">
        <v>4</v>
      </c>
      <c r="EG17" s="261"/>
      <c r="EH17" s="262" t="str">
        <f>Setup!C26</f>
        <v>Slovenia</v>
      </c>
      <c r="EI17" s="263" t="s">
        <v>103</v>
      </c>
      <c r="EJ17" s="262" t="str">
        <f ca="1">"'Countries and Timezone'!"&amp;VLOOKUP(Tournament!P19,EH7:EI38,2,FALSE)</f>
        <v>'Countries and Timezone'!B17</v>
      </c>
      <c r="EL17" s="264">
        <v>45461.75</v>
      </c>
      <c r="EM17" s="265">
        <f>EL17+EK7/24</f>
        <v>45461.75</v>
      </c>
      <c r="EO17" s="267">
        <v>-7.5</v>
      </c>
      <c r="EP17" s="23">
        <v>-8</v>
      </c>
      <c r="EQ17" s="23" t="s">
        <v>525</v>
      </c>
      <c r="ER17" s="23" t="s">
        <v>524</v>
      </c>
    </row>
    <row r="18" spans="1:148" x14ac:dyDescent="0.25">
      <c r="A18" s="23">
        <f ca="1">VLOOKUP(B18,CW18:CX22,2,FALSE)</f>
        <v>4</v>
      </c>
      <c r="B18" s="23" t="str">
        <f>'Dummy Table'!EH15</f>
        <v>Serbia</v>
      </c>
      <c r="C18" s="23">
        <f ca="1">SUMPRODUCT((CZ3:CZ42=B18)*(DD3:DD42="W"))+SUMPRODUCT((DC3:DC42=B18)*(DE3:DE42="W"))</f>
        <v>0</v>
      </c>
      <c r="D18" s="23">
        <f ca="1">SUMPRODUCT((CZ3:CZ42=B18)*(DD3:DD42="D"))+SUMPRODUCT((DC3:DC42=B18)*(DE3:DE42="D"))</f>
        <v>0</v>
      </c>
      <c r="E18" s="23">
        <f ca="1">SUMPRODUCT((CZ3:CZ42=B18)*(DD3:DD42="L"))+SUMPRODUCT((DC3:DC42=B18)*(DE3:DE42="L"))</f>
        <v>0</v>
      </c>
      <c r="F18" s="23">
        <f ca="1">SUMIF(CZ3:CZ60,B18,DA3:DA60)+SUMIF(DC3:DC60,B18,DB3:DB60)</f>
        <v>0</v>
      </c>
      <c r="G18" s="23">
        <f ca="1">SUMIF(DC3:DC60,B18,DA3:DA60)+SUMIF(CZ3:CZ60,B18,DB3:DB60)</f>
        <v>0</v>
      </c>
      <c r="H18" s="23">
        <f t="shared" ref="H18:H21" ca="1" si="25">F18-G18+1000</f>
        <v>1000</v>
      </c>
      <c r="I18" s="23">
        <f t="shared" ref="I18:I21" ca="1" si="26">C18*3+D18*1</f>
        <v>0</v>
      </c>
      <c r="J18" s="23">
        <v>35</v>
      </c>
      <c r="K18" s="23">
        <f ca="1">IF(COUNTIF(I18:I22,4)&lt;&gt;4,RANK(I18,I18:I22),I58)</f>
        <v>1</v>
      </c>
      <c r="M18" s="23">
        <f ca="1">SUMPRODUCT((K18:K21=K18)*(J18:J21&lt;J18))+K18</f>
        <v>1</v>
      </c>
      <c r="N18" s="23" t="str">
        <f ca="1">INDEX(B18:B22,MATCH(1,M18:M22,0),0)</f>
        <v>Serbia</v>
      </c>
      <c r="O18" s="23">
        <f ca="1">INDEX(K18:K22,MATCH(N18,B18:B22,0),0)</f>
        <v>1</v>
      </c>
      <c r="P18" s="23" t="str">
        <f ca="1">IF(O19=1,N18,"")</f>
        <v>Serbia</v>
      </c>
      <c r="Q18" s="23" t="str">
        <f ca="1">IF(O20=2,N19,"")</f>
        <v/>
      </c>
      <c r="R18" s="23" t="str">
        <f ca="1">IF(O21=3,N20,"")</f>
        <v/>
      </c>
      <c r="S18" s="23" t="str">
        <f>IF(O22=4,N21,"")</f>
        <v/>
      </c>
      <c r="U18" s="23" t="str">
        <f ca="1">IF(P18&lt;&gt;"",P18,"")</f>
        <v>Serbia</v>
      </c>
      <c r="V18" s="23">
        <f ca="1">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23">
        <f ca="1">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0</v>
      </c>
      <c r="X18" s="23">
        <f ca="1">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23">
        <f ca="1">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23">
        <f ca="1">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23">
        <f ca="1">Y18-Z18+1000</f>
        <v>1000</v>
      </c>
      <c r="AB18" s="23">
        <f t="shared" ref="AB18:AB21" ca="1" si="27">IF(U18&lt;&gt;"",V18*3+W18*1,"")</f>
        <v>0</v>
      </c>
      <c r="AC18" s="23">
        <f ca="1">IF(U18&lt;&gt;"",VLOOKUP(U18,B4:H40,7,FALSE),"")</f>
        <v>1000</v>
      </c>
      <c r="AD18" s="23">
        <f ca="1">IF(U18&lt;&gt;"",VLOOKUP(U18,B4:H40,5,FALSE),"")</f>
        <v>0</v>
      </c>
      <c r="AE18" s="23">
        <f ca="1">IF(U18&lt;&gt;"",VLOOKUP(U18,B4:J40,9,FALSE),"")</f>
        <v>35</v>
      </c>
      <c r="AF18" s="23">
        <f t="shared" ref="AF18:AF21" ca="1" si="28">AB18</f>
        <v>0</v>
      </c>
      <c r="AG18" s="23">
        <f ca="1">IF(U18&lt;&gt;"",RANK(AF18,AF18:AF22),"")</f>
        <v>1</v>
      </c>
      <c r="AH18" s="23">
        <f ca="1">IF(U18&lt;&gt;"",SUMPRODUCT((AF18:AF22=AF18)*(AA18:AA22&gt;AA18)),"")</f>
        <v>0</v>
      </c>
      <c r="AI18" s="23">
        <f ca="1">IF(U18&lt;&gt;"",SUMPRODUCT((AF18:AF22=AF18)*(AA18:AA22=AA18)*(Y18:Y22&gt;Y18)),"")</f>
        <v>0</v>
      </c>
      <c r="AJ18" s="23">
        <f ca="1">IF(U18&lt;&gt;"",SUMPRODUCT((AF18:AF22=AF18)*(AA18:AA22=AA18)*(Y18:Y22=Y18)*(AC18:AC22&gt;AC18)),"")</f>
        <v>0</v>
      </c>
      <c r="AK18" s="23">
        <f ca="1">IF(U18&lt;&gt;"",SUMPRODUCT((AF18:AF22=AF18)*(AA18:AA22=AA18)*(Y18:Y22=Y18)*(AC18:AC22=AC18)*(AD18:AD22&gt;AD18)),"")</f>
        <v>0</v>
      </c>
      <c r="AL18" s="23">
        <f ca="1">IF(U18&lt;&gt;"",SUMPRODUCT((AF18:AF22=AF18)*(AA18:AA22=AA18)*(Y18:Y22=Y18)*(AC18:AC22=AC18)*(AD18:AD22=AD18)*(AE18:AE22&gt;AE18)),"")</f>
        <v>3</v>
      </c>
      <c r="AM18" s="23">
        <f ca="1">IF('Group Stages'!B82="© 2024 | journalSHEET.com",IF(U18&lt;&gt;"",IF(AM58&lt;&gt;"",IF(T57=3,AM58,AM58+T57),SUM(AG18:AL18)),""),1)</f>
        <v>4</v>
      </c>
      <c r="AN18" s="23" t="str">
        <f ca="1">IF(U18&lt;&gt;"",INDEX(U18:U22,MATCH(1,AM18:AM22,0),0),"")</f>
        <v>England</v>
      </c>
      <c r="CW18" s="23" t="str">
        <f ca="1">IF(AN18&lt;&gt;"",AN18,N18)</f>
        <v>England</v>
      </c>
      <c r="CX18" s="23">
        <v>1</v>
      </c>
      <c r="CY18" s="23">
        <v>16</v>
      </c>
      <c r="CZ18" s="23" t="str">
        <f>Tournament!G22</f>
        <v>Spain</v>
      </c>
      <c r="DA18" s="23">
        <f ca="1">IF(AND(Tournament!H22&lt;&gt;"",Tournament!I22&lt;&gt;""),Tournament!H22,0)</f>
        <v>0</v>
      </c>
      <c r="DB18" s="23">
        <f ca="1">IF(AND(Tournament!I22&lt;&gt;"",Tournament!H22&lt;&gt;""),Tournament!I22,0)</f>
        <v>0</v>
      </c>
      <c r="DC18" s="23" t="str">
        <f>IF(License!G14="Musa",Tournament!J22,0)</f>
        <v>Italy</v>
      </c>
      <c r="DD18" s="23" t="str">
        <f ca="1">IF(AND(Tournament!H22&lt;&gt;"",Tournament!I22&lt;&gt;""),IF(DA18&gt;DB18,"W",IF(DA18=DB18,"D","L")),"")</f>
        <v/>
      </c>
      <c r="DE18" s="23" t="str">
        <f t="shared" ca="1" si="0"/>
        <v/>
      </c>
      <c r="DH18" s="269" t="s">
        <v>15</v>
      </c>
      <c r="DI18" s="270" t="s">
        <v>3</v>
      </c>
      <c r="DJ18" s="270" t="s">
        <v>109</v>
      </c>
      <c r="DK18" s="270" t="s">
        <v>114</v>
      </c>
      <c r="DL18" s="269" t="s">
        <v>109</v>
      </c>
      <c r="DM18" s="269" t="s">
        <v>114</v>
      </c>
      <c r="DN18" s="269" t="s">
        <v>3</v>
      </c>
      <c r="DO18" s="269" t="s">
        <v>15</v>
      </c>
      <c r="DP18" s="270"/>
      <c r="DQ18" s="271">
        <f ca="1">IFERROR(MATCH(DQ12,DH18:DK18,0),0)</f>
        <v>0</v>
      </c>
      <c r="DR18" s="271">
        <f ca="1">IFERROR(MATCH(DR12,DH18:DK18,0),0)</f>
        <v>0</v>
      </c>
      <c r="DS18" s="271">
        <f ca="1">IFERROR(MATCH(DS12,DH18:DK18,0),0)</f>
        <v>3</v>
      </c>
      <c r="DT18" s="271">
        <f ca="1">IFERROR(MATCH(DT12,DH18:DK18,0),0)</f>
        <v>4</v>
      </c>
      <c r="DU18" s="271">
        <f t="shared" ca="1" si="22"/>
        <v>7</v>
      </c>
      <c r="DV18" s="270"/>
      <c r="DW18" s="270"/>
      <c r="DX18" s="270"/>
      <c r="EE18" s="23">
        <v>4</v>
      </c>
      <c r="EF18" s="260" t="s">
        <v>4</v>
      </c>
      <c r="EG18" s="261"/>
      <c r="EH18" s="262" t="str">
        <f>Setup!C14</f>
        <v>Denmark</v>
      </c>
      <c r="EI18" s="263" t="s">
        <v>104</v>
      </c>
      <c r="EJ18" s="262" t="str">
        <f ca="1">"'Countries and Timezone'!"&amp;VLOOKUP(Tournament!P20,EH7:EI38,2,FALSE)</f>
        <v>'Countries and Timezone'!B15</v>
      </c>
      <c r="EL18" s="264">
        <v>45461.875</v>
      </c>
      <c r="EM18" s="265">
        <f>EL18+EK7/24</f>
        <v>45461.875</v>
      </c>
      <c r="EO18" s="267">
        <v>-7</v>
      </c>
      <c r="EP18" s="23">
        <v>-7</v>
      </c>
      <c r="EQ18" s="23" t="s">
        <v>527</v>
      </c>
      <c r="ER18" s="23" t="s">
        <v>526</v>
      </c>
    </row>
    <row r="19" spans="1:148" x14ac:dyDescent="0.25">
      <c r="A19" s="23">
        <f ca="1">VLOOKUP(B19,CW18:CX22,2,FALSE)</f>
        <v>1</v>
      </c>
      <c r="B19" s="23" t="str">
        <f>'Dummy Table'!EH16</f>
        <v>England</v>
      </c>
      <c r="C19" s="23">
        <f ca="1">SUMPRODUCT((CZ3:CZ42=B19)*(DD3:DD42="W"))+SUMPRODUCT((DC3:DC42=B19)*(DE3:DE42="W"))</f>
        <v>0</v>
      </c>
      <c r="D19" s="23">
        <f ca="1">SUMPRODUCT((CZ3:CZ42=B19)*(DD3:DD42="D"))+SUMPRODUCT((DC3:DC42=B19)*(DE3:DE42="D"))</f>
        <v>0</v>
      </c>
      <c r="E19" s="23">
        <f ca="1">SUMPRODUCT((CZ3:CZ42=B19)*(DD3:DD42="L"))+SUMPRODUCT((DC3:DC42=B19)*(DE3:DE42="L"))</f>
        <v>0</v>
      </c>
      <c r="F19" s="23">
        <f ca="1">SUMIF(CZ3:CZ60,B19,DA3:DA60)+SUMIF(DC3:DC60,B19,DB3:DB60)</f>
        <v>0</v>
      </c>
      <c r="G19" s="23">
        <f ca="1">SUMIF(DC3:DC60,B19,DA3:DA60)+SUMIF(CZ3:CZ60,B19,DB3:DB60)</f>
        <v>0</v>
      </c>
      <c r="H19" s="23">
        <f t="shared" ca="1" si="25"/>
        <v>1000</v>
      </c>
      <c r="I19" s="23">
        <f t="shared" ca="1" si="26"/>
        <v>0</v>
      </c>
      <c r="J19" s="23">
        <v>49</v>
      </c>
      <c r="K19" s="23">
        <f ca="1">IF(COUNTIF(I18:I22,4)&lt;&gt;4,RANK(I19,I18:I22),I59)</f>
        <v>1</v>
      </c>
      <c r="M19" s="23">
        <f ca="1">SUMPRODUCT((K18:K21=K19)*(J18:J21&lt;J19))+K19</f>
        <v>4</v>
      </c>
      <c r="N19" s="23" t="str">
        <f ca="1">INDEX(B18:B22,MATCH(2,M18:M22,0),0)</f>
        <v>Slovenia</v>
      </c>
      <c r="O19" s="23">
        <f ca="1">INDEX(K18:K22,MATCH(N19,B18:B22,0),0)</f>
        <v>1</v>
      </c>
      <c r="P19" s="23" t="str">
        <f ca="1">IF(P18&lt;&gt;"",N19,"")</f>
        <v>Slovenia</v>
      </c>
      <c r="Q19" s="23" t="str">
        <f ca="1">IF(Q18&lt;&gt;"",N20,"")</f>
        <v/>
      </c>
      <c r="R19" s="23" t="str">
        <f ca="1">IF(R18&lt;&gt;"",N21,"")</f>
        <v/>
      </c>
      <c r="S19" s="23" t="str">
        <f>IF(S18&lt;&gt;"",N22,"")</f>
        <v/>
      </c>
      <c r="U19" s="23" t="str">
        <f t="shared" ref="U19:U21" ca="1" si="29">IF(P19&lt;&gt;"",P19,"")</f>
        <v>Slovenia</v>
      </c>
      <c r="V19" s="23">
        <f ca="1">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23">
        <f ca="1">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0</v>
      </c>
      <c r="X19" s="23">
        <f ca="1">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23">
        <f ca="1">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23">
        <f ca="1">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23">
        <f ca="1">Y19-Z19+1000</f>
        <v>1000</v>
      </c>
      <c r="AB19" s="23">
        <f t="shared" ca="1" si="27"/>
        <v>0</v>
      </c>
      <c r="AC19" s="23">
        <f ca="1">IF(U19&lt;&gt;"",VLOOKUP(U19,B4:H40,7,FALSE),"")</f>
        <v>1000</v>
      </c>
      <c r="AD19" s="23">
        <f ca="1">IF(U19&lt;&gt;"",VLOOKUP(U19,B4:H40,5,FALSE),"")</f>
        <v>0</v>
      </c>
      <c r="AE19" s="23">
        <f ca="1">IF(U19&lt;&gt;"",VLOOKUP(U19,B4:J40,9,FALSE),"")</f>
        <v>39</v>
      </c>
      <c r="AF19" s="23">
        <f t="shared" ca="1" si="28"/>
        <v>0</v>
      </c>
      <c r="AG19" s="23">
        <f ca="1">IF(U19&lt;&gt;"",RANK(AF19,AF18:AF22),"")</f>
        <v>1</v>
      </c>
      <c r="AH19" s="23">
        <f ca="1">IF(U19&lt;&gt;"",SUMPRODUCT((AF18:AF22=AF19)*(AA18:AA22&gt;AA19)),"")</f>
        <v>0</v>
      </c>
      <c r="AI19" s="23">
        <f ca="1">IF(U19&lt;&gt;"",SUMPRODUCT((AF18:AF22=AF19)*(AA18:AA22=AA19)*(Y18:Y22&gt;Y19)),"")</f>
        <v>0</v>
      </c>
      <c r="AJ19" s="23">
        <f ca="1">IF(U19&lt;&gt;"",SUMPRODUCT((AF18:AF22=AF19)*(AA18:AA22=AA19)*(Y18:Y22=Y19)*(AC18:AC22&gt;AC19)),"")</f>
        <v>0</v>
      </c>
      <c r="AK19" s="23">
        <f ca="1">IF(U19&lt;&gt;"",SUMPRODUCT((AF18:AF22=AF19)*(AA18:AA22=AA19)*(Y18:Y22=Y19)*(AC18:AC22=AC19)*(AD18:AD22&gt;AD19)),"")</f>
        <v>0</v>
      </c>
      <c r="AL19" s="23">
        <f ca="1">IF(U19&lt;&gt;"",SUMPRODUCT((AF18:AF22=AF19)*(AA18:AA22=AA19)*(Y18:Y22=Y19)*(AC18:AC22=AC19)*(AD18:AD22=AD19)*(AE18:AE22&gt;AE19)),"")</f>
        <v>2</v>
      </c>
      <c r="AM19" s="23">
        <f ca="1">IF(U19&lt;&gt;"",IF(AM59&lt;&gt;"",IF(T57=3,AM59,AM59+T57),SUM(AG19:AL19)),"")</f>
        <v>3</v>
      </c>
      <c r="AN19" s="23" t="str">
        <f ca="1">IF(U19&lt;&gt;"",INDEX(U18:U22,MATCH(2,AM18:AM22,0),0),"")</f>
        <v>Denmark</v>
      </c>
      <c r="AO19" s="23" t="str">
        <f ca="1">IF(Q18&lt;&gt;"",Q18,"")</f>
        <v/>
      </c>
      <c r="AP19" s="23">
        <f ca="1">SUMPRODUCT((CZ3:CZ42=AO19)*(DC3:DC42=AO20)*(DD3:DD42="W"))+SUMPRODUCT((CZ3:CZ42=AO19)*(DC3:DC42=AO21)*(DD3:DD42="W"))+SUMPRODUCT((CZ3:CZ42=AO19)*(DC3:DC42=AO22)*(DD3:DD42="W"))+SUMPRODUCT((CZ3:CZ42=AO20)*(DC3:DC42=AO19)*(DE3:DE42="W"))+SUMPRODUCT((CZ3:CZ42=AO21)*(DC3:DC42=AO19)*(DE3:DE42="W"))+SUMPRODUCT((CZ3:CZ42=AO22)*(DC3:DC42=AO19)*(DE3:DE42="W"))</f>
        <v>0</v>
      </c>
      <c r="AQ19" s="23">
        <f ca="1">SUMPRODUCT((CZ3:CZ42=AO19)*(DC3:DC42=AO20)*(DD3:DD42="D"))+SUMPRODUCT((CZ3:CZ42=AO19)*(DC3:DC42=AO21)*(DD3:DD42="D"))+SUMPRODUCT((CZ3:CZ42=AO19)*(DC3:DC42=AO22)*(DD3:DD42="D"))+SUMPRODUCT((CZ3:CZ42=AO20)*(DC3:DC42=AO19)*(DD3:DD42="D"))+SUMPRODUCT((CZ3:CZ42=AO21)*(DC3:DC42=AO19)*(DD3:DD42="D"))+SUMPRODUCT((CZ3:CZ42=AO22)*(DC3:DC42=AO19)*(DD3:DD42="D"))</f>
        <v>0</v>
      </c>
      <c r="AR19" s="23">
        <f ca="1">SUMPRODUCT((CZ3:CZ42=AO19)*(DC3:DC42=AO20)*(DD3:DD42="L"))+SUMPRODUCT((CZ3:CZ42=AO19)*(DC3:DC42=AO21)*(DD3:DD42="L"))+SUMPRODUCT((CZ3:CZ42=AO19)*(DC3:DC42=AO22)*(DD3:DD42="L"))+SUMPRODUCT((CZ3:CZ42=AO20)*(DC3:DC42=AO19)*(DE3:DE42="L"))+SUMPRODUCT((CZ3:CZ42=AO21)*(DC3:DC42=AO19)*(DE3:DE42="L"))+SUMPRODUCT((CZ3:CZ42=AO22)*(DC3:DC42=AO19)*(DE3:DE42="L"))</f>
        <v>0</v>
      </c>
      <c r="AS19" s="23">
        <f ca="1">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0</v>
      </c>
      <c r="AT19" s="23">
        <f ca="1">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0</v>
      </c>
      <c r="AU19" s="23">
        <f ca="1">AS19-AT19+1000</f>
        <v>1000</v>
      </c>
      <c r="AV19" s="23" t="str">
        <f t="shared" ref="AV19:AV21" ca="1" si="30">IF(AO19&lt;&gt;"",AP19*3+AQ19*1,"")</f>
        <v/>
      </c>
      <c r="AW19" s="23" t="str">
        <f ca="1">IF(AO19&lt;&gt;"",VLOOKUP(AO19,B4:H40,7,FALSE),"")</f>
        <v/>
      </c>
      <c r="AX19" s="23" t="str">
        <f ca="1">IF(AO19&lt;&gt;"",VLOOKUP(AO19,B4:H40,5,FALSE),"")</f>
        <v/>
      </c>
      <c r="AY19" s="23" t="str">
        <f ca="1">IF(AO19&lt;&gt;"",VLOOKUP(AO19,B4:J40,9,FALSE),"")</f>
        <v/>
      </c>
      <c r="AZ19" s="23" t="str">
        <f t="shared" ref="AZ19:AZ21" ca="1" si="31">AV19</f>
        <v/>
      </c>
      <c r="BA19" s="23" t="str">
        <f ca="1">IF(AO19&lt;&gt;"",RANK(AZ19,AZ18:AZ22),"")</f>
        <v/>
      </c>
      <c r="BB19" s="23" t="str">
        <f ca="1">IF(AO19&lt;&gt;"",SUMPRODUCT((AZ18:AZ22=AZ19)*(AU18:AU22&gt;AU19)),"")</f>
        <v/>
      </c>
      <c r="BC19" s="23" t="str">
        <f ca="1">IF(AO19&lt;&gt;"",SUMPRODUCT((AZ18:AZ22=AZ19)*(AU18:AU22=AU19)*(AS18:AS22&gt;AS19)),"")</f>
        <v/>
      </c>
      <c r="BD19" s="23" t="str">
        <f ca="1">IF(AO19&lt;&gt;"",SUMPRODUCT((AZ18:AZ22=AZ19)*(AU18:AU22=AU19)*(AS18:AS22=AS19)*(AW18:AW22&gt;AW19)),"")</f>
        <v/>
      </c>
      <c r="BE19" s="23" t="str">
        <f ca="1">IF(AO19&lt;&gt;"",SUMPRODUCT((AZ18:AZ22=AZ19)*(AU18:AU22=AU19)*(AS18:AS22=AS19)*(AW18:AW22=AW19)*(AX18:AX22&gt;AX19)),"")</f>
        <v/>
      </c>
      <c r="BF19" s="23" t="str">
        <f ca="1">IF(AO19&lt;&gt;"",SUMPRODUCT((AZ18:AZ22=AZ19)*(AU18:AU22=AU19)*(AS18:AS22=AS19)*(AW18:AW22=AW19)*(AX18:AX22=AX19)*(AY18:AY22&gt;AY19)),"")</f>
        <v/>
      </c>
      <c r="BG19" s="23" t="str">
        <f ca="1">IF(AO19&lt;&gt;"",IF(BG59&lt;&gt;"",IF(AN57=3,BG59,BG59+AN57),SUM(BA19:BF19)+1),"")</f>
        <v/>
      </c>
      <c r="BH19" s="23" t="str">
        <f ca="1">IF(AO19&lt;&gt;"",INDEX(AO19:AO22,MATCH(2,BG19:BG22,0),0),"")</f>
        <v/>
      </c>
      <c r="CW19" s="23" t="str">
        <f ca="1">IF(BH19&lt;&gt;"",BH19,IF(AN19&lt;&gt;"",AN19,N19))</f>
        <v>Denmark</v>
      </c>
      <c r="CX19" s="23">
        <v>2</v>
      </c>
      <c r="CY19" s="23">
        <v>17</v>
      </c>
      <c r="CZ19" s="23" t="str">
        <f>Tournament!G23</f>
        <v>Denmark</v>
      </c>
      <c r="DA19" s="23">
        <f ca="1">IF(AND(Tournament!H23&lt;&gt;"",Tournament!I23&lt;&gt;""),Tournament!H23,0)</f>
        <v>0</v>
      </c>
      <c r="DB19" s="23">
        <f ca="1">IF(AND(Tournament!I23&lt;&gt;"",Tournament!H23&lt;&gt;""),Tournament!I23,0)</f>
        <v>0</v>
      </c>
      <c r="DC19" s="23" t="str">
        <f>Tournament!J23</f>
        <v>England</v>
      </c>
      <c r="DD19" s="23" t="str">
        <f ca="1">IF(AND(Tournament!H23&lt;&gt;"",Tournament!I23&lt;&gt;""),IF(DA19&gt;DB19,"W",IF(DA19=DB19,"D","L")),"")</f>
        <v/>
      </c>
      <c r="DE19" s="23" t="str">
        <f t="shared" ca="1" si="0"/>
        <v/>
      </c>
      <c r="DH19" s="269" t="s">
        <v>15</v>
      </c>
      <c r="DI19" s="270" t="s">
        <v>4</v>
      </c>
      <c r="DJ19" s="270" t="s">
        <v>13</v>
      </c>
      <c r="DK19" s="270" t="s">
        <v>109</v>
      </c>
      <c r="DL19" s="269" t="s">
        <v>109</v>
      </c>
      <c r="DM19" s="269" t="s">
        <v>13</v>
      </c>
      <c r="DN19" s="269" t="s">
        <v>4</v>
      </c>
      <c r="DO19" s="269" t="s">
        <v>15</v>
      </c>
      <c r="DP19" s="270"/>
      <c r="DQ19" s="271">
        <f ca="1">IFERROR(MATCH(DQ12,DH19:DK19,0),0)</f>
        <v>3</v>
      </c>
      <c r="DR19" s="271">
        <f ca="1">IFERROR(MATCH(DR12,DH19:DK19,0),0)</f>
        <v>2</v>
      </c>
      <c r="DS19" s="271">
        <f ca="1">IFERROR(MATCH(DS12,DH19:DK19,0),0)</f>
        <v>4</v>
      </c>
      <c r="DT19" s="271">
        <f ca="1">IFERROR(MATCH(DT12,DH19:DK19,0),0)</f>
        <v>0</v>
      </c>
      <c r="DU19" s="271">
        <f t="shared" ca="1" si="22"/>
        <v>9</v>
      </c>
      <c r="DV19" s="270"/>
      <c r="DW19" s="270"/>
      <c r="DX19" s="270"/>
      <c r="EE19" s="23">
        <v>1</v>
      </c>
      <c r="EF19" s="260" t="s">
        <v>13</v>
      </c>
      <c r="EG19" s="261"/>
      <c r="EH19" s="262" t="str">
        <f>Setup!C30</f>
        <v>Poland</v>
      </c>
      <c r="EI19" s="263" t="s">
        <v>105</v>
      </c>
      <c r="EJ19" s="262" t="str">
        <f ca="1">"'Countries and Timezone'!"&amp;VLOOKUP(Tournament!P22,EH7:EI38,2,FALSE)</f>
        <v>'Countries and Timezone'!B22</v>
      </c>
      <c r="EL19" s="264">
        <v>45462.875</v>
      </c>
      <c r="EM19" s="265">
        <f>EL19+EK7/24</f>
        <v>45462.875</v>
      </c>
      <c r="EO19" s="267">
        <v>-6.5</v>
      </c>
      <c r="EP19" s="23">
        <v>-7</v>
      </c>
      <c r="EQ19" s="23" t="s">
        <v>529</v>
      </c>
      <c r="ER19" s="23" t="s">
        <v>528</v>
      </c>
    </row>
    <row r="20" spans="1:148" x14ac:dyDescent="0.25">
      <c r="A20" s="23">
        <f ca="1">VLOOKUP(B20,CW18:CX22,2,FALSE)</f>
        <v>3</v>
      </c>
      <c r="B20" s="23" t="str">
        <f>'Dummy Table'!EH17</f>
        <v>Slovenia</v>
      </c>
      <c r="C20" s="23">
        <f ca="1">SUMPRODUCT((CZ3:CZ42=B20)*(DD3:DD42="W"))+SUMPRODUCT((DC3:DC42=B20)*(DE3:DE42="W"))</f>
        <v>0</v>
      </c>
      <c r="D20" s="23">
        <f ca="1">SUMPRODUCT((CZ3:CZ42=B20)*(DD3:DD42="D"))+SUMPRODUCT((DC3:DC42=B20)*(DE3:DE42="D"))</f>
        <v>0</v>
      </c>
      <c r="E20" s="23">
        <f ca="1">SUMPRODUCT((CZ3:CZ42=B20)*(DD3:DD42="L"))+SUMPRODUCT((DC3:DC42=B20)*(DE3:DE42="L"))</f>
        <v>0</v>
      </c>
      <c r="F20" s="23">
        <f ca="1">SUMIF(CZ3:CZ60,B20,DA3:DA60)+SUMIF(DC3:DC60,B20,DB3:DB60)</f>
        <v>0</v>
      </c>
      <c r="G20" s="23">
        <f ca="1">SUMIF(DC3:DC60,B20,DA3:DA60)+SUMIF(CZ3:CZ60,B20,DB3:DB60)</f>
        <v>0</v>
      </c>
      <c r="H20" s="23">
        <f t="shared" ca="1" si="25"/>
        <v>1000</v>
      </c>
      <c r="I20" s="23">
        <f t="shared" ca="1" si="26"/>
        <v>0</v>
      </c>
      <c r="J20" s="23">
        <v>39</v>
      </c>
      <c r="K20" s="23">
        <f ca="1">IF(COUNTIF(I18:I22,4)&lt;&gt;4,RANK(I20,I18:I22),I60)</f>
        <v>1</v>
      </c>
      <c r="M20" s="23">
        <f ca="1">SUMPRODUCT((K18:K21=K20)*(J18:J21&lt;J20))+K20</f>
        <v>2</v>
      </c>
      <c r="N20" s="23" t="str">
        <f ca="1">INDEX(B18:B22,MATCH(3,M18:M22,0),0)</f>
        <v>Denmark</v>
      </c>
      <c r="O20" s="23">
        <f ca="1">INDEX(K18:K22,MATCH(N20,B18:B22,0),0)</f>
        <v>1</v>
      </c>
      <c r="P20" s="23" t="str">
        <f ca="1">IF(AND(P19&lt;&gt;"",O20=1),N20,"")</f>
        <v>Denmark</v>
      </c>
      <c r="Q20" s="23" t="str">
        <f ca="1">IF(AND(Q19&lt;&gt;"",O21=2),N21,"")</f>
        <v/>
      </c>
      <c r="R20" s="23" t="str">
        <f ca="1">IF(AND(R19&lt;&gt;"",O22=3),N22,"")</f>
        <v/>
      </c>
      <c r="U20" s="23" t="str">
        <f t="shared" ca="1" si="29"/>
        <v>Denmark</v>
      </c>
      <c r="V20" s="23">
        <f ca="1">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23">
        <f ca="1">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23">
        <f ca="1">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23">
        <f ca="1">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23">
        <f ca="1">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23">
        <f ca="1">Y20-Z20+1000</f>
        <v>1000</v>
      </c>
      <c r="AB20" s="23">
        <f t="shared" ca="1" si="27"/>
        <v>0</v>
      </c>
      <c r="AC20" s="23">
        <f ca="1">IF(U20&lt;&gt;"",VLOOKUP(U20,B4:H40,7,FALSE),"")</f>
        <v>1000</v>
      </c>
      <c r="AD20" s="23">
        <f ca="1">IF(U20&lt;&gt;"",VLOOKUP(U20,B4:H40,5,FALSE),"")</f>
        <v>0</v>
      </c>
      <c r="AE20" s="23">
        <f ca="1">IF(U20&lt;&gt;"",VLOOKUP(U20,B4:J40,9,FALSE),"")</f>
        <v>45</v>
      </c>
      <c r="AF20" s="23">
        <f t="shared" ca="1" si="28"/>
        <v>0</v>
      </c>
      <c r="AG20" s="23">
        <f ca="1">IF(U20&lt;&gt;"",RANK(AF20,AF18:AF22),"")</f>
        <v>1</v>
      </c>
      <c r="AH20" s="23">
        <f ca="1">IF(U20&lt;&gt;"",SUMPRODUCT((AF18:AF22=AF20)*(AA18:AA22&gt;AA20)),"")</f>
        <v>0</v>
      </c>
      <c r="AI20" s="23">
        <f ca="1">IF(U20&lt;&gt;"",SUMPRODUCT((AF18:AF22=AF20)*(AA18:AA22=AA20)*(Y18:Y22&gt;Y20)),"")</f>
        <v>0</v>
      </c>
      <c r="AJ20" s="23">
        <f ca="1">IF(U20&lt;&gt;"",SUMPRODUCT((AF18:AF22=AF20)*(AA18:AA22=AA20)*(Y18:Y22=Y20)*(AC18:AC22&gt;AC20)),"")</f>
        <v>0</v>
      </c>
      <c r="AK20" s="23">
        <f ca="1">IF(U20&lt;&gt;"",SUMPRODUCT((AF18:AF22=AF20)*(AA18:AA22=AA20)*(Y18:Y22=Y20)*(AC18:AC22=AC20)*(AD18:AD22&gt;AD20)),"")</f>
        <v>0</v>
      </c>
      <c r="AL20" s="23">
        <f ca="1">IF(U20&lt;&gt;"",SUMPRODUCT((AF18:AF22=AF20)*(AA18:AA22=AA20)*(Y18:Y22=Y20)*(AC18:AC22=AC20)*(AD18:AD22=AD20)*(AE18:AE22&gt;AE20)),"")</f>
        <v>1</v>
      </c>
      <c r="AM20" s="23">
        <f ca="1">IF(U20&lt;&gt;"",IF(AM60&lt;&gt;"",IF(T57=3,AM60,AM60+T57),SUM(AG20:AL20)),"")</f>
        <v>2</v>
      </c>
      <c r="AN20" s="23" t="str">
        <f ca="1">IF(U20&lt;&gt;"",INDEX(U18:U22,MATCH(3,AM18:AM22,0),0),"")</f>
        <v>Slovenia</v>
      </c>
      <c r="AO20" s="23" t="str">
        <f ca="1">IF(Q19&lt;&gt;"",Q19,"")</f>
        <v/>
      </c>
      <c r="AP20" s="23">
        <f ca="1">SUMPRODUCT((CZ3:CZ42=AO20)*(DC3:DC42=AO21)*(DD3:DD42="W"))+SUMPRODUCT((CZ3:CZ42=AO20)*(DC3:DC42=AO22)*(DD3:DD42="W"))+SUMPRODUCT((CZ3:CZ42=AO20)*(DC3:DC42=AO19)*(DD3:DD42="W"))+SUMPRODUCT((CZ3:CZ42=AO21)*(DC3:DC42=AO20)*(DE3:DE42="W"))+SUMPRODUCT((CZ3:CZ42=AO22)*(DC3:DC42=AO20)*(DE3:DE42="W"))+SUMPRODUCT((CZ3:CZ42=AO19)*(DC3:DC42=AO20)*(DE3:DE42="W"))</f>
        <v>0</v>
      </c>
      <c r="AQ20" s="23">
        <f ca="1">SUMPRODUCT((CZ3:CZ42=AO20)*(DC3:DC42=AO21)*(DD3:DD42="D"))+SUMPRODUCT((CZ3:CZ42=AO20)*(DC3:DC42=AO22)*(DD3:DD42="D"))+SUMPRODUCT((CZ3:CZ42=AO20)*(DC3:DC42=AO19)*(DD3:DD42="D"))+SUMPRODUCT((CZ3:CZ42=AO21)*(DC3:DC42=AO20)*(DD3:DD42="D"))+SUMPRODUCT((CZ3:CZ42=AO22)*(DC3:DC42=AO20)*(DD3:DD42="D"))+SUMPRODUCT((CZ3:CZ42=AO19)*(DC3:DC42=AO20)*(DD3:DD42="D"))</f>
        <v>0</v>
      </c>
      <c r="AR20" s="23">
        <f ca="1">SUMPRODUCT((CZ3:CZ42=AO20)*(DC3:DC42=AO21)*(DD3:DD42="L"))+SUMPRODUCT((CZ3:CZ42=AO20)*(DC3:DC42=AO22)*(DD3:DD42="L"))+SUMPRODUCT((CZ3:CZ42=AO20)*(DC3:DC42=AO19)*(DD3:DD42="L"))+SUMPRODUCT((CZ3:CZ42=AO21)*(DC3:DC42=AO20)*(DE3:DE42="L"))+SUMPRODUCT((CZ3:CZ42=AO22)*(DC3:DC42=AO20)*(DE3:DE42="L"))+SUMPRODUCT((CZ3:CZ42=AO19)*(DC3:DC42=AO20)*(DE3:DE42="L"))</f>
        <v>0</v>
      </c>
      <c r="AS20" s="23">
        <f ca="1">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0</v>
      </c>
      <c r="AT20" s="23">
        <f ca="1">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0</v>
      </c>
      <c r="AU20" s="23">
        <f ca="1">AS20-AT20+1000</f>
        <v>1000</v>
      </c>
      <c r="AV20" s="23" t="str">
        <f t="shared" ca="1" si="30"/>
        <v/>
      </c>
      <c r="AW20" s="23" t="str">
        <f ca="1">IF(AO20&lt;&gt;"",VLOOKUP(AO20,B4:H40,7,FALSE),"")</f>
        <v/>
      </c>
      <c r="AX20" s="23" t="str">
        <f ca="1">IF(AO20&lt;&gt;"",VLOOKUP(AO20,B4:H40,5,FALSE),"")</f>
        <v/>
      </c>
      <c r="AY20" s="23" t="str">
        <f ca="1">IF(AO20&lt;&gt;"",VLOOKUP(AO20,B4:J40,9,FALSE),"")</f>
        <v/>
      </c>
      <c r="AZ20" s="23" t="str">
        <f t="shared" ca="1" si="31"/>
        <v/>
      </c>
      <c r="BA20" s="23" t="str">
        <f ca="1">IF(AO20&lt;&gt;"",RANK(AZ20,AZ18:AZ22),"")</f>
        <v/>
      </c>
      <c r="BB20" s="23" t="str">
        <f ca="1">IF(AO20&lt;&gt;"",SUMPRODUCT((AZ18:AZ22=AZ20)*(AU18:AU22&gt;AU20)),"")</f>
        <v/>
      </c>
      <c r="BC20" s="23" t="str">
        <f ca="1">IF(AO20&lt;&gt;"",SUMPRODUCT((AZ18:AZ22=AZ20)*(AU18:AU22=AU20)*(AS18:AS22&gt;AS20)),"")</f>
        <v/>
      </c>
      <c r="BD20" s="23" t="str">
        <f ca="1">IF(AO20&lt;&gt;"",SUMPRODUCT((AZ18:AZ22=AZ20)*(AU18:AU22=AU20)*(AS18:AS22=AS20)*(AW18:AW22&gt;AW20)),"")</f>
        <v/>
      </c>
      <c r="BE20" s="23" t="str">
        <f ca="1">IF(AO20&lt;&gt;"",SUMPRODUCT((AZ18:AZ22=AZ20)*(AU18:AU22=AU20)*(AS18:AS22=AS20)*(AW18:AW22=AW20)*(AX18:AX22&gt;AX20)),"")</f>
        <v/>
      </c>
      <c r="BF20" s="23" t="str">
        <f ca="1">IF(AO20&lt;&gt;"",SUMPRODUCT((AZ18:AZ22=AZ20)*(AU18:AU22=AU20)*(AS18:AS22=AS20)*(AW18:AW22=AW20)*(AX18:AX22=AX20)*(AY18:AY22&gt;AY20)),"")</f>
        <v/>
      </c>
      <c r="BG20" s="23" t="str">
        <f ca="1">IF(AO20&lt;&gt;"",IF(BG60&lt;&gt;"",IF(AN57=3,BG60,BG60+AN57),SUM(BA20:BF20)+1),"")</f>
        <v/>
      </c>
      <c r="BH20" s="23" t="str">
        <f ca="1">IF(AO20&lt;&gt;"",INDEX(AO19:AO22,MATCH(3,BG19:BG22,0),0),"")</f>
        <v/>
      </c>
      <c r="BI20" s="23" t="str">
        <f ca="1">IF(R18&lt;&gt;"",R18,"")</f>
        <v/>
      </c>
      <c r="BJ20" s="23">
        <f ca="1">SUMPRODUCT((CZ3:CZ42=BI20)*(DC3:DC42=BI21)*(DD3:DD42="W"))+SUMPRODUCT((CZ3:CZ42=BI20)*(DC3:DC42=BI22)*(DD3:DD42="W"))+SUMPRODUCT((CZ3:CZ42=BI20)*(DC3:DC42=BI23)*(DD3:DD42="W"))+SUMPRODUCT((CZ3:CZ42=BI21)*(DC3:DC42=BI20)*(DE3:DE42="W"))+SUMPRODUCT((CZ3:CZ42=BI22)*(DC3:DC42=BI20)*(DE3:DE42="W"))+SUMPRODUCT((CZ3:CZ42=BI23)*(DC3:DC42=BI20)*(DE3:DE42="W"))</f>
        <v>0</v>
      </c>
      <c r="BK20" s="23">
        <f ca="1">SUMPRODUCT((CZ3:CZ42=BI20)*(DC3:DC42=BI21)*(DD3:DD42="D"))+SUMPRODUCT((CZ3:CZ42=BI20)*(DC3:DC42=BI22)*(DD3:DD42="D"))+SUMPRODUCT((CZ3:CZ42=BI20)*(DC3:DC42=BI23)*(DD3:DD42="D"))+SUMPRODUCT((CZ3:CZ42=BI21)*(DC3:DC42=BI20)*(DD3:DD42="D"))+SUMPRODUCT((CZ3:CZ42=BI22)*(DC3:DC42=BI20)*(DD3:DD42="D"))+SUMPRODUCT((CZ3:CZ42=BI23)*(DC3:DC42=BI20)*(DD3:DD42="D"))</f>
        <v>0</v>
      </c>
      <c r="BL20" s="23">
        <f ca="1">SUMPRODUCT((CZ3:CZ42=BI20)*(DC3:DC42=BI21)*(DD3:DD42="L"))+SUMPRODUCT((CZ3:CZ42=BI20)*(DC3:DC42=BI22)*(DD3:DD42="L"))+SUMPRODUCT((CZ3:CZ42=BI20)*(DC3:DC42=BI23)*(DD3:DD42="L"))+SUMPRODUCT((CZ3:CZ42=BI21)*(DC3:DC42=BI20)*(DE3:DE42="L"))+SUMPRODUCT((CZ3:CZ42=BI22)*(DC3:DC42=BI20)*(DE3:DE42="L"))+SUMPRODUCT((CZ3:CZ42=BI23)*(DC3:DC42=BI20)*(DE3:DE42="L"))</f>
        <v>0</v>
      </c>
      <c r="BM20" s="23">
        <f ca="1">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23">
        <f ca="1">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23">
        <f ca="1">BM20-BN20+1000</f>
        <v>1000</v>
      </c>
      <c r="BP20" s="23" t="str">
        <f t="shared" ref="BP20:BP21" ca="1" si="32">IF(BI20&lt;&gt;"",BJ20*3+BK20*1,"")</f>
        <v/>
      </c>
      <c r="BQ20" s="23" t="str">
        <f ca="1">IF(BI20&lt;&gt;"",VLOOKUP(BI20,B4:H40,7,FALSE),"")</f>
        <v/>
      </c>
      <c r="BR20" s="23" t="str">
        <f ca="1">IF(BI20&lt;&gt;"",VLOOKUP(BI20,B4:H40,5,FALSE),"")</f>
        <v/>
      </c>
      <c r="BS20" s="23" t="str">
        <f ca="1">IF(BI20&lt;&gt;"",VLOOKUP(BI20,B4:J40,9,FALSE),"")</f>
        <v/>
      </c>
      <c r="BT20" s="23" t="str">
        <f t="shared" ref="BT20:BT21" ca="1" si="33">BP20</f>
        <v/>
      </c>
      <c r="BU20" s="23" t="str">
        <f ca="1">IF(BI20&lt;&gt;"",RANK(BT20,BT18:BT22),"")</f>
        <v/>
      </c>
      <c r="BV20" s="23" t="str">
        <f ca="1">IF(BI20&lt;&gt;"",SUMPRODUCT((BT18:BT22=BT20)*(BO18:BO22&gt;BO20)),"")</f>
        <v/>
      </c>
      <c r="BW20" s="23" t="str">
        <f ca="1">IF(BI20&lt;&gt;"",SUMPRODUCT((BT18:BT22=BT20)*(BO18:BO22=BO20)*(BM18:BM22&gt;BM20)),"")</f>
        <v/>
      </c>
      <c r="BX20" s="23" t="str">
        <f ca="1">IF(BI20&lt;&gt;"",SUMPRODUCT((BT18:BT22=BT20)*(BO18:BO22=BO20)*(BM18:BM22=BM20)*(BQ18:BQ22&gt;BQ20)),"")</f>
        <v/>
      </c>
      <c r="BY20" s="23" t="str">
        <f ca="1">IF(BI20&lt;&gt;"",SUMPRODUCT((BT18:BT22=BT20)*(BO18:BO22=BO20)*(BM18:BM22=BM20)*(BQ18:BQ22=BQ20)*(BR18:BR22&gt;BR20)),"")</f>
        <v/>
      </c>
      <c r="BZ20" s="23" t="str">
        <f ca="1">IF(BI20&lt;&gt;"",SUMPRODUCT((BT18:BT22=BT20)*(BO18:BO22=BO20)*(BM18:BM22=BM20)*(BQ18:BQ22=BQ20)*(BR18:BR22=BR20)*(BS18:BS22&gt;BS20)),"")</f>
        <v/>
      </c>
      <c r="CA20" s="23" t="str">
        <f ca="1">IF(BI20&lt;&gt;"",SUM(BU20:BZ20)+2,"")</f>
        <v/>
      </c>
      <c r="CB20" s="23" t="str">
        <f ca="1">IF(BI20&lt;&gt;"",INDEX(BI20:BI22,MATCH(3,CA20:CA22,0),0),"")</f>
        <v/>
      </c>
      <c r="CW20" s="23" t="str">
        <f ca="1">IF(CB20&lt;&gt;"",CB20,IF(BH20&lt;&gt;"",BH20,IF(AN20&lt;&gt;"",AN20,N20)))</f>
        <v>Slovenia</v>
      </c>
      <c r="CX20" s="23">
        <v>3</v>
      </c>
      <c r="CY20" s="23">
        <v>18</v>
      </c>
      <c r="CZ20" s="23" t="str">
        <f>Tournament!G24</f>
        <v>Slovenia</v>
      </c>
      <c r="DA20" s="23">
        <f ca="1">IF(AND(Tournament!H24&lt;&gt;"",Tournament!I24&lt;&gt;""),Tournament!H24,0)</f>
        <v>0</v>
      </c>
      <c r="DB20" s="23">
        <f ca="1">IF(AND(Tournament!I24&lt;&gt;"",Tournament!H24&lt;&gt;""),Tournament!I24,0)</f>
        <v>0</v>
      </c>
      <c r="DC20" s="23" t="str">
        <f>Tournament!J24</f>
        <v>Serbia</v>
      </c>
      <c r="DD20" s="23" t="str">
        <f ca="1">IF(AND(Tournament!H24&lt;&gt;"",Tournament!I24&lt;&gt;""),IF(DA20&gt;DB20,"W",IF(DA20=DB20,"D","L")),"")</f>
        <v/>
      </c>
      <c r="DE20" s="23" t="str">
        <f t="shared" ca="1" si="0"/>
        <v/>
      </c>
      <c r="DH20" s="269" t="s">
        <v>15</v>
      </c>
      <c r="DI20" s="270" t="s">
        <v>4</v>
      </c>
      <c r="DJ20" s="270" t="s">
        <v>13</v>
      </c>
      <c r="DK20" s="270" t="s">
        <v>114</v>
      </c>
      <c r="DL20" s="269" t="s">
        <v>114</v>
      </c>
      <c r="DM20" s="269" t="s">
        <v>13</v>
      </c>
      <c r="DN20" s="269" t="s">
        <v>4</v>
      </c>
      <c r="DO20" s="269" t="s">
        <v>15</v>
      </c>
      <c r="DP20" s="270"/>
      <c r="DQ20" s="271">
        <f ca="1">IFERROR(MATCH(DQ12,DH20:DK20,0),0)</f>
        <v>3</v>
      </c>
      <c r="DR20" s="271">
        <f ca="1">IFERROR(MATCH(DR12,DH20:DK20,0),0)</f>
        <v>2</v>
      </c>
      <c r="DS20" s="271">
        <f ca="1">IFERROR(MATCH(DS12,DH20:DK20,0),0)</f>
        <v>0</v>
      </c>
      <c r="DT20" s="271">
        <f ca="1">IFERROR(MATCH(DT12,DH20:DK20,0),0)</f>
        <v>4</v>
      </c>
      <c r="DU20" s="271">
        <f t="shared" ca="1" si="22"/>
        <v>9</v>
      </c>
      <c r="DV20" s="270"/>
      <c r="DW20" s="270"/>
      <c r="DX20" s="270"/>
      <c r="EE20" s="23">
        <v>2</v>
      </c>
      <c r="EF20" s="260" t="s">
        <v>13</v>
      </c>
      <c r="EG20" s="261"/>
      <c r="EH20" s="262" t="str">
        <f>Setup!C20</f>
        <v>Netherlands</v>
      </c>
      <c r="EI20" s="263" t="s">
        <v>106</v>
      </c>
      <c r="EJ20" s="262" t="str">
        <f ca="1">"'Countries and Timezone'!"&amp;VLOOKUP(Tournament!P23,EH7:EI38,2,FALSE)</f>
        <v>'Countries and Timezone'!B20</v>
      </c>
      <c r="EL20" s="264">
        <v>45462.75</v>
      </c>
      <c r="EM20" s="265">
        <f>EL20+EK7/24</f>
        <v>45462.75</v>
      </c>
      <c r="EO20" s="267">
        <v>-6</v>
      </c>
      <c r="EP20" s="23">
        <v>-7</v>
      </c>
      <c r="EQ20" s="23" t="s">
        <v>531</v>
      </c>
      <c r="ER20" s="23" t="s">
        <v>530</v>
      </c>
    </row>
    <row r="21" spans="1:148" x14ac:dyDescent="0.25">
      <c r="A21" s="23">
        <f ca="1">VLOOKUP(B21,CW18:CX22,2,FALSE)</f>
        <v>2</v>
      </c>
      <c r="B21" s="23" t="str">
        <f>'Dummy Table'!EH18</f>
        <v>Denmark</v>
      </c>
      <c r="C21" s="23">
        <f ca="1">SUMPRODUCT((CZ3:CZ42=B21)*(DD3:DD42="W"))+SUMPRODUCT((DC3:DC42=B21)*(DE3:DE42="W"))</f>
        <v>0</v>
      </c>
      <c r="D21" s="23">
        <f ca="1">SUMPRODUCT((CZ3:CZ42=B21)*(DD3:DD42="D"))+SUMPRODUCT((DC3:DC42=B21)*(DE3:DE42="D"))</f>
        <v>0</v>
      </c>
      <c r="E21" s="23">
        <f ca="1">SUMPRODUCT((CZ3:CZ42=B21)*(DD3:DD42="L"))+SUMPRODUCT((DC3:DC42=B21)*(DE3:DE42="L"))</f>
        <v>0</v>
      </c>
      <c r="F21" s="23">
        <f ca="1">SUMIF(CZ3:CZ60,B21,DA3:DA60)+SUMIF(DC3:DC60,B21,DB3:DB60)</f>
        <v>0</v>
      </c>
      <c r="G21" s="23">
        <f ca="1">SUMIF(DC3:DC60,B21,DA3:DA60)+SUMIF(CZ3:CZ60,B21,DB3:DB60)</f>
        <v>0</v>
      </c>
      <c r="H21" s="23">
        <f t="shared" ca="1" si="25"/>
        <v>1000</v>
      </c>
      <c r="I21" s="23">
        <f t="shared" ca="1" si="26"/>
        <v>0</v>
      </c>
      <c r="J21" s="23">
        <v>45</v>
      </c>
      <c r="K21" s="23">
        <f ca="1">IF(COUNTIF(I18:I22,4)&lt;&gt;4,RANK(I21,I18:I22),I61)</f>
        <v>1</v>
      </c>
      <c r="M21" s="23">
        <f ca="1">SUMPRODUCT((K18:K21=K21)*(J18:J21&lt;J21))+K21</f>
        <v>3</v>
      </c>
      <c r="N21" s="23" t="str">
        <f ca="1">INDEX(B18:B22,MATCH(4,M18:M22,0),0)</f>
        <v>England</v>
      </c>
      <c r="O21" s="23">
        <f ca="1">INDEX(K18:K22,MATCH(N21,B18:B22,0),0)</f>
        <v>1</v>
      </c>
      <c r="P21" s="23" t="str">
        <f ca="1">IF(AND(P20&lt;&gt;"",O21=1),N21,"")</f>
        <v>England</v>
      </c>
      <c r="Q21" s="23" t="str">
        <f ca="1">IF(AND(Q20&lt;&gt;"",O22=2),N22,"")</f>
        <v/>
      </c>
      <c r="U21" s="23" t="str">
        <f t="shared" ca="1" si="29"/>
        <v>England</v>
      </c>
      <c r="V21" s="23">
        <f ca="1">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23">
        <f ca="1">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23">
        <f ca="1">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23">
        <f ca="1">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23">
        <f ca="1">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23">
        <f ca="1">Y21-Z21+1000</f>
        <v>1000</v>
      </c>
      <c r="AB21" s="23">
        <f t="shared" ca="1" si="27"/>
        <v>0</v>
      </c>
      <c r="AC21" s="23">
        <f ca="1">IF(U21&lt;&gt;"",VLOOKUP(U21,B4:H40,7,FALSE),"")</f>
        <v>1000</v>
      </c>
      <c r="AD21" s="23">
        <f ca="1">IF(U21&lt;&gt;"",VLOOKUP(U21,B4:H40,5,FALSE),"")</f>
        <v>0</v>
      </c>
      <c r="AE21" s="23">
        <f ca="1">IF(U21&lt;&gt;"",VLOOKUP(U21,B4:J40,9,FALSE),"")</f>
        <v>49</v>
      </c>
      <c r="AF21" s="23">
        <f t="shared" ca="1" si="28"/>
        <v>0</v>
      </c>
      <c r="AG21" s="23">
        <f ca="1">IF(U21&lt;&gt;"",RANK(AF21,AF18:AF22),"")</f>
        <v>1</v>
      </c>
      <c r="AH21" s="23">
        <f ca="1">IF(U21&lt;&gt;"",SUMPRODUCT((AF18:AF22=AF21)*(AA18:AA22&gt;AA21)),"")</f>
        <v>0</v>
      </c>
      <c r="AI21" s="23">
        <f ca="1">IF(U21&lt;&gt;"",SUMPRODUCT((AF18:AF22=AF21)*(AA18:AA22=AA21)*(Y18:Y22&gt;Y21)),"")</f>
        <v>0</v>
      </c>
      <c r="AJ21" s="23">
        <f ca="1">IF(U21&lt;&gt;"",SUMPRODUCT((AF18:AF22=AF21)*(AA18:AA22=AA21)*(Y18:Y22=Y21)*(AC18:AC22&gt;AC21)),"")</f>
        <v>0</v>
      </c>
      <c r="AK21" s="23">
        <f ca="1">IF(U21&lt;&gt;"",SUMPRODUCT((AF18:AF22=AF21)*(AA18:AA22=AA21)*(Y18:Y22=Y21)*(AC18:AC22=AC21)*(AD18:AD22&gt;AD21)),"")</f>
        <v>0</v>
      </c>
      <c r="AL21" s="23">
        <f ca="1">IF(U21&lt;&gt;"",SUMPRODUCT((AF18:AF22=AF21)*(AA18:AA22=AA21)*(Y18:Y22=Y21)*(AC18:AC22=AC21)*(AD18:AD22=AD21)*(AE18:AE22&gt;AE21)),"")</f>
        <v>0</v>
      </c>
      <c r="AM21" s="23">
        <f ca="1">IF(U21&lt;&gt;"",IF(AM61&lt;&gt;"",IF(T57=3,AM61,AM61+T57),SUM(AG21:AL21)),"")</f>
        <v>1</v>
      </c>
      <c r="AN21" s="23" t="str">
        <f ca="1">IF(U21&lt;&gt;"",INDEX(U18:U22,MATCH(4,AM18:AM22,0),0),"")</f>
        <v>Serbia</v>
      </c>
      <c r="AO21" s="23" t="str">
        <f ca="1">IF(Q20&lt;&gt;"",Q20,"")</f>
        <v/>
      </c>
      <c r="AP21" s="23" t="str">
        <f ca="1">IF(AO21&lt;&gt;"",SUMPRODUCT((CZ3:CZ42=AO21)*(DC3:DC42=AO22)*(DD3:DD42="W"))+SUMPRODUCT((CZ3:CZ42=AO21)*(DC3:DC42=AO19)*(DD3:DD42="W"))+SUMPRODUCT((CZ3:CZ42=AO21)*(DC3:DC42=AO20)*(DD3:DD42="W"))+SUMPRODUCT((CZ3:CZ42=AO22)*(DC3:DC42=AO21)*(DE3:DE42="W"))+SUMPRODUCT((CZ3:CZ42=AO19)*(DC3:DC42=AO21)*(DE3:DE42="W"))+SUMPRODUCT((CZ3:CZ42=AO20)*(DC3:DC42=AO21)*(DE3:DE42="W")),"")</f>
        <v/>
      </c>
      <c r="AQ21" s="23" t="str">
        <f ca="1">IF(AO21&lt;&gt;"",SUMPRODUCT((CZ3:CZ42=AO21)*(DC3:DC42=AO22)*(DD3:DD42="D"))+SUMPRODUCT((CZ3:CZ42=AO21)*(DC3:DC42=AO19)*(DD3:DD42="D"))+SUMPRODUCT((CZ3:CZ42=AO21)*(DC3:DC42=AO20)*(DD3:DD42="D"))+SUMPRODUCT((CZ3:CZ42=AO22)*(DC3:DC42=AO21)*(DD3:DD42="D"))+SUMPRODUCT((CZ3:CZ42=AO19)*(DC3:DC42=AO21)*(DD3:DD42="D"))+SUMPRODUCT((CZ3:CZ42=AO20)*(DC3:DC42=AO21)*(DD3:DD42="D")),"")</f>
        <v/>
      </c>
      <c r="AR21" s="23" t="str">
        <f ca="1">IF(AO21&lt;&gt;"",SUMPRODUCT((CZ3:CZ42=AO21)*(DC3:DC42=AO22)*(DD3:DD42="L"))+SUMPRODUCT((CZ3:CZ42=AO21)*(DC3:DC42=AO19)*(DD3:DD42="L"))+SUMPRODUCT((CZ3:CZ42=AO21)*(DC3:DC42=AO20)*(DD3:DD42="L"))+SUMPRODUCT((CZ3:CZ42=AO22)*(DC3:DC42=AO21)*(DE3:DE42="L"))+SUMPRODUCT((CZ3:CZ42=AO19)*(DC3:DC42=AO21)*(DE3:DE42="L"))+SUMPRODUCT((CZ3:CZ42=AO20)*(DC3:DC42=AO21)*(DE3:DE42="L")),"")</f>
        <v/>
      </c>
      <c r="AS21" s="23">
        <f ca="1">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23">
        <f ca="1">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23">
        <f ca="1">AS21-AT21+1000</f>
        <v>1000</v>
      </c>
      <c r="AV21" s="23" t="str">
        <f t="shared" ca="1" si="30"/>
        <v/>
      </c>
      <c r="AW21" s="23" t="str">
        <f ca="1">IF(AO21&lt;&gt;"",VLOOKUP(AO21,B4:H40,7,FALSE),"")</f>
        <v/>
      </c>
      <c r="AX21" s="23" t="str">
        <f ca="1">IF(AO21&lt;&gt;"",VLOOKUP(AO21,B4:H40,5,FALSE),"")</f>
        <v/>
      </c>
      <c r="AY21" s="23" t="str">
        <f ca="1">IF(AO21&lt;&gt;"",VLOOKUP(AO21,B4:J40,9,FALSE),"")</f>
        <v/>
      </c>
      <c r="AZ21" s="23" t="str">
        <f t="shared" ca="1" si="31"/>
        <v/>
      </c>
      <c r="BA21" s="23" t="str">
        <f ca="1">IF(AO21&lt;&gt;"",RANK(AZ21,AZ18:AZ22),"")</f>
        <v/>
      </c>
      <c r="BB21" s="23" t="str">
        <f ca="1">IF(AO21&lt;&gt;"",SUMPRODUCT((AZ18:AZ22=AZ21)*(AU18:AU22&gt;AU21)),"")</f>
        <v/>
      </c>
      <c r="BC21" s="23" t="str">
        <f ca="1">IF(AO21&lt;&gt;"",SUMPRODUCT((AZ18:AZ22=AZ21)*(AU18:AU22=AU21)*(AS18:AS22&gt;AS21)),"")</f>
        <v/>
      </c>
      <c r="BD21" s="23" t="str">
        <f ca="1">IF(AO21&lt;&gt;"",SUMPRODUCT((AZ18:AZ22=AZ21)*(AU18:AU22=AU21)*(AS18:AS22=AS21)*(AW18:AW22&gt;AW21)),"")</f>
        <v/>
      </c>
      <c r="BE21" s="23" t="str">
        <f ca="1">IF(AO21&lt;&gt;"",SUMPRODUCT((AZ18:AZ22=AZ21)*(AU18:AU22=AU21)*(AS18:AS22=AS21)*(AW18:AW22=AW21)*(AX18:AX22&gt;AX21)),"")</f>
        <v/>
      </c>
      <c r="BF21" s="23" t="str">
        <f ca="1">IF(AO21&lt;&gt;"",SUMPRODUCT((AZ18:AZ22=AZ21)*(AU18:AU22=AU21)*(AS18:AS22=AS21)*(AW18:AW22=AW21)*(AX18:AX22=AX21)*(AY18:AY22&gt;AY21)),"")</f>
        <v/>
      </c>
      <c r="BG21" s="23" t="str">
        <f ca="1">IF(AO21&lt;&gt;"",IF(BG61&lt;&gt;"",IF(AN57=3,BG61,BG61+AN57),SUM(BA21:BF21)+1),"")</f>
        <v/>
      </c>
      <c r="BH21" s="23" t="str">
        <f ca="1">IF(AO21&lt;&gt;"",INDEX(AO19:AO22,MATCH(4,BG19:BG22,0),0),"")</f>
        <v/>
      </c>
      <c r="BI21" s="23" t="str">
        <f ca="1">IF(R19&lt;&gt;"",R19,"")</f>
        <v/>
      </c>
      <c r="BJ21" s="23">
        <f ca="1">SUMPRODUCT((CZ3:CZ42=BI21)*(DC3:DC42=BI22)*(DD3:DD42="W"))+SUMPRODUCT((CZ3:CZ42=BI21)*(DC3:DC42=BI23)*(DD3:DD42="W"))+SUMPRODUCT((CZ3:CZ42=BI21)*(DC3:DC42=BI20)*(DD3:DD42="W"))+SUMPRODUCT((CZ3:CZ42=BI22)*(DC3:DC42=BI21)*(DE3:DE42="W"))+SUMPRODUCT((CZ3:CZ42=BI23)*(DC3:DC42=BI21)*(DE3:DE42="W"))+SUMPRODUCT((CZ3:CZ42=BI20)*(DC3:DC42=BI21)*(DE3:DE42="W"))</f>
        <v>0</v>
      </c>
      <c r="BK21" s="23">
        <f ca="1">SUMPRODUCT((CZ3:CZ42=BI21)*(DC3:DC42=BI22)*(DD3:DD42="D"))+SUMPRODUCT((CZ3:CZ42=BI21)*(DC3:DC42=BI23)*(DD3:DD42="D"))+SUMPRODUCT((CZ3:CZ42=BI21)*(DC3:DC42=BI20)*(DD3:DD42="D"))+SUMPRODUCT((CZ3:CZ42=BI22)*(DC3:DC42=BI21)*(DD3:DD42="D"))+SUMPRODUCT((CZ3:CZ42=BI23)*(DC3:DC42=BI21)*(DD3:DD42="D"))+SUMPRODUCT((CZ3:CZ42=BI20)*(DC3:DC42=BI21)*(DD3:DD42="D"))</f>
        <v>0</v>
      </c>
      <c r="BL21" s="23">
        <f ca="1">SUMPRODUCT((CZ3:CZ42=BI21)*(DC3:DC42=BI22)*(DD3:DD42="L"))+SUMPRODUCT((CZ3:CZ42=BI21)*(DC3:DC42=BI23)*(DD3:DD42="L"))+SUMPRODUCT((CZ3:CZ42=BI21)*(DC3:DC42=BI20)*(DD3:DD42="L"))+SUMPRODUCT((CZ3:CZ42=BI22)*(DC3:DC42=BI21)*(DE3:DE42="L"))+SUMPRODUCT((CZ3:CZ42=BI23)*(DC3:DC42=BI21)*(DE3:DE42="L"))+SUMPRODUCT((CZ3:CZ42=BI20)*(DC3:DC42=BI21)*(DE3:DE42="L"))</f>
        <v>0</v>
      </c>
      <c r="BM21" s="23">
        <f ca="1">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23">
        <f ca="1">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23">
        <f ca="1">BM21-BN21+1000</f>
        <v>1000</v>
      </c>
      <c r="BP21" s="23" t="str">
        <f t="shared" ca="1" si="32"/>
        <v/>
      </c>
      <c r="BQ21" s="23" t="str">
        <f ca="1">IF(BI21&lt;&gt;"",VLOOKUP(BI21,B4:H40,7,FALSE),"")</f>
        <v/>
      </c>
      <c r="BR21" s="23" t="str">
        <f ca="1">IF(BI21&lt;&gt;"",VLOOKUP(BI21,B4:H40,5,FALSE),"")</f>
        <v/>
      </c>
      <c r="BS21" s="23" t="str">
        <f ca="1">IF(BI21&lt;&gt;"",VLOOKUP(BI21,B4:J40,9,FALSE),"")</f>
        <v/>
      </c>
      <c r="BT21" s="23" t="str">
        <f t="shared" ca="1" si="33"/>
        <v/>
      </c>
      <c r="BU21" s="23" t="str">
        <f ca="1">IF(BI21&lt;&gt;"",RANK(BT21,BT18:BT22),"")</f>
        <v/>
      </c>
      <c r="BV21" s="23" t="str">
        <f ca="1">IF(BI21&lt;&gt;"",SUMPRODUCT((BT18:BT22=BT21)*(BO18:BO22&gt;BO21)),"")</f>
        <v/>
      </c>
      <c r="BW21" s="23" t="str">
        <f ca="1">IF(BI21&lt;&gt;"",SUMPRODUCT((BT18:BT22=BT21)*(BO18:BO22=BO21)*(BM18:BM22&gt;BM21)),"")</f>
        <v/>
      </c>
      <c r="BX21" s="23" t="str">
        <f ca="1">IF(BI21&lt;&gt;"",SUMPRODUCT((BT18:BT22=BT21)*(BO18:BO22=BO21)*(BM18:BM22=BM21)*(BQ18:BQ22&gt;BQ21)),"")</f>
        <v/>
      </c>
      <c r="BY21" s="23" t="str">
        <f ca="1">IF(BI21&lt;&gt;"",SUMPRODUCT((BT18:BT22=BT21)*(BO18:BO22=BO21)*(BM18:BM22=BM21)*(BQ18:BQ22=BQ21)*(BR18:BR22&gt;BR21)),"")</f>
        <v/>
      </c>
      <c r="BZ21" s="23" t="str">
        <f ca="1">IF(BI21&lt;&gt;"",SUMPRODUCT((BT18:BT22=BT21)*(BO18:BO22=BO21)*(BM18:BM22=BM21)*(BQ18:BQ22=BQ21)*(BR18:BR22=BR21)*(BS18:BS22&gt;BS21)),"")</f>
        <v/>
      </c>
      <c r="CA21" s="23" t="str">
        <f ca="1">IF(BI21&lt;&gt;"",SUM(BU21:BZ21)+2,"")</f>
        <v/>
      </c>
      <c r="CB21" s="23" t="str">
        <f ca="1">IF(BI21&lt;&gt;"",INDEX(BI20:BI22,MATCH(4,CA20:CA22,0),0),"")</f>
        <v/>
      </c>
      <c r="CC21" s="23" t="str">
        <f>IF(S18&lt;&gt;"",S18,"")</f>
        <v/>
      </c>
      <c r="CD21" s="23">
        <f ca="1">SUMPRODUCT((CZ3:CZ42=CC21)*(DC3:DC42=CC22)*(DD3:DD42="W"))+SUMPRODUCT((CZ3:CZ42=CC21)*(DC3:DC42=CC23)*(DD3:DD42="W"))+SUMPRODUCT((CZ3:CZ42=CC21)*(DC3:DC42=CC24)*(DD3:DD42="W"))+SUMPRODUCT((CZ3:CZ42=CC22)*(DC3:DC42=CC21)*(DE3:DE42="W"))+SUMPRODUCT((CZ3:CZ42=CC23)*(DC3:DC42=CC21)*(DE3:DE42="W"))+SUMPRODUCT((CZ3:CZ42=CC24)*(DC3:DC42=CC21)*(DE3:DE42="W"))</f>
        <v>0</v>
      </c>
      <c r="CE21" s="23">
        <f ca="1">SUMPRODUCT((CZ3:CZ42=CC21)*(DC3:DC42=CC22)*(DD3:DD42="D"))+SUMPRODUCT((CZ3:CZ42=CC21)*(DC3:DC42=CC23)*(DD3:DD42="D"))+SUMPRODUCT((CZ3:CZ42=CC21)*(DC3:DC42=CC24)*(DD3:DD42="D"))+SUMPRODUCT((CZ3:CZ42=CC22)*(DC3:DC42=CC21)*(DD3:DD42="D"))+SUMPRODUCT((CZ3:CZ42=CC23)*(DC3:DC42=CC21)*(DD3:DD42="D"))+SUMPRODUCT((CZ3:CZ42=CC24)*(DC3:DC42=CC21)*(DD3:DD42="D"))</f>
        <v>0</v>
      </c>
      <c r="CF21" s="23">
        <f ca="1">SUMPRODUCT((CZ3:CZ42=CC21)*(DC3:DC42=CC22)*(DD3:DD42="L"))+SUMPRODUCT((CZ3:CZ42=CC21)*(DC3:DC42=CC23)*(DD3:DD42="L"))+SUMPRODUCT((CZ3:CZ42=CC21)*(DC3:DC42=CC24)*(DD3:DD42="L"))+SUMPRODUCT((CZ3:CZ42=CC22)*(DC3:DC42=CC21)*(DE3:DE42="L"))+SUMPRODUCT((CZ3:CZ42=CC23)*(DC3:DC42=CC21)*(DE3:DE42="L"))+SUMPRODUCT((CZ3:CZ42=CC24)*(DC3:DC42=CC21)*(DE3:DE42="L"))</f>
        <v>0</v>
      </c>
      <c r="CG21" s="23">
        <f ca="1">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23">
        <f ca="1">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23">
        <f ca="1">CG21-CH21+1000</f>
        <v>1000</v>
      </c>
      <c r="CJ21" s="23" t="str">
        <f t="shared" ref="CJ21" si="34">IF(CC21&lt;&gt;"",CD21*3+CE21*1,"")</f>
        <v/>
      </c>
      <c r="CK21" s="23" t="str">
        <f>IF(CC21&lt;&gt;"",VLOOKUP(CC21,B4:H40,7,FALSE),"")</f>
        <v/>
      </c>
      <c r="CL21" s="23" t="str">
        <f>IF(CC21&lt;&gt;"",VLOOKUP(CC21,B4:H40,5,FALSE),"")</f>
        <v/>
      </c>
      <c r="CM21" s="23" t="str">
        <f>IF(CC21&lt;&gt;"",VLOOKUP(CC21,B4:J40,9,FALSE),"")</f>
        <v/>
      </c>
      <c r="CN21" s="23" t="str">
        <f t="shared" ref="CN21" si="35">CJ21</f>
        <v/>
      </c>
      <c r="CO21" s="23" t="str">
        <f>IF(CC21&lt;&gt;"",RANK(CN21,CN18:CN22),"")</f>
        <v/>
      </c>
      <c r="CP21" s="23" t="str">
        <f>IF(CC21&lt;&gt;"",SUMPRODUCT((CN18:CN22=CN21)*(CI18:CI22&gt;CI21)),"")</f>
        <v/>
      </c>
      <c r="CQ21" s="23" t="str">
        <f>IF(CC21&lt;&gt;"",SUMPRODUCT((CN18:CN22=CN21)*(CI18:CI22=CI21)*(CG18:CG22&gt;CG21)),"")</f>
        <v/>
      </c>
      <c r="CR21" s="23" t="str">
        <f>IF(CC21&lt;&gt;"",SUMPRODUCT((CN18:CN22=CN21)*(CI18:CI22=CI21)*(CG18:CG22=CG21)*(CK18:CK22&gt;CK21)),"")</f>
        <v/>
      </c>
      <c r="CS21" s="23" t="str">
        <f>IF(CC21&lt;&gt;"",SUMPRODUCT((CN18:CN22=CN21)*(CI18:CI22=CI21)*(CG18:CG22=CG21)*(CK18:CK22=CK21)*(CL18:CL22&gt;CL21)),"")</f>
        <v/>
      </c>
      <c r="CT21" s="23" t="str">
        <f>IF(CC21&lt;&gt;"",SUMPRODUCT((CN18:CN22=CN21)*(CI18:CI22=CI21)*(CG18:CG22=CG21)*(CK18:CK22=CK21)*(CL18:CL22=CL21)*(CM18:CM22&gt;CM21)),"")</f>
        <v/>
      </c>
      <c r="CU21" s="23" t="str">
        <f>IF(CC21&lt;&gt;"",SUM(CO21:CT21)+3,"")</f>
        <v/>
      </c>
      <c r="CV21" s="23" t="str">
        <f>IF(CC21&lt;&gt;"",IF(CU21=4,CC21,CC22),"")</f>
        <v/>
      </c>
      <c r="CW21" s="23" t="str">
        <f ca="1">IF(CV21&lt;&gt;"",CV21,IF(CB21&lt;&gt;"",CB21,IF(BH21&lt;&gt;"",BH21,IF(AN21&lt;&gt;"",AN21,N21))))</f>
        <v>Serbia</v>
      </c>
      <c r="CX21" s="23">
        <v>4</v>
      </c>
      <c r="CY21" s="23">
        <v>19</v>
      </c>
      <c r="CZ21" s="23" t="str">
        <f>Tournament!G25</f>
        <v>Poland</v>
      </c>
      <c r="DA21" s="23">
        <f ca="1">IF(AND(Tournament!H25&lt;&gt;"",Tournament!I25&lt;&gt;""),Tournament!H25,0)</f>
        <v>0</v>
      </c>
      <c r="DB21" s="23">
        <f ca="1">IF(AND(Tournament!I25&lt;&gt;"",Tournament!H25&lt;&gt;""),Tournament!I25,0)</f>
        <v>0</v>
      </c>
      <c r="DC21" s="23" t="str">
        <f>Tournament!J25</f>
        <v>Austria</v>
      </c>
      <c r="DD21" s="23" t="str">
        <f ca="1">IF(AND(Tournament!H25&lt;&gt;"",Tournament!I25&lt;&gt;""),IF(DA21&gt;DB21,"W",IF(DA21=DB21,"D","L")),"")</f>
        <v/>
      </c>
      <c r="DE21" s="23" t="str">
        <f t="shared" ca="1" si="0"/>
        <v/>
      </c>
      <c r="DH21" s="269" t="s">
        <v>15</v>
      </c>
      <c r="DI21" s="270" t="s">
        <v>4</v>
      </c>
      <c r="DJ21" s="270" t="s">
        <v>109</v>
      </c>
      <c r="DK21" s="270" t="s">
        <v>114</v>
      </c>
      <c r="DL21" s="269" t="s">
        <v>109</v>
      </c>
      <c r="DM21" s="269" t="s">
        <v>114</v>
      </c>
      <c r="DN21" s="269" t="s">
        <v>4</v>
      </c>
      <c r="DO21" s="269" t="s">
        <v>15</v>
      </c>
      <c r="DP21" s="270"/>
      <c r="DQ21" s="271">
        <f ca="1">IFERROR(MATCH(DQ12,DH21:DK21,0),0)</f>
        <v>0</v>
      </c>
      <c r="DR21" s="271">
        <f ca="1">IFERROR(MATCH(DR12,DH21:DK21,0),0)</f>
        <v>2</v>
      </c>
      <c r="DS21" s="271">
        <f ca="1">IFERROR(MATCH(DS12,DH21:DK21,0),0)</f>
        <v>3</v>
      </c>
      <c r="DT21" s="271">
        <f ca="1">IFERROR(MATCH(DT12,DH21:DK21,0),0)</f>
        <v>4</v>
      </c>
      <c r="DU21" s="271">
        <f t="shared" ca="1" si="22"/>
        <v>9</v>
      </c>
      <c r="DV21" s="270"/>
      <c r="DW21" s="270"/>
      <c r="DX21" s="270"/>
      <c r="EE21" s="23">
        <v>3</v>
      </c>
      <c r="EF21" s="260" t="s">
        <v>13</v>
      </c>
      <c r="EG21" s="261"/>
      <c r="EH21" s="262" t="str">
        <f>Setup!C10</f>
        <v>Austria</v>
      </c>
      <c r="EI21" s="263" t="s">
        <v>107</v>
      </c>
      <c r="EJ21" s="262" t="str">
        <f ca="1">"'Countries and Timezone'!"&amp;VLOOKUP(Tournament!P24,EH7:EI38,2,FALSE)</f>
        <v>'Countries and Timezone'!B21</v>
      </c>
      <c r="EL21" s="264">
        <v>45462.625</v>
      </c>
      <c r="EM21" s="265">
        <f>EL21+EK7/24</f>
        <v>45462.625</v>
      </c>
      <c r="EO21" s="267">
        <v>-5.5</v>
      </c>
      <c r="EP21" s="23">
        <v>-6</v>
      </c>
      <c r="EQ21" s="23" t="s">
        <v>533</v>
      </c>
      <c r="ER21" s="23" t="s">
        <v>532</v>
      </c>
    </row>
    <row r="22" spans="1:148" x14ac:dyDescent="0.25">
      <c r="CY22" s="23">
        <v>20</v>
      </c>
      <c r="CZ22" s="23" t="str">
        <f>Tournament!G26</f>
        <v>Netherlands</v>
      </c>
      <c r="DA22" s="23">
        <f ca="1">IF(AND(Tournament!H26&lt;&gt;"",Tournament!I26&lt;&gt;""),Tournament!H26,0)</f>
        <v>0</v>
      </c>
      <c r="DB22" s="23">
        <f ca="1">IF(AND(Tournament!I26&lt;&gt;"",Tournament!H26&lt;&gt;""),Tournament!I26,0)</f>
        <v>0</v>
      </c>
      <c r="DC22" s="23" t="str">
        <f>Tournament!J26</f>
        <v>France</v>
      </c>
      <c r="DD22" s="23" t="str">
        <f ca="1">IF(AND(Tournament!H26&lt;&gt;"",Tournament!I26&lt;&gt;""),IF(DA22&gt;DB22,"W",IF(DA22=DB22,"D","L")),"")</f>
        <v/>
      </c>
      <c r="DE22" s="23" t="str">
        <f t="shared" ca="1" si="0"/>
        <v/>
      </c>
      <c r="DH22" s="269" t="s">
        <v>15</v>
      </c>
      <c r="DI22" s="270" t="s">
        <v>13</v>
      </c>
      <c r="DJ22" s="270" t="s">
        <v>109</v>
      </c>
      <c r="DK22" s="270" t="s">
        <v>114</v>
      </c>
      <c r="DL22" s="269" t="s">
        <v>109</v>
      </c>
      <c r="DM22" s="269" t="s">
        <v>114</v>
      </c>
      <c r="DN22" s="269" t="s">
        <v>13</v>
      </c>
      <c r="DO22" s="269" t="s">
        <v>15</v>
      </c>
      <c r="DP22" s="270"/>
      <c r="DQ22" s="271">
        <f ca="1">IFERROR(MATCH(DQ12,DH22:DK22,0),0)</f>
        <v>2</v>
      </c>
      <c r="DR22" s="271">
        <f ca="1">IFERROR(MATCH(DR12,DH22:DK22,0),0)</f>
        <v>0</v>
      </c>
      <c r="DS22" s="271">
        <f ca="1">IFERROR(MATCH(DS12,DH22:DK22,0),0)</f>
        <v>3</v>
      </c>
      <c r="DT22" s="271">
        <f ca="1">IFERROR(MATCH(DT12,DH22:DK22,0),0)</f>
        <v>4</v>
      </c>
      <c r="DU22" s="271">
        <f t="shared" ca="1" si="22"/>
        <v>9</v>
      </c>
      <c r="DV22" s="270"/>
      <c r="DW22" s="270"/>
      <c r="DX22" s="270"/>
      <c r="EE22" s="23">
        <v>4</v>
      </c>
      <c r="EF22" s="260" t="s">
        <v>13</v>
      </c>
      <c r="EG22" s="261"/>
      <c r="EH22" s="262" t="str">
        <f>Setup!C16</f>
        <v>France</v>
      </c>
      <c r="EI22" s="263" t="s">
        <v>108</v>
      </c>
      <c r="EJ22" s="262" t="str">
        <f ca="1">"'Countries and Timezone'!"&amp;VLOOKUP(Tournament!P25,EH7:EI38,2,FALSE)</f>
        <v>'Countries and Timezone'!B19</v>
      </c>
      <c r="EL22" s="264">
        <v>45463.875</v>
      </c>
      <c r="EM22" s="265">
        <f>EL22+EK7/24</f>
        <v>45463.875</v>
      </c>
      <c r="EO22" s="267">
        <v>-5</v>
      </c>
      <c r="EP22" s="23">
        <v>-6</v>
      </c>
      <c r="EQ22" s="23" t="s">
        <v>535</v>
      </c>
      <c r="ER22" s="23" t="s">
        <v>534</v>
      </c>
    </row>
    <row r="23" spans="1:148" x14ac:dyDescent="0.25">
      <c r="CY23" s="23">
        <v>21</v>
      </c>
      <c r="CZ23" s="23" t="str">
        <f>Tournament!G27</f>
        <v>Slovakia</v>
      </c>
      <c r="DA23" s="23">
        <f ca="1">IF(AND(Tournament!H27&lt;&gt;"",Tournament!I27&lt;&gt;""),Tournament!H27,0)</f>
        <v>0</v>
      </c>
      <c r="DB23" s="23">
        <f ca="1">IF(AND(Tournament!I27&lt;&gt;"",Tournament!H27&lt;&gt;""),Tournament!I27,0)</f>
        <v>0</v>
      </c>
      <c r="DC23" s="23" t="str">
        <f>Tournament!J27</f>
        <v>Ukraine</v>
      </c>
      <c r="DD23" s="23" t="str">
        <f ca="1">IF(AND(Tournament!H27&lt;&gt;"",Tournament!I27&lt;&gt;""),IF(DA23&gt;DB23,"W",IF(DA23=DB23,"D","L")),"")</f>
        <v/>
      </c>
      <c r="DE23" s="23" t="str">
        <f t="shared" ca="1" si="0"/>
        <v/>
      </c>
      <c r="DH23" s="269" t="s">
        <v>3</v>
      </c>
      <c r="DI23" s="270" t="s">
        <v>4</v>
      </c>
      <c r="DJ23" s="270" t="s">
        <v>13</v>
      </c>
      <c r="DK23" s="270" t="s">
        <v>109</v>
      </c>
      <c r="DL23" s="269" t="s">
        <v>109</v>
      </c>
      <c r="DM23" s="269" t="s">
        <v>13</v>
      </c>
      <c r="DN23" s="269" t="s">
        <v>3</v>
      </c>
      <c r="DO23" s="269" t="s">
        <v>4</v>
      </c>
      <c r="DP23" s="270"/>
      <c r="DQ23" s="271">
        <f ca="1">IFERROR(MATCH(DQ12,DH23:DK23,0),0)</f>
        <v>3</v>
      </c>
      <c r="DR23" s="271">
        <f ca="1">IFERROR(MATCH(DR12,DH23:DK23,0),0)</f>
        <v>2</v>
      </c>
      <c r="DS23" s="271">
        <f ca="1">IFERROR(MATCH(DS12,DH23:DK23,0),0)</f>
        <v>4</v>
      </c>
      <c r="DT23" s="271">
        <f ca="1">IFERROR(MATCH(DT12,DH23:DK23,0),0)</f>
        <v>0</v>
      </c>
      <c r="DU23" s="271">
        <f t="shared" ca="1" si="22"/>
        <v>9</v>
      </c>
      <c r="DV23" s="270"/>
      <c r="DW23" s="270"/>
      <c r="DX23" s="270"/>
      <c r="EE23" s="23">
        <v>1</v>
      </c>
      <c r="EF23" s="260" t="s">
        <v>109</v>
      </c>
      <c r="EG23" s="261"/>
      <c r="EH23" s="262" t="str">
        <f>Setup!C11</f>
        <v>Belgium</v>
      </c>
      <c r="EI23" s="263" t="s">
        <v>110</v>
      </c>
      <c r="EJ23" s="262" t="str">
        <f>"'Countries and Timezone'!"&amp;VLOOKUP(Tournament!P27,EH7:EI38,2,FALSE)</f>
        <v>'Countries and Timezone'!B25</v>
      </c>
      <c r="EL23" s="264">
        <v>45463.75</v>
      </c>
      <c r="EM23" s="265">
        <f>EL23+EK7/24</f>
        <v>45463.75</v>
      </c>
      <c r="EO23" s="267">
        <v>-4.5</v>
      </c>
      <c r="EP23" s="23">
        <v>-6</v>
      </c>
      <c r="EQ23" s="23" t="s">
        <v>537</v>
      </c>
      <c r="ER23" s="23" t="s">
        <v>536</v>
      </c>
    </row>
    <row r="24" spans="1:148" x14ac:dyDescent="0.25">
      <c r="CY24" s="23">
        <v>22</v>
      </c>
      <c r="CZ24" s="23" t="str">
        <f>Tournament!G28</f>
        <v>Belgium</v>
      </c>
      <c r="DA24" s="23">
        <f ca="1">IF(AND(Tournament!H28&lt;&gt;"",Tournament!I28&lt;&gt;""),Tournament!H28,0)</f>
        <v>0</v>
      </c>
      <c r="DB24" s="23">
        <f ca="1">IF(AND(Tournament!I28&lt;&gt;"",Tournament!H28&lt;&gt;""),Tournament!I28,0)</f>
        <v>0</v>
      </c>
      <c r="DC24" s="23" t="str">
        <f>Tournament!J28</f>
        <v>Romania</v>
      </c>
      <c r="DD24" s="23" t="str">
        <f ca="1">IF(AND(Tournament!H28&lt;&gt;"",Tournament!I28&lt;&gt;""),IF(DA24&gt;DB24,"W",IF(DA24=DB24,"D","L")),"")</f>
        <v/>
      </c>
      <c r="DE24" s="23" t="str">
        <f t="shared" ca="1" si="0"/>
        <v/>
      </c>
      <c r="DH24" s="269" t="s">
        <v>3</v>
      </c>
      <c r="DI24" s="270" t="s">
        <v>4</v>
      </c>
      <c r="DJ24" s="270" t="s">
        <v>13</v>
      </c>
      <c r="DK24" s="270" t="s">
        <v>114</v>
      </c>
      <c r="DL24" s="269" t="s">
        <v>114</v>
      </c>
      <c r="DM24" s="269" t="s">
        <v>13</v>
      </c>
      <c r="DN24" s="269" t="s">
        <v>4</v>
      </c>
      <c r="DO24" s="269" t="s">
        <v>3</v>
      </c>
      <c r="DP24" s="270"/>
      <c r="DQ24" s="271">
        <f ca="1">IFERROR(MATCH(DQ12,DH24:DK24,0),0)</f>
        <v>3</v>
      </c>
      <c r="DR24" s="271">
        <f ca="1">IFERROR(MATCH(DR12,DH24:DK24,0),0)</f>
        <v>2</v>
      </c>
      <c r="DS24" s="271">
        <f ca="1">IFERROR(MATCH(DS12,DH24:DK24,0),0)</f>
        <v>0</v>
      </c>
      <c r="DT24" s="271">
        <f ca="1">IFERROR(MATCH(DT12,DH24:DK24,0),0)</f>
        <v>4</v>
      </c>
      <c r="DU24" s="271">
        <f t="shared" ca="1" si="22"/>
        <v>9</v>
      </c>
      <c r="DV24" s="270"/>
      <c r="DW24" s="270"/>
      <c r="DX24" s="270"/>
      <c r="EE24" s="23">
        <v>2</v>
      </c>
      <c r="EF24" s="260" t="s">
        <v>109</v>
      </c>
      <c r="EG24" s="261"/>
      <c r="EH24" s="262" t="str">
        <f>Setup!C25</f>
        <v>Slovakia</v>
      </c>
      <c r="EI24" s="263" t="s">
        <v>111</v>
      </c>
      <c r="EJ24" s="262" t="str">
        <f>"'Countries and Timezone'!"&amp;VLOOKUP(Tournament!P28,EH7:EI38,2,FALSE)</f>
        <v>'Countries and Timezone'!B23</v>
      </c>
      <c r="EL24" s="264">
        <v>45463.625</v>
      </c>
      <c r="EM24" s="265">
        <f>EL24+EK7/24</f>
        <v>45463.625</v>
      </c>
      <c r="EO24" s="267">
        <v>-4</v>
      </c>
      <c r="EP24" s="23">
        <v>-6</v>
      </c>
      <c r="EQ24" s="23" t="s">
        <v>539</v>
      </c>
      <c r="ER24" s="23" t="s">
        <v>538</v>
      </c>
    </row>
    <row r="25" spans="1:148" x14ac:dyDescent="0.25">
      <c r="A25" s="23">
        <f ca="1">VLOOKUP(B25,CW25:CX29,2,FALSE)</f>
        <v>4</v>
      </c>
      <c r="B25" s="23" t="str">
        <f>'Dummy Table'!EH19</f>
        <v>Poland</v>
      </c>
      <c r="C25" s="23">
        <f ca="1">SUMPRODUCT((CZ3:CZ42=B25)*(DD3:DD42="W"))+SUMPRODUCT((DC3:DC42=B25)*(DE3:DE42="W"))</f>
        <v>0</v>
      </c>
      <c r="D25" s="23">
        <f ca="1">SUMPRODUCT((CZ3:CZ42=B25)*(DD3:DD42="D"))+SUMPRODUCT((DC3:DC42=B25)*(DE3:DE42="D"))</f>
        <v>0</v>
      </c>
      <c r="E25" s="23">
        <f ca="1">SUMPRODUCT((CZ3:CZ42=B25)*(DD3:DD42="L"))+SUMPRODUCT((DC3:DC42=B25)*(DE3:DE42="L"))</f>
        <v>0</v>
      </c>
      <c r="F25" s="23">
        <f ca="1">SUMIF(CZ3:CZ60,B25,DA3:DA60)+SUMIF(DC3:DC60,B25,DB3:DB60)</f>
        <v>0</v>
      </c>
      <c r="G25" s="23">
        <f ca="1">SUMIF(DC3:DC60,B25,DA3:DA60)+SUMIF(CZ3:CZ60,B25,DB3:DB60)</f>
        <v>0</v>
      </c>
      <c r="H25" s="23">
        <f t="shared" ref="H25:H28" ca="1" si="36">F25-G25+1000</f>
        <v>1000</v>
      </c>
      <c r="I25" s="23">
        <f t="shared" ref="I25:I28" ca="1" si="37">C25*3+D25*1</f>
        <v>0</v>
      </c>
      <c r="J25" s="23">
        <v>0</v>
      </c>
      <c r="K25" s="23">
        <f ca="1">IF(COUNTIF(I25:I29,4)&lt;&gt;4,RANK(I25,I25:I29),I65)</f>
        <v>1</v>
      </c>
      <c r="M25" s="23">
        <f ca="1">SUMPRODUCT((K25:K28=K25)*(J25:J28&lt;J25))+K25</f>
        <v>1</v>
      </c>
      <c r="N25" s="23" t="str">
        <f ca="1">INDEX(B25:B29,MATCH(1,M25:M29,0),0)</f>
        <v>Poland</v>
      </c>
      <c r="O25" s="23">
        <f ca="1">INDEX(K25:K29,MATCH(N25,B25:B29,0),0)</f>
        <v>1</v>
      </c>
      <c r="P25" s="23" t="str">
        <f ca="1">IF(O26=1,N25,"")</f>
        <v>Poland</v>
      </c>
      <c r="Q25" s="23" t="str">
        <f ca="1">IF(O27=2,N26,"")</f>
        <v/>
      </c>
      <c r="R25" s="23" t="str">
        <f ca="1">IF(O28=3,N27,"")</f>
        <v/>
      </c>
      <c r="S25" s="23" t="str">
        <f>IF(O29=4,N28,"")</f>
        <v/>
      </c>
      <c r="U25" s="23" t="str">
        <f ca="1">IF(P25&lt;&gt;"",P25,"")</f>
        <v>Poland</v>
      </c>
      <c r="V25" s="23">
        <f ca="1">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23">
        <f ca="1">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23">
        <f ca="1">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23">
        <f ca="1">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23">
        <f ca="1">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23">
        <f ca="1">Y25-Z25+1000</f>
        <v>1000</v>
      </c>
      <c r="AB25" s="23">
        <f t="shared" ref="AB25:AB28" ca="1" si="38">IF(U25&lt;&gt;"",V25*3+W25*1,"")</f>
        <v>0</v>
      </c>
      <c r="AC25" s="23">
        <f ca="1">IF(U25&lt;&gt;"",VLOOKUP(U25,B4:H40,7,FALSE),"")</f>
        <v>1000</v>
      </c>
      <c r="AD25" s="23">
        <f ca="1">IF(U25&lt;&gt;"",VLOOKUP(U25,B4:H40,5,FALSE),"")</f>
        <v>0</v>
      </c>
      <c r="AE25" s="23">
        <f ca="1">IF(U25&lt;&gt;"",VLOOKUP(U25,B4:J40,9,FALSE),"")</f>
        <v>0</v>
      </c>
      <c r="AF25" s="23">
        <f t="shared" ref="AF25:AF28" ca="1" si="39">AB25</f>
        <v>0</v>
      </c>
      <c r="AG25" s="23">
        <f ca="1">IF(U25&lt;&gt;"",RANK(AF25,AF25:AF29),"")</f>
        <v>1</v>
      </c>
      <c r="AH25" s="23">
        <f ca="1">IF(U25&lt;&gt;"",SUMPRODUCT((AF25:AF29=AF25)*(AA25:AA29&gt;AA25)),"")</f>
        <v>0</v>
      </c>
      <c r="AI25" s="23">
        <f ca="1">IF(U25&lt;&gt;"",SUMPRODUCT((AF25:AF29=AF25)*(AA25:AA29=AA25)*(Y25:Y29&gt;Y25)),"")</f>
        <v>0</v>
      </c>
      <c r="AJ25" s="23">
        <f ca="1">IF(U25&lt;&gt;"",SUMPRODUCT((AF25:AF29=AF25)*(AA25:AA29=AA25)*(Y25:Y29=Y25)*(AC25:AC29&gt;AC25)),"")</f>
        <v>0</v>
      </c>
      <c r="AK25" s="23">
        <f ca="1">IF(U25&lt;&gt;"",SUMPRODUCT((AF25:AF29=AF25)*(AA25:AA29=AA25)*(Y25:Y29=Y25)*(AC25:AC29=AC25)*(AD25:AD29&gt;AD25)),"")</f>
        <v>0</v>
      </c>
      <c r="AL25" s="23">
        <f ca="1">IF(U25&lt;&gt;"",SUMPRODUCT((AF25:AF29=AF25)*(AA25:AA29=AA25)*(Y25:Y29=Y25)*(AC25:AC29=AC25)*(AD25:AD29=AD25)*(AE25:AE29&gt;AE25)),"")</f>
        <v>3</v>
      </c>
      <c r="AM25" s="23">
        <f ca="1">IF(U25&lt;&gt;"",IF(AM65&lt;&gt;"",IF(T64=3,AM65,AM65+T64),SUM(AG25:AL25)),"")</f>
        <v>4</v>
      </c>
      <c r="AN25" s="23" t="str">
        <f ca="1">IF(U25&lt;&gt;"",INDEX(U25:U29,MATCH(1,AM25:AM29,0),0),"")</f>
        <v>France</v>
      </c>
      <c r="CW25" s="23" t="str">
        <f ca="1">IF(AN25&lt;&gt;"",AN25,N25)</f>
        <v>France</v>
      </c>
      <c r="CX25" s="23">
        <v>1</v>
      </c>
      <c r="CY25" s="23">
        <v>23</v>
      </c>
      <c r="CZ25" s="23" t="str">
        <f>Tournament!G29</f>
        <v>Türkiye</v>
      </c>
      <c r="DA25" s="23">
        <f ca="1">IF(AND(Tournament!H29&lt;&gt;"",Tournament!I29&lt;&gt;""),Tournament!H29,0)</f>
        <v>0</v>
      </c>
      <c r="DB25" s="23">
        <f ca="1">IF(AND(Tournament!I29&lt;&gt;"",Tournament!H29&lt;&gt;""),Tournament!I29,0)</f>
        <v>0</v>
      </c>
      <c r="DC25" s="23" t="str">
        <f>Tournament!J29</f>
        <v>Portugal</v>
      </c>
      <c r="DD25" s="23" t="str">
        <f ca="1">IF(AND(Tournament!H29&lt;&gt;"",Tournament!I29&lt;&gt;""),IF(DA25&gt;DB25,"W",IF(DA25=DB25,"D","L")),"")</f>
        <v/>
      </c>
      <c r="DE25" s="23" t="str">
        <f t="shared" ca="1" si="0"/>
        <v/>
      </c>
      <c r="DH25" s="269" t="s">
        <v>3</v>
      </c>
      <c r="DI25" s="270" t="s">
        <v>4</v>
      </c>
      <c r="DJ25" s="270" t="s">
        <v>109</v>
      </c>
      <c r="DK25" s="270" t="s">
        <v>114</v>
      </c>
      <c r="DL25" s="272" t="s">
        <v>114</v>
      </c>
      <c r="DM25" s="269" t="s">
        <v>109</v>
      </c>
      <c r="DN25" s="269" t="s">
        <v>4</v>
      </c>
      <c r="DO25" s="269" t="s">
        <v>3</v>
      </c>
      <c r="DP25" s="270"/>
      <c r="DQ25" s="271">
        <f ca="1">IFERROR(MATCH(DQ12,DH25:DK25,0),0)</f>
        <v>0</v>
      </c>
      <c r="DR25" s="271">
        <f ca="1">IFERROR(MATCH(DR12,DH25:DK25,0),0)</f>
        <v>2</v>
      </c>
      <c r="DS25" s="271">
        <f ca="1">IFERROR(MATCH(DS12,DH25:DK25,0),0)</f>
        <v>3</v>
      </c>
      <c r="DT25" s="271">
        <f ca="1">IFERROR(MATCH(DT12,DH25:DK25,0),0)</f>
        <v>4</v>
      </c>
      <c r="DU25" s="273">
        <f t="shared" ca="1" si="22"/>
        <v>9</v>
      </c>
      <c r="DV25" s="270"/>
      <c r="DW25" s="270"/>
      <c r="DX25" s="270"/>
      <c r="EE25" s="23">
        <v>3</v>
      </c>
      <c r="EF25" s="260" t="s">
        <v>109</v>
      </c>
      <c r="EG25" s="261"/>
      <c r="EH25" s="262" t="str">
        <f>Setup!C22</f>
        <v>Romania</v>
      </c>
      <c r="EI25" s="263" t="s">
        <v>112</v>
      </c>
      <c r="EJ25" s="262" t="str">
        <f>"'Countries and Timezone'!"&amp;VLOOKUP(Tournament!P29,EH7:EI38,2,FALSE)</f>
        <v>'Countries and Timezone'!B24</v>
      </c>
      <c r="EL25" s="264">
        <v>45464.75</v>
      </c>
      <c r="EM25" s="265">
        <f>EL25+EK7/24</f>
        <v>45464.75</v>
      </c>
      <c r="EO25" s="267">
        <v>-3.5</v>
      </c>
      <c r="EP25" s="23">
        <v>-6</v>
      </c>
      <c r="EQ25" s="23" t="s">
        <v>541</v>
      </c>
      <c r="ER25" s="23" t="s">
        <v>540</v>
      </c>
    </row>
    <row r="26" spans="1:148" x14ac:dyDescent="0.25">
      <c r="A26" s="23">
        <f ca="1">VLOOKUP(B26,CW25:CX29,2,FALSE)</f>
        <v>2</v>
      </c>
      <c r="B26" s="23" t="str">
        <f>'Dummy Table'!EH20</f>
        <v>Netherlands</v>
      </c>
      <c r="C26" s="23">
        <f ca="1">SUMPRODUCT((CZ3:CZ42=B26)*(DD3:DD42="W"))+SUMPRODUCT((DC3:DC42=B26)*(DE3:DE42="W"))</f>
        <v>0</v>
      </c>
      <c r="D26" s="23">
        <f ca="1">SUMPRODUCT((CZ3:CZ42=B26)*(DD3:DD42="D"))+SUMPRODUCT((DC3:DC42=B26)*(DE3:DE42="D"))</f>
        <v>0</v>
      </c>
      <c r="E26" s="23">
        <f ca="1">SUMPRODUCT((CZ3:CZ42=B26)*(DD3:DD42="L"))+SUMPRODUCT((DC3:DC42=B26)*(DE3:DE42="L"))</f>
        <v>0</v>
      </c>
      <c r="F26" s="23">
        <f ca="1">SUMIF(CZ3:CZ60,B26,DA3:DA60)+SUMIF(DC3:DC60,B26,DB3:DB60)</f>
        <v>0</v>
      </c>
      <c r="G26" s="23">
        <f ca="1">SUMIF(DC3:DC60,B26,DA3:DA60)+SUMIF(CZ3:CZ60,B26,DB3:DB60)</f>
        <v>0</v>
      </c>
      <c r="H26" s="23">
        <f t="shared" ca="1" si="36"/>
        <v>1000</v>
      </c>
      <c r="I26" s="23">
        <f t="shared" ca="1" si="37"/>
        <v>0</v>
      </c>
      <c r="J26" s="23">
        <v>42</v>
      </c>
      <c r="K26" s="23">
        <f ca="1">IF(COUNTIF(I25:I29,4)&lt;&gt;4,RANK(I26,I25:I29),I66)</f>
        <v>1</v>
      </c>
      <c r="M26" s="23">
        <f ca="1">SUMPRODUCT((K25:K28=K26)*(J25:J28&lt;J26))+K26</f>
        <v>3</v>
      </c>
      <c r="N26" s="23" t="str">
        <f ca="1">INDEX(B25:B29,MATCH(2,M25:M29,0),0)</f>
        <v>Austria</v>
      </c>
      <c r="O26" s="23">
        <f ca="1">INDEX(K25:K29,MATCH(N26,B25:B29,0),0)</f>
        <v>1</v>
      </c>
      <c r="P26" s="23" t="str">
        <f ca="1">IF(P25&lt;&gt;"",N26,"")</f>
        <v>Austria</v>
      </c>
      <c r="Q26" s="23" t="str">
        <f ca="1">IF(Q25&lt;&gt;"",N27,"")</f>
        <v/>
      </c>
      <c r="R26" s="23" t="str">
        <f ca="1">IF(R25&lt;&gt;"",N28,"")</f>
        <v/>
      </c>
      <c r="S26" s="23" t="str">
        <f>IF(S25&lt;&gt;"",N29,"")</f>
        <v/>
      </c>
      <c r="U26" s="23" t="str">
        <f t="shared" ref="U26:U28" ca="1" si="40">IF(P26&lt;&gt;"",P26,"")</f>
        <v>Austria</v>
      </c>
      <c r="V26" s="23">
        <f ca="1">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23">
        <f ca="1">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23">
        <f ca="1">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23">
        <f ca="1">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23">
        <f ca="1">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23">
        <f ca="1">Y26-Z26+1000</f>
        <v>1000</v>
      </c>
      <c r="AB26" s="23">
        <f t="shared" ca="1" si="38"/>
        <v>0</v>
      </c>
      <c r="AC26" s="23">
        <f ca="1">IF(U26&lt;&gt;"",VLOOKUP(U26,B4:H40,7,FALSE),"")</f>
        <v>1000</v>
      </c>
      <c r="AD26" s="23">
        <f ca="1">IF(U26&lt;&gt;"",VLOOKUP(U26,B4:H40,5,FALSE),"")</f>
        <v>0</v>
      </c>
      <c r="AE26" s="23">
        <f ca="1">IF(U26&lt;&gt;"",VLOOKUP(U26,B4:J40,9,FALSE),"")</f>
        <v>41</v>
      </c>
      <c r="AF26" s="23">
        <f t="shared" ca="1" si="39"/>
        <v>0</v>
      </c>
      <c r="AG26" s="23">
        <f ca="1">IF(U26&lt;&gt;"",RANK(AF26,AF25:AF29),"")</f>
        <v>1</v>
      </c>
      <c r="AH26" s="23">
        <f ca="1">IF(U26&lt;&gt;"",SUMPRODUCT((AF25:AF29=AF26)*(AA25:AA29&gt;AA26)),"")</f>
        <v>0</v>
      </c>
      <c r="AI26" s="23">
        <f ca="1">IF(U26&lt;&gt;"",SUMPRODUCT((AF25:AF29=AF26)*(AA25:AA29=AA26)*(Y25:Y29&gt;Y26)),"")</f>
        <v>0</v>
      </c>
      <c r="AJ26" s="23">
        <f ca="1">IF(U26&lt;&gt;"",SUMPRODUCT((AF25:AF29=AF26)*(AA25:AA29=AA26)*(Y25:Y29=Y26)*(AC25:AC29&gt;AC26)),"")</f>
        <v>0</v>
      </c>
      <c r="AK26" s="23">
        <f ca="1">IF(U26&lt;&gt;"",SUMPRODUCT((AF25:AF29=AF26)*(AA25:AA29=AA26)*(Y25:Y29=Y26)*(AC25:AC29=AC26)*(AD25:AD29&gt;AD26)),"")</f>
        <v>0</v>
      </c>
      <c r="AL26" s="23">
        <f ca="1">IF(U26&lt;&gt;"",SUMPRODUCT((AF25:AF29=AF26)*(AA25:AA29=AA26)*(Y25:Y29=Y26)*(AC25:AC29=AC26)*(AD25:AD29=AD26)*(AE25:AE29&gt;AE26)),"")</f>
        <v>2</v>
      </c>
      <c r="AM26" s="23">
        <f ca="1">IF(U26&lt;&gt;"",IF(AM66&lt;&gt;"",IF(T64=3,AM66,AM66+T64),SUM(AG26:AL26)),"")</f>
        <v>3</v>
      </c>
      <c r="AN26" s="23" t="str">
        <f ca="1">IF(U26&lt;&gt;"",INDEX(U25:U29,MATCH(2,AM25:AM29,0),0),"")</f>
        <v>Netherlands</v>
      </c>
      <c r="AO26" s="23" t="str">
        <f ca="1">IF(Q25&lt;&gt;"",Q25,"")</f>
        <v/>
      </c>
      <c r="AP26" s="23">
        <f ca="1">SUMPRODUCT((CZ3:CZ42=AO26)*(DC3:DC42=AO27)*(DD3:DD42="W"))+SUMPRODUCT((CZ3:CZ42=AO26)*(DC3:DC42=AO28)*(DD3:DD42="W"))+SUMPRODUCT((CZ3:CZ42=AO26)*(DC3:DC42=AO29)*(DD3:DD42="W"))+SUMPRODUCT((CZ3:CZ42=AO27)*(DC3:DC42=AO26)*(DE3:DE42="W"))+SUMPRODUCT((CZ3:CZ42=AO28)*(DC3:DC42=AO26)*(DE3:DE42="W"))+SUMPRODUCT((CZ3:CZ42=AO29)*(DC3:DC42=AO26)*(DE3:DE42="W"))</f>
        <v>0</v>
      </c>
      <c r="AQ26" s="23">
        <f ca="1">SUMPRODUCT((CZ3:CZ42=AO26)*(DC3:DC42=AO27)*(DD3:DD42="D"))+SUMPRODUCT((CZ3:CZ42=AO26)*(DC3:DC42=AO28)*(DD3:DD42="D"))+SUMPRODUCT((CZ3:CZ42=AO26)*(DC3:DC42=AO29)*(DD3:DD42="D"))+SUMPRODUCT((CZ3:CZ42=AO27)*(DC3:DC42=AO26)*(DD3:DD42="D"))+SUMPRODUCT((CZ3:CZ42=AO28)*(DC3:DC42=AO26)*(DD3:DD42="D"))+SUMPRODUCT((CZ3:CZ42=AO29)*(DC3:DC42=AO26)*(DD3:DD42="D"))</f>
        <v>0</v>
      </c>
      <c r="AR26" s="23">
        <f ca="1">SUMPRODUCT((CZ3:CZ42=AO26)*(DC3:DC42=AO27)*(DD3:DD42="L"))+SUMPRODUCT((CZ3:CZ42=AO26)*(DC3:DC42=AO28)*(DD3:DD42="L"))+SUMPRODUCT((CZ3:CZ42=AO26)*(DC3:DC42=AO29)*(DD3:DD42="L"))+SUMPRODUCT((CZ3:CZ42=AO27)*(DC3:DC42=AO26)*(DE3:DE42="L"))+SUMPRODUCT((CZ3:CZ42=AO28)*(DC3:DC42=AO26)*(DE3:DE42="L"))+SUMPRODUCT((CZ3:CZ42=AO29)*(DC3:DC42=AO26)*(DE3:DE42="L"))</f>
        <v>0</v>
      </c>
      <c r="AS26" s="23">
        <f ca="1">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23">
        <f ca="1">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23">
        <f ca="1">AS26-AT26+1000</f>
        <v>1000</v>
      </c>
      <c r="AV26" s="23" t="str">
        <f t="shared" ref="AV26:AV28" ca="1" si="41">IF(AO26&lt;&gt;"",AP26*3+AQ26*1,"")</f>
        <v/>
      </c>
      <c r="AW26" s="23" t="str">
        <f ca="1">IF(AO26&lt;&gt;"",VLOOKUP(AO26,B4:H40,7,FALSE),"")</f>
        <v/>
      </c>
      <c r="AX26" s="23" t="str">
        <f ca="1">IF(AO26&lt;&gt;"",VLOOKUP(AO26,B4:H40,5,FALSE),"")</f>
        <v/>
      </c>
      <c r="AY26" s="23" t="str">
        <f ca="1">IF(AO26&lt;&gt;"",VLOOKUP(AO26,B4:J40,9,FALSE),"")</f>
        <v/>
      </c>
      <c r="AZ26" s="23" t="str">
        <f t="shared" ref="AZ26:AZ28" ca="1" si="42">AV26</f>
        <v/>
      </c>
      <c r="BA26" s="23" t="str">
        <f ca="1">IF(AO26&lt;&gt;"",RANK(AZ26,AZ25:AZ29),"")</f>
        <v/>
      </c>
      <c r="BB26" s="23" t="str">
        <f ca="1">IF(AO26&lt;&gt;"",SUMPRODUCT((AZ25:AZ29=AZ26)*(AU25:AU29&gt;AU26)),"")</f>
        <v/>
      </c>
      <c r="BC26" s="23" t="str">
        <f ca="1">IF(AO26&lt;&gt;"",SUMPRODUCT((AZ25:AZ29=AZ26)*(AU25:AU29=AU26)*(AS25:AS29&gt;AS26)),"")</f>
        <v/>
      </c>
      <c r="BD26" s="23" t="str">
        <f ca="1">IF(AO26&lt;&gt;"",SUMPRODUCT((AZ25:AZ29=AZ26)*(AU25:AU29=AU26)*(AS25:AS29=AS26)*(AW25:AW29&gt;AW26)),"")</f>
        <v/>
      </c>
      <c r="BE26" s="23" t="str">
        <f ca="1">IF(AO26&lt;&gt;"",SUMPRODUCT((AZ25:AZ29=AZ26)*(AU25:AU29=AU26)*(AS25:AS29=AS26)*(AW25:AW29=AW26)*(AX25:AX29&gt;AX26)),"")</f>
        <v/>
      </c>
      <c r="BF26" s="23" t="str">
        <f ca="1">IF(AO26&lt;&gt;"",SUMPRODUCT((AZ25:AZ29=AZ26)*(AU25:AU29=AU26)*(AS25:AS29=AS26)*(AW25:AW29=AW26)*(AX25:AX29=AX26)*(AY25:AY29&gt;AY26)),"")</f>
        <v/>
      </c>
      <c r="BG26" s="23" t="str">
        <f ca="1">IF(AO26&lt;&gt;"",IF(BG66&lt;&gt;"",IF(AN64=3,BG66,BG66+AN64),SUM(BA26:BF26)+1),"")</f>
        <v/>
      </c>
      <c r="BH26" s="23" t="str">
        <f ca="1">IF(AO26&lt;&gt;"",INDEX(AO26:AO29,MATCH(2,BG26:BG29,0),0),"")</f>
        <v/>
      </c>
      <c r="CW26" s="23" t="str">
        <f ca="1">IF(BH26&lt;&gt;"",BH26,IF(AN26&lt;&gt;"",AN26,N26))</f>
        <v>Netherlands</v>
      </c>
      <c r="CX26" s="23">
        <v>2</v>
      </c>
      <c r="CY26" s="23">
        <v>24</v>
      </c>
      <c r="CZ26" s="23" t="str">
        <f>Tournament!G30</f>
        <v>Georgia</v>
      </c>
      <c r="DA26" s="23">
        <f ca="1">IF(AND(Tournament!H30&lt;&gt;"",Tournament!I30&lt;&gt;""),Tournament!H30,0)</f>
        <v>0</v>
      </c>
      <c r="DB26" s="23">
        <f ca="1">IF(AND(Tournament!I30&lt;&gt;"",Tournament!H30&lt;&gt;""),Tournament!I30,0)</f>
        <v>0</v>
      </c>
      <c r="DC26" s="23" t="str">
        <f>Tournament!J30</f>
        <v>Czechia</v>
      </c>
      <c r="DD26" s="23" t="str">
        <f ca="1">IF(AND(Tournament!H30&lt;&gt;"",Tournament!I30&lt;&gt;""),IF(DA26&gt;DB26,"W",IF(DA26=DB26,"D","L")),"")</f>
        <v/>
      </c>
      <c r="DE26" s="23" t="str">
        <f t="shared" ca="1" si="0"/>
        <v/>
      </c>
      <c r="DH26" s="269" t="s">
        <v>3</v>
      </c>
      <c r="DI26" s="270" t="s">
        <v>13</v>
      </c>
      <c r="DJ26" s="270" t="s">
        <v>109</v>
      </c>
      <c r="DK26" s="270" t="s">
        <v>114</v>
      </c>
      <c r="DL26" s="269" t="s">
        <v>114</v>
      </c>
      <c r="DM26" s="269" t="s">
        <v>109</v>
      </c>
      <c r="DN26" s="269" t="s">
        <v>13</v>
      </c>
      <c r="DO26" s="269" t="s">
        <v>3</v>
      </c>
      <c r="DP26" s="270"/>
      <c r="DQ26" s="271">
        <f ca="1">IFERROR(MATCH(DQ12,DH26:DK26,0),0)</f>
        <v>2</v>
      </c>
      <c r="DR26" s="271">
        <f ca="1">IFERROR(MATCH(DR12,DH26:DK26,0),0)</f>
        <v>0</v>
      </c>
      <c r="DS26" s="271">
        <f ca="1">IFERROR(MATCH(DS12,DH26:DK26,0),0)</f>
        <v>3</v>
      </c>
      <c r="DT26" s="271">
        <f ca="1">IFERROR(MATCH(DT12,DH26:DK26,0),0)</f>
        <v>4</v>
      </c>
      <c r="DU26" s="271">
        <f t="shared" ca="1" si="22"/>
        <v>9</v>
      </c>
      <c r="DV26" s="270"/>
      <c r="DW26" s="270"/>
      <c r="DX26" s="270"/>
      <c r="EE26" s="23">
        <v>4</v>
      </c>
      <c r="EF26" s="260" t="s">
        <v>109</v>
      </c>
      <c r="EG26" s="261"/>
      <c r="EH26" s="262" t="str">
        <f>Setup!C31</f>
        <v>Ukraine</v>
      </c>
      <c r="EI26" s="263" t="s">
        <v>113</v>
      </c>
      <c r="EJ26" s="262" t="str">
        <f>"'Countries and Timezone'!"&amp;VLOOKUP(Tournament!P30,EH7:EI38,2,FALSE)</f>
        <v>'Countries and Timezone'!B26</v>
      </c>
      <c r="EL26" s="264">
        <v>45464.875</v>
      </c>
      <c r="EM26" s="265">
        <f>EL26+EK7/24</f>
        <v>45464.875</v>
      </c>
      <c r="EO26" s="267">
        <v>-3</v>
      </c>
      <c r="EP26" s="23">
        <v>-5</v>
      </c>
      <c r="EQ26" s="23" t="s">
        <v>543</v>
      </c>
      <c r="ER26" s="23" t="s">
        <v>542</v>
      </c>
    </row>
    <row r="27" spans="1:148" x14ac:dyDescent="0.25">
      <c r="A27" s="23">
        <f ca="1">VLOOKUP(B27,CW25:CX29,2,FALSE)</f>
        <v>3</v>
      </c>
      <c r="B27" s="23" t="str">
        <f>'Dummy Table'!EH21</f>
        <v>Austria</v>
      </c>
      <c r="C27" s="23">
        <f ca="1">SUMPRODUCT((CZ3:CZ42=B27)*(DD3:DD42="W"))+SUMPRODUCT((DC3:DC42=B27)*(DE3:DE42="W"))</f>
        <v>0</v>
      </c>
      <c r="D27" s="23">
        <f ca="1">SUMPRODUCT((CZ3:CZ42=B27)*(DD3:DD42="D"))+SUMPRODUCT((DC3:DC42=B27)*(DE3:DE42="D"))</f>
        <v>0</v>
      </c>
      <c r="E27" s="23">
        <f ca="1">SUMPRODUCT((CZ3:CZ42=B27)*(DD3:DD42="L"))+SUMPRODUCT((DC3:DC42=B27)*(DE3:DE42="L"))</f>
        <v>0</v>
      </c>
      <c r="F27" s="23">
        <f ca="1">SUMIF(CZ3:CZ60,B27,DA3:DA60)+SUMIF(DC3:DC60,B27,DB3:DB60)</f>
        <v>0</v>
      </c>
      <c r="G27" s="23">
        <f ca="1">SUMIF(DC3:DC60,B27,DA3:DA60)+SUMIF(CZ3:CZ60,B27,DB3:DB60)</f>
        <v>0</v>
      </c>
      <c r="H27" s="23">
        <f t="shared" ca="1" si="36"/>
        <v>1000</v>
      </c>
      <c r="I27" s="23">
        <f t="shared" ca="1" si="37"/>
        <v>0</v>
      </c>
      <c r="J27" s="23">
        <v>41</v>
      </c>
      <c r="K27" s="23">
        <f ca="1">IF(COUNTIF(I25:I29,4)&lt;&gt;4,RANK(I27,I25:I29),I67)</f>
        <v>1</v>
      </c>
      <c r="M27" s="23">
        <f ca="1">SUMPRODUCT((K25:K28=K27)*(J25:J28&lt;J27))+K27</f>
        <v>2</v>
      </c>
      <c r="N27" s="23" t="str">
        <f ca="1">INDEX(B25:B29,MATCH(3,M25:M29,0),0)</f>
        <v>Netherlands</v>
      </c>
      <c r="O27" s="23">
        <f ca="1">INDEX(K25:K29,MATCH(N27,B25:B29,0),0)</f>
        <v>1</v>
      </c>
      <c r="P27" s="23" t="str">
        <f ca="1">IF(AND(P26&lt;&gt;"",O27=1),N27,"")</f>
        <v>Netherlands</v>
      </c>
      <c r="Q27" s="23" t="str">
        <f ca="1">IF(AND(Q26&lt;&gt;"",O28=2),N28,"")</f>
        <v/>
      </c>
      <c r="R27" s="23" t="str">
        <f ca="1">IF(AND(R26&lt;&gt;"",O29=3),N29,"")</f>
        <v/>
      </c>
      <c r="U27" s="23" t="str">
        <f t="shared" ca="1" si="40"/>
        <v>Netherlands</v>
      </c>
      <c r="V27" s="23">
        <f ca="1">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23">
        <f ca="1">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23">
        <f ca="1">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23">
        <f ca="1">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23">
        <f ca="1">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23">
        <f ca="1">Y27-Z27+1000</f>
        <v>1000</v>
      </c>
      <c r="AB27" s="23">
        <f t="shared" ca="1" si="38"/>
        <v>0</v>
      </c>
      <c r="AC27" s="23">
        <f ca="1">IF(U27&lt;&gt;"",VLOOKUP(U27,B4:H40,7,FALSE),"")</f>
        <v>1000</v>
      </c>
      <c r="AD27" s="23">
        <f ca="1">IF(U27&lt;&gt;"",VLOOKUP(U27,B4:H40,5,FALSE),"")</f>
        <v>0</v>
      </c>
      <c r="AE27" s="23">
        <f ca="1">IF(U27&lt;&gt;"",VLOOKUP(U27,B4:J40,9,FALSE),"")</f>
        <v>42</v>
      </c>
      <c r="AF27" s="23">
        <f t="shared" ca="1" si="39"/>
        <v>0</v>
      </c>
      <c r="AG27" s="23">
        <f ca="1">IF(U27&lt;&gt;"",RANK(AF27,AF25:AF29),"")</f>
        <v>1</v>
      </c>
      <c r="AH27" s="23">
        <f ca="1">IF(U27&lt;&gt;"",SUMPRODUCT((AF25:AF29=AF27)*(AA25:AA29&gt;AA27)),"")</f>
        <v>0</v>
      </c>
      <c r="AI27" s="23">
        <f ca="1">IF(U27&lt;&gt;"",SUMPRODUCT((AF25:AF29=AF27)*(AA25:AA29=AA27)*(Y25:Y29&gt;Y27)),"")</f>
        <v>0</v>
      </c>
      <c r="AJ27" s="23">
        <f ca="1">IF(U27&lt;&gt;"",SUMPRODUCT((AF25:AF29=AF27)*(AA25:AA29=AA27)*(Y25:Y29=Y27)*(AC25:AC29&gt;AC27)),"")</f>
        <v>0</v>
      </c>
      <c r="AK27" s="23">
        <f ca="1">IF(U27&lt;&gt;"",SUMPRODUCT((AF25:AF29=AF27)*(AA25:AA29=AA27)*(Y25:Y29=Y27)*(AC25:AC29=AC27)*(AD25:AD29&gt;AD27)),"")</f>
        <v>0</v>
      </c>
      <c r="AL27" s="23">
        <f ca="1">IF(U27&lt;&gt;"",SUMPRODUCT((AF25:AF29=AF27)*(AA25:AA29=AA27)*(Y25:Y29=Y27)*(AC25:AC29=AC27)*(AD25:AD29=AD27)*(AE25:AE29&gt;AE27)),"")</f>
        <v>1</v>
      </c>
      <c r="AM27" s="23">
        <f ca="1">IF(U27&lt;&gt;"",IF(AM67&lt;&gt;"",IF(T64=3,AM67,AM67+T64),SUM(AG27:AL27)),"")</f>
        <v>2</v>
      </c>
      <c r="AN27" s="23" t="str">
        <f ca="1">IF(U27&lt;&gt;"",INDEX(U25:U29,MATCH(3,AM25:AM29,0),0),"")</f>
        <v>Austria</v>
      </c>
      <c r="AO27" s="23" t="str">
        <f ca="1">IF(Q26&lt;&gt;"",Q26,"")</f>
        <v/>
      </c>
      <c r="AP27" s="23">
        <f ca="1">SUMPRODUCT((CZ3:CZ42=AO27)*(DC3:DC42=AO28)*(DD3:DD42="W"))+SUMPRODUCT((CZ3:CZ42=AO27)*(DC3:DC42=AO29)*(DD3:DD42="W"))+SUMPRODUCT((CZ3:CZ42=AO27)*(DC3:DC42=AO26)*(DD3:DD42="W"))+SUMPRODUCT((CZ3:CZ42=AO28)*(DC3:DC42=AO27)*(DE3:DE42="W"))+SUMPRODUCT((CZ3:CZ42=AO29)*(DC3:DC42=AO27)*(DE3:DE42="W"))+SUMPRODUCT((CZ3:CZ42=AO26)*(DC3:DC42=AO27)*(DE3:DE42="W"))</f>
        <v>0</v>
      </c>
      <c r="AQ27" s="23">
        <f ca="1">SUMPRODUCT((CZ3:CZ42=AO27)*(DC3:DC42=AO28)*(DD3:DD42="D"))+SUMPRODUCT((CZ3:CZ42=AO27)*(DC3:DC42=AO29)*(DD3:DD42="D"))+SUMPRODUCT((CZ3:CZ42=AO27)*(DC3:DC42=AO26)*(DD3:DD42="D"))+SUMPRODUCT((CZ3:CZ42=AO28)*(DC3:DC42=AO27)*(DD3:DD42="D"))+SUMPRODUCT((CZ3:CZ42=AO29)*(DC3:DC42=AO27)*(DD3:DD42="D"))+SUMPRODUCT((CZ3:CZ42=AO26)*(DC3:DC42=AO27)*(DD3:DD42="D"))</f>
        <v>0</v>
      </c>
      <c r="AR27" s="23">
        <f ca="1">SUMPRODUCT((CZ3:CZ42=AO27)*(DC3:DC42=AO28)*(DD3:DD42="L"))+SUMPRODUCT((CZ3:CZ42=AO27)*(DC3:DC42=AO29)*(DD3:DD42="L"))+SUMPRODUCT((CZ3:CZ42=AO27)*(DC3:DC42=AO26)*(DD3:DD42="L"))+SUMPRODUCT((CZ3:CZ42=AO28)*(DC3:DC42=AO27)*(DE3:DE42="L"))+SUMPRODUCT((CZ3:CZ42=AO29)*(DC3:DC42=AO27)*(DE3:DE42="L"))+SUMPRODUCT((CZ3:CZ42=AO26)*(DC3:DC42=AO27)*(DE3:DE42="L"))</f>
        <v>0</v>
      </c>
      <c r="AS27" s="23">
        <f ca="1">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23">
        <f ca="1">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23">
        <f ca="1">AS27-AT27+1000</f>
        <v>1000</v>
      </c>
      <c r="AV27" s="23" t="str">
        <f t="shared" ca="1" si="41"/>
        <v/>
      </c>
      <c r="AW27" s="23" t="str">
        <f ca="1">IF(AO27&lt;&gt;"",VLOOKUP(AO27,B4:H40,7,FALSE),"")</f>
        <v/>
      </c>
      <c r="AX27" s="23" t="str">
        <f ca="1">IF(AO27&lt;&gt;"",VLOOKUP(AO27,B4:H40,5,FALSE),"")</f>
        <v/>
      </c>
      <c r="AY27" s="23" t="str">
        <f ca="1">IF(AO27&lt;&gt;"",VLOOKUP(AO27,B4:J40,9,FALSE),"")</f>
        <v/>
      </c>
      <c r="AZ27" s="23" t="str">
        <f t="shared" ca="1" si="42"/>
        <v/>
      </c>
      <c r="BA27" s="23" t="str">
        <f ca="1">IF(AO27&lt;&gt;"",RANK(AZ27,AZ25:AZ29),"")</f>
        <v/>
      </c>
      <c r="BB27" s="23" t="str">
        <f ca="1">IF(AO27&lt;&gt;"",SUMPRODUCT((AZ25:AZ29=AZ27)*(AU25:AU29&gt;AU27)),"")</f>
        <v/>
      </c>
      <c r="BC27" s="23" t="str">
        <f ca="1">IF(AO27&lt;&gt;"",SUMPRODUCT((AZ25:AZ29=AZ27)*(AU25:AU29=AU27)*(AS25:AS29&gt;AS27)),"")</f>
        <v/>
      </c>
      <c r="BD27" s="23" t="str">
        <f ca="1">IF(AO27&lt;&gt;"",SUMPRODUCT((AZ25:AZ29=AZ27)*(AU25:AU29=AU27)*(AS25:AS29=AS27)*(AW25:AW29&gt;AW27)),"")</f>
        <v/>
      </c>
      <c r="BE27" s="23" t="str">
        <f ca="1">IF(AO27&lt;&gt;"",SUMPRODUCT((AZ25:AZ29=AZ27)*(AU25:AU29=AU27)*(AS25:AS29=AS27)*(AW25:AW29=AW27)*(AX25:AX29&gt;AX27)),"")</f>
        <v/>
      </c>
      <c r="BF27" s="23" t="str">
        <f ca="1">IF(AO27&lt;&gt;"",SUMPRODUCT((AZ25:AZ29=AZ27)*(AU25:AU29=AU27)*(AS25:AS29=AS27)*(AW25:AW29=AW27)*(AX25:AX29=AX27)*(AY25:AY29&gt;AY27)),"")</f>
        <v/>
      </c>
      <c r="BG27" s="23" t="str">
        <f ca="1">IF(AO27&lt;&gt;"",IF(BG67&lt;&gt;"",IF(AN64=3,BG67,BG67+AN64),SUM(BA27:BF27)+1),"")</f>
        <v/>
      </c>
      <c r="BH27" s="23" t="str">
        <f ca="1">IF(AO27&lt;&gt;"",INDEX(AO26:AO29,MATCH(3,BG26:BG29,0),0),"")</f>
        <v/>
      </c>
      <c r="BI27" s="23" t="str">
        <f ca="1">IF(R25&lt;&gt;"",R25,"")</f>
        <v/>
      </c>
      <c r="BJ27" s="23">
        <f ca="1">SUMPRODUCT((CZ3:CZ42=BI27)*(DC3:DC42=BI28)*(DD3:DD42="W"))+SUMPRODUCT((CZ3:CZ42=BI27)*(DC3:DC42=BI29)*(DD3:DD42="W"))+SUMPRODUCT((CZ3:CZ42=BI27)*(DC3:DC42=BI30)*(DD3:DD42="W"))+SUMPRODUCT((CZ3:CZ42=BI28)*(DC3:DC42=BI27)*(DE3:DE42="W"))+SUMPRODUCT((CZ3:CZ42=BI29)*(DC3:DC42=BI27)*(DE3:DE42="W"))+SUMPRODUCT((CZ3:CZ42=BI30)*(DC3:DC42=BI27)*(DE3:DE42="W"))</f>
        <v>0</v>
      </c>
      <c r="BK27" s="23">
        <f ca="1">SUMPRODUCT((CZ3:CZ42=BI27)*(DC3:DC42=BI28)*(DD3:DD42="D"))+SUMPRODUCT((CZ3:CZ42=BI27)*(DC3:DC42=BI29)*(DD3:DD42="D"))+SUMPRODUCT((CZ3:CZ42=BI27)*(DC3:DC42=BI30)*(DD3:DD42="D"))+SUMPRODUCT((CZ3:CZ42=BI28)*(DC3:DC42=BI27)*(DD3:DD42="D"))+SUMPRODUCT((CZ3:CZ42=BI29)*(DC3:DC42=BI27)*(DD3:DD42="D"))+SUMPRODUCT((CZ3:CZ42=BI30)*(DC3:DC42=BI27)*(DD3:DD42="D"))</f>
        <v>0</v>
      </c>
      <c r="BL27" s="23">
        <f ca="1">SUMPRODUCT((CZ3:CZ42=BI27)*(DC3:DC42=BI28)*(DD3:DD42="L"))+SUMPRODUCT((CZ3:CZ42=BI27)*(DC3:DC42=BI29)*(DD3:DD42="L"))+SUMPRODUCT((CZ3:CZ42=BI27)*(DC3:DC42=BI30)*(DD3:DD42="L"))+SUMPRODUCT((CZ3:CZ42=BI28)*(DC3:DC42=BI27)*(DE3:DE42="L"))+SUMPRODUCT((CZ3:CZ42=BI29)*(DC3:DC42=BI27)*(DE3:DE42="L"))+SUMPRODUCT((CZ3:CZ42=BI30)*(DC3:DC42=BI27)*(DE3:DE42="L"))</f>
        <v>0</v>
      </c>
      <c r="BM27" s="23">
        <f ca="1">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23">
        <f ca="1">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23">
        <f ca="1">BM27-BN27+1000</f>
        <v>1000</v>
      </c>
      <c r="BP27" s="23" t="str">
        <f ca="1">IF(BI27&lt;&gt;"",BJ27*3+BK27*1,"")</f>
        <v/>
      </c>
      <c r="BQ27" s="23" t="str">
        <f ca="1">IF(BI27&lt;&gt;"",VLOOKUP(BI27,B4:H40,7,FALSE),"")</f>
        <v/>
      </c>
      <c r="BR27" s="23" t="str">
        <f ca="1">IF(BI27&lt;&gt;"",VLOOKUP(BI27,B4:H40,5,FALSE),"")</f>
        <v/>
      </c>
      <c r="BS27" s="23" t="str">
        <f ca="1">IF(BI27&lt;&gt;"",VLOOKUP(BI27,B4:J40,9,FALSE),"")</f>
        <v/>
      </c>
      <c r="BT27" s="23" t="str">
        <f t="shared" ref="BT27:BT28" ca="1" si="43">BP27</f>
        <v/>
      </c>
      <c r="BU27" s="23" t="str">
        <f ca="1">IF(BI27&lt;&gt;"",RANK(BT27,BT25:BT29),"")</f>
        <v/>
      </c>
      <c r="BV27" s="23" t="str">
        <f ca="1">IF(BI27&lt;&gt;"",SUMPRODUCT((BT25:BT29=BT27)*(BO25:BO29&gt;BO27)),"")</f>
        <v/>
      </c>
      <c r="BW27" s="23" t="str">
        <f ca="1">IF(BI27&lt;&gt;"",SUMPRODUCT((BT25:BT29=BT27)*(BO25:BO29=BO27)*(BM25:BM29&gt;BM27)),"")</f>
        <v/>
      </c>
      <c r="BX27" s="23" t="str">
        <f ca="1">IF(BI27&lt;&gt;"",SUMPRODUCT((BT25:BT29=BT27)*(BO25:BO29=BO27)*(BM25:BM29=BM27)*(BQ25:BQ29&gt;BQ27)),"")</f>
        <v/>
      </c>
      <c r="BY27" s="23" t="str">
        <f ca="1">IF(BI27&lt;&gt;"",SUMPRODUCT((BT25:BT29=BT27)*(BO25:BO29=BO27)*(BM25:BM29=BM27)*(BQ25:BQ29=BQ27)*(BR25:BR29&gt;BR27)),"")</f>
        <v/>
      </c>
      <c r="BZ27" s="23" t="str">
        <f ca="1">IF(BI27&lt;&gt;"",SUMPRODUCT((BT25:BT29=BT27)*(BO25:BO29=BO27)*(BM25:BM29=BM27)*(BQ25:BQ29=BQ27)*(BR25:BR29=BR27)*(BS25:BS29&gt;BS27)),"")</f>
        <v/>
      </c>
      <c r="CA27" s="23" t="str">
        <f ca="1">IF(BI27&lt;&gt;"",SUM(BU27:BZ27)+2,"")</f>
        <v/>
      </c>
      <c r="CB27" s="23" t="str">
        <f ca="1">IF(BI27&lt;&gt;"",INDEX(BI27:BI29,MATCH(3,CA27:CA29,0),0),"")</f>
        <v/>
      </c>
      <c r="CW27" s="23" t="str">
        <f ca="1">IF(CB27&lt;&gt;"",CB27,IF(BH27&lt;&gt;"",BH27,IF(AN27&lt;&gt;"",AN27,N27)))</f>
        <v>Austria</v>
      </c>
      <c r="CX27" s="23">
        <v>3</v>
      </c>
      <c r="CY27" s="23">
        <v>25</v>
      </c>
      <c r="CZ27" s="23" t="str">
        <f>Tournament!G31</f>
        <v>Switzerland</v>
      </c>
      <c r="DA27" s="23">
        <f ca="1">IF(AND(Tournament!H31&lt;&gt;"",Tournament!I31&lt;&gt;""),Tournament!H31,0)</f>
        <v>0</v>
      </c>
      <c r="DB27" s="23">
        <f ca="1">IF(AND(Tournament!I31&lt;&gt;"",Tournament!H31&lt;&gt;""),Tournament!I31,0)</f>
        <v>0</v>
      </c>
      <c r="DC27" s="23" t="str">
        <f>Tournament!J31</f>
        <v>Germany</v>
      </c>
      <c r="DD27" s="23" t="str">
        <f ca="1">IF(AND(Tournament!H31&lt;&gt;"",Tournament!I31&lt;&gt;""),IF(DA27&gt;DB27,"W",IF(DA27=DB27,"D","L")),"")</f>
        <v/>
      </c>
      <c r="DE27" s="23" t="str">
        <f t="shared" ca="1" si="0"/>
        <v/>
      </c>
      <c r="DH27" s="269" t="s">
        <v>4</v>
      </c>
      <c r="DI27" s="270" t="s">
        <v>13</v>
      </c>
      <c r="DJ27" s="270" t="s">
        <v>109</v>
      </c>
      <c r="DK27" s="270" t="s">
        <v>114</v>
      </c>
      <c r="DL27" s="269" t="s">
        <v>114</v>
      </c>
      <c r="DM27" s="269" t="s">
        <v>109</v>
      </c>
      <c r="DN27" s="269" t="s">
        <v>13</v>
      </c>
      <c r="DO27" s="269" t="s">
        <v>4</v>
      </c>
      <c r="DP27" s="270"/>
      <c r="DQ27" s="271">
        <f ca="1">IFERROR(MATCH(DQ12,DH27:DK27,0),0)</f>
        <v>2</v>
      </c>
      <c r="DR27" s="271">
        <f ca="1">IFERROR(MATCH(DR12,DH27:DK27,0),0)</f>
        <v>1</v>
      </c>
      <c r="DS27" s="271">
        <f ca="1">IFERROR(MATCH(DS12,DH27:DK27,0),0)</f>
        <v>3</v>
      </c>
      <c r="DT27" s="271">
        <f ca="1">IFERROR(MATCH(DT12,DH27:DK27,0),0)</f>
        <v>4</v>
      </c>
      <c r="DU27" s="271">
        <f t="shared" ca="1" si="22"/>
        <v>10</v>
      </c>
      <c r="DV27" s="270"/>
      <c r="DW27" s="270"/>
      <c r="DX27" s="270"/>
      <c r="EE27" s="23">
        <v>1</v>
      </c>
      <c r="EF27" s="260" t="s">
        <v>114</v>
      </c>
      <c r="EG27" s="261"/>
      <c r="EH27" s="262" t="str">
        <f>Setup!C21</f>
        <v>Portugal</v>
      </c>
      <c r="EI27" s="263" t="s">
        <v>115</v>
      </c>
      <c r="EJ27" s="262" t="str">
        <f ca="1">"'Countries and Timezone'!"&amp;VLOOKUP(Tournament!P32,EH7:EI38,2,FALSE)</f>
        <v>'Countries and Timezone'!B27</v>
      </c>
      <c r="EL27" s="264">
        <v>45464.625</v>
      </c>
      <c r="EM27" s="265">
        <f>EL27+EK7/24</f>
        <v>45464.625</v>
      </c>
      <c r="EO27" s="267">
        <v>-2.5</v>
      </c>
      <c r="EP27" s="23">
        <v>-5</v>
      </c>
      <c r="EQ27" s="23" t="s">
        <v>545</v>
      </c>
      <c r="ER27" s="23" t="s">
        <v>544</v>
      </c>
    </row>
    <row r="28" spans="1:148" x14ac:dyDescent="0.25">
      <c r="A28" s="23">
        <f ca="1">VLOOKUP(B28,CW25:CX29,2,FALSE)</f>
        <v>1</v>
      </c>
      <c r="B28" s="23" t="str">
        <f>'Dummy Table'!EH22</f>
        <v>France</v>
      </c>
      <c r="C28" s="23">
        <f ca="1">SUMPRODUCT((CZ3:CZ42=B28)*(DD3:DD42="W"))+SUMPRODUCT((DC3:DC42=B28)*(DE3:DE42="W"))</f>
        <v>0</v>
      </c>
      <c r="D28" s="23">
        <f ca="1">SUMPRODUCT((CZ3:CZ42=B28)*(DD3:DD42="D"))+SUMPRODUCT((DC3:DC42=B28)*(DE3:DE42="D"))</f>
        <v>0</v>
      </c>
      <c r="E28" s="23">
        <f ca="1">SUMPRODUCT((CZ3:CZ42=B28)*(DD3:DD42="L"))+SUMPRODUCT((DC3:DC42=B28)*(DE3:DE42="L"))</f>
        <v>0</v>
      </c>
      <c r="F28" s="23">
        <f ca="1">SUMIF(CZ3:CZ60,B28,DA3:DA60)+SUMIF(DC3:DC60,B28,DB3:DB60)</f>
        <v>0</v>
      </c>
      <c r="G28" s="23">
        <f ca="1">SUMIF(DC3:DC60,B28,DA3:DA60)+SUMIF(CZ3:CZ60,B28,DB3:DB60)</f>
        <v>0</v>
      </c>
      <c r="H28" s="23">
        <f t="shared" ca="1" si="36"/>
        <v>1000</v>
      </c>
      <c r="I28" s="23">
        <f t="shared" ca="1" si="37"/>
        <v>0</v>
      </c>
      <c r="J28" s="23">
        <v>52</v>
      </c>
      <c r="K28" s="23">
        <f ca="1">IF(COUNTIF(I25:I29,4)&lt;&gt;4,RANK(I28,I25:I29),I68)</f>
        <v>1</v>
      </c>
      <c r="M28" s="23">
        <f ca="1">SUMPRODUCT((K25:K28=K28)*(J25:J28&lt;J28))+K28</f>
        <v>4</v>
      </c>
      <c r="N28" s="23" t="str">
        <f ca="1">INDEX(B25:B29,MATCH(4,M25:M29,0),0)</f>
        <v>France</v>
      </c>
      <c r="O28" s="23">
        <f ca="1">INDEX(K25:K29,MATCH(N28,B25:B29,0),0)</f>
        <v>1</v>
      </c>
      <c r="P28" s="23" t="str">
        <f ca="1">IF(AND(P27&lt;&gt;"",O28=1),N28,"")</f>
        <v>France</v>
      </c>
      <c r="Q28" s="23" t="str">
        <f ca="1">IF(AND(Q27&lt;&gt;"",O29=2),N29,"")</f>
        <v/>
      </c>
      <c r="U28" s="23" t="str">
        <f t="shared" ca="1" si="40"/>
        <v>France</v>
      </c>
      <c r="V28" s="23">
        <f ca="1">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23">
        <f ca="1">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23">
        <f ca="1">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23">
        <f ca="1">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23">
        <f ca="1">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23">
        <f ca="1">Y28-Z28+1000</f>
        <v>1000</v>
      </c>
      <c r="AB28" s="23">
        <f t="shared" ca="1" si="38"/>
        <v>0</v>
      </c>
      <c r="AC28" s="23">
        <f ca="1">IF(U28&lt;&gt;"",VLOOKUP(U28,B4:H40,7,FALSE),"")</f>
        <v>1000</v>
      </c>
      <c r="AD28" s="23">
        <f ca="1">IF(U28&lt;&gt;"",VLOOKUP(U28,B4:H40,5,FALSE),"")</f>
        <v>0</v>
      </c>
      <c r="AE28" s="23">
        <f ca="1">IF(U28&lt;&gt;"",VLOOKUP(U28,B4:J40,9,FALSE),"")</f>
        <v>52</v>
      </c>
      <c r="AF28" s="23">
        <f t="shared" ca="1" si="39"/>
        <v>0</v>
      </c>
      <c r="AG28" s="23">
        <f ca="1">IF(U28&lt;&gt;"",RANK(AF28,AF25:AF29),"")</f>
        <v>1</v>
      </c>
      <c r="AH28" s="23">
        <f ca="1">IF(U28&lt;&gt;"",SUMPRODUCT((AF25:AF29=AF28)*(AA25:AA29&gt;AA28)),"")</f>
        <v>0</v>
      </c>
      <c r="AI28" s="23">
        <f ca="1">IF(U28&lt;&gt;"",SUMPRODUCT((AF25:AF29=AF28)*(AA25:AA29=AA28)*(Y25:Y29&gt;Y28)),"")</f>
        <v>0</v>
      </c>
      <c r="AJ28" s="23">
        <f ca="1">IF(U28&lt;&gt;"",SUMPRODUCT((AF25:AF29=AF28)*(AA25:AA29=AA28)*(Y25:Y29=Y28)*(AC25:AC29&gt;AC28)),"")</f>
        <v>0</v>
      </c>
      <c r="AK28" s="23">
        <f ca="1">IF(U28&lt;&gt;"",SUMPRODUCT((AF25:AF29=AF28)*(AA25:AA29=AA28)*(Y25:Y29=Y28)*(AC25:AC29=AC28)*(AD25:AD29&gt;AD28)),"")</f>
        <v>0</v>
      </c>
      <c r="AL28" s="23">
        <f ca="1">IF(U28&lt;&gt;"",SUMPRODUCT((AF25:AF29=AF28)*(AA25:AA29=AA28)*(Y25:Y29=Y28)*(AC25:AC29=AC28)*(AD25:AD29=AD28)*(AE25:AE29&gt;AE28)),"")</f>
        <v>0</v>
      </c>
      <c r="AM28" s="23">
        <f ca="1">IF(U28&lt;&gt;"",IF(AM68&lt;&gt;"",IF(T64=3,AM68,AM68+T64),SUM(AG28:AL28)),"")</f>
        <v>1</v>
      </c>
      <c r="AN28" s="23" t="str">
        <f ca="1">IF(U28&lt;&gt;"",INDEX(U25:U29,MATCH(4,AM25:AM29,0),0),"")</f>
        <v>Poland</v>
      </c>
      <c r="AO28" s="23" t="str">
        <f ca="1">IF(Q27&lt;&gt;"",Q27,"")</f>
        <v/>
      </c>
      <c r="AP28" s="23" t="str">
        <f ca="1">IF(AO28&lt;&gt;"",SUMPRODUCT((CZ3:CZ42=AO28)*(DC3:DC42=AO29)*(DD3:DD42="W"))+SUMPRODUCT((CZ3:CZ42=AO28)*(DC3:DC42=AO26)*(DD3:DD42="W"))+SUMPRODUCT((CZ3:CZ42=AO28)*(DC3:DC42=AO27)*(DD3:DD42="W"))+SUMPRODUCT((CZ3:CZ42=AO29)*(DC3:DC42=AO28)*(DE3:DE42="W"))+SUMPRODUCT((CZ3:CZ42=AO26)*(DC3:DC42=AO28)*(DE3:DE42="W"))+SUMPRODUCT((CZ3:CZ42=AO27)*(DC3:DC42=AO28)*(DE3:DE42="W")),"")</f>
        <v/>
      </c>
      <c r="AQ28" s="23" t="str">
        <f ca="1">IF(AO28&lt;&gt;"",SUMPRODUCT((CZ3:CZ42=AO28)*(DC3:DC42=AO29)*(DD3:DD42="D"))+SUMPRODUCT((CZ3:CZ42=AO28)*(DC3:DC42=AO26)*(DD3:DD42="D"))+SUMPRODUCT((CZ3:CZ42=AO28)*(DC3:DC42=AO27)*(DD3:DD42="D"))+SUMPRODUCT((CZ3:CZ42=AO29)*(DC3:DC42=AO28)*(DD3:DD42="D"))+SUMPRODUCT((CZ3:CZ42=AO26)*(DC3:DC42=AO28)*(DD3:DD42="D"))+SUMPRODUCT((CZ3:CZ42=AO27)*(DC3:DC42=AO28)*(DD3:DD42="D")),"")</f>
        <v/>
      </c>
      <c r="AR28" s="23" t="str">
        <f ca="1">IF(AO28&lt;&gt;"",SUMPRODUCT((CZ3:CZ42=AO28)*(DC3:DC42=AO29)*(DD3:DD42="L"))+SUMPRODUCT((CZ3:CZ42=AO28)*(DC3:DC42=AO26)*(DD3:DD42="L"))+SUMPRODUCT((CZ3:CZ42=AO28)*(DC3:DC42=AO27)*(DD3:DD42="L"))+SUMPRODUCT((CZ3:CZ42=AO29)*(DC3:DC42=AO28)*(DE3:DE42="L"))+SUMPRODUCT((CZ3:CZ42=AO26)*(DC3:DC42=AO28)*(DE3:DE42="L"))+SUMPRODUCT((CZ3:CZ42=AO27)*(DC3:DC42=AO28)*(DE3:DE42="L")),"")</f>
        <v/>
      </c>
      <c r="AS28" s="23">
        <f ca="1">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23">
        <f ca="1">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23">
        <f ca="1">AS28-AT28+1000</f>
        <v>1000</v>
      </c>
      <c r="AV28" s="23" t="str">
        <f t="shared" ca="1" si="41"/>
        <v/>
      </c>
      <c r="AW28" s="23" t="str">
        <f ca="1">IF(AO28&lt;&gt;"",VLOOKUP(AO28,B4:H40,7,FALSE),"")</f>
        <v/>
      </c>
      <c r="AX28" s="23" t="str">
        <f ca="1">IF(AO28&lt;&gt;"",VLOOKUP(AO28,B4:H40,5,FALSE),"")</f>
        <v/>
      </c>
      <c r="AY28" s="23" t="str">
        <f ca="1">IF(AO28&lt;&gt;"",VLOOKUP(AO28,B4:J40,9,FALSE),"")</f>
        <v/>
      </c>
      <c r="AZ28" s="23" t="str">
        <f t="shared" ca="1" si="42"/>
        <v/>
      </c>
      <c r="BA28" s="23" t="str">
        <f ca="1">IF(AO28&lt;&gt;"",RANK(AZ28,AZ25:AZ29),"")</f>
        <v/>
      </c>
      <c r="BB28" s="23" t="str">
        <f ca="1">IF(AO28&lt;&gt;"",SUMPRODUCT((AZ25:AZ29=AZ28)*(AU25:AU29&gt;AU28)),"")</f>
        <v/>
      </c>
      <c r="BC28" s="23" t="str">
        <f ca="1">IF(AO28&lt;&gt;"",SUMPRODUCT((AZ25:AZ29=AZ28)*(AU25:AU29=AU28)*(AS25:AS29&gt;AS28)),"")</f>
        <v/>
      </c>
      <c r="BD28" s="23" t="str">
        <f ca="1">IF(AO28&lt;&gt;"",SUMPRODUCT((AZ25:AZ29=AZ28)*(AU25:AU29=AU28)*(AS25:AS29=AS28)*(AW25:AW29&gt;AW28)),"")</f>
        <v/>
      </c>
      <c r="BE28" s="23" t="str">
        <f ca="1">IF(AO28&lt;&gt;"",SUMPRODUCT((AZ25:AZ29=AZ28)*(AU25:AU29=AU28)*(AS25:AS29=AS28)*(AW25:AW29=AW28)*(AX25:AX29&gt;AX28)),"")</f>
        <v/>
      </c>
      <c r="BF28" s="23" t="str">
        <f ca="1">IF(AO28&lt;&gt;"",SUMPRODUCT((AZ25:AZ29=AZ28)*(AU25:AU29=AU28)*(AS25:AS29=AS28)*(AW25:AW29=AW28)*(AX25:AX29=AX28)*(AY25:AY29&gt;AY28)),"")</f>
        <v/>
      </c>
      <c r="BG28" s="23" t="str">
        <f ca="1">IF(AO28&lt;&gt;"",IF(BG68&lt;&gt;"",IF(AN64=3,BG68,BG68+AN64),SUM(BA28:BF28)+1),"")</f>
        <v/>
      </c>
      <c r="BH28" s="23" t="str">
        <f ca="1">IF(AO28&lt;&gt;"",INDEX(AO26:AO29,MATCH(4,BG26:BG29,0),0),"")</f>
        <v/>
      </c>
      <c r="BI28" s="23" t="str">
        <f ca="1">IF(R26&lt;&gt;"",R26,"")</f>
        <v/>
      </c>
      <c r="BJ28" s="23">
        <f ca="1">SUMPRODUCT((CZ3:CZ42=BI28)*(DC3:DC42=BI29)*(DD3:DD42="W"))+SUMPRODUCT((CZ3:CZ42=BI28)*(DC3:DC42=BI30)*(DD3:DD42="W"))+SUMPRODUCT((CZ3:CZ42=BI28)*(DC3:DC42=BI27)*(DD3:DD42="W"))+SUMPRODUCT((CZ3:CZ42=BI29)*(DC3:DC42=BI28)*(DE3:DE42="W"))+SUMPRODUCT((CZ3:CZ42=BI30)*(DC3:DC42=BI28)*(DE3:DE42="W"))+SUMPRODUCT((CZ3:CZ42=BI27)*(DC3:DC42=BI28)*(DE3:DE42="W"))</f>
        <v>0</v>
      </c>
      <c r="BK28" s="23">
        <f ca="1">SUMPRODUCT((CZ3:CZ42=BI28)*(DC3:DC42=BI29)*(DD3:DD42="D"))+SUMPRODUCT((CZ3:CZ42=BI28)*(DC3:DC42=BI30)*(DD3:DD42="D"))+SUMPRODUCT((CZ3:CZ42=BI28)*(DC3:DC42=BI27)*(DD3:DD42="D"))+SUMPRODUCT((CZ3:CZ42=BI29)*(DC3:DC42=BI28)*(DD3:DD42="D"))+SUMPRODUCT((CZ3:CZ42=BI30)*(DC3:DC42=BI28)*(DD3:DD42="D"))+SUMPRODUCT((CZ3:CZ42=BI27)*(DC3:DC42=BI28)*(DD3:DD42="D"))</f>
        <v>0</v>
      </c>
      <c r="BL28" s="23">
        <f ca="1">SUMPRODUCT((CZ3:CZ42=BI28)*(DC3:DC42=BI29)*(DD3:DD42="L"))+SUMPRODUCT((CZ3:CZ42=BI28)*(DC3:DC42=BI30)*(DD3:DD42="L"))+SUMPRODUCT((CZ3:CZ42=BI28)*(DC3:DC42=BI27)*(DD3:DD42="L"))+SUMPRODUCT((CZ3:CZ42=BI29)*(DC3:DC42=BI28)*(DE3:DE42="L"))+SUMPRODUCT((CZ3:CZ42=BI30)*(DC3:DC42=BI28)*(DE3:DE42="L"))+SUMPRODUCT((CZ3:CZ42=BI27)*(DC3:DC42=BI28)*(DE3:DE42="L"))</f>
        <v>0</v>
      </c>
      <c r="BM28" s="23">
        <f ca="1">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23">
        <f ca="1">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23">
        <f ca="1">BM28-BN28+1000</f>
        <v>1000</v>
      </c>
      <c r="BP28" s="23" t="str">
        <f t="shared" ref="BP28" ca="1" si="44">IF(BI28&lt;&gt;"",BJ28*3+BK28*1,"")</f>
        <v/>
      </c>
      <c r="BQ28" s="23" t="str">
        <f ca="1">IF(BI28&lt;&gt;"",VLOOKUP(BI28,B4:H40,7,FALSE),"")</f>
        <v/>
      </c>
      <c r="BR28" s="23" t="str">
        <f ca="1">IF(BI28&lt;&gt;"",VLOOKUP(BI28,B4:H40,5,FALSE),"")</f>
        <v/>
      </c>
      <c r="BS28" s="23" t="str">
        <f ca="1">IF(BI28&lt;&gt;"",VLOOKUP(BI28,B4:J40,9,FALSE),"")</f>
        <v/>
      </c>
      <c r="BT28" s="23" t="str">
        <f t="shared" ca="1" si="43"/>
        <v/>
      </c>
      <c r="BU28" s="23" t="str">
        <f ca="1">IF(BI28&lt;&gt;"",RANK(BT28,BT25:BT29),"")</f>
        <v/>
      </c>
      <c r="BV28" s="23" t="str">
        <f ca="1">IF(BI28&lt;&gt;"",SUMPRODUCT((BT25:BT29=BT28)*(BO25:BO29&gt;BO28)),"")</f>
        <v/>
      </c>
      <c r="BW28" s="23" t="str">
        <f ca="1">IF(BI28&lt;&gt;"",SUMPRODUCT((BT25:BT29=BT28)*(BO25:BO29=BO28)*(BM25:BM29&gt;BM28)),"")</f>
        <v/>
      </c>
      <c r="BX28" s="23" t="str">
        <f ca="1">IF(BI28&lt;&gt;"",SUMPRODUCT((BT25:BT29=BT28)*(BO25:BO29=BO28)*(BM25:BM29=BM28)*(BQ25:BQ29&gt;BQ28)),"")</f>
        <v/>
      </c>
      <c r="BY28" s="23" t="str">
        <f ca="1">IF(BI28&lt;&gt;"",SUMPRODUCT((BT25:BT29=BT28)*(BO25:BO29=BO28)*(BM25:BM29=BM28)*(BQ25:BQ29=BQ28)*(BR25:BR29&gt;BR28)),"")</f>
        <v/>
      </c>
      <c r="BZ28" s="23" t="str">
        <f ca="1">IF(BI28&lt;&gt;"",SUMPRODUCT((BT25:BT29=BT28)*(BO25:BO29=BO28)*(BM25:BM29=BM28)*(BQ25:BQ29=BQ28)*(BR25:BR29=BR28)*(BS25:BS29&gt;BS28)),"")</f>
        <v/>
      </c>
      <c r="CA28" s="23" t="str">
        <f ca="1">IF(BI28&lt;&gt;"",SUM(BU28:BZ28)+2,"")</f>
        <v/>
      </c>
      <c r="CB28" s="23" t="str">
        <f ca="1">IF(BI28&lt;&gt;"",INDEX(BI27:BI29,MATCH(4,CA27:CA29,0),0),"")</f>
        <v/>
      </c>
      <c r="CC28" s="23" t="str">
        <f>IF(S25&lt;&gt;"",S25,"")</f>
        <v/>
      </c>
      <c r="CD28" s="23">
        <f ca="1">SUMPRODUCT((CZ3:CZ42=CC28)*(DC3:DC42=CC29)*(DD3:DD42="W"))+SUMPRODUCT((CZ3:CZ42=CC28)*(DC3:DC42=CC30)*(DD3:DD42="W"))+SUMPRODUCT((CZ3:CZ42=CC28)*(DC3:DC42=CC31)*(DD3:DD42="W"))+SUMPRODUCT((CZ3:CZ42=CC29)*(DC3:DC42=CC28)*(DE3:DE42="W"))+SUMPRODUCT((CZ3:CZ42=CC30)*(DC3:DC42=CC28)*(DE3:DE42="W"))+SUMPRODUCT((CZ3:CZ42=CC31)*(DC3:DC42=CC28)*(DE3:DE42="W"))</f>
        <v>0</v>
      </c>
      <c r="CE28" s="23">
        <f ca="1">SUMPRODUCT((CZ3:CZ42=CC28)*(DC3:DC42=CC29)*(DD3:DD42="D"))+SUMPRODUCT((CZ3:CZ42=CC28)*(DC3:DC42=CC30)*(DD3:DD42="D"))+SUMPRODUCT((CZ3:CZ42=CC28)*(DC3:DC42=CC31)*(DD3:DD42="D"))+SUMPRODUCT((CZ3:CZ42=CC29)*(DC3:DC42=CC28)*(DD3:DD42="D"))+SUMPRODUCT((CZ3:CZ42=CC30)*(DC3:DC42=CC28)*(DD3:DD42="D"))+SUMPRODUCT((CZ3:CZ42=CC31)*(DC3:DC42=CC28)*(DD3:DD42="D"))</f>
        <v>0</v>
      </c>
      <c r="CF28" s="23">
        <f ca="1">SUMPRODUCT((CZ3:CZ42=CC28)*(DC3:DC42=CC29)*(DD3:DD42="L"))+SUMPRODUCT((CZ3:CZ42=CC28)*(DC3:DC42=CC30)*(DD3:DD42="L"))+SUMPRODUCT((CZ3:CZ42=CC28)*(DC3:DC42=CC31)*(DD3:DD42="L"))+SUMPRODUCT((CZ3:CZ42=CC29)*(DC3:DC42=CC28)*(DE3:DE42="L"))+SUMPRODUCT((CZ3:CZ42=CC30)*(DC3:DC42=CC28)*(DE3:DE42="L"))+SUMPRODUCT((CZ3:CZ42=CC31)*(DC3:DC42=CC28)*(DE3:DE42="L"))</f>
        <v>0</v>
      </c>
      <c r="CG28" s="23">
        <f ca="1">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23">
        <f ca="1">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23">
        <f ca="1">CG28-CH28+1000</f>
        <v>1000</v>
      </c>
      <c r="CJ28" s="23" t="str">
        <f t="shared" ref="CJ28" si="45">IF(CC28&lt;&gt;"",CD28*3+CE28*1,"")</f>
        <v/>
      </c>
      <c r="CK28" s="23" t="str">
        <f>IF(CC28&lt;&gt;"",VLOOKUP(CC28,B4:H40,7,FALSE),"")</f>
        <v/>
      </c>
      <c r="CL28" s="23" t="str">
        <f>IF(CC28&lt;&gt;"",VLOOKUP(CC28,B4:H40,5,FALSE),"")</f>
        <v/>
      </c>
      <c r="CM28" s="23" t="str">
        <f>IF(CC28&lt;&gt;"",VLOOKUP(CC28,B4:J40,9,FALSE),"")</f>
        <v/>
      </c>
      <c r="CN28" s="23" t="str">
        <f t="shared" ref="CN28" si="46">CJ28</f>
        <v/>
      </c>
      <c r="CO28" s="23" t="str">
        <f>IF(CC28&lt;&gt;"",RANK(CN28,AF25:AF29),"")</f>
        <v/>
      </c>
      <c r="CP28" s="23" t="str">
        <f>IF(CC28&lt;&gt;"",SUMPRODUCT((CN25:CN29=CN28)*(CI25:CI29&gt;CI28)),"")</f>
        <v/>
      </c>
      <c r="CQ28" s="23" t="str">
        <f>IF(CC28&lt;&gt;"",SUMPRODUCT((CN25:CN29=CN28)*(CI25:CI29=CI28)*(CG25:CG29&gt;CG28)),"")</f>
        <v/>
      </c>
      <c r="CR28" s="23" t="str">
        <f>IF(CC28&lt;&gt;"",SUMPRODUCT((CN25:CN29=CN28)*(CI25:CI29=CI28)*(CG25:CG29=CG28)*(CK25:CK29&gt;CK28)),"")</f>
        <v/>
      </c>
      <c r="CS28" s="23" t="str">
        <f>IF(CC28&lt;&gt;"",SUMPRODUCT((CN25:CN29=CN28)*(CI25:CI29=CI28)*(CG25:CG29=CG28)*(CK25:CK29=CK28)*(CL25:CL29&gt;CL28)),"")</f>
        <v/>
      </c>
      <c r="CT28" s="23" t="str">
        <f>IF(CC28&lt;&gt;"",SUMPRODUCT((CN25:CN29=CN28)*(CI25:CI29=CI28)*(CG25:CG29=CG28)*(CK25:CK29=CK28)*(CL25:CL29=CL28)*(CM25:CM29&gt;CM28)),"")</f>
        <v/>
      </c>
      <c r="CU28" s="23" t="str">
        <f>IF(CC28&lt;&gt;"",SUM(CO28:CT28)+3,"")</f>
        <v/>
      </c>
      <c r="CV28" s="23" t="str">
        <f>IF(CC28&lt;&gt;"",IF(CU28=4,CC28,CC29),"")</f>
        <v/>
      </c>
      <c r="CW28" s="23" t="str">
        <f ca="1">IF(CV28&lt;&gt;"",CV28,IF(CB28&lt;&gt;"",CB28,IF(BH28&lt;&gt;"",BH28,IF(AN28&lt;&gt;"",AN28,N28))))</f>
        <v>Poland</v>
      </c>
      <c r="CX28" s="23">
        <v>4</v>
      </c>
      <c r="CY28" s="23">
        <v>26</v>
      </c>
      <c r="CZ28" s="23" t="str">
        <f>Tournament!G32</f>
        <v>Scotland</v>
      </c>
      <c r="DA28" s="23">
        <f ca="1">IF(AND(Tournament!H32&lt;&gt;"",Tournament!I32&lt;&gt;""),Tournament!H32,0)</f>
        <v>0</v>
      </c>
      <c r="DB28" s="23">
        <f ca="1">IF(AND(Tournament!I32&lt;&gt;"",Tournament!H32&lt;&gt;""),Tournament!I32,0)</f>
        <v>0</v>
      </c>
      <c r="DC28" s="23" t="str">
        <f>Tournament!J32</f>
        <v>Hungary</v>
      </c>
      <c r="DD28" s="23" t="str">
        <f ca="1">IF(AND(Tournament!H32&lt;&gt;"",Tournament!I32&lt;&gt;""),IF(DA28&gt;DB28,"W",IF(DA28=DB28,"D","L")),"")</f>
        <v/>
      </c>
      <c r="DE28" s="23" t="str">
        <f t="shared" ca="1" si="0"/>
        <v/>
      </c>
      <c r="DH28" s="23" t="s">
        <v>13</v>
      </c>
      <c r="EE28" s="23">
        <v>2</v>
      </c>
      <c r="EF28" s="260" t="s">
        <v>114</v>
      </c>
      <c r="EG28" s="261"/>
      <c r="EH28" s="262" t="str">
        <f>Setup!C13</f>
        <v>Czechia</v>
      </c>
      <c r="EI28" s="263" t="s">
        <v>116</v>
      </c>
      <c r="EJ28" s="262" t="str">
        <f ca="1">"'Countries and Timezone'!"&amp;VLOOKUP(Tournament!P33,EH7:EI38,2,FALSE)</f>
        <v>'Countries and Timezone'!B29</v>
      </c>
      <c r="EL28" s="264">
        <v>45465.875</v>
      </c>
      <c r="EM28" s="265">
        <f>EL28+EK7/24</f>
        <v>45465.875</v>
      </c>
      <c r="EO28" s="267">
        <v>-2</v>
      </c>
      <c r="EP28" s="23">
        <v>-5</v>
      </c>
      <c r="EQ28" s="23" t="s">
        <v>547</v>
      </c>
      <c r="ER28" s="23" t="s">
        <v>546</v>
      </c>
    </row>
    <row r="29" spans="1:148" x14ac:dyDescent="0.25">
      <c r="CV29" s="23" t="str">
        <f>IF(CC28&lt;&gt;"",IF(CC28=CV28,CC29,CC28),"")</f>
        <v/>
      </c>
      <c r="CY29" s="23">
        <v>27</v>
      </c>
      <c r="CZ29" s="23" t="str">
        <f>Tournament!G33</f>
        <v>Albania</v>
      </c>
      <c r="DA29" s="23">
        <f ca="1">IF(AND(Tournament!H33&lt;&gt;"",Tournament!I33&lt;&gt;""),Tournament!H33,0)</f>
        <v>0</v>
      </c>
      <c r="DB29" s="23">
        <f ca="1">IF(AND(Tournament!I33&lt;&gt;"",Tournament!H33&lt;&gt;""),Tournament!I33,0)</f>
        <v>0</v>
      </c>
      <c r="DC29" s="23" t="str">
        <f>Tournament!J33</f>
        <v>Spain</v>
      </c>
      <c r="DD29" s="23" t="str">
        <f ca="1">IF(AND(Tournament!H33&lt;&gt;"",Tournament!I33&lt;&gt;""),IF(DA29&gt;DB29,"W",IF(DA29=DB29,"D","L")),"")</f>
        <v/>
      </c>
      <c r="DE29" s="23" t="str">
        <f t="shared" ca="1" si="0"/>
        <v/>
      </c>
      <c r="EE29" s="23">
        <v>3</v>
      </c>
      <c r="EF29" s="260" t="s">
        <v>114</v>
      </c>
      <c r="EG29" s="261"/>
      <c r="EH29" s="262" t="str">
        <f>Setup!C29</f>
        <v>Türkiye</v>
      </c>
      <c r="EI29" s="263" t="s">
        <v>117</v>
      </c>
      <c r="EJ29" s="262" t="str">
        <f ca="1">"'Countries and Timezone'!"&amp;VLOOKUP(Tournament!P34,EH7:EI38,2,FALSE)</f>
        <v>'Countries and Timezone'!B28</v>
      </c>
      <c r="EL29" s="264">
        <v>45465.75</v>
      </c>
      <c r="EM29" s="265">
        <f>EL29+EK7/24</f>
        <v>45465.75</v>
      </c>
      <c r="EO29" s="267">
        <v>-1.5</v>
      </c>
      <c r="EP29" s="23">
        <v>-5</v>
      </c>
      <c r="EQ29" s="23" t="s">
        <v>549</v>
      </c>
      <c r="ER29" s="23" t="s">
        <v>548</v>
      </c>
    </row>
    <row r="30" spans="1:148" x14ac:dyDescent="0.25">
      <c r="CC30" s="23" t="str">
        <f>IF(BN29&lt;&gt;"",BN29,"")</f>
        <v/>
      </c>
      <c r="CY30" s="23">
        <v>28</v>
      </c>
      <c r="CZ30" s="23" t="str">
        <f>Tournament!G34</f>
        <v>Croatia</v>
      </c>
      <c r="DA30" s="23">
        <f ca="1">IF(AND(Tournament!H34&lt;&gt;"",Tournament!I34&lt;&gt;""),Tournament!H34,0)</f>
        <v>0</v>
      </c>
      <c r="DB30" s="23">
        <f ca="1">IF(AND(Tournament!I34&lt;&gt;"",Tournament!H34&lt;&gt;""),Tournament!I34,0)</f>
        <v>0</v>
      </c>
      <c r="DC30" s="23" t="str">
        <f>Tournament!J34</f>
        <v>Italy</v>
      </c>
      <c r="DD30" s="23" t="str">
        <f ca="1">IF(AND(Tournament!H34&lt;&gt;"",Tournament!I34&lt;&gt;""),IF(DA30&gt;DB30,"W",IF(DA30=DB30,"D","L")),"")</f>
        <v/>
      </c>
      <c r="DE30" s="23" t="str">
        <f t="shared" ca="1" si="0"/>
        <v/>
      </c>
      <c r="EE30" s="23">
        <v>4</v>
      </c>
      <c r="EF30" s="260" t="s">
        <v>114</v>
      </c>
      <c r="EG30" s="261"/>
      <c r="EH30" s="262" t="str">
        <f>Setup!C32</f>
        <v>Georgia</v>
      </c>
      <c r="EI30" s="263" t="s">
        <v>118</v>
      </c>
      <c r="EJ30" s="262" t="str">
        <f ca="1">"'Countries and Timezone'!"&amp;VLOOKUP(Tournament!P35,EH7:EI38,2,FALSE)</f>
        <v>'Countries and Timezone'!B30</v>
      </c>
      <c r="EL30" s="264">
        <v>45465.625</v>
      </c>
      <c r="EM30" s="265">
        <f>EL30+EK7/24</f>
        <v>45465.625</v>
      </c>
      <c r="EO30" s="267">
        <v>-1</v>
      </c>
      <c r="EP30" s="23">
        <v>-5</v>
      </c>
      <c r="EQ30" s="23" t="s">
        <v>551</v>
      </c>
      <c r="ER30" s="23" t="s">
        <v>550</v>
      </c>
    </row>
    <row r="31" spans="1:148" x14ac:dyDescent="0.25">
      <c r="A31" s="23">
        <v>2</v>
      </c>
      <c r="B31" s="23" t="str">
        <f>'Dummy Table'!EH23</f>
        <v>Belgium</v>
      </c>
      <c r="C31" s="23">
        <f ca="1">SUMPRODUCT((CZ3:CZ42=B31)*(DD3:DD42="W"))+SUMPRODUCT((DC3:DC42=B31)*(DE3:DE42="W"))</f>
        <v>0</v>
      </c>
      <c r="D31" s="23">
        <f ca="1">SUMPRODUCT((CZ3:CZ42=B31)*(DD3:DD42="D"))+SUMPRODUCT((DC3:DC42=B31)*(DE3:DE42="D"))</f>
        <v>0</v>
      </c>
      <c r="E31" s="23">
        <f ca="1">SUMPRODUCT((CZ3:CZ42=B31)*(DD3:DD42="L"))+SUMPRODUCT((DC3:DC42=B31)*(DE3:DE42="L"))</f>
        <v>0</v>
      </c>
      <c r="F31" s="23">
        <f ca="1">SUMIF(CZ3:CZ60,B31,DA3:DA60)+SUMIF(DC3:DC60,B31,DB3:DB60)</f>
        <v>0</v>
      </c>
      <c r="G31" s="23">
        <f ca="1">SUMIF(DC3:DC60,B31,DA3:DA60)+SUMIF(CZ3:CZ60,B31,DB3:DB60)</f>
        <v>0</v>
      </c>
      <c r="H31" s="23">
        <f t="shared" ref="H31:H34" ca="1" si="47">F31-G31+1000</f>
        <v>1000</v>
      </c>
      <c r="I31" s="23">
        <f t="shared" ref="I31:I34" ca="1" si="48">C31*3+D31*1</f>
        <v>0</v>
      </c>
      <c r="J31" s="23">
        <v>50</v>
      </c>
      <c r="K31" s="23">
        <f ca="1">IF(COUNTIF(I31:I35,4)&lt;&gt;4,RANK(I31,I31:I35),I71)</f>
        <v>1</v>
      </c>
      <c r="M31" s="23">
        <f ca="1">SUMPRODUCT((K31:K34=K31)*(J31:J34&lt;J31))+K31</f>
        <v>4</v>
      </c>
      <c r="N31" s="23" t="str">
        <f ca="1">INDEX(B31:B35,MATCH(1,M31:M35,0),0)</f>
        <v>Ukraine</v>
      </c>
      <c r="O31" s="23">
        <f ca="1">INDEX(K31:K35,MATCH(N31,B31:B35,0),0)</f>
        <v>1</v>
      </c>
      <c r="P31" s="23" t="str">
        <f ca="1">IF(O32=1,N31,"")</f>
        <v>Ukraine</v>
      </c>
      <c r="Q31" s="23" t="str">
        <f ca="1">IF(O33=2,N32,"")</f>
        <v/>
      </c>
      <c r="R31" s="23" t="str">
        <f ca="1">IF(O34=3,N33,"")</f>
        <v/>
      </c>
      <c r="S31" s="23" t="str">
        <f>IF(O35=4,N34,"")</f>
        <v/>
      </c>
      <c r="U31" s="23" t="str">
        <f ca="1">IF(P31&lt;&gt;"",P31,"")</f>
        <v>Ukraine</v>
      </c>
      <c r="V31" s="23">
        <f ca="1">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0</v>
      </c>
      <c r="W31" s="23">
        <f ca="1">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0</v>
      </c>
      <c r="X31" s="23">
        <f ca="1">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0</v>
      </c>
      <c r="Y31" s="23">
        <f ca="1">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0</v>
      </c>
      <c r="Z31" s="23">
        <f ca="1">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0</v>
      </c>
      <c r="AA31" s="23">
        <f ca="1">Y31-Z31+1000</f>
        <v>1000</v>
      </c>
      <c r="AB31" s="23">
        <f t="shared" ref="AB31:AB34" ca="1" si="49">IF(U31&lt;&gt;"",V31*3+W31*1,"")</f>
        <v>0</v>
      </c>
      <c r="AC31" s="23">
        <f ca="1">IF(U31&lt;&gt;"",VLOOKUP(U31,B4:H40,7,FALSE),"")</f>
        <v>1000</v>
      </c>
      <c r="AD31" s="23">
        <f ca="1">IF(U31&lt;&gt;"",VLOOKUP(U31,B4:H40,5,FALSE),"")</f>
        <v>0</v>
      </c>
      <c r="AE31" s="23">
        <f ca="1">IF(U31&lt;&gt;"",VLOOKUP(U31,B4:J40,9,FALSE),"")</f>
        <v>0</v>
      </c>
      <c r="AF31" s="23">
        <f t="shared" ref="AF31:AF34" ca="1" si="50">AB31</f>
        <v>0</v>
      </c>
      <c r="AG31" s="23">
        <f ca="1">IF(U31&lt;&gt;"",RANK(AF31,AF31:AF35),"")</f>
        <v>1</v>
      </c>
      <c r="AH31" s="23">
        <f ca="1">IF(U31&lt;&gt;"",SUMPRODUCT((AF31:AF35=AF31)*(AA31:AA35&gt;AA31)),"")</f>
        <v>0</v>
      </c>
      <c r="AI31" s="23">
        <f ca="1">IF(U31&lt;&gt;"",SUMPRODUCT((AF31:AF35=AF31)*(AA31:AA35=AA31)*(Y31:Y35&gt;Y31)),"")</f>
        <v>0</v>
      </c>
      <c r="AJ31" s="23">
        <f ca="1">IF(U31&lt;&gt;"",SUMPRODUCT((AF31:AF35=AF31)*(AA31:AA35=AA31)*(Y31:Y35=Y31)*(AC31:AC35&gt;AC31)),"")</f>
        <v>0</v>
      </c>
      <c r="AK31" s="23">
        <f ca="1">IF(U31&lt;&gt;"",SUMPRODUCT((AF31:AF35=AF31)*(AA31:AA35=AA31)*(Y31:Y35=Y31)*(AC31:AC35=AC31)*(AD31:AD35&gt;AD31)),"")</f>
        <v>0</v>
      </c>
      <c r="AL31" s="23">
        <f ca="1">IF(U31&lt;&gt;"",SUMPRODUCT((AF31:AF35=AF31)*(AA31:AA35=AA31)*(Y31:Y35=Y31)*(AC31:AC35=AC31)*(AD31:AD35=AD31)*(AE31:AE35&gt;AE31)),"")</f>
        <v>3</v>
      </c>
      <c r="AM31" s="23">
        <f ca="1">IF(U31&lt;&gt;"",IF(AM71&lt;&gt;"",IF(T70=3,AM71,AM71+T70),SUM(AG31:AL31)),"")</f>
        <v>4</v>
      </c>
      <c r="AN31" s="23" t="str">
        <f ca="1">IF(U31&lt;&gt;"",INDEX(U31:U35,MATCH(1,AM31:AM35,0),0),"")</f>
        <v>Belgium</v>
      </c>
      <c r="CW31" s="23" t="str">
        <f ca="1">IF(AN31&lt;&gt;"",AN31,N31)</f>
        <v>Belgium</v>
      </c>
      <c r="CX31" s="23">
        <v>1</v>
      </c>
      <c r="CY31" s="23">
        <v>29</v>
      </c>
      <c r="CZ31" s="23" t="str">
        <f>Tournament!G35</f>
        <v>England</v>
      </c>
      <c r="DA31" s="23">
        <f ca="1">IF(AND(Tournament!H35&lt;&gt;"",Tournament!I35&lt;&gt;""),Tournament!H35,0)</f>
        <v>0</v>
      </c>
      <c r="DB31" s="23">
        <f ca="1">IF(AND(Tournament!I35&lt;&gt;"",Tournament!H35&lt;&gt;""),Tournament!I35,0)</f>
        <v>0</v>
      </c>
      <c r="DC31" s="23" t="str">
        <f>Tournament!J35</f>
        <v>Slovenia</v>
      </c>
      <c r="DD31" s="23" t="str">
        <f ca="1">IF(AND(Tournament!H35&lt;&gt;"",Tournament!I35&lt;&gt;""),IF(DA31&gt;DB31,"W",IF(DA31=DB31,"D","L")),"")</f>
        <v/>
      </c>
      <c r="DE31" s="23" t="str">
        <f t="shared" ca="1" si="0"/>
        <v/>
      </c>
      <c r="EF31" s="260"/>
      <c r="EG31" s="261"/>
      <c r="EH31" s="262"/>
      <c r="EI31" s="263"/>
      <c r="EJ31" s="262"/>
      <c r="EL31" s="264">
        <v>45466.875</v>
      </c>
      <c r="EM31" s="265">
        <f>EL31+EK7/24</f>
        <v>45466.875</v>
      </c>
      <c r="EO31" s="267">
        <v>-0.5</v>
      </c>
      <c r="EP31" s="23">
        <v>-5</v>
      </c>
      <c r="EQ31" s="23" t="s">
        <v>553</v>
      </c>
      <c r="ER31" s="23" t="s">
        <v>552</v>
      </c>
    </row>
    <row r="32" spans="1:148" x14ac:dyDescent="0.25">
      <c r="A32" s="23">
        <v>3</v>
      </c>
      <c r="B32" s="23" t="str">
        <f>'Dummy Table'!EH24</f>
        <v>Slovakia</v>
      </c>
      <c r="C32" s="23">
        <f ca="1">SUMPRODUCT((CZ3:CZ42=B32)*(DD3:DD42="W"))+SUMPRODUCT((DC3:DC42=B32)*(DE3:DE42="W"))</f>
        <v>0</v>
      </c>
      <c r="D32" s="23">
        <f ca="1">SUMPRODUCT((CZ3:CZ42=B32)*(DD3:DD42="D"))+SUMPRODUCT((DC3:DC42=B32)*(DE3:DE42="D"))</f>
        <v>0</v>
      </c>
      <c r="E32" s="23">
        <f ca="1">SUMPRODUCT((CZ3:CZ42=B32)*(DD3:DD42="L"))+SUMPRODUCT((DC3:DC42=B32)*(DE3:DE42="L"))</f>
        <v>0</v>
      </c>
      <c r="F32" s="23">
        <f ca="1">SUMIF(CZ3:CZ60,B32,DA3:DA60)+SUMIF(DC3:DC60,B32,DB3:DB60)</f>
        <v>0</v>
      </c>
      <c r="G32" s="23">
        <f ca="1">SUMIF(DC3:DC60,B32,DA3:DA60)+SUMIF(CZ3:CZ60,B32,DB3:DB60)</f>
        <v>0</v>
      </c>
      <c r="H32" s="23">
        <f t="shared" ca="1" si="47"/>
        <v>1000</v>
      </c>
      <c r="I32" s="23">
        <f t="shared" ca="1" si="48"/>
        <v>0</v>
      </c>
      <c r="J32" s="23">
        <v>38</v>
      </c>
      <c r="K32" s="23">
        <f ca="1">IF(COUNTIF(I31:I35,4)&lt;&gt;4,RANK(I32,I31:I35),I72)</f>
        <v>1</v>
      </c>
      <c r="M32" s="23">
        <f ca="1">SUMPRODUCT((K31:K34=K32)*(J31:J34&lt;J32))+K32</f>
        <v>2</v>
      </c>
      <c r="N32" s="23" t="str">
        <f ca="1">INDEX(B31:B35,MATCH(2,M31:M35,0),0)</f>
        <v>Slovakia</v>
      </c>
      <c r="O32" s="23">
        <f ca="1">INDEX(K31:K35,MATCH(N32,B31:B35,0),0)</f>
        <v>1</v>
      </c>
      <c r="P32" s="23" t="str">
        <f ca="1">IF(P31&lt;&gt;"",N32,"")</f>
        <v>Slovakia</v>
      </c>
      <c r="Q32" s="23" t="str">
        <f ca="1">IF(Q31&lt;&gt;"",N33,"")</f>
        <v/>
      </c>
      <c r="R32" s="23" t="str">
        <f ca="1">IF(R31&lt;&gt;"",N34,"")</f>
        <v/>
      </c>
      <c r="S32" s="23" t="str">
        <f>IF(S31&lt;&gt;"",N35,"")</f>
        <v/>
      </c>
      <c r="U32" s="23" t="str">
        <f t="shared" ref="U32:U34" ca="1" si="51">IF(P32&lt;&gt;"",P32,"")</f>
        <v>Slovakia</v>
      </c>
      <c r="V32" s="23">
        <f ca="1">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0</v>
      </c>
      <c r="W32" s="23">
        <f ca="1">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0</v>
      </c>
      <c r="X32" s="23">
        <f ca="1">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0</v>
      </c>
      <c r="Y32" s="23">
        <f ca="1">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0</v>
      </c>
      <c r="Z32" s="23">
        <f ca="1">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0</v>
      </c>
      <c r="AA32" s="23">
        <f ca="1">Y32-Z32+1000</f>
        <v>1000</v>
      </c>
      <c r="AB32" s="23">
        <f t="shared" ca="1" si="49"/>
        <v>0</v>
      </c>
      <c r="AC32" s="23">
        <f ca="1">IF(U32&lt;&gt;"",VLOOKUP(U32,B4:H40,7,FALSE),"")</f>
        <v>1000</v>
      </c>
      <c r="AD32" s="23">
        <f ca="1">IF(U32&lt;&gt;"",VLOOKUP(U32,B4:H40,5,FALSE),"")</f>
        <v>0</v>
      </c>
      <c r="AE32" s="23">
        <f ca="1">IF(U32&lt;&gt;"",VLOOKUP(U32,B4:J40,9,FALSE),"")</f>
        <v>38</v>
      </c>
      <c r="AF32" s="23">
        <f t="shared" ca="1" si="50"/>
        <v>0</v>
      </c>
      <c r="AG32" s="23">
        <f ca="1">IF(U32&lt;&gt;"",RANK(AF32,AF31:AF35),"")</f>
        <v>1</v>
      </c>
      <c r="AH32" s="23">
        <f ca="1">IF(U32&lt;&gt;"",SUMPRODUCT((AF31:AF35=AF32)*(AA31:AA35&gt;AA32)),"")</f>
        <v>0</v>
      </c>
      <c r="AI32" s="23">
        <f ca="1">IF(U32&lt;&gt;"",SUMPRODUCT((AF31:AF35=AF32)*(AA31:AA35=AA32)*(Y31:Y35&gt;Y32)),"")</f>
        <v>0</v>
      </c>
      <c r="AJ32" s="23">
        <f ca="1">IF(U32&lt;&gt;"",SUMPRODUCT((AF31:AF35=AF32)*(AA31:AA35=AA32)*(Y31:Y35=Y32)*(AC31:AC35&gt;AC32)),"")</f>
        <v>0</v>
      </c>
      <c r="AK32" s="23">
        <f ca="1">IF(U32&lt;&gt;"",SUMPRODUCT((AF31:AF35=AF32)*(AA31:AA35=AA32)*(Y31:Y35=Y32)*(AC31:AC35=AC32)*(AD31:AD35&gt;AD32)),"")</f>
        <v>0</v>
      </c>
      <c r="AL32" s="23">
        <f ca="1">IF(U32&lt;&gt;"",SUMPRODUCT((AF31:AF35=AF32)*(AA31:AA35=AA32)*(Y31:Y35=Y32)*(AC31:AC35=AC32)*(AD31:AD35=AD32)*(AE31:AE35&gt;AE32)),"")</f>
        <v>2</v>
      </c>
      <c r="AM32" s="23">
        <f ca="1">IF(U32&lt;&gt;"",IF(AM72&lt;&gt;"",IF(T70=3,AM72,AM72+T70),SUM(AG32:AL32)),"")</f>
        <v>3</v>
      </c>
      <c r="AN32" s="23" t="str">
        <f ca="1">IF(U32&lt;&gt;"",INDEX(U31:U35,MATCH(2,AM31:AM35,0),0),"")</f>
        <v>Romania</v>
      </c>
      <c r="AO32" s="23" t="str">
        <f ca="1">IF(Q31&lt;&gt;"",Q31,"")</f>
        <v/>
      </c>
      <c r="AP32" s="23">
        <f ca="1">SUMPRODUCT((CZ3:CZ42=AO32)*(DC3:DC42=AO33)*(DD3:DD42="W"))+SUMPRODUCT((CZ3:CZ42=AO32)*(DC3:DC42=AO34)*(DD3:DD42="W"))+SUMPRODUCT((CZ3:CZ42=AO32)*(DC3:DC42=AO35)*(DD3:DD42="W"))+SUMPRODUCT((CZ3:CZ42=AO33)*(DC3:DC42=AO32)*(DE3:DE42="W"))+SUMPRODUCT((CZ3:CZ42=AO34)*(DC3:DC42=AO32)*(DE3:DE42="W"))+SUMPRODUCT((CZ3:CZ42=AO35)*(DC3:DC42=AO32)*(DE3:DE42="W"))</f>
        <v>0</v>
      </c>
      <c r="AQ32" s="23">
        <f ca="1">SUMPRODUCT((CZ3:CZ42=AO32)*(DC3:DC42=AO33)*(DD3:DD42="D"))+SUMPRODUCT((CZ3:CZ42=AO32)*(DC3:DC42=AO34)*(DD3:DD42="D"))+SUMPRODUCT((CZ3:CZ42=AO32)*(DC3:DC42=AO35)*(DD3:DD42="D"))+SUMPRODUCT((CZ3:CZ42=AO33)*(DC3:DC42=AO32)*(DD3:DD42="D"))+SUMPRODUCT((CZ3:CZ42=AO34)*(DC3:DC42=AO32)*(DD3:DD42="D"))+SUMPRODUCT((CZ3:CZ42=AO35)*(DC3:DC42=AO32)*(DD3:DD42="D"))</f>
        <v>0</v>
      </c>
      <c r="AR32" s="23">
        <f ca="1">SUMPRODUCT((CZ3:CZ42=AO32)*(DC3:DC42=AO33)*(DD3:DD42="L"))+SUMPRODUCT((CZ3:CZ42=AO32)*(DC3:DC42=AO34)*(DD3:DD42="L"))+SUMPRODUCT((CZ3:CZ42=AO32)*(DC3:DC42=AO35)*(DD3:DD42="L"))+SUMPRODUCT((CZ3:CZ42=AO33)*(DC3:DC42=AO32)*(DE3:DE42="L"))+SUMPRODUCT((CZ3:CZ42=AO34)*(DC3:DC42=AO32)*(DE3:DE42="L"))+SUMPRODUCT((CZ3:CZ42=AO35)*(DC3:DC42=AO32)*(DE3:DE42="L"))</f>
        <v>0</v>
      </c>
      <c r="AS32" s="23">
        <f ca="1">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0</v>
      </c>
      <c r="AT32" s="23">
        <f ca="1">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0</v>
      </c>
      <c r="AU32" s="23">
        <f ca="1">AS32-AT32+1000</f>
        <v>1000</v>
      </c>
      <c r="AV32" s="23" t="str">
        <f t="shared" ref="AV32:AV34" ca="1" si="52">IF(AO32&lt;&gt;"",AP32*3+AQ32*1,"")</f>
        <v/>
      </c>
      <c r="AW32" s="23" t="str">
        <f ca="1">IF(AO32&lt;&gt;"",VLOOKUP(AO32,B4:H40,7,FALSE),"")</f>
        <v/>
      </c>
      <c r="AX32" s="23" t="str">
        <f ca="1">IF(AO32&lt;&gt;"",VLOOKUP(AO32,B4:H40,5,FALSE),"")</f>
        <v/>
      </c>
      <c r="AY32" s="23" t="str">
        <f ca="1">IF(AO32&lt;&gt;"",VLOOKUP(AO32,B4:J40,9,FALSE),"")</f>
        <v/>
      </c>
      <c r="AZ32" s="23" t="str">
        <f t="shared" ref="AZ32:AZ34" ca="1" si="53">AV32</f>
        <v/>
      </c>
      <c r="BA32" s="23" t="str">
        <f ca="1">IF(AO32&lt;&gt;"",RANK(AZ32,AZ31:AZ35),"")</f>
        <v/>
      </c>
      <c r="BB32" s="23" t="str">
        <f ca="1">IF(AO32&lt;&gt;"",SUMPRODUCT((AZ31:AZ35=AZ32)*(AU31:AU35&gt;AU32)),"")</f>
        <v/>
      </c>
      <c r="BC32" s="23" t="str">
        <f ca="1">IF(AO32&lt;&gt;"",SUMPRODUCT((AZ31:AZ35=AZ32)*(AU31:AU35=AU32)*(AS31:AS35&gt;AS32)),"")</f>
        <v/>
      </c>
      <c r="BD32" s="23" t="str">
        <f ca="1">IF(AO32&lt;&gt;"",SUMPRODUCT((AZ31:AZ35=AZ32)*(AU31:AU35=AU32)*(AS31:AS35=AS32)*(AW31:AW35&gt;AW32)),"")</f>
        <v/>
      </c>
      <c r="BE32" s="23" t="str">
        <f ca="1">IF(AO32&lt;&gt;"",SUMPRODUCT((AZ31:AZ35=AZ32)*(AU31:AU35=AU32)*(AS31:AS35=AS32)*(AW31:AW35=AW32)*(AX31:AX35&gt;AX32)),"")</f>
        <v/>
      </c>
      <c r="BF32" s="23" t="str">
        <f ca="1">IF(AO32&lt;&gt;"",SUMPRODUCT((AZ31:AZ35=AZ32)*(AU31:AU35=AU32)*(AS31:AS35=AS32)*(AW31:AW35=AW32)*(AX31:AX35=AX32)*(AY31:AY35&gt;AY32)),"")</f>
        <v/>
      </c>
      <c r="BG32" s="23" t="str">
        <f ca="1">IF(AO32&lt;&gt;"",IF(BG72&lt;&gt;"",IF(AN70=3,BG72,BG72+AN70),SUM(BA32:BF32)+1),"")</f>
        <v/>
      </c>
      <c r="BH32" s="23" t="str">
        <f ca="1">IF(AO32&lt;&gt;"",INDEX(AO32:AO35,MATCH(2,BG32:BG35,0),0),"")</f>
        <v/>
      </c>
      <c r="CW32" s="23" t="str">
        <f ca="1">IF(BH32&lt;&gt;"",BH32,IF(AN32&lt;&gt;"",AN32,N32))</f>
        <v>Romania</v>
      </c>
      <c r="CX32" s="23">
        <v>2</v>
      </c>
      <c r="CY32" s="23">
        <v>30</v>
      </c>
      <c r="CZ32" s="23" t="str">
        <f>Tournament!G36</f>
        <v>Denmark</v>
      </c>
      <c r="DA32" s="23">
        <f ca="1">IF(AND(Tournament!H36&lt;&gt;"",Tournament!I36&lt;&gt;""),Tournament!H36,0)</f>
        <v>0</v>
      </c>
      <c r="DB32" s="23">
        <f ca="1">IF(AND(Tournament!I36&lt;&gt;"",Tournament!H36&lt;&gt;""),Tournament!I36,0)</f>
        <v>0</v>
      </c>
      <c r="DC32" s="23" t="str">
        <f>Tournament!J36</f>
        <v>Serbia</v>
      </c>
      <c r="DD32" s="23" t="str">
        <f ca="1">IF(AND(Tournament!H36&lt;&gt;"",Tournament!I36&lt;&gt;""),IF(DA32&gt;DB32,"W",IF(DA32=DB32,"D","L")),"")</f>
        <v/>
      </c>
      <c r="DE32" s="23" t="str">
        <f t="shared" ca="1" si="0"/>
        <v/>
      </c>
      <c r="EF32" s="260"/>
      <c r="EG32" s="261"/>
      <c r="EH32" s="262"/>
      <c r="EI32" s="263"/>
      <c r="EJ32" s="262"/>
      <c r="EL32" s="264">
        <v>45466.875</v>
      </c>
      <c r="EM32" s="265">
        <f>EL32+EK7/24</f>
        <v>45466.875</v>
      </c>
      <c r="EO32" s="267">
        <v>0</v>
      </c>
      <c r="EP32" s="23">
        <v>-5</v>
      </c>
      <c r="EQ32" s="23" t="s">
        <v>555</v>
      </c>
      <c r="ER32" s="23" t="s">
        <v>554</v>
      </c>
    </row>
    <row r="33" spans="1:148" x14ac:dyDescent="0.25">
      <c r="A33" s="23">
        <v>1</v>
      </c>
      <c r="B33" s="23" t="str">
        <f>'Dummy Table'!EH25</f>
        <v>Romania</v>
      </c>
      <c r="C33" s="23">
        <f ca="1">SUMPRODUCT((CZ3:CZ42=B33)*(DD3:DD42="W"))+SUMPRODUCT((DC3:DC42=B33)*(DE3:DE42="W"))</f>
        <v>0</v>
      </c>
      <c r="D33" s="23">
        <f ca="1">SUMPRODUCT((CZ3:CZ42=B33)*(DD3:DD42="D"))+SUMPRODUCT((DC3:DC42=B33)*(DE3:DE42="D"))</f>
        <v>0</v>
      </c>
      <c r="E33" s="23">
        <f ca="1">SUMPRODUCT((CZ3:CZ42=B33)*(DD3:DD42="L"))+SUMPRODUCT((DC3:DC42=B33)*(DE3:DE42="L"))</f>
        <v>0</v>
      </c>
      <c r="F33" s="23">
        <f ca="1">SUMIF(CZ3:CZ60,B33,DA3:DA60)+SUMIF(DC3:DC60,B33,DB3:DB60)</f>
        <v>0</v>
      </c>
      <c r="G33" s="23">
        <f ca="1">SUMIF(DC3:DC60,B33,DA3:DA60)+SUMIF(CZ3:CZ60,B33,DB3:DB60)</f>
        <v>0</v>
      </c>
      <c r="H33" s="23">
        <f t="shared" ca="1" si="47"/>
        <v>1000</v>
      </c>
      <c r="I33" s="23">
        <f t="shared" ca="1" si="48"/>
        <v>0</v>
      </c>
      <c r="J33" s="23">
        <v>46</v>
      </c>
      <c r="K33" s="23">
        <f ca="1">IF(COUNTIF(I31:I35,4)&lt;&gt;4,RANK(I33,I31:I35),I73)</f>
        <v>1</v>
      </c>
      <c r="M33" s="23">
        <f ca="1">SUMPRODUCT((K31:K34=K33)*(J31:J34&lt;J33))+K33</f>
        <v>3</v>
      </c>
      <c r="N33" s="23" t="str">
        <f ca="1">INDEX(B31:B35,MATCH(3,M31:M35,0),0)</f>
        <v>Romania</v>
      </c>
      <c r="O33" s="23">
        <f ca="1">INDEX(K31:K35,MATCH(N33,B31:B35,0),0)</f>
        <v>1</v>
      </c>
      <c r="P33" s="23" t="str">
        <f ca="1">IF(AND(P32&lt;&gt;"",O33=1),N33,"")</f>
        <v>Romania</v>
      </c>
      <c r="Q33" s="23" t="str">
        <f ca="1">IF(AND(Q32&lt;&gt;"",O34=2),N34,"")</f>
        <v/>
      </c>
      <c r="R33" s="23" t="str">
        <f ca="1">IF(AND(R32&lt;&gt;"",O35=3),N35,"")</f>
        <v/>
      </c>
      <c r="U33" s="23" t="str">
        <f t="shared" ca="1" si="51"/>
        <v>Romania</v>
      </c>
      <c r="V33" s="23">
        <f ca="1">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0</v>
      </c>
      <c r="W33" s="23">
        <f ca="1">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0</v>
      </c>
      <c r="X33" s="23">
        <f ca="1">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0</v>
      </c>
      <c r="Y33" s="23">
        <f ca="1">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0</v>
      </c>
      <c r="Z33" s="23">
        <f ca="1">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0</v>
      </c>
      <c r="AA33" s="23">
        <f ca="1">Y33-Z33+1000</f>
        <v>1000</v>
      </c>
      <c r="AB33" s="23">
        <f t="shared" ca="1" si="49"/>
        <v>0</v>
      </c>
      <c r="AC33" s="23">
        <f ca="1">IF(U33&lt;&gt;"",VLOOKUP(U33,B4:H40,7,FALSE),"")</f>
        <v>1000</v>
      </c>
      <c r="AD33" s="23">
        <f ca="1">IF(U33&lt;&gt;"",VLOOKUP(U33,B4:H40,5,FALSE),"")</f>
        <v>0</v>
      </c>
      <c r="AE33" s="23">
        <f ca="1">IF(U33&lt;&gt;"",VLOOKUP(U33,B4:J40,9,FALSE),"")</f>
        <v>46</v>
      </c>
      <c r="AF33" s="23">
        <f t="shared" ca="1" si="50"/>
        <v>0</v>
      </c>
      <c r="AG33" s="23">
        <f ca="1">IF(U33&lt;&gt;"",RANK(AF33,AF31:AF35),"")</f>
        <v>1</v>
      </c>
      <c r="AH33" s="23">
        <f ca="1">IF(U33&lt;&gt;"",SUMPRODUCT((AF31:AF35=AF33)*(AA31:AA35&gt;AA33)),"")</f>
        <v>0</v>
      </c>
      <c r="AI33" s="23">
        <f ca="1">IF(U33&lt;&gt;"",SUMPRODUCT((AF31:AF35=AF33)*(AA31:AA35=AA33)*(Y31:Y35&gt;Y33)),"")</f>
        <v>0</v>
      </c>
      <c r="AJ33" s="23">
        <f ca="1">IF(U33&lt;&gt;"",SUMPRODUCT((AF31:AF35=AF33)*(AA31:AA35=AA33)*(Y31:Y35=Y33)*(AC31:AC35&gt;AC33)),"")</f>
        <v>0</v>
      </c>
      <c r="AK33" s="23">
        <f ca="1">IF(U33&lt;&gt;"",SUMPRODUCT((AF31:AF35=AF33)*(AA31:AA35=AA33)*(Y31:Y35=Y33)*(AC31:AC35=AC33)*(AD31:AD35&gt;AD33)),"")</f>
        <v>0</v>
      </c>
      <c r="AL33" s="23">
        <f ca="1">IF(U33&lt;&gt;"",SUMPRODUCT((AF31:AF35=AF33)*(AA31:AA35=AA33)*(Y31:Y35=Y33)*(AC31:AC35=AC33)*(AD31:AD35=AD33)*(AE31:AE35&gt;AE33)),"")</f>
        <v>1</v>
      </c>
      <c r="AM33" s="23">
        <f ca="1">IF(U33&lt;&gt;"",IF(AM73&lt;&gt;"",IF(T70=3,AM73,AM73+T70),SUM(AG33:AL33)),"")</f>
        <v>2</v>
      </c>
      <c r="AN33" s="23" t="str">
        <f ca="1">IF(U33&lt;&gt;"",INDEX(U31:U35,MATCH(3,AM31:AM35,0),0),"")</f>
        <v>Slovakia</v>
      </c>
      <c r="AO33" s="23" t="str">
        <f ca="1">IF(Q32&lt;&gt;"",Q32,"")</f>
        <v/>
      </c>
      <c r="AP33" s="23">
        <f ca="1">SUMPRODUCT((CZ3:CZ42=AO33)*(DC3:DC42=AO34)*(DD3:DD42="W"))+SUMPRODUCT((CZ3:CZ42=AO33)*(DC3:DC42=AO35)*(DD3:DD42="W"))+SUMPRODUCT((CZ3:CZ42=AO33)*(DC3:DC42=AO32)*(DD3:DD42="W"))+SUMPRODUCT((CZ3:CZ42=AO34)*(DC3:DC42=AO33)*(DE3:DE42="W"))+SUMPRODUCT((CZ3:CZ42=AO35)*(DC3:DC42=AO33)*(DE3:DE42="W"))+SUMPRODUCT((CZ3:CZ42=AO32)*(DC3:DC42=AO33)*(DE3:DE42="W"))</f>
        <v>0</v>
      </c>
      <c r="AQ33" s="23">
        <f ca="1">SUMPRODUCT((CZ3:CZ42=AO33)*(DC3:DC42=AO34)*(DD3:DD42="D"))+SUMPRODUCT((CZ3:CZ42=AO33)*(DC3:DC42=AO35)*(DD3:DD42="D"))+SUMPRODUCT((CZ3:CZ42=AO33)*(DC3:DC42=AO32)*(DD3:DD42="D"))+SUMPRODUCT((CZ3:CZ42=AO34)*(DC3:DC42=AO33)*(DD3:DD42="D"))+SUMPRODUCT((CZ3:CZ42=AO35)*(DC3:DC42=AO33)*(DD3:DD42="D"))+SUMPRODUCT((CZ3:CZ42=AO32)*(DC3:DC42=AO33)*(DD3:DD42="D"))</f>
        <v>0</v>
      </c>
      <c r="AR33" s="23">
        <f ca="1">SUMPRODUCT((CZ3:CZ42=AO33)*(DC3:DC42=AO34)*(DD3:DD42="L"))+SUMPRODUCT((CZ3:CZ42=AO33)*(DC3:DC42=AO35)*(DD3:DD42="L"))+SUMPRODUCT((CZ3:CZ42=AO33)*(DC3:DC42=AO32)*(DD3:DD42="L"))+SUMPRODUCT((CZ3:CZ42=AO34)*(DC3:DC42=AO33)*(DE3:DE42="L"))+SUMPRODUCT((CZ3:CZ42=AO35)*(DC3:DC42=AO33)*(DE3:DE42="L"))+SUMPRODUCT((CZ3:CZ42=AO32)*(DC3:DC42=AO33)*(DE3:DE42="L"))</f>
        <v>0</v>
      </c>
      <c r="AS33" s="23">
        <f ca="1">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0</v>
      </c>
      <c r="AT33" s="23">
        <f ca="1">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0</v>
      </c>
      <c r="AU33" s="23">
        <f ca="1">AS33-AT33+1000</f>
        <v>1000</v>
      </c>
      <c r="AV33" s="23" t="str">
        <f t="shared" ca="1" si="52"/>
        <v/>
      </c>
      <c r="AW33" s="23" t="str">
        <f ca="1">IF(AO33&lt;&gt;"",VLOOKUP(AO33,B4:H40,7,FALSE),"")</f>
        <v/>
      </c>
      <c r="AX33" s="23" t="str">
        <f ca="1">IF(AO33&lt;&gt;"",VLOOKUP(AO33,B4:H40,5,FALSE),"")</f>
        <v/>
      </c>
      <c r="AY33" s="23" t="str">
        <f ca="1">IF(AO33&lt;&gt;"",VLOOKUP(AO33,B4:J40,9,FALSE),"")</f>
        <v/>
      </c>
      <c r="AZ33" s="23" t="str">
        <f t="shared" ca="1" si="53"/>
        <v/>
      </c>
      <c r="BA33" s="23" t="str">
        <f ca="1">IF(AO33&lt;&gt;"",RANK(AZ33,AZ31:AZ35),"")</f>
        <v/>
      </c>
      <c r="BB33" s="23" t="str">
        <f ca="1">IF(AO33&lt;&gt;"",SUMPRODUCT((AZ31:AZ35=AZ33)*(AU31:AU35&gt;AU33)),"")</f>
        <v/>
      </c>
      <c r="BC33" s="23" t="str">
        <f ca="1">IF(AO33&lt;&gt;"",SUMPRODUCT((AZ31:AZ35=AZ33)*(AU31:AU35=AU33)*(AS31:AS35&gt;AS33)),"")</f>
        <v/>
      </c>
      <c r="BD33" s="23" t="str">
        <f ca="1">IF(AO33&lt;&gt;"",SUMPRODUCT((AZ31:AZ35=AZ33)*(AU31:AU35=AU33)*(AS31:AS35=AS33)*(AW31:AW35&gt;AW33)),"")</f>
        <v/>
      </c>
      <c r="BE33" s="23" t="str">
        <f ca="1">IF(AO33&lt;&gt;"",SUMPRODUCT((AZ31:AZ35=AZ33)*(AU31:AU35=AU33)*(AS31:AS35=AS33)*(AW31:AW35=AW33)*(AX31:AX35&gt;AX33)),"")</f>
        <v/>
      </c>
      <c r="BF33" s="23" t="str">
        <f ca="1">IF(AO33&lt;&gt;"",SUMPRODUCT((AZ31:AZ35=AZ33)*(AU31:AU35=AU33)*(AS31:AS35=AS33)*(AW31:AW35=AW33)*(AX31:AX35=AX33)*(AY31:AY35&gt;AY33)),"")</f>
        <v/>
      </c>
      <c r="BG33" s="23" t="str">
        <f ca="1">IF(AO33&lt;&gt;"",IF(BG73&lt;&gt;"",IF(AN70=3,BG73,BG73+AN70),SUM(BA33:BF33)+1),"")</f>
        <v/>
      </c>
      <c r="BH33" s="23" t="str">
        <f ca="1">IF(AO33&lt;&gt;"",INDEX(AO32:AO35,MATCH(3,BG32:BG35,0),0),"")</f>
        <v/>
      </c>
      <c r="BI33" s="23" t="str">
        <f ca="1">IF(R31&lt;&gt;"",R31,"")</f>
        <v/>
      </c>
      <c r="BJ33" s="23">
        <f ca="1">SUMPRODUCT((CZ3:CZ42=BI33)*(DC3:DC42=BI34)*(DD3:DD42="W"))+SUMPRODUCT((CZ3:CZ42=BI33)*(DC3:DC42=BI35)*(DD3:DD42="W"))+SUMPRODUCT((CZ3:CZ42=BI33)*(DC3:DC42=BI36)*(DD3:DD42="W"))+SUMPRODUCT((CZ3:CZ42=BI34)*(DC3:DC42=BI33)*(DE3:DE42="W"))+SUMPRODUCT((CZ3:CZ42=BI35)*(DC3:DC42=BI33)*(DE3:DE42="W"))+SUMPRODUCT((CZ3:CZ42=BI36)*(DC3:DC42=BI33)*(DE3:DE42="W"))</f>
        <v>0</v>
      </c>
      <c r="BK33" s="23">
        <f ca="1">SUMPRODUCT((CZ3:CZ42=BI33)*(DC3:DC42=BI34)*(DD3:DD42="D"))+SUMPRODUCT((CZ3:CZ42=BI33)*(DC3:DC42=BI35)*(DD3:DD42="D"))+SUMPRODUCT((CZ3:CZ42=BI33)*(DC3:DC42=BI36)*(DD3:DD42="D"))+SUMPRODUCT((CZ3:CZ42=BI34)*(DC3:DC42=BI33)*(DD3:DD42="D"))+SUMPRODUCT((CZ3:CZ42=BI35)*(DC3:DC42=BI33)*(DD3:DD42="D"))+SUMPRODUCT((CZ3:CZ42=BI36)*(DC3:DC42=BI33)*(DD3:DD42="D"))</f>
        <v>0</v>
      </c>
      <c r="BL33" s="23">
        <f ca="1">SUMPRODUCT((CZ3:CZ42=BI33)*(DC3:DC42=BI34)*(DD3:DD42="L"))+SUMPRODUCT((CZ3:CZ42=BI33)*(DC3:DC42=BI35)*(DD3:DD42="L"))+SUMPRODUCT((CZ3:CZ42=BI33)*(DC3:DC42=BI36)*(DD3:DD42="L"))+SUMPRODUCT((CZ3:CZ42=BI34)*(DC3:DC42=BI33)*(DE3:DE42="L"))+SUMPRODUCT((CZ3:CZ42=BI35)*(DC3:DC42=BI33)*(DE3:DE42="L"))+SUMPRODUCT((CZ3:CZ42=BI36)*(DC3:DC42=BI33)*(DE3:DE42="L"))</f>
        <v>0</v>
      </c>
      <c r="BM33" s="23">
        <f ca="1">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0</v>
      </c>
      <c r="BN33" s="23">
        <f ca="1">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0</v>
      </c>
      <c r="BO33" s="23">
        <f ca="1">BM33-BN33+1000</f>
        <v>1000</v>
      </c>
      <c r="BP33" s="23" t="str">
        <f t="shared" ref="BP33:BP34" ca="1" si="54">IF(BI33&lt;&gt;"",BJ33*3+BK33*1,"")</f>
        <v/>
      </c>
      <c r="BQ33" s="23" t="str">
        <f ca="1">IF(BI33&lt;&gt;"",VLOOKUP(BI33,B4:H40,7,FALSE),"")</f>
        <v/>
      </c>
      <c r="BR33" s="23" t="str">
        <f ca="1">IF(BI33&lt;&gt;"",VLOOKUP(BI33,B4:H40,5,FALSE),"")</f>
        <v/>
      </c>
      <c r="BS33" s="23" t="str">
        <f ca="1">IF(BI33&lt;&gt;"",VLOOKUP(BI33,B4:J40,9,FALSE),"")</f>
        <v/>
      </c>
      <c r="BT33" s="23" t="str">
        <f t="shared" ref="BT33:BT34" ca="1" si="55">BP33</f>
        <v/>
      </c>
      <c r="BU33" s="23" t="str">
        <f ca="1">IF(BI33&lt;&gt;"",RANK(BT33,BT32:BT35),"")</f>
        <v/>
      </c>
      <c r="BV33" s="23" t="str">
        <f ca="1">IF(BI33&lt;&gt;"",SUMPRODUCT((BT31:BT35=BT33)*(BO31:BO35&gt;BO33)),"")</f>
        <v/>
      </c>
      <c r="BW33" s="23" t="str">
        <f ca="1">IF(BI33&lt;&gt;"",SUMPRODUCT((BT31:BT35=BT33)*(BO31:BO35=BO33)*(BM31:BM35&gt;BM33)),"")</f>
        <v/>
      </c>
      <c r="BX33" s="23" t="str">
        <f ca="1">IF(BI33&lt;&gt;"",SUMPRODUCT((BT31:BT35=BT33)*(BO31:BO35=BO33)*(BM31:BM35=BM33)*(BQ31:BQ35&gt;BQ33)),"")</f>
        <v/>
      </c>
      <c r="BY33" s="23" t="str">
        <f ca="1">IF(BI33&lt;&gt;"",SUMPRODUCT((BT31:BT35=BT33)*(BO31:BO35=BO33)*(BM31:BM35=BM33)*(BQ31:BQ35=BQ33)*(BR31:BR35&gt;BR33)),"")</f>
        <v/>
      </c>
      <c r="BZ33" s="23" t="str">
        <f ca="1">IF(BI33&lt;&gt;"",SUMPRODUCT((BT31:BT35=BT33)*(BO31:BO35=BO33)*(BM31:BM35=BM33)*(BQ31:BQ35=BQ33)*(BR31:BR35=BR33)*(BS31:BS35&gt;BS33)),"")</f>
        <v/>
      </c>
      <c r="CA33" s="23" t="str">
        <f ca="1">IF(BI33&lt;&gt;"",SUM(BU33:BZ33)+2,"")</f>
        <v/>
      </c>
      <c r="CB33" s="23" t="str">
        <f ca="1">IF(BI33&lt;&gt;"",INDEX(BI33:BI35,MATCH(3,CA33:CA35,0),0),"")</f>
        <v/>
      </c>
      <c r="CW33" s="23" t="str">
        <f ca="1">IF(CB33&lt;&gt;"",CB33,IF(BH33&lt;&gt;"",BH33,IF(AN33&lt;&gt;"",AN33,N33)))</f>
        <v>Slovakia</v>
      </c>
      <c r="CX33" s="23">
        <v>3</v>
      </c>
      <c r="CY33" s="23">
        <v>31</v>
      </c>
      <c r="CZ33" s="23" t="str">
        <f>Tournament!G37</f>
        <v>Netherlands</v>
      </c>
      <c r="DA33" s="23">
        <f ca="1">IF(AND(Tournament!H37&lt;&gt;"",Tournament!I37&lt;&gt;""),Tournament!H37,0)</f>
        <v>0</v>
      </c>
      <c r="DB33" s="23">
        <f ca="1">IF(AND(Tournament!I37&lt;&gt;"",Tournament!H37&lt;&gt;""),Tournament!I37,0)</f>
        <v>0</v>
      </c>
      <c r="DC33" s="23" t="str">
        <f>Tournament!J37</f>
        <v>Austria</v>
      </c>
      <c r="DD33" s="23" t="str">
        <f ca="1">IF(AND(Tournament!H37&lt;&gt;"",Tournament!I37&lt;&gt;""),IF(DA33&gt;DB33,"W",IF(DA33=DB33,"D","L")),"")</f>
        <v/>
      </c>
      <c r="DE33" s="23" t="str">
        <f t="shared" ca="1" si="0"/>
        <v/>
      </c>
      <c r="EF33" s="260"/>
      <c r="EG33" s="261"/>
      <c r="EH33" s="262"/>
      <c r="EI33" s="263"/>
      <c r="EJ33" s="262"/>
      <c r="EL33" s="264">
        <v>45467.875</v>
      </c>
      <c r="EM33" s="265">
        <f>EL33+EK7/24</f>
        <v>45467.875</v>
      </c>
      <c r="EO33" s="274" t="s">
        <v>780</v>
      </c>
      <c r="EP33" s="23">
        <v>-4</v>
      </c>
      <c r="EQ33" s="23" t="s">
        <v>557</v>
      </c>
      <c r="ER33" s="23" t="s">
        <v>556</v>
      </c>
    </row>
    <row r="34" spans="1:148" x14ac:dyDescent="0.25">
      <c r="A34" s="23">
        <v>4</v>
      </c>
      <c r="B34" s="23" t="str">
        <f>'Dummy Table'!EH26</f>
        <v>Ukraine</v>
      </c>
      <c r="C34" s="23">
        <f ca="1">SUMPRODUCT((CZ3:CZ42=B34)*(DD3:DD42="W"))+SUMPRODUCT((DC3:DC42=B34)*(DE3:DE42="W"))</f>
        <v>0</v>
      </c>
      <c r="D34" s="23">
        <f ca="1">SUMPRODUCT((CZ3:CZ42=B34)*(DD3:DD42="D"))+SUMPRODUCT((DC3:DC42=B34)*(DE3:DE42="D"))</f>
        <v>0</v>
      </c>
      <c r="E34" s="23">
        <f ca="1">SUMPRODUCT((CZ3:CZ42=B34)*(DD3:DD42="L"))+SUMPRODUCT((DC3:DC42=B34)*(DE3:DE42="L"))</f>
        <v>0</v>
      </c>
      <c r="F34" s="23">
        <f ca="1">SUMIF(CZ3:CZ60,B34,DA3:DA60)+SUMIF(DC3:DC60,B34,DB3:DB60)</f>
        <v>0</v>
      </c>
      <c r="G34" s="23">
        <f ca="1">SUMIF(DC3:DC60,B34,DA3:DA60)+SUMIF(CZ3:CZ60,B34,DB3:DB60)</f>
        <v>0</v>
      </c>
      <c r="H34" s="23">
        <f t="shared" ca="1" si="47"/>
        <v>1000</v>
      </c>
      <c r="I34" s="23">
        <f t="shared" ca="1" si="48"/>
        <v>0</v>
      </c>
      <c r="J34" s="23">
        <v>0</v>
      </c>
      <c r="K34" s="23">
        <f ca="1">IF(COUNTIF(I31:I35,4)&lt;&gt;4,RANK(I34,I31:I35),I74)</f>
        <v>1</v>
      </c>
      <c r="M34" s="23">
        <f ca="1">SUMPRODUCT((K31:K34=K34)*(J31:J34&lt;J34))+K34</f>
        <v>1</v>
      </c>
      <c r="N34" s="23" t="str">
        <f ca="1">INDEX(B31:B35,MATCH(4,M31:M35,0),0)</f>
        <v>Belgium</v>
      </c>
      <c r="O34" s="23">
        <f ca="1">INDEX(K31:K35,MATCH(N34,B31:B35,0),0)</f>
        <v>1</v>
      </c>
      <c r="P34" s="23" t="str">
        <f ca="1">IF(AND(P33&lt;&gt;"",O34=1),N34,"")</f>
        <v>Belgium</v>
      </c>
      <c r="Q34" s="23" t="str">
        <f ca="1">IF(AND(Q33&lt;&gt;"",O35=2),N35,"")</f>
        <v/>
      </c>
      <c r="U34" s="23" t="str">
        <f t="shared" ca="1" si="51"/>
        <v>Belgium</v>
      </c>
      <c r="V34" s="23">
        <f ca="1">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W34" s="23">
        <f ca="1">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X34" s="23">
        <f ca="1">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Y34" s="23">
        <f ca="1">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0</v>
      </c>
      <c r="Z34" s="23">
        <f ca="1">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0</v>
      </c>
      <c r="AA34" s="23">
        <f ca="1">Y34-Z34+1000</f>
        <v>1000</v>
      </c>
      <c r="AB34" s="23">
        <f t="shared" ca="1" si="49"/>
        <v>0</v>
      </c>
      <c r="AC34" s="23">
        <f ca="1">IF(U34&lt;&gt;"",VLOOKUP(U34,B4:H40,7,FALSE),"")</f>
        <v>1000</v>
      </c>
      <c r="AD34" s="23">
        <f ca="1">IF(U34&lt;&gt;"",VLOOKUP(U34,B4:H40,5,FALSE),"")</f>
        <v>0</v>
      </c>
      <c r="AE34" s="23">
        <f ca="1">IF(U34&lt;&gt;"",VLOOKUP(U34,B4:J40,9,FALSE),"")</f>
        <v>50</v>
      </c>
      <c r="AF34" s="23">
        <f t="shared" ca="1" si="50"/>
        <v>0</v>
      </c>
      <c r="AG34" s="23">
        <f ca="1">IF(U34&lt;&gt;"",RANK(AF34,AF31:AF35),"")</f>
        <v>1</v>
      </c>
      <c r="AH34" s="23">
        <f ca="1">IF(U34&lt;&gt;"",SUMPRODUCT((AF31:AF35=AF34)*(AA31:AA35&gt;AA34)),"")</f>
        <v>0</v>
      </c>
      <c r="AI34" s="23">
        <f ca="1">IF(U34&lt;&gt;"",SUMPRODUCT((AF31:AF35=AF34)*(AA31:AA35=AA34)*(Y31:Y35&gt;Y34)),"")</f>
        <v>0</v>
      </c>
      <c r="AJ34" s="23">
        <f ca="1">IF(U34&lt;&gt;"",SUMPRODUCT((AF31:AF35=AF34)*(AA31:AA35=AA34)*(Y31:Y35=Y34)*(AC31:AC35&gt;AC34)),"")</f>
        <v>0</v>
      </c>
      <c r="AK34" s="23">
        <f ca="1">IF(U34&lt;&gt;"",SUMPRODUCT((AF31:AF35=AF34)*(AA31:AA35=AA34)*(Y31:Y35=Y34)*(AC31:AC35=AC34)*(AD31:AD35&gt;AD34)),"")</f>
        <v>0</v>
      </c>
      <c r="AL34" s="23">
        <f ca="1">IF(U34&lt;&gt;"",SUMPRODUCT((AF31:AF35=AF34)*(AA31:AA35=AA34)*(Y31:Y35=Y34)*(AC31:AC35=AC34)*(AD31:AD35=AD34)*(AE31:AE35&gt;AE34)),"")</f>
        <v>0</v>
      </c>
      <c r="AM34" s="23">
        <f ca="1">IF(U34&lt;&gt;"",IF(AM74&lt;&gt;"",IF(T70=3,AM74,AM74+T70),SUM(AG34:AL34)),"")</f>
        <v>1</v>
      </c>
      <c r="AN34" s="23" t="str">
        <f ca="1">IF(U34&lt;&gt;"",INDEX(U31:U35,MATCH(4,AM31:AM35,0),0),"")</f>
        <v>Ukraine</v>
      </c>
      <c r="AO34" s="23" t="str">
        <f ca="1">IF(Q33&lt;&gt;"",Q33,"")</f>
        <v/>
      </c>
      <c r="AP34" s="23" t="str">
        <f ca="1">IF(AO34&lt;&gt;"",SUMPRODUCT((CZ3:CZ42=AO34)*(DC3:DC42=AO35)*(DD3:DD42="W"))+SUMPRODUCT((CZ3:CZ42=AO34)*(DC3:DC42=AO32)*(DD3:DD42="W"))+SUMPRODUCT((CZ3:CZ42=AO34)*(DC3:DC42=AO33)*(DD3:DD42="W"))+SUMPRODUCT((CZ3:CZ42=AO35)*(DC3:DC42=AO34)*(DE3:DE42="W"))+SUMPRODUCT((CZ3:CZ42=AO32)*(DC3:DC42=AO34)*(DE3:DE42="W"))+SUMPRODUCT((CZ3:CZ42=AO33)*(DC3:DC42=AO34)*(DE3:DE42="W")),"")</f>
        <v/>
      </c>
      <c r="AQ34" s="23" t="str">
        <f ca="1">IF(AO34&lt;&gt;"",SUMPRODUCT((CZ3:CZ42=AO34)*(DC3:DC42=AO35)*(DD3:DD42="D"))+SUMPRODUCT((CZ3:CZ42=AO34)*(DC3:DC42=AO32)*(DD3:DD42="D"))+SUMPRODUCT((CZ3:CZ42=AO34)*(DC3:DC42=AO33)*(DD3:DD42="D"))+SUMPRODUCT((CZ3:CZ42=AO35)*(DC3:DC42=AO34)*(DD3:DD42="D"))+SUMPRODUCT((CZ3:CZ42=AO32)*(DC3:DC42=AO34)*(DD3:DD42="D"))+SUMPRODUCT((CZ3:CZ42=AO33)*(DC3:DC42=AO34)*(DD3:DD42="D")),"")</f>
        <v/>
      </c>
      <c r="AR34" s="23" t="str">
        <f ca="1">IF(AO34&lt;&gt;"",SUMPRODUCT((CZ3:CZ42=AO34)*(DC3:DC42=AO35)*(DD3:DD42="L"))+SUMPRODUCT((CZ3:CZ42=AO34)*(DC3:DC42=AO32)*(DD3:DD42="L"))+SUMPRODUCT((CZ3:CZ42=AO34)*(DC3:DC42=AO33)*(DD3:DD42="L"))+SUMPRODUCT((CZ3:CZ42=AO35)*(DC3:DC42=AO34)*(DE3:DE42="L"))+SUMPRODUCT((CZ3:CZ42=AO32)*(DC3:DC42=AO34)*(DE3:DE42="L"))+SUMPRODUCT((CZ3:CZ42=AO33)*(DC3:DC42=AO34)*(DE3:DE42="L")),"")</f>
        <v/>
      </c>
      <c r="AS34" s="23">
        <f ca="1">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0</v>
      </c>
      <c r="AT34" s="23">
        <f ca="1">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0</v>
      </c>
      <c r="AU34" s="23">
        <f ca="1">AS34-AT34+1000</f>
        <v>1000</v>
      </c>
      <c r="AV34" s="23" t="str">
        <f t="shared" ca="1" si="52"/>
        <v/>
      </c>
      <c r="AW34" s="23" t="str">
        <f ca="1">IF(AO34&lt;&gt;"",VLOOKUP(AO34,B4:H40,7,FALSE),"")</f>
        <v/>
      </c>
      <c r="AX34" s="23" t="str">
        <f ca="1">IF(AO34&lt;&gt;"",VLOOKUP(AO34,B4:H40,5,FALSE),"")</f>
        <v/>
      </c>
      <c r="AY34" s="23" t="str">
        <f ca="1">IF(AO34&lt;&gt;"",VLOOKUP(AO34,B4:J40,9,FALSE),"")</f>
        <v/>
      </c>
      <c r="AZ34" s="23" t="str">
        <f t="shared" ca="1" si="53"/>
        <v/>
      </c>
      <c r="BA34" s="23" t="str">
        <f ca="1">IF(AO34&lt;&gt;"",RANK(AZ34,AZ31:AZ35),"")</f>
        <v/>
      </c>
      <c r="BB34" s="23" t="str">
        <f ca="1">IF(AO34&lt;&gt;"",SUMPRODUCT((AZ31:AZ35=AZ34)*(AU31:AU35&gt;AU34)),"")</f>
        <v/>
      </c>
      <c r="BC34" s="23" t="str">
        <f ca="1">IF(AO34&lt;&gt;"",SUMPRODUCT((AZ31:AZ35=AZ34)*(AU31:AU35=AU34)*(AS31:AS35&gt;AS34)),"")</f>
        <v/>
      </c>
      <c r="BD34" s="23" t="str">
        <f ca="1">IF(AO34&lt;&gt;"",SUMPRODUCT((AZ31:AZ35=AZ34)*(AU31:AU35=AU34)*(AS31:AS35=AS34)*(AW31:AW35&gt;AW34)),"")</f>
        <v/>
      </c>
      <c r="BE34" s="23" t="str">
        <f ca="1">IF(AO34&lt;&gt;"",SUMPRODUCT((AZ31:AZ35=AZ34)*(AU31:AU35=AU34)*(AS31:AS35=AS34)*(AW31:AW35=AW34)*(AX31:AX35&gt;AX34)),"")</f>
        <v/>
      </c>
      <c r="BF34" s="23" t="str">
        <f ca="1">IF(AO34&lt;&gt;"",SUMPRODUCT((AZ31:AZ35=AZ34)*(AU31:AU35=AU34)*(AS31:AS35=AS34)*(AW31:AW35=AW34)*(AX31:AX35=AX34)*(AY31:AY35&gt;AY34)),"")</f>
        <v/>
      </c>
      <c r="BG34" s="23" t="str">
        <f ca="1">IF(AO34&lt;&gt;"",IF(BG74&lt;&gt;"",IF(AN70=3,BG74,BG74+AN70),SUM(BA34:BF34)+1),"")</f>
        <v/>
      </c>
      <c r="BH34" s="23" t="str">
        <f ca="1">IF(AO34&lt;&gt;"",INDEX(AO32:AO35,MATCH(4,BG32:BG35,0),0),"")</f>
        <v/>
      </c>
      <c r="BI34" s="23" t="str">
        <f ca="1">IF(R32&lt;&gt;"",R32,"")</f>
        <v/>
      </c>
      <c r="BJ34" s="23">
        <f ca="1">SUMPRODUCT((CZ3:CZ42=BI34)*(DC3:DC42=BI35)*(DD3:DD42="W"))+SUMPRODUCT((CZ3:CZ42=BI34)*(DC3:DC42=BI36)*(DD3:DD42="W"))+SUMPRODUCT((CZ3:CZ42=BI34)*(DC3:DC42=BI33)*(DD3:DD42="W"))+SUMPRODUCT((CZ3:CZ42=BI35)*(DC3:DC42=BI34)*(DE3:DE42="W"))+SUMPRODUCT((CZ3:CZ42=BI36)*(DC3:DC42=BI34)*(DE3:DE42="W"))+SUMPRODUCT((CZ3:CZ42=BI33)*(DC3:DC42=BI34)*(DE3:DE42="W"))</f>
        <v>0</v>
      </c>
      <c r="BK34" s="23">
        <f ca="1">SUMPRODUCT((CZ3:CZ42=BI34)*(DC3:DC42=BI35)*(DD3:DD42="D"))+SUMPRODUCT((CZ3:CZ42=BI34)*(DC3:DC42=BI36)*(DD3:DD42="D"))+SUMPRODUCT((CZ3:CZ42=BI34)*(DC3:DC42=BI33)*(DD3:DD42="D"))+SUMPRODUCT((CZ3:CZ42=BI35)*(DC3:DC42=BI34)*(DD3:DD42="D"))+SUMPRODUCT((CZ3:CZ42=BI36)*(DC3:DC42=BI34)*(DD3:DD42="D"))+SUMPRODUCT((CZ3:CZ42=BI33)*(DC3:DC42=BI34)*(DD3:DD42="D"))</f>
        <v>0</v>
      </c>
      <c r="BL34" s="23">
        <f ca="1">SUMPRODUCT((CZ3:CZ42=BI34)*(DC3:DC42=BI35)*(DD3:DD42="L"))+SUMPRODUCT((CZ3:CZ42=BI34)*(DC3:DC42=BI36)*(DD3:DD42="L"))+SUMPRODUCT((CZ3:CZ42=BI34)*(DC3:DC42=BI33)*(DD3:DD42="L"))+SUMPRODUCT((CZ3:CZ42=BI35)*(DC3:DC42=BI34)*(DE3:DE42="L"))+SUMPRODUCT((CZ3:CZ42=BI36)*(DC3:DC42=BI34)*(DE3:DE42="L"))+SUMPRODUCT((CZ3:CZ42=BI33)*(DC3:DC42=BI34)*(DE3:DE42="L"))</f>
        <v>0</v>
      </c>
      <c r="BM34" s="23">
        <f ca="1">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0</v>
      </c>
      <c r="BN34" s="23">
        <f ca="1">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0</v>
      </c>
      <c r="BO34" s="23">
        <f ca="1">BM34-BN34+1000</f>
        <v>1000</v>
      </c>
      <c r="BP34" s="23" t="str">
        <f t="shared" ca="1" si="54"/>
        <v/>
      </c>
      <c r="BQ34" s="23" t="str">
        <f ca="1">IF(BI34&lt;&gt;"",VLOOKUP(BI34,B4:H40,7,FALSE),"")</f>
        <v/>
      </c>
      <c r="BR34" s="23" t="str">
        <f ca="1">IF(BI34&lt;&gt;"",VLOOKUP(BI34,B4:H40,5,FALSE),"")</f>
        <v/>
      </c>
      <c r="BS34" s="23" t="str">
        <f ca="1">IF(BI34&lt;&gt;"",VLOOKUP(BI34,B4:J40,9,FALSE),"")</f>
        <v/>
      </c>
      <c r="BT34" s="23" t="str">
        <f t="shared" ca="1" si="55"/>
        <v/>
      </c>
      <c r="BU34" s="23" t="str">
        <f ca="1">IF(BI34&lt;&gt;"",RANK(BT34,BT32:BT35),"")</f>
        <v/>
      </c>
      <c r="BV34" s="23" t="str">
        <f ca="1">IF(BI34&lt;&gt;"",SUMPRODUCT((BT31:BT35=BT34)*(BO31:BO35&gt;BO34)),"")</f>
        <v/>
      </c>
      <c r="BW34" s="23" t="str">
        <f ca="1">IF(BI34&lt;&gt;"",SUMPRODUCT((BT31:BT35=BT34)*(BO31:BO35=BO34)*(BM31:BM35&gt;BM34)),"")</f>
        <v/>
      </c>
      <c r="BX34" s="23" t="str">
        <f ca="1">IF(BI34&lt;&gt;"",SUMPRODUCT((BT31:BT35=BT34)*(BO31:BO35=BO34)*(BM31:BM35=BM34)*(BQ31:BQ35&gt;BQ34)),"")</f>
        <v/>
      </c>
      <c r="BY34" s="23" t="str">
        <f ca="1">IF(BI34&lt;&gt;"",SUMPRODUCT((BT31:BT35=BT34)*(BO31:BO35=BO34)*(BM31:BM35=BM34)*(BQ31:BQ35=BQ34)*(BR31:BR35&gt;BR34)),"")</f>
        <v/>
      </c>
      <c r="BZ34" s="23" t="str">
        <f ca="1">IF(BI34&lt;&gt;"",SUMPRODUCT((BT31:BT35=BT34)*(BO31:BO35=BO34)*(BM31:BM35=BM34)*(BQ31:BQ35=BQ34)*(BR31:BR35=BR34)*(BS31:BS35&gt;BS34)),"")</f>
        <v/>
      </c>
      <c r="CA34" s="23" t="str">
        <f ca="1">IF(BI34&lt;&gt;"",SUM(BU34:BZ34)+2,"")</f>
        <v/>
      </c>
      <c r="CB34" s="23" t="str">
        <f ca="1">IF(BI34&lt;&gt;"",INDEX(BI33:BI35,MATCH(4,CA33:CA35,0),0),"")</f>
        <v/>
      </c>
      <c r="CC34" s="23" t="str">
        <f>IF(S31&lt;&gt;"",S31,"")</f>
        <v/>
      </c>
      <c r="CD34" s="23">
        <f ca="1">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CE34" s="23">
        <f ca="1">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CF34" s="23">
        <f ca="1">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CG34" s="23">
        <f ca="1">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23">
        <f ca="1">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23">
        <f ca="1">CG34-CH34+1000</f>
        <v>1000</v>
      </c>
      <c r="CJ34" s="23" t="str">
        <f t="shared" ref="CJ34" si="56">IF(CC34&lt;&gt;"",CD34*3+CE34*1,"")</f>
        <v/>
      </c>
      <c r="CK34" s="23" t="str">
        <f>IF(CC34&lt;&gt;"",VLOOKUP(CC34,B4:H40,7,FALSE),"")</f>
        <v/>
      </c>
      <c r="CL34" s="23" t="str">
        <f>IF(CC34&lt;&gt;"",VLOOKUP(CC34,B4:H40,5,FALSE),"")</f>
        <v/>
      </c>
      <c r="CM34" s="23" t="str">
        <f>IF(CC34&lt;&gt;"",VLOOKUP(CC34,B4:J40,9,FALSE),"")</f>
        <v/>
      </c>
      <c r="CN34" s="23" t="str">
        <f t="shared" ref="CN34" si="57">CJ34</f>
        <v/>
      </c>
      <c r="CO34" s="23" t="str">
        <f>IF(CC34&lt;&gt;"",RANK(CN34,AF31:AF35),"")</f>
        <v/>
      </c>
      <c r="CP34" s="23" t="str">
        <f>IF(CC34&lt;&gt;"",SUMPRODUCT((CN31:CN35=CN34)*(CI31:CI35&gt;CI34)),"")</f>
        <v/>
      </c>
      <c r="CQ34" s="23" t="str">
        <f>IF(CC34&lt;&gt;"",SUMPRODUCT((CN31:CN35=CN34)*(CI31:CI35=CI34)*(CG31:CG35&gt;CG34)),"")</f>
        <v/>
      </c>
      <c r="CR34" s="23" t="str">
        <f>IF(CC34&lt;&gt;"",SUMPRODUCT((CN31:CN35=CN34)*(CI31:CI35=CI34)*(CG31:CG35=CG34)*(CK31:CK35&gt;CK34)),"")</f>
        <v/>
      </c>
      <c r="CS34" s="23" t="str">
        <f>IF(CC34&lt;&gt;"",SUMPRODUCT((CN31:CN35=CN34)*(CI31:CI35=CI34)*(CG31:CG35=CG34)*(CK31:CK35=CK34)*(CL31:CL35&gt;CL34)),"")</f>
        <v/>
      </c>
      <c r="CT34" s="23" t="str">
        <f>IF(CC34&lt;&gt;"",SUMPRODUCT((CN31:CN35=CN34)*(CI31:CI35=CI34)*(CG31:CG35=CG34)*(CK31:CK35=CK34)*(CL31:CL35=CL34)*(CM31:CM35&gt;CM34)),"")</f>
        <v/>
      </c>
      <c r="CU34" s="23" t="str">
        <f>IF(CC34&lt;&gt;"",SUM(CO34:CT34)+3,"")</f>
        <v/>
      </c>
      <c r="CV34" s="23" t="str">
        <f>IF(CC34&lt;&gt;"",INDEX(U31:U35,MATCH(1,AM31:AM35,0),0),"")</f>
        <v/>
      </c>
      <c r="CW34" s="23" t="str">
        <f ca="1">IF(CV34&lt;&gt;"",CV34,IF(CB34&lt;&gt;"",CB34,IF(BH34&lt;&gt;"",BH34,IF(AN34&lt;&gt;"",AN34,N34))))</f>
        <v>Ukraine</v>
      </c>
      <c r="CX34" s="23">
        <v>4</v>
      </c>
      <c r="CY34" s="23">
        <v>32</v>
      </c>
      <c r="CZ34" s="23" t="str">
        <f>Tournament!G38</f>
        <v>France</v>
      </c>
      <c r="DA34" s="23">
        <f ca="1">IF(AND(Tournament!H38&lt;&gt;"",Tournament!I38&lt;&gt;""),Tournament!H38,0)</f>
        <v>0</v>
      </c>
      <c r="DB34" s="23">
        <f ca="1">IF(AND(Tournament!I38&lt;&gt;"",Tournament!H38&lt;&gt;""),Tournament!I38,0)</f>
        <v>0</v>
      </c>
      <c r="DC34" s="23" t="str">
        <f>Tournament!J38</f>
        <v>Poland</v>
      </c>
      <c r="DD34" s="23" t="str">
        <f ca="1">IF(AND(Tournament!H38&lt;&gt;"",Tournament!I38&lt;&gt;""),IF(DA34&gt;DB34,"W",IF(DA34=DB34,"D","L")),"")</f>
        <v/>
      </c>
      <c r="DE34" s="23" t="str">
        <f t="shared" ca="1" si="0"/>
        <v/>
      </c>
      <c r="EF34" s="260"/>
      <c r="EG34" s="261"/>
      <c r="EH34" s="262"/>
      <c r="EI34" s="263"/>
      <c r="EJ34" s="262"/>
      <c r="EL34" s="264">
        <v>45467.875</v>
      </c>
      <c r="EM34" s="265">
        <f>EL34+EK7/24</f>
        <v>45467.875</v>
      </c>
      <c r="EO34" s="274" t="s">
        <v>781</v>
      </c>
      <c r="EP34" s="23">
        <v>-4</v>
      </c>
      <c r="EQ34" s="23" t="s">
        <v>559</v>
      </c>
      <c r="ER34" s="23" t="s">
        <v>558</v>
      </c>
    </row>
    <row r="35" spans="1:148" x14ac:dyDescent="0.25">
      <c r="CY35" s="23">
        <v>33</v>
      </c>
      <c r="CZ35" s="23" t="str">
        <f>Tournament!G39</f>
        <v>Slovakia</v>
      </c>
      <c r="DA35" s="23">
        <f ca="1">IF(AND(Tournament!H39&lt;&gt;"",Tournament!I39&lt;&gt;""),Tournament!H39,0)</f>
        <v>0</v>
      </c>
      <c r="DB35" s="23">
        <f ca="1">IF(AND(Tournament!I39&lt;&gt;"",Tournament!H39&lt;&gt;""),Tournament!I39,0)</f>
        <v>0</v>
      </c>
      <c r="DC35" s="23" t="str">
        <f>Tournament!J39</f>
        <v>Romania</v>
      </c>
      <c r="DD35" s="23" t="str">
        <f ca="1">IF(AND(Tournament!H39&lt;&gt;"",Tournament!I39&lt;&gt;""),IF(DA35&gt;DB35,"W",IF(DA35=DB35,"D","L")),"")</f>
        <v/>
      </c>
      <c r="DE35" s="23" t="str">
        <f t="shared" ca="1" si="0"/>
        <v/>
      </c>
      <c r="EF35" s="260"/>
      <c r="EG35" s="261"/>
      <c r="EH35" s="262"/>
      <c r="EI35" s="263"/>
      <c r="EJ35" s="262"/>
      <c r="EL35" s="264">
        <v>45468.875</v>
      </c>
      <c r="EM35" s="265">
        <f>EL35+EK7/24</f>
        <v>45468.875</v>
      </c>
      <c r="EO35" s="274" t="s">
        <v>782</v>
      </c>
      <c r="EP35" s="23">
        <v>-4</v>
      </c>
      <c r="EQ35" s="23" t="s">
        <v>561</v>
      </c>
      <c r="ER35" s="23" t="s">
        <v>560</v>
      </c>
    </row>
    <row r="36" spans="1:148" x14ac:dyDescent="0.25">
      <c r="CY36" s="23">
        <v>34</v>
      </c>
      <c r="CZ36" s="23" t="str">
        <f>Tournament!G40</f>
        <v>Ukraine</v>
      </c>
      <c r="DA36" s="23">
        <f ca="1">IF(AND(Tournament!H40&lt;&gt;"",Tournament!I40&lt;&gt;""),Tournament!H40,0)</f>
        <v>0</v>
      </c>
      <c r="DB36" s="23">
        <f ca="1">IF(AND(Tournament!I40&lt;&gt;"",Tournament!H40&lt;&gt;""),Tournament!I40,0)</f>
        <v>0</v>
      </c>
      <c r="DC36" s="23" t="str">
        <f>Tournament!J40</f>
        <v>Belgium</v>
      </c>
      <c r="DD36" s="23" t="str">
        <f ca="1">IF(AND(Tournament!H40&lt;&gt;"",Tournament!I40&lt;&gt;""),IF(DA36&gt;DB36,"W",IF(DA36=DB36,"D","L")),"")</f>
        <v/>
      </c>
      <c r="DE36" s="23" t="str">
        <f t="shared" ca="1" si="0"/>
        <v/>
      </c>
      <c r="EF36" s="260"/>
      <c r="EG36" s="261"/>
      <c r="EH36" s="262"/>
      <c r="EI36" s="263"/>
      <c r="EJ36" s="262"/>
      <c r="EL36" s="264">
        <v>45468.875</v>
      </c>
      <c r="EM36" s="265">
        <f>EL36+EK7/24</f>
        <v>45468.875</v>
      </c>
      <c r="EO36" s="274" t="s">
        <v>783</v>
      </c>
      <c r="EP36" s="23">
        <v>-4</v>
      </c>
      <c r="EQ36" s="23" t="s">
        <v>563</v>
      </c>
      <c r="ER36" s="23" t="s">
        <v>562</v>
      </c>
    </row>
    <row r="37" spans="1:148" x14ac:dyDescent="0.25">
      <c r="A37" s="23">
        <f ca="1">VLOOKUP(B37,CW37:CX41,2,FALSE)</f>
        <v>1</v>
      </c>
      <c r="B37" s="23" t="str">
        <f>'Dummy Table'!EH27</f>
        <v>Portugal</v>
      </c>
      <c r="C37" s="23">
        <f ca="1">SUMPRODUCT((CZ3:CZ42=B37)*(DD3:DD42="W"))+SUMPRODUCT((DC3:DC42=B37)*(DE3:DE42="W"))</f>
        <v>0</v>
      </c>
      <c r="D37" s="23">
        <f ca="1">SUMPRODUCT((CZ3:CZ42=B37)*(DD3:DD42="D"))+SUMPRODUCT((DC3:DC42=B37)*(DE3:DE42="D"))</f>
        <v>0</v>
      </c>
      <c r="E37" s="23">
        <f ca="1">SUMPRODUCT((CZ3:CZ42=B37)*(DD3:DD42="L"))+SUMPRODUCT((DC3:DC42=B37)*(DE3:DE42="L"))</f>
        <v>0</v>
      </c>
      <c r="F37" s="23">
        <f ca="1">SUMIF(CZ3:CZ60,B37,DA3:DA60)+SUMIF(DC3:DC60,B37,DB3:DB60)</f>
        <v>0</v>
      </c>
      <c r="G37" s="23">
        <f ca="1">SUMIF(DC3:DC60,B37,DA3:DA60)+SUMIF(CZ3:CZ60,B37,DB3:DB60)</f>
        <v>0</v>
      </c>
      <c r="H37" s="23">
        <f t="shared" ref="H37:H40" ca="1" si="58">F37-G37+1000</f>
        <v>1000</v>
      </c>
      <c r="I37" s="23">
        <f t="shared" ref="I37:I40" ca="1" si="59">C37*3+D37*1</f>
        <v>0</v>
      </c>
      <c r="J37" s="23">
        <v>53</v>
      </c>
      <c r="K37" s="23">
        <f ca="1">IF(COUNTIF(I37:I41,4)&lt;&gt;4,RANK(I37,I37:I41),I77)</f>
        <v>1</v>
      </c>
      <c r="M37" s="23">
        <f ca="1">SUMPRODUCT((K37:K40=K37)*(J37:J40&lt;J37))+K37</f>
        <v>4</v>
      </c>
      <c r="N37" s="23" t="str">
        <f ca="1">INDEX(B37:B41,MATCH(1,M37:M41,0),0)</f>
        <v>Georgia</v>
      </c>
      <c r="O37" s="23">
        <f ca="1">INDEX(K37:K41,MATCH(N37,B37:B41,0),0)</f>
        <v>1</v>
      </c>
      <c r="P37" s="23" t="str">
        <f ca="1">IF(O38=1,N37,"")</f>
        <v>Georgia</v>
      </c>
      <c r="Q37" s="23" t="str">
        <f ca="1">IF(O39=2,N38,"")</f>
        <v/>
      </c>
      <c r="R37" s="23" t="str">
        <f ca="1">IF(O40=3,N39,"")</f>
        <v/>
      </c>
      <c r="S37" s="23" t="str">
        <f>IF(O41=4,N40,"")</f>
        <v/>
      </c>
      <c r="U37" s="23" t="str">
        <f ca="1">IF(P37&lt;&gt;"",P37,"")</f>
        <v>Georgia</v>
      </c>
      <c r="V37" s="23">
        <f ca="1">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23">
        <f ca="1">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0</v>
      </c>
      <c r="X37" s="23">
        <f ca="1">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0</v>
      </c>
      <c r="Y37" s="23">
        <f ca="1">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0</v>
      </c>
      <c r="Z37" s="23">
        <f ca="1">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0</v>
      </c>
      <c r="AA37" s="23">
        <f ca="1">Y37-Z37+1000</f>
        <v>1000</v>
      </c>
      <c r="AB37" s="23">
        <f t="shared" ref="AB37:AB40" ca="1" si="60">IF(U37&lt;&gt;"",V37*3+W37*1,"")</f>
        <v>0</v>
      </c>
      <c r="AC37" s="23">
        <f ca="1">IF(U37&lt;&gt;"",VLOOKUP(U37,B4:H40,7,FALSE),"")</f>
        <v>1000</v>
      </c>
      <c r="AD37" s="23">
        <f ca="1">IF(U37&lt;&gt;"",VLOOKUP(U37,B4:H40,5,FALSE),"")</f>
        <v>0</v>
      </c>
      <c r="AE37" s="23">
        <f ca="1">IF(U37&lt;&gt;"",VLOOKUP(U37,B4:J40,9,FALSE),"")</f>
        <v>0</v>
      </c>
      <c r="AF37" s="23">
        <f t="shared" ref="AF37:AF40" ca="1" si="61">AB37</f>
        <v>0</v>
      </c>
      <c r="AG37" s="23">
        <f ca="1">IF(U37&lt;&gt;"",RANK(AF37,AF37:AF41),"")</f>
        <v>1</v>
      </c>
      <c r="AH37" s="23">
        <f ca="1">IF(U37&lt;&gt;"",SUMPRODUCT((AF37:AF41=AF37)*(AA37:AA41&gt;AA37)),"")</f>
        <v>0</v>
      </c>
      <c r="AI37" s="23">
        <f ca="1">IF(U37&lt;&gt;"",SUMPRODUCT((AF37:AF41=AF37)*(AA37:AA41=AA37)*(Y37:Y41&gt;Y37)),"")</f>
        <v>0</v>
      </c>
      <c r="AJ37" s="23">
        <f ca="1">IF(U37&lt;&gt;"",SUMPRODUCT((AF37:AF41=AF37)*(AA37:AA41=AA37)*(Y37:Y41=Y37)*(AC37:AC41&gt;AC37)),"")</f>
        <v>0</v>
      </c>
      <c r="AK37" s="23">
        <f ca="1">IF(U37&lt;&gt;"",SUMPRODUCT((AF37:AF41=AF37)*(AA37:AA41=AA37)*(Y37:Y41=Y37)*(AC37:AC41=AC37)*(AD37:AD41&gt;AD37)),"")</f>
        <v>0</v>
      </c>
      <c r="AL37" s="23">
        <f ca="1">IF(U37&lt;&gt;"",SUMPRODUCT((AF37:AF41=AF37)*(AA37:AA41=AA37)*(Y37:Y41=Y37)*(AC37:AC41=AC37)*(AD37:AD41=AD37)*(AE37:AE41&gt;AE37)),"")</f>
        <v>3</v>
      </c>
      <c r="AM37" s="23">
        <f ca="1">IF(U37&lt;&gt;"",IF(AM77&lt;&gt;"",IF(T76=3,AM77,AM77+T76),SUM(AG37:AL37)),"")</f>
        <v>4</v>
      </c>
      <c r="AN37" s="23" t="str">
        <f ca="1">IF(U37&lt;&gt;"",INDEX(U37:U41,MATCH(1,AM37:AM41,0),0),"")</f>
        <v>Portugal</v>
      </c>
      <c r="CW37" s="23" t="str">
        <f ca="1">IF(AN37&lt;&gt;"",AN37,N37)</f>
        <v>Portugal</v>
      </c>
      <c r="CX37" s="23">
        <v>1</v>
      </c>
      <c r="CY37" s="23">
        <v>35</v>
      </c>
      <c r="CZ37" s="23" t="str">
        <f>Tournament!G41</f>
        <v>Georgia</v>
      </c>
      <c r="DA37" s="23">
        <f ca="1">IF(AND(Tournament!H41&lt;&gt;"",Tournament!I41&lt;&gt;""),Tournament!H41,0)</f>
        <v>0</v>
      </c>
      <c r="DB37" s="23">
        <f ca="1">IF(AND(Tournament!I41&lt;&gt;"",Tournament!H41&lt;&gt;""),Tournament!I41,0)</f>
        <v>0</v>
      </c>
      <c r="DC37" s="23" t="str">
        <f>Tournament!J41</f>
        <v>Portugal</v>
      </c>
      <c r="DD37" s="23" t="str">
        <f ca="1">IF(AND(Tournament!H41&lt;&gt;"",Tournament!I41&lt;&gt;""),IF(DA37&gt;DB37,"W",IF(DA37=DB37,"D","L")),"")</f>
        <v/>
      </c>
      <c r="DE37" s="23" t="str">
        <f t="shared" ca="1" si="0"/>
        <v/>
      </c>
      <c r="EF37" s="260"/>
      <c r="EG37" s="261"/>
      <c r="EH37" s="262"/>
      <c r="EI37" s="263"/>
      <c r="EJ37" s="262"/>
      <c r="EL37" s="264">
        <v>45468.75</v>
      </c>
      <c r="EM37" s="265">
        <f>EL37+EK7/24</f>
        <v>45468.75</v>
      </c>
      <c r="EO37" s="274" t="s">
        <v>784</v>
      </c>
      <c r="EP37" s="23">
        <v>-4</v>
      </c>
      <c r="EQ37" s="23" t="s">
        <v>565</v>
      </c>
      <c r="ER37" s="23" t="s">
        <v>564</v>
      </c>
    </row>
    <row r="38" spans="1:148" x14ac:dyDescent="0.25">
      <c r="A38" s="23">
        <f ca="1">VLOOKUP(B38,CW37:CX41,2,FALSE)</f>
        <v>3</v>
      </c>
      <c r="B38" s="23" t="str">
        <f>'Dummy Table'!EH28</f>
        <v>Czechia</v>
      </c>
      <c r="C38" s="23">
        <f ca="1">SUMPRODUCT((CZ3:CZ42=B38)*(DD3:DD42="W"))+SUMPRODUCT((DC3:DC42=B38)*(DE3:DE42="W"))</f>
        <v>0</v>
      </c>
      <c r="D38" s="23">
        <f ca="1">SUMPRODUCT((CZ3:CZ42=B38)*(DD3:DD42="D"))+SUMPRODUCT((DC3:DC42=B38)*(DE3:DE42="D"))</f>
        <v>0</v>
      </c>
      <c r="E38" s="23">
        <f ca="1">SUMPRODUCT((CZ3:CZ42=B38)*(DD3:DD42="L"))+SUMPRODUCT((DC3:DC42=B38)*(DE3:DE42="L"))</f>
        <v>0</v>
      </c>
      <c r="F38" s="23">
        <f ca="1">SUMIF(CZ3:CZ60,B38,DA3:DA60)+SUMIF(DC3:DC60,B38,DB3:DB60)</f>
        <v>0</v>
      </c>
      <c r="G38" s="23">
        <f ca="1">SUMIF(DC3:DC60,B38,DA3:DA60)+SUMIF(CZ3:CZ60,B38,DB3:DB60)</f>
        <v>0</v>
      </c>
      <c r="H38" s="23">
        <f t="shared" ca="1" si="58"/>
        <v>1000</v>
      </c>
      <c r="I38" s="23">
        <f t="shared" ca="1" si="59"/>
        <v>0</v>
      </c>
      <c r="J38" s="23">
        <v>37</v>
      </c>
      <c r="K38" s="23">
        <f ca="1">IF(COUNTIF(I37:I41,4)&lt;&gt;4,RANK(I38,I37:I41),I78)</f>
        <v>1</v>
      </c>
      <c r="M38" s="23">
        <f ca="1">SUMPRODUCT((K37:K40=K38)*(J37:J40&lt;J38))+K38</f>
        <v>2</v>
      </c>
      <c r="N38" s="23" t="str">
        <f ca="1">INDEX(B37:B41,MATCH(2,M37:M41,0),0)</f>
        <v>Czechia</v>
      </c>
      <c r="O38" s="23">
        <f ca="1">INDEX(K37:K41,MATCH(N38,B37:B41,0),0)</f>
        <v>1</v>
      </c>
      <c r="P38" s="23" t="str">
        <f ca="1">IF(P37&lt;&gt;"",N38,"")</f>
        <v>Czechia</v>
      </c>
      <c r="Q38" s="23" t="str">
        <f ca="1">IF(Q37&lt;&gt;"",N39,"")</f>
        <v/>
      </c>
      <c r="R38" s="23" t="str">
        <f ca="1">IF(R37&lt;&gt;"",N40,"")</f>
        <v/>
      </c>
      <c r="S38" s="23" t="str">
        <f>IF(S37&lt;&gt;"",N41,"")</f>
        <v/>
      </c>
      <c r="U38" s="23" t="str">
        <f t="shared" ref="U38:U40" ca="1" si="62">IF(P38&lt;&gt;"",P38,"")</f>
        <v>Czechia</v>
      </c>
      <c r="V38" s="23">
        <f ca="1">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0</v>
      </c>
      <c r="W38" s="23">
        <f ca="1">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0</v>
      </c>
      <c r="X38" s="23">
        <f ca="1">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23">
        <f ca="1">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0</v>
      </c>
      <c r="Z38" s="23">
        <f ca="1">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0</v>
      </c>
      <c r="AA38" s="23">
        <f ca="1">Y38-Z38+1000</f>
        <v>1000</v>
      </c>
      <c r="AB38" s="23">
        <f t="shared" ca="1" si="60"/>
        <v>0</v>
      </c>
      <c r="AC38" s="23">
        <f ca="1">IF(U38&lt;&gt;"",VLOOKUP(U38,B4:H40,7,FALSE),"")</f>
        <v>1000</v>
      </c>
      <c r="AD38" s="23">
        <f ca="1">IF(U38&lt;&gt;"",VLOOKUP(U38,B4:H40,5,FALSE),"")</f>
        <v>0</v>
      </c>
      <c r="AE38" s="23">
        <f ca="1">IF(U38&lt;&gt;"",VLOOKUP(U38,B4:J40,9,FALSE),"")</f>
        <v>37</v>
      </c>
      <c r="AF38" s="23">
        <f t="shared" ca="1" si="61"/>
        <v>0</v>
      </c>
      <c r="AG38" s="23">
        <f ca="1">IF(U38&lt;&gt;"",RANK(AF38,AF37:AF41),"")</f>
        <v>1</v>
      </c>
      <c r="AH38" s="23">
        <f ca="1">IF(U38&lt;&gt;"",SUMPRODUCT((AF37:AF41=AF38)*(AA37:AA41&gt;AA38)),"")</f>
        <v>0</v>
      </c>
      <c r="AI38" s="23">
        <f ca="1">IF(U38&lt;&gt;"",SUMPRODUCT((AF37:AF41=AF38)*(AA37:AA41=AA38)*(Y37:Y41&gt;Y38)),"")</f>
        <v>0</v>
      </c>
      <c r="AJ38" s="23">
        <f ca="1">IF(U38&lt;&gt;"",SUMPRODUCT((AF37:AF41=AF38)*(AA37:AA41=AA38)*(Y37:Y41=Y38)*(AC37:AC41&gt;AC38)),"")</f>
        <v>0</v>
      </c>
      <c r="AK38" s="23">
        <f ca="1">IF(U38&lt;&gt;"",SUMPRODUCT((AF37:AF41=AF38)*(AA37:AA41=AA38)*(Y37:Y41=Y38)*(AC37:AC41=AC38)*(AD37:AD41&gt;AD38)),"")</f>
        <v>0</v>
      </c>
      <c r="AL38" s="23">
        <f ca="1">IF(U38&lt;&gt;"",SUMPRODUCT((AF37:AF41=AF38)*(AA37:AA41=AA38)*(Y37:Y41=Y38)*(AC37:AC41=AC38)*(AD37:AD41=AD38)*(AE37:AE41&gt;AE38)),"")</f>
        <v>2</v>
      </c>
      <c r="AM38" s="23">
        <f ca="1">IF(U38&lt;&gt;"",IF(AM78&lt;&gt;"",IF(T76=3,AM78,AM78+T76),SUM(AG38:AL38)),"")</f>
        <v>3</v>
      </c>
      <c r="AN38" s="23" t="str">
        <f ca="1">IF(U38&lt;&gt;"",INDEX(U37:U41,MATCH(2,AM37:AM41,0),0),"")</f>
        <v>Türkiye</v>
      </c>
      <c r="AO38" s="23" t="str">
        <f ca="1">IF(Q37&lt;&gt;"",Q37,"")</f>
        <v/>
      </c>
      <c r="AP38" s="23">
        <f ca="1">SUMPRODUCT((CZ3:CZ42=AO38)*(DC3:DC42=AO39)*(DD3:DD42="W"))+SUMPRODUCT((CZ3:CZ42=AO38)*(DC3:DC42=AO40)*(DD3:DD42="W"))+SUMPRODUCT((CZ3:CZ42=AO38)*(DC3:DC42=AO41)*(DD3:DD42="W"))+SUMPRODUCT((CZ3:CZ42=AO39)*(DC3:DC42=AO38)*(DE3:DE42="W"))+SUMPRODUCT((CZ3:CZ42=AO40)*(DC3:DC42=AO38)*(DE3:DE42="W"))+SUMPRODUCT((CZ3:CZ42=AO41)*(DC3:DC42=AO38)*(DE3:DE42="W"))</f>
        <v>0</v>
      </c>
      <c r="AQ38" s="23">
        <f ca="1">SUMPRODUCT((CZ3:CZ42=AO38)*(DC3:DC42=AO39)*(DD3:DD42="D"))+SUMPRODUCT((CZ3:CZ42=AO38)*(DC3:DC42=AO40)*(DD3:DD42="D"))+SUMPRODUCT((CZ3:CZ42=AO38)*(DC3:DC42=AO41)*(DD3:DD42="D"))+SUMPRODUCT((CZ3:CZ42=AO39)*(DC3:DC42=AO38)*(DD3:DD42="D"))+SUMPRODUCT((CZ3:CZ42=AO40)*(DC3:DC42=AO38)*(DD3:DD42="D"))+SUMPRODUCT((CZ3:CZ42=AO41)*(DC3:DC42=AO38)*(DD3:DD42="D"))</f>
        <v>0</v>
      </c>
      <c r="AR38" s="23">
        <f ca="1">SUMPRODUCT((CZ3:CZ42=AO38)*(DC3:DC42=AO39)*(DD3:DD42="L"))+SUMPRODUCT((CZ3:CZ42=AO38)*(DC3:DC42=AO40)*(DD3:DD42="L"))+SUMPRODUCT((CZ3:CZ42=AO38)*(DC3:DC42=AO41)*(DD3:DD42="L"))+SUMPRODUCT((CZ3:CZ42=AO39)*(DC3:DC42=AO38)*(DE3:DE42="L"))+SUMPRODUCT((CZ3:CZ42=AO40)*(DC3:DC42=AO38)*(DE3:DE42="L"))+SUMPRODUCT((CZ3:CZ42=AO41)*(DC3:DC42=AO38)*(DE3:DE42="L"))</f>
        <v>0</v>
      </c>
      <c r="AS38" s="23">
        <f ca="1">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23">
        <f ca="1">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23">
        <f ca="1">AS38-AT38+1000</f>
        <v>1000</v>
      </c>
      <c r="AV38" s="23" t="str">
        <f t="shared" ref="AV38:AV40" ca="1" si="63">IF(AO38&lt;&gt;"",AP38*3+AQ38*1,"")</f>
        <v/>
      </c>
      <c r="AW38" s="23" t="str">
        <f ca="1">IF(AO38&lt;&gt;"",VLOOKUP(AO38,B4:H40,7,FALSE),"")</f>
        <v/>
      </c>
      <c r="AX38" s="23" t="str">
        <f ca="1">IF(AO38&lt;&gt;"",VLOOKUP(AO38,B4:H40,5,FALSE),"")</f>
        <v/>
      </c>
      <c r="AY38" s="23" t="str">
        <f ca="1">IF(AO38&lt;&gt;"",VLOOKUP(AO38,B4:J40,9,FALSE),"")</f>
        <v/>
      </c>
      <c r="AZ38" s="23" t="str">
        <f t="shared" ref="AZ38:AZ40" ca="1" si="64">AV38</f>
        <v/>
      </c>
      <c r="BA38" s="23" t="str">
        <f ca="1">IF(AO38&lt;&gt;"",RANK(AZ38,AZ37:AZ40),"")</f>
        <v/>
      </c>
      <c r="BB38" s="23" t="str">
        <f ca="1">IF(AO38&lt;&gt;"",SUMPRODUCT((AZ37:AZ41=AZ38)*(AU37:AU41&gt;AU38)),"")</f>
        <v/>
      </c>
      <c r="BC38" s="23" t="str">
        <f ca="1">IF(AO38&lt;&gt;"",SUMPRODUCT((AZ37:AZ41=AZ38)*(AU37:AU41=AU38)*(AS37:AS41&gt;AS38)),"")</f>
        <v/>
      </c>
      <c r="BD38" s="23" t="str">
        <f ca="1">IF(AO38&lt;&gt;"",SUMPRODUCT((AZ37:AZ41=AZ38)*(AU37:AU41=AU38)*(AS37:AS41=AS38)*(AW37:AW41&gt;AW38)),"")</f>
        <v/>
      </c>
      <c r="BE38" s="23" t="str">
        <f ca="1">IF(AO38&lt;&gt;"",SUMPRODUCT((AZ37:AZ41=AZ38)*(AU37:AU41=AU38)*(AS37:AS41=AS38)*(AW37:AW41=AW38)*(AX37:AX41&gt;AX38)),"")</f>
        <v/>
      </c>
      <c r="BF38" s="23" t="str">
        <f ca="1">IF(AO38&lt;&gt;"",SUMPRODUCT((AZ37:AZ41=AZ38)*(AU37:AU41=AU38)*(AS37:AS41=AS38)*(AW37:AW41=AW38)*(AX37:AX41=AX38)*(AY37:AY41&gt;AY38)),"")</f>
        <v/>
      </c>
      <c r="BG38" s="23" t="str">
        <f ca="1">IF(AO38&lt;&gt;"",IF(BG78&lt;&gt;"",IF(AN76=3,BG78,BG78+AN76),SUM(BA38:BF38)+1),"")</f>
        <v/>
      </c>
      <c r="BH38" s="23" t="str">
        <f ca="1">IF(AO38&lt;&gt;"",INDEX(AO38:AO41,MATCH(2,BG38:BG41,0),0),"")</f>
        <v/>
      </c>
      <c r="CW38" s="23" t="str">
        <f ca="1">IF(BH38&lt;&gt;"",BH38,IF(AN38&lt;&gt;"",AN38,N38))</f>
        <v>Türkiye</v>
      </c>
      <c r="CX38" s="23">
        <v>2</v>
      </c>
      <c r="CY38" s="23">
        <v>36</v>
      </c>
      <c r="CZ38" s="23" t="str">
        <f>Tournament!G42</f>
        <v>Czechia</v>
      </c>
      <c r="DA38" s="23">
        <f ca="1">IF(AND(Tournament!H42&lt;&gt;"",Tournament!I42&lt;&gt;""),Tournament!H42,0)</f>
        <v>0</v>
      </c>
      <c r="DB38" s="23">
        <f ca="1">IF(AND(Tournament!I42&lt;&gt;"",Tournament!H42&lt;&gt;""),Tournament!I42,0)</f>
        <v>0</v>
      </c>
      <c r="DC38" s="23" t="str">
        <f>Tournament!J42</f>
        <v>Türkiye</v>
      </c>
      <c r="DD38" s="23" t="str">
        <f ca="1">IF(AND(Tournament!H42&lt;&gt;"",Tournament!I42&lt;&gt;""),IF(DA38&gt;DB38,"W",IF(DA38=DB38,"D","L")),"")</f>
        <v/>
      </c>
      <c r="DE38" s="23" t="str">
        <f t="shared" ca="1" si="0"/>
        <v/>
      </c>
      <c r="EF38" s="260"/>
      <c r="EG38" s="261"/>
      <c r="EH38" s="262"/>
      <c r="EI38" s="263"/>
      <c r="EJ38" s="262"/>
      <c r="EL38" s="264">
        <v>45468.75</v>
      </c>
      <c r="EM38" s="265">
        <f>EL38+EK7/24</f>
        <v>45468.75</v>
      </c>
      <c r="EO38" s="274" t="s">
        <v>785</v>
      </c>
      <c r="EP38" s="23">
        <v>-4</v>
      </c>
      <c r="EQ38" s="23" t="s">
        <v>567</v>
      </c>
      <c r="ER38" s="23" t="s">
        <v>566</v>
      </c>
    </row>
    <row r="39" spans="1:148" x14ac:dyDescent="0.25">
      <c r="A39" s="23">
        <f ca="1">VLOOKUP(B39,CW37:CX41,2,FALSE)</f>
        <v>2</v>
      </c>
      <c r="B39" s="23" t="str">
        <f>'Dummy Table'!EH29</f>
        <v>Türkiye</v>
      </c>
      <c r="C39" s="23">
        <f ca="1">SUMPRODUCT((CZ3:CZ42=B39)*(DD3:DD42="W"))+SUMPRODUCT((DC3:DC42=B39)*(DE3:DE42="W"))</f>
        <v>0</v>
      </c>
      <c r="D39" s="23">
        <f ca="1">SUMPRODUCT((CZ3:CZ42=B39)*(DD3:DD42="D"))+SUMPRODUCT((DC3:DC42=B39)*(DE3:DE42="D"))</f>
        <v>0</v>
      </c>
      <c r="E39" s="23">
        <f ca="1">SUMPRODUCT((CZ3:CZ42=B39)*(DD3:DD42="L"))+SUMPRODUCT((DC3:DC42=B39)*(DE3:DE42="L"))</f>
        <v>0</v>
      </c>
      <c r="F39" s="23">
        <f ca="1">SUMIF(CZ3:CZ60,B39,DA3:DA60)+SUMIF(DC3:DC60,B39,DB3:DB60)</f>
        <v>0</v>
      </c>
      <c r="G39" s="23">
        <f ca="1">SUMIF(DC3:DC60,B39,DA3:DA60)+SUMIF(CZ3:CZ60,B39,DB3:DB60)</f>
        <v>0</v>
      </c>
      <c r="H39" s="23">
        <f t="shared" ca="1" si="58"/>
        <v>1000</v>
      </c>
      <c r="I39" s="23">
        <f t="shared" ca="1" si="59"/>
        <v>0</v>
      </c>
      <c r="J39" s="23">
        <v>47</v>
      </c>
      <c r="K39" s="23">
        <f ca="1">IF(COUNTIF(I37:I41,4)&lt;&gt;4,RANK(I39,I37:I41),I79)</f>
        <v>1</v>
      </c>
      <c r="M39" s="23">
        <f ca="1">SUMPRODUCT((K37:K40=K39)*(J37:J40&lt;J39))+K39</f>
        <v>3</v>
      </c>
      <c r="N39" s="23" t="str">
        <f ca="1">INDEX(B37:B41,MATCH(3,M37:M41,0),0)</f>
        <v>Türkiye</v>
      </c>
      <c r="O39" s="23">
        <f ca="1">INDEX(K37:K41,MATCH(N39,B37:B41,0),0)</f>
        <v>1</v>
      </c>
      <c r="P39" s="23" t="str">
        <f ca="1">IF(AND(P38&lt;&gt;"",O39=1),N39,"")</f>
        <v>Türkiye</v>
      </c>
      <c r="Q39" s="23" t="str">
        <f ca="1">IF(AND(Q38&lt;&gt;"",O40=2),N40,"")</f>
        <v/>
      </c>
      <c r="R39" s="23" t="str">
        <f ca="1">IF(AND(R38&lt;&gt;"",O41=3),N41,"")</f>
        <v/>
      </c>
      <c r="U39" s="23" t="str">
        <f t="shared" ca="1" si="62"/>
        <v>Türkiye</v>
      </c>
      <c r="V39" s="23">
        <f ca="1">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23">
        <f ca="1">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23">
        <f ca="1">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23">
        <f ca="1">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23">
        <f ca="1">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23">
        <f ca="1">Y39-Z39+1000</f>
        <v>1000</v>
      </c>
      <c r="AB39" s="23">
        <f t="shared" ca="1" si="60"/>
        <v>0</v>
      </c>
      <c r="AC39" s="23">
        <f ca="1">IF(U39&lt;&gt;"",VLOOKUP(U39,B4:H40,7,FALSE),"")</f>
        <v>1000</v>
      </c>
      <c r="AD39" s="23">
        <f ca="1">IF(U39&lt;&gt;"",VLOOKUP(U39,B4:H40,5,FALSE),"")</f>
        <v>0</v>
      </c>
      <c r="AE39" s="23">
        <f ca="1">IF(U39&lt;&gt;"",VLOOKUP(U39,B4:J40,9,FALSE),"")</f>
        <v>47</v>
      </c>
      <c r="AF39" s="23">
        <f t="shared" ca="1" si="61"/>
        <v>0</v>
      </c>
      <c r="AG39" s="23">
        <f ca="1">IF(U39&lt;&gt;"",RANK(AF39,AF37:AF41),"")</f>
        <v>1</v>
      </c>
      <c r="AH39" s="23">
        <f ca="1">IF(U39&lt;&gt;"",SUMPRODUCT((AF37:AF41=AF39)*(AA37:AA41&gt;AA39)),"")</f>
        <v>0</v>
      </c>
      <c r="AI39" s="23">
        <f ca="1">IF(U39&lt;&gt;"",SUMPRODUCT((AF37:AF41=AF39)*(AA37:AA41=AA39)*(Y37:Y41&gt;Y39)),"")</f>
        <v>0</v>
      </c>
      <c r="AJ39" s="23">
        <f ca="1">IF(U39&lt;&gt;"",SUMPRODUCT((AF37:AF41=AF39)*(AA37:AA41=AA39)*(Y37:Y41=Y39)*(AC37:AC41&gt;AC39)),"")</f>
        <v>0</v>
      </c>
      <c r="AK39" s="23">
        <f ca="1">IF(U39&lt;&gt;"",SUMPRODUCT((AF37:AF41=AF39)*(AA37:AA41=AA39)*(Y37:Y41=Y39)*(AC37:AC41=AC39)*(AD37:AD41&gt;AD39)),"")</f>
        <v>0</v>
      </c>
      <c r="AL39" s="23">
        <f ca="1">IF(U39&lt;&gt;"",SUMPRODUCT((AF37:AF41=AF39)*(AA37:AA41=AA39)*(Y37:Y41=Y39)*(AC37:AC41=AC39)*(AD37:AD41=AD39)*(AE37:AE41&gt;AE39)),"")</f>
        <v>1</v>
      </c>
      <c r="AM39" s="23">
        <f ca="1">IF(U39&lt;&gt;"",IF(AM79&lt;&gt;"",IF(T76=3,AM79,AM79+T76),SUM(AG39:AL39)),"")</f>
        <v>2</v>
      </c>
      <c r="AN39" s="23" t="str">
        <f ca="1">IF(U39&lt;&gt;"",INDEX(U37:U41,MATCH(3,AM37:AM41,0),0),"")</f>
        <v>Czechia</v>
      </c>
      <c r="AO39" s="23" t="str">
        <f ca="1">IF(Q38&lt;&gt;"",Q38,"")</f>
        <v/>
      </c>
      <c r="AP39" s="23">
        <f ca="1">SUMPRODUCT((CZ3:CZ42=AO39)*(DC3:DC42=AO40)*(DD3:DD42="W"))+SUMPRODUCT((CZ3:CZ42=AO39)*(DC3:DC42=AO41)*(DD3:DD42="W"))+SUMPRODUCT((CZ3:CZ42=AO39)*(DC3:DC42=AO38)*(DD3:DD42="W"))+SUMPRODUCT((CZ3:CZ42=AO40)*(DC3:DC42=AO39)*(DE3:DE42="W"))+SUMPRODUCT((CZ3:CZ42=AO41)*(DC3:DC42=AO39)*(DE3:DE42="W"))+SUMPRODUCT((CZ3:CZ42=AO38)*(DC3:DC42=AO39)*(DE3:DE42="W"))</f>
        <v>0</v>
      </c>
      <c r="AQ39" s="23">
        <f ca="1">SUMPRODUCT((CZ3:CZ42=AO39)*(DC3:DC42=AO40)*(DD3:DD42="D"))+SUMPRODUCT((CZ3:CZ42=AO39)*(DC3:DC42=AO41)*(DD3:DD42="D"))+SUMPRODUCT((CZ3:CZ42=AO39)*(DC3:DC42=AO38)*(DD3:DD42="D"))+SUMPRODUCT((CZ3:CZ42=AO40)*(DC3:DC42=AO39)*(DD3:DD42="D"))+SUMPRODUCT((CZ3:CZ42=AO41)*(DC3:DC42=AO39)*(DD3:DD42="D"))+SUMPRODUCT((CZ3:CZ42=AO38)*(DC3:DC42=AO39)*(DD3:DD42="D"))</f>
        <v>0</v>
      </c>
      <c r="AR39" s="23">
        <f ca="1">SUMPRODUCT((CZ3:CZ42=AO39)*(DC3:DC42=AO40)*(DD3:DD42="L"))+SUMPRODUCT((CZ3:CZ42=AO39)*(DC3:DC42=AO41)*(DD3:DD42="L"))+SUMPRODUCT((CZ3:CZ42=AO39)*(DC3:DC42=AO38)*(DD3:DD42="L"))+SUMPRODUCT((CZ3:CZ42=AO40)*(DC3:DC42=AO39)*(DE3:DE42="L"))+SUMPRODUCT((CZ3:CZ42=AO41)*(DC3:DC42=AO39)*(DE3:DE42="L"))+SUMPRODUCT((CZ3:CZ42=AO38)*(DC3:DC42=AO39)*(DE3:DE42="L"))</f>
        <v>0</v>
      </c>
      <c r="AS39" s="23">
        <f ca="1">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23">
        <f ca="1">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23">
        <f ca="1">AS39-AT39+1000</f>
        <v>1000</v>
      </c>
      <c r="AV39" s="23" t="str">
        <f t="shared" ca="1" si="63"/>
        <v/>
      </c>
      <c r="AW39" s="23" t="str">
        <f ca="1">IF(AO39&lt;&gt;"",VLOOKUP(AO39,B4:H40,7,FALSE),"")</f>
        <v/>
      </c>
      <c r="AX39" s="23" t="str">
        <f ca="1">IF(AO39&lt;&gt;"",VLOOKUP(AO39,B4:H40,5,FALSE),"")</f>
        <v/>
      </c>
      <c r="AY39" s="23" t="str">
        <f ca="1">IF(AO39&lt;&gt;"",VLOOKUP(AO39,B4:J40,9,FALSE),"")</f>
        <v/>
      </c>
      <c r="AZ39" s="23" t="str">
        <f t="shared" ca="1" si="64"/>
        <v/>
      </c>
      <c r="BA39" s="23" t="str">
        <f ca="1">IF(AO39&lt;&gt;"",RANK(AZ39,AZ37:AZ40),"")</f>
        <v/>
      </c>
      <c r="BB39" s="23" t="str">
        <f ca="1">IF(AO39&lt;&gt;"",SUMPRODUCT((AZ37:AZ41=AZ39)*(AU37:AU41&gt;AU39)),"")</f>
        <v/>
      </c>
      <c r="BC39" s="23" t="str">
        <f ca="1">IF(AO39&lt;&gt;"",SUMPRODUCT((AZ37:AZ41=AZ39)*(AU37:AU41=AU39)*(AS37:AS41&gt;AS39)),"")</f>
        <v/>
      </c>
      <c r="BD39" s="23" t="str">
        <f ca="1">IF(AO39&lt;&gt;"",SUMPRODUCT((AZ37:AZ41=AZ39)*(AU37:AU41=AU39)*(AS37:AS41=AS39)*(AW37:AW41&gt;AW39)),"")</f>
        <v/>
      </c>
      <c r="BE39" s="23" t="str">
        <f ca="1">IF(AO39&lt;&gt;"",SUMPRODUCT((AZ37:AZ41=AZ39)*(AU37:AU41=AU39)*(AS37:AS41=AS39)*(AW37:AW41=AW39)*(AX37:AX41&gt;AX39)),"")</f>
        <v/>
      </c>
      <c r="BF39" s="23" t="str">
        <f ca="1">IF(AO39&lt;&gt;"",SUMPRODUCT((AZ37:AZ41=AZ39)*(AU37:AU41=AU39)*(AS37:AS41=AS39)*(AW37:AW41=AW39)*(AX37:AX41=AX39)*(AY37:AY41&gt;AY39)),"")</f>
        <v/>
      </c>
      <c r="BG39" s="23" t="str">
        <f ca="1">IF(AO39&lt;&gt;"",IF(BG79&lt;&gt;"",IF(AN76=3,BG79,BG79+AN76),SUM(BA39:BF39)+1),"")</f>
        <v/>
      </c>
      <c r="BH39" s="23" t="str">
        <f ca="1">IF(AO39&lt;&gt;"",INDEX(AO38:AO41,MATCH(3,BG38:BG41,0),0),"")</f>
        <v/>
      </c>
      <c r="BI39" s="23" t="str">
        <f ca="1">IF(R37&lt;&gt;"",R37,"")</f>
        <v/>
      </c>
      <c r="BJ39" s="23">
        <f ca="1">SUMPRODUCT((CZ3:CZ42=BI39)*(DC3:DC42=BI40)*(DD3:DD42="W"))+SUMPRODUCT((CZ3:CZ42=BI39)*(DC3:DC42=BI41)*(DD3:DD42="W"))+SUMPRODUCT((CZ3:CZ42=BI39)*(DC3:DC42=BI42)*(DD3:DD42="W"))+SUMPRODUCT((CZ3:CZ42=BI40)*(DC3:DC42=BI39)*(DE3:DE42="W"))+SUMPRODUCT((CZ3:CZ42=BI41)*(DC3:DC42=BI39)*(DE3:DE42="W"))+SUMPRODUCT((CZ3:CZ42=BI42)*(DC3:DC42=BI39)*(DE3:DE42="W"))</f>
        <v>0</v>
      </c>
      <c r="BK39" s="23">
        <f ca="1">SUMPRODUCT((CZ3:CZ42=BI39)*(DC3:DC42=BI40)*(DD3:DD42="D"))+SUMPRODUCT((CZ3:CZ42=BI39)*(DC3:DC42=BI41)*(DD3:DD42="D"))+SUMPRODUCT((CZ3:CZ42=BI39)*(DC3:DC42=BI42)*(DD3:DD42="D"))+SUMPRODUCT((CZ3:CZ42=BI40)*(DC3:DC42=BI39)*(DD3:DD42="D"))+SUMPRODUCT((CZ3:CZ42=BI41)*(DC3:DC42=BI39)*(DD3:DD42="D"))+SUMPRODUCT((CZ3:CZ42=BI42)*(DC3:DC42=BI39)*(DD3:DD42="D"))</f>
        <v>0</v>
      </c>
      <c r="BL39" s="23">
        <f ca="1">SUMPRODUCT((CZ3:CZ42=BI39)*(DC3:DC42=BI40)*(DD3:DD42="L"))+SUMPRODUCT((CZ3:CZ42=BI39)*(DC3:DC42=BI41)*(DD3:DD42="L"))+SUMPRODUCT((CZ3:CZ42=BI39)*(DC3:DC42=BI42)*(DD3:DD42="L"))+SUMPRODUCT((CZ3:CZ42=BI40)*(DC3:DC42=BI39)*(DE3:DE42="L"))+SUMPRODUCT((CZ3:CZ42=BI41)*(DC3:DC42=BI39)*(DE3:DE42="L"))+SUMPRODUCT((CZ3:CZ42=BI42)*(DC3:DC42=BI39)*(DE3:DE42="L"))</f>
        <v>0</v>
      </c>
      <c r="BM39" s="23">
        <f ca="1">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23">
        <f ca="1">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23">
        <f ca="1">BM39-BN39+1000</f>
        <v>1000</v>
      </c>
      <c r="BP39" s="23" t="str">
        <f t="shared" ref="BP39:BP40" ca="1" si="65">IF(BI39&lt;&gt;"",BJ39*3+BK39*1,"")</f>
        <v/>
      </c>
      <c r="BQ39" s="23" t="str">
        <f ca="1">IF(BI39&lt;&gt;"",VLOOKUP(BI39,B4:H40,7,FALSE),"")</f>
        <v/>
      </c>
      <c r="BR39" s="23" t="str">
        <f ca="1">IF(BI39&lt;&gt;"",VLOOKUP(BI39,B4:H40,5,FALSE),"")</f>
        <v/>
      </c>
      <c r="BS39" s="23" t="str">
        <f ca="1">IF(BI39&lt;&gt;"",VLOOKUP(BI39,B4:J40,9,FALSE),"")</f>
        <v/>
      </c>
      <c r="BT39" s="23" t="str">
        <f t="shared" ref="BT39:BT40" ca="1" si="66">BP39</f>
        <v/>
      </c>
      <c r="BU39" s="23" t="str">
        <f ca="1">IF(BI39&lt;&gt;"",RANK(BT39,BT38:BT40),"")</f>
        <v/>
      </c>
      <c r="BV39" s="23" t="str">
        <f ca="1">IF(BI39&lt;&gt;"",SUMPRODUCT((BT37:BT41=BT39)*(BO37:BO41&gt;BO39)),"")</f>
        <v/>
      </c>
      <c r="BW39" s="23" t="str">
        <f ca="1">IF(BI39&lt;&gt;"",SUMPRODUCT((BT37:BT41=BT39)*(BO37:BO41=BO39)*(BM37:BM41&gt;BM39)),"")</f>
        <v/>
      </c>
      <c r="BX39" s="23" t="str">
        <f ca="1">IF(BI39&lt;&gt;"",SUMPRODUCT((BT37:BT41=BT39)*(BO37:BO41=BO39)*(BM37:BM41=BM39)*(BQ37:BQ41&gt;BQ39)),"")</f>
        <v/>
      </c>
      <c r="BY39" s="23" t="str">
        <f ca="1">IF(BI39&lt;&gt;"",SUMPRODUCT((BT37:BT41=BT39)*(BO37:BO41=BO39)*(BM37:BM41=BM39)*(BQ37:BQ41=BQ39)*(BR37:BR41&gt;BR39)),"")</f>
        <v/>
      </c>
      <c r="BZ39" s="23" t="str">
        <f ca="1">IF(BI39&lt;&gt;"",SUMPRODUCT((BT37:BT41=BT39)*(BO37:BO41=BO39)*(BM37:BM41=BM39)*(BQ37:BQ41=BQ39)*(BR37:BR41=BR39)*(BS37:BS41&gt;BS39)),"")</f>
        <v/>
      </c>
      <c r="CA39" s="23" t="str">
        <f ca="1">IF(BI39&lt;&gt;"",SUM(BU39:BZ39)+2,"")</f>
        <v/>
      </c>
      <c r="CB39" s="23" t="str">
        <f ca="1">IF(BI39&lt;&gt;"",INDEX(BI39:BI41,MATCH(3,CA39:CA41,0),0),"")</f>
        <v/>
      </c>
      <c r="CW39" s="23" t="str">
        <f ca="1">IF(CB39&lt;&gt;"",CB39,IF(BH39&lt;&gt;"",BH39,IF(AN39&lt;&gt;"",AN39,N39)))</f>
        <v>Czechia</v>
      </c>
      <c r="CX39" s="23">
        <v>3</v>
      </c>
      <c r="EL39" s="264">
        <v>45469.75</v>
      </c>
      <c r="EM39" s="265">
        <f>EL39+EK7/24</f>
        <v>45469.75</v>
      </c>
      <c r="EO39" s="274" t="s">
        <v>786</v>
      </c>
      <c r="EP39" s="23">
        <v>-3.5</v>
      </c>
      <c r="EQ39" s="23" t="s">
        <v>569</v>
      </c>
      <c r="ER39" s="23" t="s">
        <v>568</v>
      </c>
    </row>
    <row r="40" spans="1:148" x14ac:dyDescent="0.25">
      <c r="A40" s="23">
        <f ca="1">VLOOKUP(B40,CW37:CX41,2,FALSE)</f>
        <v>4</v>
      </c>
      <c r="B40" s="23" t="str">
        <f>'Dummy Table'!EH30</f>
        <v>Georgia</v>
      </c>
      <c r="C40" s="23">
        <f ca="1">SUMPRODUCT((CZ3:CZ42=B40)*(DD3:DD42="W"))+SUMPRODUCT((DC3:DC42=B40)*(DE3:DE42="W"))</f>
        <v>0</v>
      </c>
      <c r="D40" s="23">
        <f ca="1">SUMPRODUCT((CZ3:CZ42=B40)*(DD3:DD42="D"))+SUMPRODUCT((DC3:DC42=B40)*(DE3:DE42="D"))</f>
        <v>0</v>
      </c>
      <c r="E40" s="23">
        <f ca="1">SUMPRODUCT((CZ3:CZ42=B40)*(DD3:DD42="L"))+SUMPRODUCT((DC3:DC42=B40)*(DE3:DE42="L"))</f>
        <v>0</v>
      </c>
      <c r="F40" s="23">
        <f ca="1">SUMIF(CZ3:CZ60,B40,DA3:DA60)+SUMIF(DC3:DC60,B40,DB3:DB60)</f>
        <v>0</v>
      </c>
      <c r="G40" s="23">
        <f ca="1">SUMIF(DC3:DC60,B40,DA3:DA60)+SUMIF(CZ3:CZ60,B40,DB3:DB60)</f>
        <v>0</v>
      </c>
      <c r="H40" s="23">
        <f t="shared" ca="1" si="58"/>
        <v>1000</v>
      </c>
      <c r="I40" s="23">
        <f t="shared" ca="1" si="59"/>
        <v>0</v>
      </c>
      <c r="J40" s="23">
        <v>0</v>
      </c>
      <c r="K40" s="23">
        <f ca="1">IF(COUNTIF(I37:I41,4)&lt;&gt;4,RANK(I40,I37:I41),I80)</f>
        <v>1</v>
      </c>
      <c r="M40" s="23">
        <f ca="1">SUMPRODUCT((K37:K40=K40)*(J37:J40&lt;J40))+K40</f>
        <v>1</v>
      </c>
      <c r="N40" s="23" t="str">
        <f ca="1">INDEX(B37:B41,MATCH(4,M37:M41,0),0)</f>
        <v>Portugal</v>
      </c>
      <c r="O40" s="23">
        <f ca="1">INDEX(K37:K41,MATCH(N40,B37:B41,0),0)</f>
        <v>1</v>
      </c>
      <c r="P40" s="23" t="str">
        <f ca="1">IF(AND(P39&lt;&gt;"",O40=1),N40,"")</f>
        <v>Portugal</v>
      </c>
      <c r="Q40" s="23" t="str">
        <f ca="1">IF(AND(Q39&lt;&gt;"",O41=2),N41,"")</f>
        <v/>
      </c>
      <c r="U40" s="23" t="str">
        <f t="shared" ca="1" si="62"/>
        <v>Portugal</v>
      </c>
      <c r="V40" s="23">
        <f ca="1">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23">
        <f ca="1">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23">
        <f ca="1">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23">
        <f ca="1">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23">
        <f ca="1">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23">
        <f ca="1">Y40-Z40+1000</f>
        <v>1000</v>
      </c>
      <c r="AB40" s="23">
        <f t="shared" ca="1" si="60"/>
        <v>0</v>
      </c>
      <c r="AC40" s="23">
        <f ca="1">IF(U40&lt;&gt;"",VLOOKUP(U40,B4:H40,7,FALSE),"")</f>
        <v>1000</v>
      </c>
      <c r="AD40" s="23">
        <f ca="1">IF(U40&lt;&gt;"",VLOOKUP(U40,B4:H40,5,FALSE),"")</f>
        <v>0</v>
      </c>
      <c r="AE40" s="23">
        <f ca="1">IF(U40&lt;&gt;"",VLOOKUP(U40,B4:J40,9,FALSE),"")</f>
        <v>53</v>
      </c>
      <c r="AF40" s="23">
        <f t="shared" ca="1" si="61"/>
        <v>0</v>
      </c>
      <c r="AG40" s="23">
        <f ca="1">IF(U40&lt;&gt;"",RANK(AF40,AF37:AF41),"")</f>
        <v>1</v>
      </c>
      <c r="AH40" s="23">
        <f ca="1">IF(U40&lt;&gt;"",SUMPRODUCT((AF37:AF41=AF40)*(AA37:AA41&gt;AA40)),"")</f>
        <v>0</v>
      </c>
      <c r="AI40" s="23">
        <f ca="1">IF(U40&lt;&gt;"",SUMPRODUCT((AF37:AF41=AF40)*(AA37:AA41=AA40)*(Y37:Y41&gt;Y40)),"")</f>
        <v>0</v>
      </c>
      <c r="AJ40" s="23">
        <f ca="1">IF(U40&lt;&gt;"",SUMPRODUCT((AF37:AF41=AF40)*(AA37:AA41=AA40)*(Y37:Y41=Y40)*(AC37:AC41&gt;AC40)),"")</f>
        <v>0</v>
      </c>
      <c r="AK40" s="23">
        <f ca="1">IF(U40&lt;&gt;"",SUMPRODUCT((AF37:AF41=AF40)*(AA37:AA41=AA40)*(Y37:Y41=Y40)*(AC37:AC41=AC40)*(AD37:AD41&gt;AD40)),"")</f>
        <v>0</v>
      </c>
      <c r="AL40" s="23">
        <f ca="1">IF(U40&lt;&gt;"",SUMPRODUCT((AF37:AF41=AF40)*(AA37:AA41=AA40)*(Y37:Y41=Y40)*(AC37:AC41=AC40)*(AD37:AD41=AD40)*(AE37:AE41&gt;AE40)),"")</f>
        <v>0</v>
      </c>
      <c r="AM40" s="23">
        <f ca="1">IF(U40&lt;&gt;"",IF(AM80&lt;&gt;"",IF(T76=3,AM80,AM80+T76),SUM(AG40:AL40)),"")</f>
        <v>1</v>
      </c>
      <c r="AN40" s="23" t="str">
        <f ca="1">IF(U40&lt;&gt;"",INDEX(U37:U41,MATCH(4,AM37:AM41,0),0),"")</f>
        <v>Georgia</v>
      </c>
      <c r="AO40" s="23" t="str">
        <f ca="1">IF(Q39&lt;&gt;"",Q39,"")</f>
        <v/>
      </c>
      <c r="AP40" s="23" t="str">
        <f ca="1">IF(AO40&lt;&gt;"",SUMPRODUCT((CZ3:CZ42=AO40)*(DC3:DC42=AO41)*(DD3:DD42="W"))+SUMPRODUCT((CZ3:CZ42=AO40)*(DC3:DC42=AO38)*(DD3:DD42="W"))+SUMPRODUCT((CZ3:CZ42=AO40)*(DC3:DC42=AO39)*(DD3:DD42="W"))+SUMPRODUCT((CZ3:CZ42=AO41)*(DC3:DC42=AO40)*(DE3:DE42="W"))+SUMPRODUCT((CZ3:CZ42=AO38)*(DC3:DC42=AO40)*(DE3:DE42="W"))+SUMPRODUCT((CZ3:CZ42=AO39)*(DC3:DC42=AO40)*(DE3:DE42="W")),"")</f>
        <v/>
      </c>
      <c r="AQ40" s="23" t="str">
        <f ca="1">IF(AO40&lt;&gt;"",SUMPRODUCT((CZ3:CZ42=AO40)*(DC3:DC42=AO41)*(DD3:DD42="D"))+SUMPRODUCT((CZ3:CZ42=AO40)*(DC3:DC42=AO38)*(DD3:DD42="D"))+SUMPRODUCT((CZ3:CZ42=AO40)*(DC3:DC42=AO39)*(DD3:DD42="D"))+SUMPRODUCT((CZ3:CZ42=AO41)*(DC3:DC42=AO40)*(DD3:DD42="D"))+SUMPRODUCT((CZ3:CZ42=AO38)*(DC3:DC42=AO40)*(DD3:DD42="D"))+SUMPRODUCT((CZ3:CZ42=AO39)*(DC3:DC42=AO40)*(DD3:DD42="D")),"")</f>
        <v/>
      </c>
      <c r="AR40" s="23" t="str">
        <f ca="1">IF(AO40&lt;&gt;"",SUMPRODUCT((CZ3:CZ42=AO40)*(DC3:DC42=AO41)*(DD3:DD42="L"))+SUMPRODUCT((CZ3:CZ42=AO40)*(DC3:DC42=AO38)*(DD3:DD42="L"))+SUMPRODUCT((CZ3:CZ42=AO40)*(DC3:DC42=AO39)*(DD3:DD42="L"))+SUMPRODUCT((CZ3:CZ42=AO41)*(DC3:DC42=AO40)*(DE3:DE42="L"))+SUMPRODUCT((CZ3:CZ42=AO38)*(DC3:DC42=AO40)*(DE3:DE42="L"))+SUMPRODUCT((CZ3:CZ42=AO39)*(DC3:DC42=AO40)*(DE3:DE42="L")),"")</f>
        <v/>
      </c>
      <c r="AS40" s="23">
        <f ca="1">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23">
        <f ca="1">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23">
        <f ca="1">AS40-AT40+1000</f>
        <v>1000</v>
      </c>
      <c r="AV40" s="23" t="str">
        <f t="shared" ca="1" si="63"/>
        <v/>
      </c>
      <c r="AW40" s="23" t="str">
        <f ca="1">IF(AO40&lt;&gt;"",VLOOKUP(AO40,B4:H40,7,FALSE),"")</f>
        <v/>
      </c>
      <c r="AX40" s="23" t="str">
        <f ca="1">IF(AO40&lt;&gt;"",VLOOKUP(AO40,B4:H40,5,FALSE),"")</f>
        <v/>
      </c>
      <c r="AY40" s="23" t="str">
        <f ca="1">IF(AO40&lt;&gt;"",VLOOKUP(AO40,B4:J40,9,FALSE),"")</f>
        <v/>
      </c>
      <c r="AZ40" s="23" t="str">
        <f t="shared" ca="1" si="64"/>
        <v/>
      </c>
      <c r="BA40" s="23" t="str">
        <f ca="1">IF(AO40&lt;&gt;"",RANK(AZ40,AZ37:AZ40),"")</f>
        <v/>
      </c>
      <c r="BB40" s="23" t="str">
        <f ca="1">IF(AO40&lt;&gt;"",SUMPRODUCT((AZ37:AZ41=AZ40)*(AU37:AU41&gt;AU40)),"")</f>
        <v/>
      </c>
      <c r="BC40" s="23" t="str">
        <f ca="1">IF(AO40&lt;&gt;"",SUMPRODUCT((AZ37:AZ41=AZ40)*(AU37:AU41=AU40)*(AS37:AS41&gt;AS40)),"")</f>
        <v/>
      </c>
      <c r="BD40" s="23" t="str">
        <f ca="1">IF(AO40&lt;&gt;"",SUMPRODUCT((AZ37:AZ41=AZ40)*(AU37:AU41=AU40)*(AS37:AS41=AS40)*(AW37:AW41&gt;AW40)),"")</f>
        <v/>
      </c>
      <c r="BE40" s="23" t="str">
        <f ca="1">IF(AO40&lt;&gt;"",SUMPRODUCT((AZ37:AZ41=AZ40)*(AU37:AU41=AU40)*(AS37:AS41=AS40)*(AW37:AW41=AW40)*(AX37:AX41&gt;AX40)),"")</f>
        <v/>
      </c>
      <c r="BF40" s="23" t="str">
        <f ca="1">IF(AO40&lt;&gt;"",SUMPRODUCT((AZ37:AZ41=AZ40)*(AU37:AU41=AU40)*(AS37:AS41=AS40)*(AW37:AW41=AW40)*(AX37:AX41=AX40)*(AY37:AY41&gt;AY40)),"")</f>
        <v/>
      </c>
      <c r="BG40" s="23" t="str">
        <f ca="1">IF(AO40&lt;&gt;"",IF(BG80&lt;&gt;"",IF(AN76=3,BG80,BG80+AN76),SUM(BA40:BF40)+1),"")</f>
        <v/>
      </c>
      <c r="BH40" s="23" t="str">
        <f ca="1">IF(AO40&lt;&gt;"",INDEX(AO38:AO41,MATCH(4,BG38:BG41,0),0),"")</f>
        <v/>
      </c>
      <c r="BI40" s="23" t="str">
        <f ca="1">IF(R38&lt;&gt;"",R38,"")</f>
        <v/>
      </c>
      <c r="BJ40" s="23">
        <f ca="1">SUMPRODUCT((CZ3:CZ42=BI40)*(DC3:DC42=BI41)*(DD3:DD42="W"))+SUMPRODUCT((CZ3:CZ42=BI40)*(DC3:DC42=BI42)*(DD3:DD42="W"))+SUMPRODUCT((CZ3:CZ42=BI40)*(DC3:DC42=BI39)*(DD3:DD42="W"))+SUMPRODUCT((CZ3:CZ42=BI41)*(DC3:DC42=BI40)*(DE3:DE42="W"))+SUMPRODUCT((CZ3:CZ42=BI42)*(DC3:DC42=BI40)*(DE3:DE42="W"))+SUMPRODUCT((CZ3:CZ42=BI39)*(DC3:DC42=BI40)*(DE3:DE42="W"))</f>
        <v>0</v>
      </c>
      <c r="BK40" s="23">
        <f ca="1">SUMPRODUCT((CZ3:CZ42=BI40)*(DC3:DC42=BI41)*(DD3:DD42="D"))+SUMPRODUCT((CZ3:CZ42=BI40)*(DC3:DC42=BI42)*(DD3:DD42="D"))+SUMPRODUCT((CZ3:CZ42=BI40)*(DC3:DC42=BI39)*(DD3:DD42="D"))+SUMPRODUCT((CZ3:CZ42=BI41)*(DC3:DC42=BI40)*(DD3:DD42="D"))+SUMPRODUCT((CZ3:CZ42=BI42)*(DC3:DC42=BI40)*(DD3:DD42="D"))+SUMPRODUCT((CZ3:CZ42=BI39)*(DC3:DC42=BI40)*(DD3:DD42="D"))</f>
        <v>0</v>
      </c>
      <c r="BL40" s="23">
        <f ca="1">SUMPRODUCT((CZ3:CZ42=BI40)*(DC3:DC42=BI41)*(DD3:DD42="L"))+SUMPRODUCT((CZ3:CZ42=BI40)*(DC3:DC42=BI42)*(DD3:DD42="L"))+SUMPRODUCT((CZ3:CZ42=BI40)*(DC3:DC42=BI39)*(DD3:DD42="L"))+SUMPRODUCT((CZ3:CZ42=BI41)*(DC3:DC42=BI40)*(DE3:DE42="L"))+SUMPRODUCT((CZ3:CZ42=BI42)*(DC3:DC42=BI40)*(DE3:DE42="L"))+SUMPRODUCT((CZ3:CZ42=BI39)*(DC3:DC42=BI40)*(DE3:DE42="L"))</f>
        <v>0</v>
      </c>
      <c r="BM40" s="23">
        <f ca="1">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23">
        <f ca="1">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23">
        <f ca="1">BM40-BN40+1000</f>
        <v>1000</v>
      </c>
      <c r="BP40" s="23" t="str">
        <f t="shared" ca="1" si="65"/>
        <v/>
      </c>
      <c r="BQ40" s="23" t="str">
        <f ca="1">IF(BI40&lt;&gt;"",VLOOKUP(BI40,B4:H40,7,FALSE),"")</f>
        <v/>
      </c>
      <c r="BR40" s="23" t="str">
        <f ca="1">IF(BI40&lt;&gt;"",VLOOKUP(BI40,B4:H40,5,FALSE),"")</f>
        <v/>
      </c>
      <c r="BS40" s="23" t="str">
        <f ca="1">IF(BI40&lt;&gt;"",VLOOKUP(BI40,B4:J40,9,FALSE),"")</f>
        <v/>
      </c>
      <c r="BT40" s="23" t="str">
        <f t="shared" ca="1" si="66"/>
        <v/>
      </c>
      <c r="BU40" s="23" t="str">
        <f ca="1">IF(BI40&lt;&gt;"",RANK(BT40,BT38:BT40),"")</f>
        <v/>
      </c>
      <c r="BV40" s="23" t="str">
        <f ca="1">IF(BI40&lt;&gt;"",SUMPRODUCT((BT37:BT41=BT40)*(BO37:BO41&gt;BO40)),"")</f>
        <v/>
      </c>
      <c r="BW40" s="23" t="str">
        <f ca="1">IF(BI40&lt;&gt;"",SUMPRODUCT((BT37:BT41=BT40)*(BO37:BO41=BO40)*(BM37:BM41&gt;BM40)),"")</f>
        <v/>
      </c>
      <c r="BX40" s="23" t="str">
        <f ca="1">IF(BI40&lt;&gt;"",SUMPRODUCT((BT37:BT41=BT40)*(BO37:BO41=BO40)*(BM37:BM41=BM40)*(BQ37:BQ41&gt;BQ40)),"")</f>
        <v/>
      </c>
      <c r="BY40" s="23" t="str">
        <f ca="1">IF(BI40&lt;&gt;"",SUMPRODUCT((BT37:BT41=BT40)*(BO37:BO41=BO40)*(BM37:BM41=BM40)*(BQ37:BQ41=BQ40)*(BR37:BR41&gt;BR40)),"")</f>
        <v/>
      </c>
      <c r="BZ40" s="23" t="str">
        <f ca="1">IF(BI40&lt;&gt;"",SUMPRODUCT((BT37:BT41=BT40)*(BO37:BO41=BO40)*(BM37:BM41=BM40)*(BQ37:BQ41=BQ40)*(BR37:BR41=BR40)*(BS37:BS41&gt;BS40)),"")</f>
        <v/>
      </c>
      <c r="CA40" s="23" t="str">
        <f ca="1">IF(BI40&lt;&gt;"",SUM(BU40:BZ40)+2,"")</f>
        <v/>
      </c>
      <c r="CB40" s="23" t="str">
        <f ca="1">IF(BI40&lt;&gt;"",INDEX(BI39:BI41,MATCH(4,CA39:CA41,0),0),"")</f>
        <v/>
      </c>
      <c r="CC40" s="23" t="str">
        <f>IF(S37&lt;&gt;"",S37,"")</f>
        <v/>
      </c>
      <c r="CD40" s="23">
        <f ca="1">SUMPRODUCT((CZ3:CZ42=CC40)*(DC3:DC42=CC41)*(DD3:DD42="W"))+SUMPRODUCT((CZ3:CZ42=CC40)*(DC3:DC42=CC42)*(DD3:DD42="W"))+SUMPRODUCT((CZ3:CZ42=CC40)*(DC3:DC42=CC43)*(DD3:DD42="W"))+SUMPRODUCT((CZ3:CZ42=CC41)*(DC3:DC42=CC40)*(DE3:DE42="W"))+SUMPRODUCT((CZ3:CZ42=CC42)*(DC3:DC42=CC40)*(DE3:DE42="W"))+SUMPRODUCT((CZ3:CZ42=CC43)*(DC3:DC42=CC40)*(DE3:DE42="W"))</f>
        <v>0</v>
      </c>
      <c r="CE40" s="23">
        <f ca="1">SUMPRODUCT((CZ3:CZ42=CC40)*(DC3:DC42=CC41)*(DD3:DD42="D"))+SUMPRODUCT((CZ3:CZ42=CC40)*(DC3:DC42=CC42)*(DD3:DD42="D"))+SUMPRODUCT((CZ3:CZ42=CC40)*(DC3:DC42=CC43)*(DD3:DD42="D"))+SUMPRODUCT((CZ3:CZ42=CC41)*(DC3:DC42=CC40)*(DD3:DD42="D"))+SUMPRODUCT((CZ3:CZ42=CC42)*(DC3:DC42=CC40)*(DD3:DD42="D"))+SUMPRODUCT((CZ3:CZ42=CC43)*(DC3:DC42=CC40)*(DD3:DD42="D"))</f>
        <v>0</v>
      </c>
      <c r="CF40" s="23">
        <f ca="1">SUMPRODUCT((CZ3:CZ42=CC40)*(DC3:DC42=CC41)*(DD3:DD42="L"))+SUMPRODUCT((CZ3:CZ42=CC40)*(DC3:DC42=CC42)*(DD3:DD42="L"))+SUMPRODUCT((CZ3:CZ42=CC40)*(DC3:DC42=CC43)*(DD3:DD42="L"))+SUMPRODUCT((CZ3:CZ42=CC41)*(DC3:DC42=CC40)*(DE3:DE42="L"))+SUMPRODUCT((CZ3:CZ42=CC42)*(DC3:DC42=CC40)*(DE3:DE42="L"))+SUMPRODUCT((CZ3:CZ42=CC43)*(DC3:DC42=CC40)*(DE3:DE42="L"))</f>
        <v>0</v>
      </c>
      <c r="CG40" s="23">
        <f ca="1">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23">
        <f ca="1">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23">
        <f ca="1">CG40-CH40+1000</f>
        <v>1000</v>
      </c>
      <c r="CJ40" s="23" t="str">
        <f t="shared" ref="CJ40" si="67">IF(CC40&lt;&gt;"",CD40*3+CE40*1,"")</f>
        <v/>
      </c>
      <c r="CK40" s="23" t="str">
        <f>IF(CC40&lt;&gt;"",VLOOKUP(CC40,B4:H40,7,FALSE),"")</f>
        <v/>
      </c>
      <c r="CL40" s="23" t="str">
        <f>IF(CC40&lt;&gt;"",VLOOKUP(CC40,B4:H40,5,FALSE),"")</f>
        <v/>
      </c>
      <c r="CM40" s="23" t="str">
        <f>IF(CC40&lt;&gt;"",VLOOKUP(CC40,B4:J40,9,FALSE),"")</f>
        <v/>
      </c>
      <c r="CN40" s="23" t="str">
        <f t="shared" ref="CN40" si="68">CJ40</f>
        <v/>
      </c>
      <c r="CO40" s="23" t="str">
        <f>IF(CC40&lt;&gt;"",RANK(CN40,AF37:AF41),"")</f>
        <v/>
      </c>
      <c r="CP40" s="23" t="str">
        <f>IF(CC40&lt;&gt;"",SUMPRODUCT((CN37:CN41=CN40)*(CI37:CI41&gt;CI40)),"")</f>
        <v/>
      </c>
      <c r="CQ40" s="23" t="str">
        <f>IF(CC40&lt;&gt;"",SUMPRODUCT((CN37:CN41=CN40)*(CI37:CI41=CI40)*(CG37:CG41&gt;CG40)),"")</f>
        <v/>
      </c>
      <c r="CR40" s="23" t="str">
        <f>IF(CC40&lt;&gt;"",SUMPRODUCT((CN37:CN41=CN40)*(CI37:CI41=CI40)*(CG37:CG41=CG40)*(CK37:CK41&gt;CK40)),"")</f>
        <v/>
      </c>
      <c r="CS40" s="23" t="str">
        <f>IF(CC40&lt;&gt;"",SUMPRODUCT((CN37:CN41=CN40)*(CI37:CI41=CI40)*(CG37:CG41=CG40)*(CK37:CK41=CK40)*(CL37:CL41&gt;CL40)),"")</f>
        <v/>
      </c>
      <c r="CT40" s="23" t="str">
        <f>IF(CC40&lt;&gt;"",SUMPRODUCT((CN37:CN41=CN40)*(CI37:CI41=CI40)*(CG37:CG41=CG40)*(CK37:CK41=CK40)*(CL37:CL41=CL40)*(CM37:CM41&gt;CM40)),"")</f>
        <v/>
      </c>
      <c r="CU40" s="23" t="str">
        <f>IF(CC40&lt;&gt;"",SUM(CO40:CT40)+3,"")</f>
        <v/>
      </c>
      <c r="CV40" s="23" t="str">
        <f>IF(CC40&lt;&gt;"",IF(CU40=4,CC40,CC41),"")</f>
        <v/>
      </c>
      <c r="CW40" s="23" t="str">
        <f ca="1">IF(CV40&lt;&gt;"",CV40,IF(CB40&lt;&gt;"",CB40,IF(BH40&lt;&gt;"",BH40,IF(AN40&lt;&gt;"",AN40,N40))))</f>
        <v>Georgia</v>
      </c>
      <c r="CX40" s="23">
        <v>4</v>
      </c>
      <c r="EJ40" s="252" t="str">
        <f>IF(ISERROR("'Countries and Timezone'!"&amp;VLOOKUP(EH40,'Dummy Table'!EH7:EI38,2,FALSE)),"'Countries and Timezone'!b39","'Countries and Timezone'!"&amp;VLOOKUP(EH40,'Dummy Table'!EH7:EI38,2,FALSE))</f>
        <v>'Countries and Timezone'!b39</v>
      </c>
      <c r="EL40" s="264">
        <v>45469.75</v>
      </c>
      <c r="EM40" s="265">
        <f>EL40+EK7/24</f>
        <v>45469.75</v>
      </c>
      <c r="EO40" s="274" t="s">
        <v>787</v>
      </c>
      <c r="EP40" s="23">
        <v>-3</v>
      </c>
      <c r="EQ40" s="23" t="s">
        <v>571</v>
      </c>
      <c r="ER40" s="23" t="s">
        <v>570</v>
      </c>
    </row>
    <row r="41" spans="1:148" x14ac:dyDescent="0.25">
      <c r="EJ41" s="252" t="str">
        <f>IF(ISERROR("'Countries and Timezone'!"&amp;VLOOKUP(EH41,'Dummy Table'!EH7:EI38,2,FALSE)),"'Countries and Timezone'!b39","'Countries and Timezone'!"&amp;VLOOKUP(EH41,'Dummy Table'!EH7:EI38,2,FALSE))</f>
        <v>'Countries and Timezone'!b39</v>
      </c>
      <c r="EL41" s="264">
        <v>45469.875</v>
      </c>
      <c r="EM41" s="265">
        <f>EL41+EK7/24</f>
        <v>45469.875</v>
      </c>
      <c r="EO41" s="274" t="s">
        <v>788</v>
      </c>
      <c r="EP41" s="23">
        <v>-3</v>
      </c>
      <c r="EQ41" s="23" t="s">
        <v>573</v>
      </c>
      <c r="ER41" s="23" t="s">
        <v>572</v>
      </c>
    </row>
    <row r="42" spans="1:148" x14ac:dyDescent="0.25">
      <c r="CC42" s="23" t="s">
        <v>15</v>
      </c>
      <c r="EJ42" s="252" t="str">
        <f>IF(ISERROR("'Countries and Timezone'!"&amp;VLOOKUP(EH42,'Dummy Table'!EH7:EI38,2,FALSE)),"'Countries and Timezone'!b39","'Countries and Timezone'!"&amp;VLOOKUP(EH42,'Dummy Table'!EH7:EI38,2,FALSE))</f>
        <v>'Countries and Timezone'!b39</v>
      </c>
      <c r="EL42" s="264">
        <v>45469.875</v>
      </c>
      <c r="EM42" s="265">
        <f>EL42+EK7/24</f>
        <v>45469.875</v>
      </c>
      <c r="EO42" s="274" t="s">
        <v>789</v>
      </c>
      <c r="EP42" s="23">
        <v>-3</v>
      </c>
      <c r="EQ42" s="23" t="s">
        <v>575</v>
      </c>
      <c r="ER42" s="23" t="s">
        <v>574</v>
      </c>
    </row>
    <row r="43" spans="1:148" x14ac:dyDescent="0.25">
      <c r="H43" s="23" t="s">
        <v>431</v>
      </c>
      <c r="I43" s="23" t="s">
        <v>432</v>
      </c>
      <c r="T43" s="23">
        <f ca="1">IF(U44="",SUM(AG4:AL4),IF(U45="",SUM(AG5:AL5),IF(U46="",SUM(AG6:AL6),IF(U47="",SUM(AG7:AL7),0))))</f>
        <v>0</v>
      </c>
      <c r="U43" s="23" t="s">
        <v>429</v>
      </c>
      <c r="V43" s="23" t="s">
        <v>12</v>
      </c>
      <c r="W43" s="23" t="s">
        <v>13</v>
      </c>
      <c r="X43" s="23" t="s">
        <v>14</v>
      </c>
      <c r="Y43" s="23" t="s">
        <v>20</v>
      </c>
      <c r="Z43" s="23" t="s">
        <v>21</v>
      </c>
      <c r="AA43" s="23" t="s">
        <v>22</v>
      </c>
      <c r="AB43" s="23" t="s">
        <v>0</v>
      </c>
      <c r="AC43" s="23" t="s">
        <v>43</v>
      </c>
      <c r="AD43" s="23" t="s">
        <v>41</v>
      </c>
      <c r="AE43" s="23" t="s">
        <v>39</v>
      </c>
      <c r="AF43" s="23" t="s">
        <v>23</v>
      </c>
      <c r="AG43" s="23" t="s">
        <v>32</v>
      </c>
      <c r="AH43" s="23" t="s">
        <v>33</v>
      </c>
      <c r="AI43" s="23" t="s">
        <v>20</v>
      </c>
      <c r="AJ43" s="23" t="s">
        <v>42</v>
      </c>
      <c r="AK43" s="23" t="s">
        <v>41</v>
      </c>
      <c r="AL43" s="23" t="s">
        <v>39</v>
      </c>
      <c r="AM43" s="23" t="s">
        <v>34</v>
      </c>
      <c r="AN43" s="23">
        <f ca="1">IF(AO45="",SUM(BA5:BF5),IF(AO46="",SUM(BA6:BF6),IF(AO47="",SUM(BA7:BF7),0)))</f>
        <v>0</v>
      </c>
      <c r="AO43" s="23" t="s">
        <v>430</v>
      </c>
      <c r="AP43" s="23" t="s">
        <v>12</v>
      </c>
      <c r="AQ43" s="23" t="s">
        <v>13</v>
      </c>
      <c r="AR43" s="23" t="s">
        <v>14</v>
      </c>
      <c r="AS43" s="23" t="s">
        <v>20</v>
      </c>
      <c r="AT43" s="23" t="s">
        <v>21</v>
      </c>
      <c r="AU43" s="23" t="s">
        <v>22</v>
      </c>
      <c r="AV43" s="23" t="s">
        <v>0</v>
      </c>
      <c r="AW43" s="23" t="s">
        <v>43</v>
      </c>
      <c r="AX43" s="23" t="s">
        <v>41</v>
      </c>
      <c r="AY43" s="23" t="s">
        <v>39</v>
      </c>
      <c r="AZ43" s="23" t="s">
        <v>23</v>
      </c>
      <c r="BA43" s="23" t="s">
        <v>32</v>
      </c>
      <c r="BB43" s="23" t="s">
        <v>33</v>
      </c>
      <c r="BC43" s="23" t="s">
        <v>20</v>
      </c>
      <c r="BD43" s="23" t="s">
        <v>42</v>
      </c>
      <c r="BE43" s="23" t="s">
        <v>41</v>
      </c>
      <c r="BF43" s="23" t="s">
        <v>39</v>
      </c>
      <c r="BG43" s="23" t="s">
        <v>34</v>
      </c>
      <c r="EJ43" s="252" t="str">
        <f>IF(ISERROR("'Countries and Timezone'!"&amp;VLOOKUP(EH43,'Dummy Table'!EH7:EI38,2,FALSE)),"'Countries and Timezone'!b39","'Countries and Timezone'!"&amp;VLOOKUP(EH43,'Dummy Table'!EH7:EI38,2,FALSE))</f>
        <v>'Countries and Timezone'!b39</v>
      </c>
      <c r="EL43" s="264"/>
      <c r="EM43" s="265">
        <f>EL43+EK7/24</f>
        <v>0</v>
      </c>
      <c r="EO43" s="274" t="s">
        <v>790</v>
      </c>
      <c r="EP43" s="23">
        <v>-3</v>
      </c>
      <c r="EQ43" s="23" t="s">
        <v>577</v>
      </c>
      <c r="ER43" s="23" t="s">
        <v>576</v>
      </c>
    </row>
    <row r="44" spans="1:148" x14ac:dyDescent="0.25">
      <c r="I44" s="23">
        <f ca="1">SUMPRODUCT((I4:I7=I4)*(H4:H7=H4)*(F4:F7&gt;F4))+1</f>
        <v>1</v>
      </c>
      <c r="T44" s="23">
        <f ca="1">IF(U4&lt;&gt;"",SUMPRODUCT((AB4:AB7=AB4)*(AA4:AA7=AA4)*(Y4:Y7=Y4)*(Z4:Z7=Z4)),"")</f>
        <v>2</v>
      </c>
      <c r="U44" s="23" t="str">
        <f ca="1">IF(AND(T44&lt;&gt;"",T44&gt;1),U4,"")</f>
        <v>Switzerland</v>
      </c>
      <c r="V44" s="23">
        <f ca="1">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23">
        <f ca="1">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23">
        <f ca="1">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23">
        <f ca="1">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23">
        <f ca="1">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23">
        <f ca="1">Y44-Z44+1000</f>
        <v>1000</v>
      </c>
      <c r="AB44" s="23">
        <f ca="1">IF(U44&lt;&gt;"",V44*3+W44*1,"")</f>
        <v>0</v>
      </c>
      <c r="AC44" s="23">
        <f ca="1">IF(U44&lt;&gt;"",VLOOKUP(U44,B4:H40,7,FALSE),"")</f>
        <v>1002</v>
      </c>
      <c r="AD44" s="23">
        <f ca="1">IF(U44&lt;&gt;"",VLOOKUP(U44,B4:H40,5,FALSE),"")</f>
        <v>3</v>
      </c>
      <c r="AE44" s="23">
        <f ca="1">IF(U44&lt;&gt;"",VLOOKUP(U44,B4:J40,9,FALSE),"")</f>
        <v>34</v>
      </c>
      <c r="AF44" s="23">
        <f ca="1">AB44</f>
        <v>0</v>
      </c>
      <c r="AG44" s="23">
        <f ca="1">IF(U44&lt;&gt;"",RANK(AF44,AF44:AF48),"")</f>
        <v>1</v>
      </c>
      <c r="AH44" s="23">
        <f ca="1">IF(U44&lt;&gt;"",SUMPRODUCT((AF44:AF48=AF44)*(AA44:AA48&gt;AA44)),"")</f>
        <v>0</v>
      </c>
      <c r="AI44" s="23">
        <f ca="1">IF(U44&lt;&gt;"",SUMPRODUCT((AF44:AF48=AF44)*(AA44:AA48=AA44)*(Y44:Y48&gt;Y44)),"")</f>
        <v>0</v>
      </c>
      <c r="AJ44" s="23">
        <f ca="1">IF(U44&lt;&gt;"",SUMPRODUCT((AF44:AF48=AF44)*(AA44:AA48=AA44)*(Y44:Y48=Y44)*(AC44:AC48&gt;AC44)),"")</f>
        <v>1</v>
      </c>
      <c r="AK44" s="23">
        <f ca="1">IF(U44&lt;&gt;"",SUMPRODUCT((AF44:AF48=AF44)*(AA44:AA48=AA44)*(Y44:Y48=Y44)*(AC44:AC48=AC44)*(AD44:AD48&gt;AD44)),"")</f>
        <v>0</v>
      </c>
      <c r="AL44" s="23">
        <f ca="1">IF(U44&lt;&gt;"",SUMPRODUCT((AF44:AF48=AF44)*(AA44:AA48=AA44)*(Y44:Y48=Y44)*(AC44:AC48=AC44)*(AD44:AD48=AD44)*(AE44:AE48&gt;AE44)),"")</f>
        <v>0</v>
      </c>
      <c r="AM44" s="23">
        <f ca="1">IF(U44&lt;&gt;"",SUM(AG44:AL44),"")</f>
        <v>2</v>
      </c>
      <c r="EJ44" s="252" t="str">
        <f>IF(ISERROR("'Countries and Timezone'!"&amp;VLOOKUP(EH44,'Dummy Table'!EH7:EI38,2,FALSE)),"'Countries and Timezone'!b39","'Countries and Timezone'!"&amp;VLOOKUP(EH44,'Dummy Table'!EH7:EI38,2,FALSE))</f>
        <v>'Countries and Timezone'!b39</v>
      </c>
      <c r="EL44" s="264">
        <v>45472.875</v>
      </c>
      <c r="EM44" s="265">
        <f>EL44+EK7/24</f>
        <v>45472.875</v>
      </c>
      <c r="EO44" s="274" t="s">
        <v>791</v>
      </c>
      <c r="EP44" s="23">
        <v>-3</v>
      </c>
      <c r="EQ44" s="23" t="s">
        <v>579</v>
      </c>
      <c r="ER44" s="23" t="s">
        <v>578</v>
      </c>
    </row>
    <row r="45" spans="1:148" x14ac:dyDescent="0.25">
      <c r="I45" s="23">
        <f ca="1">SUMPRODUCT((I4:I7=I5)*(H4:H7=H5)*(F4:F7&gt;F5))+1</f>
        <v>1</v>
      </c>
      <c r="T45" s="23">
        <f ca="1">IF(U5&lt;&gt;"",SUMPRODUCT((AB4:AB7=AB5)*(AA4:AA7=AA5)*(Y4:Y7=Y5)*(Z4:Z7=Z5)),"")</f>
        <v>2</v>
      </c>
      <c r="U45" s="23" t="str">
        <f t="shared" ref="U45:U47" ca="1" si="69">IF(AND(T45&lt;&gt;"",T45&gt;1),U5,"")</f>
        <v>Germany</v>
      </c>
      <c r="V45" s="23">
        <f ca="1">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23">
        <f ca="1">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23">
        <f ca="1">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23">
        <f ca="1">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23">
        <f ca="1">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23">
        <f ca="1">Y45-Z45+1000</f>
        <v>1000</v>
      </c>
      <c r="AB45" s="23">
        <f t="shared" ref="AB45:AB47" ca="1" si="70">IF(U45&lt;&gt;"",V45*3+W45*1,"")</f>
        <v>0</v>
      </c>
      <c r="AC45" s="23">
        <f ca="1">IF(U45&lt;&gt;"",VLOOKUP(U45,B4:H40,7,FALSE),"")</f>
        <v>1004</v>
      </c>
      <c r="AD45" s="23">
        <f ca="1">IF(U45&lt;&gt;"",VLOOKUP(U45,B4:H40,5,FALSE),"")</f>
        <v>5</v>
      </c>
      <c r="AE45" s="23">
        <f ca="1">IF(U45&lt;&gt;"",VLOOKUP(U45,B4:J40,9,FALSE),"")</f>
        <v>54</v>
      </c>
      <c r="AF45" s="23">
        <f t="shared" ref="AF45:AF47" ca="1" si="71">AB45</f>
        <v>0</v>
      </c>
      <c r="AG45" s="23">
        <f ca="1">IF(U45&lt;&gt;"",RANK(AF45,AF44:AF48),"")</f>
        <v>1</v>
      </c>
      <c r="AH45" s="23">
        <f ca="1">IF(U45&lt;&gt;"",SUMPRODUCT((AF44:AF48=AF45)*(AA44:AA48&gt;AA45)),"")</f>
        <v>0</v>
      </c>
      <c r="AI45" s="23">
        <f ca="1">IF(U45&lt;&gt;"",SUMPRODUCT((AF44:AF48=AF45)*(AA44:AA48=AA45)*(Y44:Y48&gt;Y45)),"")</f>
        <v>0</v>
      </c>
      <c r="AJ45" s="23">
        <f ca="1">IF(U45&lt;&gt;"",SUMPRODUCT((AF44:AF48=AF45)*(AA44:AA48=AA45)*(Y44:Y48=Y45)*(AC44:AC48&gt;AC45)),"")</f>
        <v>0</v>
      </c>
      <c r="AK45" s="23">
        <f ca="1">IF(U45&lt;&gt;"",SUMPRODUCT((AF44:AF48=AF45)*(AA44:AA48=AA45)*(Y44:Y48=Y45)*(AC44:AC48=AC45)*(AD44:AD48&gt;AD45)),"")</f>
        <v>0</v>
      </c>
      <c r="AL45" s="23">
        <f ca="1">IF(U45&lt;&gt;"",SUMPRODUCT((AF44:AF48=AF45)*(AA44:AA48=AA45)*(Y44:Y48=Y45)*(AC44:AC48=AC45)*(AD44:AD48=AD45)*(AE44:AE48&gt;AE45)),"")</f>
        <v>0</v>
      </c>
      <c r="AM45" s="23">
        <f ca="1">IF(U45&lt;&gt;"",SUM(AG45:AL45),"")</f>
        <v>1</v>
      </c>
      <c r="AN45" s="23" t="str">
        <f ca="1">IF(AO5&lt;&gt;"",SUMPRODUCT((AV4:AV7=AV5)*(AU4:AU7=AU5)*(AS4:AS7=AS5)*(AT4:AT7=AT5)),"")</f>
        <v/>
      </c>
      <c r="AO45" s="23" t="str">
        <f t="shared" ref="AO45:AO47" ca="1" si="72">IF(AND(AN45&lt;&gt;"",AN45&gt;1),AO5,"")</f>
        <v/>
      </c>
      <c r="AP45" s="23">
        <f ca="1">SUMPRODUCT((CZ3:CZ42=AO45)*(DC3:DC42=AO46)*(DD3:DD42="W"))+SUMPRODUCT((CZ3:CZ42=AO45)*(DC3:DC42=AO47)*(DD3:DD42="W"))+SUMPRODUCT((CZ3:CZ42=AO45)*(DC3:DC42=AO48)*(DD3:DD42="W"))+SUMPRODUCT((CZ3:CZ42=AO46)*(DC3:DC42=AO45)*(DE3:DE42="W"))+SUMPRODUCT((CZ3:CZ42=AO47)*(DC3:DC42=AO45)*(DE3:DE42="W"))+SUMPRODUCT((CZ3:CZ42=AO48)*(DC3:DC42=AO45)*(DE3:DE42="W"))</f>
        <v>0</v>
      </c>
      <c r="AQ45" s="23">
        <f ca="1">SUMPRODUCT((CZ3:CZ42=AO45)*(DC3:DC42=AO46)*(DD3:DD42="D"))+SUMPRODUCT((CZ3:CZ42=AO45)*(DC3:DC42=AO47)*(DD3:DD42="D"))+SUMPRODUCT((CZ3:CZ42=AO45)*(DC3:DC42=AO48)*(DD3:DD42="D"))+SUMPRODUCT((CZ3:CZ42=AO46)*(DC3:DC42=AO45)*(DD3:DD42="D"))+SUMPRODUCT((CZ3:CZ42=AO47)*(DC3:DC42=AO45)*(DD3:DD42="D"))+SUMPRODUCT((CZ3:CZ42=AO48)*(DC3:DC42=AO45)*(DD3:DD42="D"))</f>
        <v>0</v>
      </c>
      <c r="AR45" s="23">
        <f ca="1">SUMPRODUCT((CZ3:CZ42=AO45)*(DC3:DC42=AO46)*(DD3:DD42="L"))+SUMPRODUCT((CZ3:CZ42=AO45)*(DC3:DC42=AO47)*(DD3:DD42="L"))+SUMPRODUCT((CZ3:CZ42=AO45)*(DC3:DC42=AO48)*(DD3:DD42="L"))+SUMPRODUCT((CZ3:CZ42=AO46)*(DC3:DC42=AO45)*(DE3:DE42="L"))+SUMPRODUCT((CZ3:CZ42=AO47)*(DC3:DC42=AO45)*(DE3:DE42="L"))+SUMPRODUCT((CZ3:CZ42=AO48)*(DC3:DC42=AO45)*(DE3:DE42="L"))</f>
        <v>0</v>
      </c>
      <c r="AS45" s="23">
        <f ca="1">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23">
        <f ca="1">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23">
        <f ca="1">AS45-AT45+1000</f>
        <v>1000</v>
      </c>
      <c r="AV45" s="23" t="str">
        <f t="shared" ref="AV45:AV47" ca="1" si="73">IF(AO45&lt;&gt;"",AP45*3+AQ45*1,"")</f>
        <v/>
      </c>
      <c r="AW45" s="23" t="str">
        <f ca="1">IF(AO45&lt;&gt;"",VLOOKUP(AO45,B4:H40,7,FALSE),"")</f>
        <v/>
      </c>
      <c r="AX45" s="23" t="str">
        <f ca="1">IF(AO45&lt;&gt;"",VLOOKUP(AO45,B4:H40,5,FALSE),"")</f>
        <v/>
      </c>
      <c r="AY45" s="23" t="str">
        <f ca="1">IF(AO45&lt;&gt;"",VLOOKUP(AO45,B4:J40,9,FALSE),"")</f>
        <v/>
      </c>
      <c r="AZ45" s="23" t="str">
        <f t="shared" ref="AZ45:AZ47" ca="1" si="74">AV45</f>
        <v/>
      </c>
      <c r="BA45" s="23" t="str">
        <f ca="1">IF(AO45&lt;&gt;"",RANK(AZ45,AZ44:AZ47),"")</f>
        <v/>
      </c>
      <c r="BB45" s="23" t="str">
        <f ca="1">IF(AO45&lt;&gt;"",SUMPRODUCT((AZ44:AZ47=AZ45)*(AU44:AU47&gt;AU45)),"")</f>
        <v/>
      </c>
      <c r="BC45" s="23" t="str">
        <f ca="1">IF(AO45&lt;&gt;"",SUMPRODUCT((AZ44:AZ47=AZ45)*(AU44:AU47=AU45)*(AS44:AS47&gt;AS45)),"")</f>
        <v/>
      </c>
      <c r="BD45" s="23" t="str">
        <f ca="1">IF(AO45&lt;&gt;"",SUMPRODUCT((AZ44:AZ47=AZ45)*(AU44:AU47=AU45)*(AS44:AS47=AS45)*(AW44:AW47&gt;AW45)),"")</f>
        <v/>
      </c>
      <c r="BE45" s="23" t="str">
        <f ca="1">IF(AO45&lt;&gt;"",SUMPRODUCT((AZ44:AZ47=AZ45)*(AU44:AU47=AU45)*(AS44:AS47=AS45)*(AW44:AW47=AW45)*(AX44:AX47&gt;AX45)),"")</f>
        <v/>
      </c>
      <c r="BF45" s="23" t="str">
        <f ca="1">IF(AO45&lt;&gt;"",SUMPRODUCT((AZ44:AZ47=AZ45)*(AU44:AU47=AU45)*(AS44:AS47=AS45)*(AW44:AW47=AW45)*(AX44:AX47=AX45)*(AY44:AY47&gt;AY45)),"")</f>
        <v/>
      </c>
      <c r="BG45" s="23" t="str">
        <f ca="1">IF(AO45&lt;&gt;"",SUM(BA45:BF45)+1,"")</f>
        <v/>
      </c>
      <c r="EJ45" s="252" t="str">
        <f>IF(ISERROR("'Countries and Timezone'!"&amp;VLOOKUP(EH45,'Dummy Table'!EH7:EI38,2,FALSE)),"'Countries and Timezone'!b39","'Countries and Timezone'!"&amp;VLOOKUP(EH45,'Dummy Table'!EH7:EI38,2,FALSE))</f>
        <v>'Countries and Timezone'!b39</v>
      </c>
      <c r="EL45" s="264">
        <v>45472.75</v>
      </c>
      <c r="EM45" s="265">
        <f>EL45+EK7/24</f>
        <v>45472.75</v>
      </c>
      <c r="EO45" s="274" t="s">
        <v>792</v>
      </c>
      <c r="EP45" s="23">
        <v>-3</v>
      </c>
      <c r="EQ45" s="23" t="s">
        <v>581</v>
      </c>
      <c r="ER45" s="23" t="s">
        <v>580</v>
      </c>
    </row>
    <row r="46" spans="1:148" x14ac:dyDescent="0.25">
      <c r="I46" s="23">
        <f ca="1">SUMPRODUCT((I4:I7=I6)*(H4:H7=H6)*(F4:F7&gt;F6))+1</f>
        <v>1</v>
      </c>
      <c r="T46" s="23" t="str">
        <f ca="1">IF(U6&lt;&gt;"",SUMPRODUCT((AB4:AB7=AB6)*(AA4:AA7=AA6)*(Y4:Y7=Y6)*(Z4:Z7=Z6)),"")</f>
        <v/>
      </c>
      <c r="U46" s="23" t="str">
        <f t="shared" ca="1" si="69"/>
        <v/>
      </c>
      <c r="V46" s="23">
        <f ca="1">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23">
        <f ca="1">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23">
        <f ca="1">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23">
        <f ca="1">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23">
        <f ca="1">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23">
        <f ca="1">Y46-Z46+1000</f>
        <v>1000</v>
      </c>
      <c r="AB46" s="23" t="str">
        <f t="shared" ca="1" si="70"/>
        <v/>
      </c>
      <c r="AC46" s="23" t="str">
        <f ca="1">IF(U46&lt;&gt;"",VLOOKUP(U46,B4:H40,7,FALSE),"")</f>
        <v/>
      </c>
      <c r="AD46" s="23" t="str">
        <f ca="1">IF(U46&lt;&gt;"",VLOOKUP(U46,B4:H40,5,FALSE),"")</f>
        <v/>
      </c>
      <c r="AE46" s="23" t="str">
        <f ca="1">IF(U46&lt;&gt;"",VLOOKUP(U46,B4:J40,9,FALSE),"")</f>
        <v/>
      </c>
      <c r="AF46" s="23" t="str">
        <f t="shared" ca="1" si="71"/>
        <v/>
      </c>
      <c r="AG46" s="23" t="str">
        <f ca="1">IF(U46&lt;&gt;"",RANK(AF46,AF44:AF48),"")</f>
        <v/>
      </c>
      <c r="AH46" s="23" t="str">
        <f ca="1">IF(U46&lt;&gt;"",SUMPRODUCT((AF44:AF48=AF46)*(AA44:AA48&gt;AA46)),"")</f>
        <v/>
      </c>
      <c r="AI46" s="23" t="str">
        <f ca="1">IF(U46&lt;&gt;"",SUMPRODUCT((AF44:AF48=AF46)*(AA44:AA48=AA46)*(Y44:Y48&gt;Y46)),"")</f>
        <v/>
      </c>
      <c r="AJ46" s="23" t="str">
        <f ca="1">IF(U46&lt;&gt;"",SUMPRODUCT((AF44:AF48=AF46)*(AA44:AA48=AA46)*(Y44:Y48=Y46)*(AC44:AC48&gt;AC46)),"")</f>
        <v/>
      </c>
      <c r="AK46" s="23" t="str">
        <f ca="1">IF(U46&lt;&gt;"",SUMPRODUCT((AF44:AF48=AF46)*(AA44:AA48=AA46)*(Y44:Y48=Y46)*(AC44:AC48=AC46)*(AD44:AD48&gt;AD46)),"")</f>
        <v/>
      </c>
      <c r="AL46" s="23" t="str">
        <f ca="1">IF(U46&lt;&gt;"",SUMPRODUCT((AF44:AF48=AF46)*(AA44:AA48=AA46)*(Y44:Y48=Y46)*(AC44:AC48=AC46)*(AD44:AD48=AD46)*(AE44:AE48&gt;AE46)),"")</f>
        <v/>
      </c>
      <c r="AM46" s="23" t="str">
        <f ca="1">IF(U46&lt;&gt;"",SUM(AG46:AL46),"")</f>
        <v/>
      </c>
      <c r="AN46" s="23" t="str">
        <f ca="1">IF(AO6&lt;&gt;"",SUMPRODUCT((AV4:AV7=AV6)*(AU4:AU7=AU6)*(AS4:AS7=AS6)*(AT4:AT7=AT6)),"")</f>
        <v/>
      </c>
      <c r="AO46" s="23" t="str">
        <f t="shared" ca="1" si="72"/>
        <v/>
      </c>
      <c r="AP46" s="23">
        <f ca="1">SUMPRODUCT((CZ3:CZ42=AO46)*(DC3:DC42=AO47)*(DD3:DD42="W"))+SUMPRODUCT((CZ3:CZ42=AO46)*(DC3:DC42=AO48)*(DD3:DD42="W"))+SUMPRODUCT((CZ3:CZ42=AO46)*(DC3:DC42=AO45)*(DD3:DD42="W"))+SUMPRODUCT((CZ3:CZ42=AO47)*(DC3:DC42=AO46)*(DE3:DE42="W"))+SUMPRODUCT((CZ3:CZ42=AO48)*(DC3:DC42=AO46)*(DE3:DE42="W"))+SUMPRODUCT((CZ3:CZ42=AO45)*(DC3:DC42=AO46)*(DE3:DE42="W"))</f>
        <v>0</v>
      </c>
      <c r="AQ46" s="23">
        <f ca="1">SUMPRODUCT((CZ3:CZ42=AO46)*(DC3:DC42=AO47)*(DD3:DD42="D"))+SUMPRODUCT((CZ3:CZ42=AO46)*(DC3:DC42=AO48)*(DD3:DD42="D"))+SUMPRODUCT((CZ3:CZ42=AO46)*(DC3:DC42=AO45)*(DD3:DD42="D"))+SUMPRODUCT((CZ3:CZ42=AO47)*(DC3:DC42=AO46)*(DD3:DD42="D"))+SUMPRODUCT((CZ3:CZ42=AO48)*(DC3:DC42=AO46)*(DD3:DD42="D"))+SUMPRODUCT((CZ3:CZ42=AO45)*(DC3:DC42=AO46)*(DD3:DD42="D"))</f>
        <v>0</v>
      </c>
      <c r="AR46" s="23">
        <f ca="1">SUMPRODUCT((CZ3:CZ42=AO46)*(DC3:DC42=AO47)*(DD3:DD42="L"))+SUMPRODUCT((CZ3:CZ42=AO46)*(DC3:DC42=AO48)*(DD3:DD42="L"))+SUMPRODUCT((CZ3:CZ42=AO46)*(DC3:DC42=AO45)*(DD3:DD42="L"))+SUMPRODUCT((CZ3:CZ42=AO47)*(DC3:DC42=AO46)*(DE3:DE42="L"))+SUMPRODUCT((CZ3:CZ42=AO48)*(DC3:DC42=AO46)*(DE3:DE42="L"))+SUMPRODUCT((CZ3:CZ42=AO45)*(DC3:DC42=AO46)*(DE3:DE42="L"))</f>
        <v>0</v>
      </c>
      <c r="AS46" s="23">
        <f ca="1">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23">
        <f ca="1">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23">
        <f ca="1">AS46-AT46+1000</f>
        <v>1000</v>
      </c>
      <c r="AV46" s="23" t="str">
        <f t="shared" ca="1" si="73"/>
        <v/>
      </c>
      <c r="AW46" s="23" t="str">
        <f ca="1">IF(AO46&lt;&gt;"",VLOOKUP(AO46,B4:H40,7,FALSE),"")</f>
        <v/>
      </c>
      <c r="AX46" s="23" t="str">
        <f ca="1">IF(AO46&lt;&gt;"",VLOOKUP(AO46,B4:H40,5,FALSE),"")</f>
        <v/>
      </c>
      <c r="AY46" s="23" t="str">
        <f ca="1">IF(AO46&lt;&gt;"",VLOOKUP(AO46,B4:J40,9,FALSE),"")</f>
        <v/>
      </c>
      <c r="AZ46" s="23" t="str">
        <f t="shared" ca="1" si="74"/>
        <v/>
      </c>
      <c r="BA46" s="23" t="str">
        <f ca="1">IF(AO46&lt;&gt;"",RANK(AZ46,AZ44:AZ47),"")</f>
        <v/>
      </c>
      <c r="BB46" s="23" t="str">
        <f ca="1">IF(AO46&lt;&gt;"",SUMPRODUCT((AZ44:AZ47=AZ46)*(AU44:AU47&gt;AU46)),"")</f>
        <v/>
      </c>
      <c r="BC46" s="23" t="str">
        <f ca="1">IF(AO46&lt;&gt;"",SUMPRODUCT((AZ44:AZ47=AZ46)*(AU44:AU47=AU46)*(AS44:AS47&gt;AS46)),"")</f>
        <v/>
      </c>
      <c r="BD46" s="23" t="str">
        <f ca="1">IF(AO46&lt;&gt;"",SUMPRODUCT((AZ44:AZ47=AZ46)*(AU44:AU47=AU46)*(AS44:AS47=AS46)*(AW44:AW47&gt;AW46)),"")</f>
        <v/>
      </c>
      <c r="BE46" s="23" t="str">
        <f ca="1">IF(AO46&lt;&gt;"",SUMPRODUCT((AZ44:AZ47=AZ46)*(AU44:AU47=AU46)*(AS44:AS47=AS46)*(AW44:AW47=AW46)*(AX44:AX47&gt;AX46)),"")</f>
        <v/>
      </c>
      <c r="BF46" s="23" t="str">
        <f ca="1">IF(AO46&lt;&gt;"",SUMPRODUCT((AZ44:AZ47=AZ46)*(AU44:AU47=AU46)*(AS44:AS47=AS46)*(AW44:AW47=AW46)*(AX44:AX47=AX46)*(AY44:AY47&gt;AY46)),"")</f>
        <v/>
      </c>
      <c r="BG46" s="23" t="str">
        <f t="shared" ref="BG46:BG47" ca="1" si="75">IF(AO46&lt;&gt;"",SUM(BA46:BF46)+1,"")</f>
        <v/>
      </c>
      <c r="EJ46" s="252" t="str">
        <f>IF(ISERROR("'Countries and Timezone'!"&amp;VLOOKUP(EH46,'Dummy Table'!EH7:EI38,2,FALSE)),"'Countries and Timezone'!b39","'Countries and Timezone'!"&amp;VLOOKUP(EH46,'Dummy Table'!EH7:EI38,2,FALSE))</f>
        <v>'Countries and Timezone'!b39</v>
      </c>
      <c r="EL46" s="264">
        <v>45473.875</v>
      </c>
      <c r="EM46" s="265">
        <f>EL46+EK7/24</f>
        <v>45473.875</v>
      </c>
      <c r="EO46" s="274" t="s">
        <v>793</v>
      </c>
      <c r="EP46" s="23">
        <v>-3</v>
      </c>
      <c r="EQ46" s="23" t="s">
        <v>583</v>
      </c>
      <c r="ER46" s="23" t="s">
        <v>582</v>
      </c>
    </row>
    <row r="47" spans="1:148" x14ac:dyDescent="0.25">
      <c r="I47" s="23">
        <f ca="1">SUMPRODUCT((I4:I7=I7)*(H4:H7=H7)*(F4:F7&gt;F7))+1</f>
        <v>1</v>
      </c>
      <c r="T47" s="23" t="str">
        <f ca="1">IF(U7&lt;&gt;"",SUMPRODUCT((AB4:AB7=AB7)*(AA4:AA7=AA7)*(Y4:Y7=Y7)*(Z4:Z7=Z7)),"")</f>
        <v/>
      </c>
      <c r="U47" s="23" t="str">
        <f t="shared" ca="1" si="69"/>
        <v/>
      </c>
      <c r="V47" s="23">
        <f ca="1">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23">
        <f ca="1">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23">
        <f ca="1">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23">
        <f ca="1">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23">
        <f ca="1">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23">
        <f ca="1">Y47-Z47+1000</f>
        <v>1000</v>
      </c>
      <c r="AB47" s="23" t="str">
        <f t="shared" ca="1" si="70"/>
        <v/>
      </c>
      <c r="AC47" s="23" t="str">
        <f ca="1">IF(U47&lt;&gt;"",VLOOKUP(U47,B4:H40,7,FALSE),"")</f>
        <v/>
      </c>
      <c r="AD47" s="23" t="str">
        <f ca="1">IF(U47&lt;&gt;"",VLOOKUP(U47,B4:H40,5,FALSE),"")</f>
        <v/>
      </c>
      <c r="AE47" s="23" t="str">
        <f ca="1">IF(U47&lt;&gt;"",VLOOKUP(U47,B4:J40,9,FALSE),"")</f>
        <v/>
      </c>
      <c r="AF47" s="23" t="str">
        <f t="shared" ca="1" si="71"/>
        <v/>
      </c>
      <c r="AG47" s="23" t="str">
        <f ca="1">IF(U47&lt;&gt;"",RANK(AF47,AF44:AF48),"")</f>
        <v/>
      </c>
      <c r="AH47" s="23" t="str">
        <f ca="1">IF(U47&lt;&gt;"",SUMPRODUCT((AF44:AF48=AF47)*(AA44:AA48&gt;AA47)),"")</f>
        <v/>
      </c>
      <c r="AI47" s="23" t="str">
        <f ca="1">IF(U47&lt;&gt;"",SUMPRODUCT((AF44:AF48=AF47)*(AA44:AA48=AA47)*(Y44:Y48&gt;Y47)),"")</f>
        <v/>
      </c>
      <c r="AJ47" s="23" t="str">
        <f ca="1">IF(U47&lt;&gt;"",SUMPRODUCT((AF44:AF48=AF47)*(AA44:AA48=AA47)*(Y44:Y48=Y47)*(AC44:AC48&gt;AC47)),"")</f>
        <v/>
      </c>
      <c r="AK47" s="23" t="str">
        <f ca="1">IF(U47&lt;&gt;"",SUMPRODUCT((AF44:AF48=AF47)*(AA44:AA48=AA47)*(Y44:Y48=Y47)*(AC44:AC48=AC47)*(AD44:AD48&gt;AD47)),"")</f>
        <v/>
      </c>
      <c r="AL47" s="23" t="str">
        <f ca="1">IF(U47&lt;&gt;"",SUMPRODUCT((AF44:AF48=AF47)*(AA44:AA48=AA47)*(Y44:Y48=Y47)*(AC44:AC48=AC47)*(AD44:AD48=AD47)*(AE44:AE48&gt;AE47)),"")</f>
        <v/>
      </c>
      <c r="AM47" s="23" t="str">
        <f ca="1">IF(U47&lt;&gt;"",SUM(AG47:AL47),"")</f>
        <v/>
      </c>
      <c r="AN47" s="23" t="str">
        <f ca="1">IF(AO7&lt;&gt;"",SUMPRODUCT((AV4:AV7=AV7)*(AU4:AU7=AU7)*(AS4:AS7=AS7)*(AT4:AT7=AT7)),"")</f>
        <v/>
      </c>
      <c r="AO47" s="23" t="str">
        <f t="shared" ca="1" si="72"/>
        <v/>
      </c>
      <c r="AP47" s="23">
        <f ca="1">SUMPRODUCT((CZ3:CZ42=AO47)*(DC3:DC42=AO48)*(DD3:DD42="W"))+SUMPRODUCT((CZ3:CZ42=AO47)*(DC3:DC42=AO45)*(DD3:DD42="W"))+SUMPRODUCT((CZ3:CZ42=AO47)*(DC3:DC42=AO46)*(DD3:DD42="W"))+SUMPRODUCT((CZ3:CZ42=AO48)*(DC3:DC42=AO47)*(DE3:DE42="W"))+SUMPRODUCT((CZ3:CZ42=AO45)*(DC3:DC42=AO47)*(DE3:DE42="W"))+SUMPRODUCT((CZ3:CZ42=AO46)*(DC3:DC42=AO47)*(DE3:DE42="W"))</f>
        <v>0</v>
      </c>
      <c r="AQ47" s="23">
        <f ca="1">SUMPRODUCT((CZ3:CZ42=AO47)*(DC3:DC42=AO48)*(DD3:DD42="D"))+SUMPRODUCT((CZ3:CZ42=AO47)*(DC3:DC42=AO45)*(DD3:DD42="D"))+SUMPRODUCT((CZ3:CZ42=AO47)*(DC3:DC42=AO46)*(DD3:DD42="D"))+SUMPRODUCT((CZ3:CZ42=AO48)*(DC3:DC42=AO47)*(DD3:DD42="D"))+SUMPRODUCT((CZ3:CZ42=AO45)*(DC3:DC42=AO47)*(DD3:DD42="D"))+SUMPRODUCT((CZ3:CZ42=AO46)*(DC3:DC42=AO47)*(DD3:DD42="D"))</f>
        <v>0</v>
      </c>
      <c r="AR47" s="23">
        <f ca="1">SUMPRODUCT((CZ3:CZ42=AO47)*(DC3:DC42=AO48)*(DD3:DD42="L"))+SUMPRODUCT((CZ3:CZ42=AO47)*(DC3:DC42=AO45)*(DD3:DD42="L"))+SUMPRODUCT((CZ3:CZ42=AO47)*(DC3:DC42=AO46)*(DD3:DD42="L"))+SUMPRODUCT((CZ3:CZ42=AO48)*(DC3:DC42=AO47)*(DE3:DE42="L"))+SUMPRODUCT((CZ3:CZ42=AO45)*(DC3:DC42=AO47)*(DE3:DE42="L"))+SUMPRODUCT((CZ3:CZ42=AO46)*(DC3:DC42=AO47)*(DE3:DE42="L"))</f>
        <v>0</v>
      </c>
      <c r="AS47" s="23">
        <f ca="1">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23">
        <f ca="1">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23">
        <f ca="1">AS47-AT47+1000</f>
        <v>1000</v>
      </c>
      <c r="AV47" s="23" t="str">
        <f t="shared" ca="1" si="73"/>
        <v/>
      </c>
      <c r="AW47" s="23" t="str">
        <f ca="1">IF(AO47&lt;&gt;"",VLOOKUP(AO47,B4:H40,7,FALSE),"")</f>
        <v/>
      </c>
      <c r="AX47" s="23" t="str">
        <f ca="1">IF(AO47&lt;&gt;"",VLOOKUP(AO47,B4:H40,5,FALSE),"")</f>
        <v/>
      </c>
      <c r="AY47" s="23" t="str">
        <f ca="1">IF(AO47&lt;&gt;"",VLOOKUP(AO47,B4:J40,9,FALSE),"")</f>
        <v/>
      </c>
      <c r="AZ47" s="23" t="str">
        <f t="shared" ca="1" si="74"/>
        <v/>
      </c>
      <c r="BA47" s="23" t="str">
        <f ca="1">IF(AO47&lt;&gt;"",RANK(AZ47,AZ44:AZ47),"")</f>
        <v/>
      </c>
      <c r="BB47" s="23" t="str">
        <f ca="1">IF(AO47&lt;&gt;"",SUMPRODUCT((AZ44:AZ47=AZ47)*(AU44:AU47&gt;AU47)),"")</f>
        <v/>
      </c>
      <c r="BC47" s="23" t="str">
        <f ca="1">IF(AO47&lt;&gt;"",SUMPRODUCT((AZ44:AZ47=AZ47)*(AU44:AU47=AU47)*(AS44:AS47&gt;AS47)),"")</f>
        <v/>
      </c>
      <c r="BD47" s="23" t="str">
        <f ca="1">IF(AO47&lt;&gt;"",SUMPRODUCT((AZ44:AZ47=AZ47)*(AU44:AU47=AU47)*(AS44:AS47=AS47)*(AW44:AW47&gt;AW47)),"")</f>
        <v/>
      </c>
      <c r="BE47" s="23" t="str">
        <f ca="1">IF(AO47&lt;&gt;"",SUMPRODUCT((AZ44:AZ47=AZ47)*(AU44:AU47=AU47)*(AS44:AS47=AS47)*(AW44:AW47=AW47)*(AX44:AX47&gt;AX47)),"")</f>
        <v/>
      </c>
      <c r="BF47" s="23" t="str">
        <f ca="1">IF(AO47&lt;&gt;"",SUMPRODUCT((AZ44:AZ47=AZ47)*(AU44:AU47=AU47)*(AS44:AS47=AS47)*(AW44:AW47=AW47)*(AX44:AX47=AX47)*(AY44:AY47&gt;AY47)),"")</f>
        <v/>
      </c>
      <c r="BG47" s="23" t="str">
        <f t="shared" ca="1" si="75"/>
        <v/>
      </c>
      <c r="EJ47" s="252" t="str">
        <f>IF(ISERROR("'Countries and Timezone'!"&amp;VLOOKUP(EH47,'Dummy Table'!EH7:EI38,2,FALSE)),"'Countries and Timezone'!b39","'Countries and Timezone'!"&amp;VLOOKUP(EH47,'Dummy Table'!EH7:EI38,2,FALSE))</f>
        <v>'Countries and Timezone'!b39</v>
      </c>
      <c r="EL47" s="264">
        <v>45473.75</v>
      </c>
      <c r="EM47" s="265">
        <f>EL47+EK7/24</f>
        <v>45473.75</v>
      </c>
      <c r="EO47" s="274" t="s">
        <v>794</v>
      </c>
      <c r="EP47" s="23">
        <v>-3</v>
      </c>
      <c r="EQ47" s="23" t="s">
        <v>585</v>
      </c>
      <c r="ER47" s="23" t="s">
        <v>584</v>
      </c>
    </row>
    <row r="48" spans="1:148" x14ac:dyDescent="0.25">
      <c r="EJ48" s="252" t="str">
        <f>IF(ISERROR("'Countries and Timezone'!"&amp;VLOOKUP(EH48,'Dummy Table'!EH7:EI38,2,FALSE)),"'Countries and Timezone'!b39","'Countries and Timezone'!"&amp;VLOOKUP(EH48,'Dummy Table'!EH7:EI38,2,FALSE))</f>
        <v>'Countries and Timezone'!b39</v>
      </c>
      <c r="EL48" s="264">
        <v>45474.875</v>
      </c>
      <c r="EM48" s="265">
        <f>EL48+EK7/24</f>
        <v>45474.875</v>
      </c>
      <c r="EO48" s="274" t="s">
        <v>795</v>
      </c>
      <c r="EP48" s="23">
        <v>-3</v>
      </c>
      <c r="EQ48" s="23" t="s">
        <v>587</v>
      </c>
      <c r="ER48" s="23" t="s">
        <v>586</v>
      </c>
    </row>
    <row r="49" spans="9:148" x14ac:dyDescent="0.25">
      <c r="EJ49" s="252" t="str">
        <f>IF(ISERROR("'Countries and Timezone'!"&amp;VLOOKUP(EH49,'Dummy Table'!EH7:EI38,2,FALSE)),"'Countries and Timezone'!b39","'Countries and Timezone'!"&amp;VLOOKUP(EH49,'Dummy Table'!EH7:EI38,2,FALSE))</f>
        <v>'Countries and Timezone'!b39</v>
      </c>
      <c r="EL49" s="264">
        <v>45474.75</v>
      </c>
      <c r="EM49" s="265">
        <f>EL49+EK7/24</f>
        <v>45474.75</v>
      </c>
      <c r="EO49" s="274" t="s">
        <v>796</v>
      </c>
      <c r="EP49" s="23">
        <v>-2</v>
      </c>
      <c r="EQ49" s="23" t="s">
        <v>589</v>
      </c>
      <c r="ER49" s="23" t="s">
        <v>588</v>
      </c>
    </row>
    <row r="50" spans="9:148" x14ac:dyDescent="0.25">
      <c r="T50" s="23">
        <f ca="1">IF(U51="",SUM(AG11:AL11),IF(U52="",SUM(AG12:AL12),IF(U53="",SUM(AG13:AL13),IF(U54="",SUM(AG14:AL14),0))))</f>
        <v>0</v>
      </c>
      <c r="AN50" s="23">
        <f ca="1">IF(AO52="",SUM(BA12:BF12),IF(AO53="",SUM(BA13:BF13),IF(AO54="",SUM(BA14:BF14),0)))</f>
        <v>0</v>
      </c>
      <c r="EJ50" s="252" t="str">
        <f>IF(ISERROR("'Countries and Timezone'!"&amp;VLOOKUP(EH50,'Dummy Table'!EH7:EI38,2,FALSE)),"'Countries and Timezone'!b39","'Countries and Timezone'!"&amp;VLOOKUP(EH50,'Dummy Table'!EH7:EI38,2,FALSE))</f>
        <v>'Countries and Timezone'!b39</v>
      </c>
      <c r="EL50" s="264">
        <v>45475.75</v>
      </c>
      <c r="EM50" s="265">
        <f>EL50+EK7/24</f>
        <v>45475.75</v>
      </c>
      <c r="EO50" s="274" t="s">
        <v>797</v>
      </c>
      <c r="EP50" s="23">
        <v>-1</v>
      </c>
      <c r="EQ50" s="23" t="s">
        <v>591</v>
      </c>
      <c r="ER50" s="23" t="s">
        <v>590</v>
      </c>
    </row>
    <row r="51" spans="9:148" x14ac:dyDescent="0.25">
      <c r="I51" s="23">
        <f ca="1">SUMPRODUCT((I11:I14=I11)*(H11:H14=H11)*(F11:F14&gt;F11))+1</f>
        <v>1</v>
      </c>
      <c r="T51" s="23">
        <f ca="1">IF(U11&lt;&gt;"",SUMPRODUCT((AB11:AB14=AB11)*(AA11:AA14=AA11)*(Y11:Y14=Y11)*(Z11:Z14=Z11)),"")</f>
        <v>2</v>
      </c>
      <c r="U51" s="23" t="str">
        <f ca="1">IF(AND(T51&lt;&gt;"",T51&gt;1),U11,"")</f>
        <v>Italy</v>
      </c>
      <c r="V51" s="23">
        <f ca="1">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23">
        <f ca="1">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23">
        <f ca="1">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23">
        <f ca="1">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23">
        <f ca="1">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23">
        <f ca="1">Y51-Z51+1000</f>
        <v>1000</v>
      </c>
      <c r="AB51" s="23">
        <f t="shared" ref="AB51:AB54" ca="1" si="76">IF(U51&lt;&gt;"",V51*3+W51*1,"")</f>
        <v>0</v>
      </c>
      <c r="AC51" s="23">
        <f ca="1">IF(U51&lt;&gt;"",VLOOKUP(U51,B4:H40,7,FALSE),"")</f>
        <v>1001</v>
      </c>
      <c r="AD51" s="23">
        <f ca="1">IF(U51&lt;&gt;"",VLOOKUP(U51,B4:H40,5,FALSE),"")</f>
        <v>2</v>
      </c>
      <c r="AE51" s="23">
        <f ca="1">IF(U51&lt;&gt;"",VLOOKUP(U51,B4:J40,9,FALSE),"")</f>
        <v>36</v>
      </c>
      <c r="AF51" s="23">
        <f ca="1">AB51</f>
        <v>0</v>
      </c>
      <c r="AG51" s="23">
        <f ca="1">IF(U51&lt;&gt;"",RANK(AF51,AF51:AF54),"")</f>
        <v>1</v>
      </c>
      <c r="AH51" s="23">
        <f ca="1">IF(U51&lt;&gt;"",SUMPRODUCT((AF51:AF54=AF51)*(AA51:AA54&gt;AA51)),"")</f>
        <v>0</v>
      </c>
      <c r="AI51" s="23">
        <f ca="1">IF(U51&lt;&gt;"",SUMPRODUCT((AF51:AF54=AF51)*(AA51:AA54=AA51)*(Y51:Y54&gt;Y51)),"")</f>
        <v>0</v>
      </c>
      <c r="AJ51" s="23">
        <f ca="1">IF(U51&lt;&gt;"",SUMPRODUCT((AF51:AF54=AF51)*(AA51:AA54=AA51)*(Y51:Y54=Y51)*(AC51:AC54&gt;AC51)),"")</f>
        <v>1</v>
      </c>
      <c r="AK51" s="23">
        <f ca="1">IF(U51&lt;&gt;"",SUMPRODUCT((AF51:AF54=AF51)*(AA51:AA54=AA51)*(Y51:Y54=Y51)*(AC51:AC54=AC51)*(AD51:AD54&gt;AD51)),"")</f>
        <v>0</v>
      </c>
      <c r="AL51" s="23">
        <f ca="1">IF(U51&lt;&gt;"",SUMPRODUCT((AF51:AF54=AF51)*(AA51:AA54=AA51)*(Y51:Y54=Y51)*(AC51:AC54=AC51)*(AD51:AD54=AD51)*(AE51:AE54&gt;AE51)),"")</f>
        <v>0</v>
      </c>
      <c r="AM51" s="23">
        <f ca="1">IF(U51&lt;&gt;"",SUM(AG51:AL51),"")</f>
        <v>2</v>
      </c>
      <c r="EJ51" s="252" t="str">
        <f>IF(ISERROR("'Countries and Timezone'!"&amp;VLOOKUP(EH51,'Dummy Table'!EH7:EI38,2,FALSE)),"'Countries and Timezone'!b39","'Countries and Timezone'!"&amp;VLOOKUP(EH51,'Dummy Table'!EH7:EI38,2,FALSE))</f>
        <v>'Countries and Timezone'!b39</v>
      </c>
      <c r="EL51" s="264">
        <v>45475.875</v>
      </c>
      <c r="EM51" s="265">
        <f>EL51+EK7/24</f>
        <v>45475.875</v>
      </c>
      <c r="EO51" s="274" t="s">
        <v>798</v>
      </c>
      <c r="EP51" s="23">
        <v>-1</v>
      </c>
      <c r="EQ51" s="23" t="s">
        <v>593</v>
      </c>
      <c r="ER51" s="23" t="s">
        <v>592</v>
      </c>
    </row>
    <row r="52" spans="9:148" x14ac:dyDescent="0.25">
      <c r="I52" s="23">
        <f ca="1">SUMPRODUCT((I11:I14=I12)*(H11:H14=H12)*(F11:F14&gt;F12))+1</f>
        <v>1</v>
      </c>
      <c r="T52" s="23">
        <f ca="1">IF(U12&lt;&gt;"",SUMPRODUCT((AB11:AB14=AB12)*(AA11:AA14=AA12)*(Y11:Y14=Y12)*(Z11:Z14=Z12)),"")</f>
        <v>2</v>
      </c>
      <c r="U52" s="23" t="str">
        <f t="shared" ref="U52:U54" ca="1" si="77">IF(AND(T52&lt;&gt;"",T52&gt;1),U12,"")</f>
        <v>Spain</v>
      </c>
      <c r="V52" s="23">
        <f ca="1">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23">
        <f ca="1">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23">
        <f ca="1">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23">
        <f ca="1">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23">
        <f ca="1">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23">
        <f ca="1">Y52-Z52+1000</f>
        <v>1000</v>
      </c>
      <c r="AB52" s="23">
        <f t="shared" ca="1" si="76"/>
        <v>0</v>
      </c>
      <c r="AC52" s="23">
        <f ca="1">IF(U52&lt;&gt;"",VLOOKUP(U52,B4:H40,7,FALSE),"")</f>
        <v>1003</v>
      </c>
      <c r="AD52" s="23">
        <f ca="1">IF(U52&lt;&gt;"",VLOOKUP(U52,B4:H40,5,FALSE),"")</f>
        <v>3</v>
      </c>
      <c r="AE52" s="23">
        <f ca="1">IF(U52&lt;&gt;"",VLOOKUP(U52,B4:J40,9,FALSE),"")</f>
        <v>51</v>
      </c>
      <c r="AF52" s="23">
        <f t="shared" ref="AF52:AF54" ca="1" si="78">AB52</f>
        <v>0</v>
      </c>
      <c r="AG52" s="23">
        <f ca="1">IF(U52&lt;&gt;"",RANK(AF52,AF51:AF54),"")</f>
        <v>1</v>
      </c>
      <c r="AH52" s="23">
        <f ca="1">IF(U52&lt;&gt;"",SUMPRODUCT((AF51:AF54=AF52)*(AA51:AA54&gt;AA52)),"")</f>
        <v>0</v>
      </c>
      <c r="AI52" s="23">
        <f ca="1">IF(U52&lt;&gt;"",SUMPRODUCT((AF51:AF54=AF52)*(AA51:AA54=AA52)*(Y51:Y54&gt;Y52)),"")</f>
        <v>0</v>
      </c>
      <c r="AJ52" s="23">
        <f ca="1">IF(U52&lt;&gt;"",SUMPRODUCT((AF51:AF54=AF52)*(AA51:AA54=AA52)*(Y51:Y54=Y52)*(AC51:AC54&gt;AC52)),"")</f>
        <v>0</v>
      </c>
      <c r="AK52" s="23">
        <f ca="1">IF(U52&lt;&gt;"",SUMPRODUCT((AF51:AF54=AF52)*(AA51:AA54=AA52)*(Y51:Y54=Y52)*(AC51:AC54=AC52)*(AD51:AD54&gt;AD52)),"")</f>
        <v>0</v>
      </c>
      <c r="AL52" s="23">
        <f ca="1">IF(U52&lt;&gt;"",SUMPRODUCT((AF51:AF54=AF52)*(AA51:AA54=AA52)*(Y51:Y54=Y52)*(AC51:AC54=AC52)*(AD51:AD54=AD52)*(AE51:AE54&gt;AE52)),"")</f>
        <v>0</v>
      </c>
      <c r="AM52" s="23">
        <f t="shared" ref="AM52:AM54" ca="1" si="79">IF(U52&lt;&gt;"",SUM(AG52:AL52),"")</f>
        <v>1</v>
      </c>
      <c r="AN52" s="23" t="str">
        <f ca="1">IF(AO12&lt;&gt;"",SUMPRODUCT((AV11:AV14=AV12)*(AU11:AU14=AU12)*(AS11:AS14=AS12)*(AT11:AT14=AT12)),"")</f>
        <v/>
      </c>
      <c r="AO52" s="23" t="str">
        <f t="shared" ref="AO52:AO54" ca="1" si="80">IF(AND(AN52&lt;&gt;"",AN52&gt;1),AO12,"")</f>
        <v/>
      </c>
      <c r="AP52" s="23">
        <f ca="1">SUMPRODUCT((CZ3:CZ42=AO52)*(DC3:DC42=AO53)*(DD3:DD42="W"))+SUMPRODUCT((CZ3:CZ42=AO52)*(DC3:DC42=AO54)*(DD3:DD42="W"))+SUMPRODUCT((CZ3:CZ42=AO52)*(DC3:DC42=AO55)*(DD3:DD42="W"))+SUMPRODUCT((CZ3:CZ42=AO53)*(DC3:DC42=AO52)*(DE3:DE42="W"))+SUMPRODUCT((CZ3:CZ42=AO54)*(DC3:DC42=AO52)*(DE3:DE42="W"))+SUMPRODUCT((CZ3:CZ42=AO55)*(DC3:DC42=AO52)*(DE3:DE42="W"))</f>
        <v>0</v>
      </c>
      <c r="AQ52" s="23">
        <f ca="1">SUMPRODUCT((CZ3:CZ42=AO52)*(DC3:DC42=AO53)*(DD3:DD42="D"))+SUMPRODUCT((CZ3:CZ42=AO52)*(DC3:DC42=AO54)*(DD3:DD42="D"))+SUMPRODUCT((CZ3:CZ42=AO52)*(DC3:DC42=AO55)*(DD3:DD42="D"))+SUMPRODUCT((CZ3:CZ42=AO53)*(DC3:DC42=AO52)*(DD3:DD42="D"))+SUMPRODUCT((CZ3:CZ42=AO54)*(DC3:DC42=AO52)*(DD3:DD42="D"))+SUMPRODUCT((CZ3:CZ42=AO55)*(DC3:DC42=AO52)*(DD3:DD42="D"))</f>
        <v>0</v>
      </c>
      <c r="AR52" s="23">
        <f ca="1">SUMPRODUCT((CZ3:CZ42=AO52)*(DC3:DC42=AO53)*(DD3:DD42="L"))+SUMPRODUCT((CZ3:CZ42=AO52)*(DC3:DC42=AO54)*(DD3:DD42="L"))+SUMPRODUCT((CZ3:CZ42=AO52)*(DC3:DC42=AO55)*(DD3:DD42="L"))+SUMPRODUCT((CZ3:CZ42=AO53)*(DC3:DC42=AO52)*(DE3:DE42="L"))+SUMPRODUCT((CZ3:CZ42=AO54)*(DC3:DC42=AO52)*(DE3:DE42="L"))+SUMPRODUCT((CZ3:CZ42=AO55)*(DC3:DC42=AO52)*(DE3:DE42="L"))</f>
        <v>0</v>
      </c>
      <c r="AS52" s="23">
        <f ca="1">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23">
        <f ca="1">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23">
        <f ca="1">AS52-AT52+1000</f>
        <v>1000</v>
      </c>
      <c r="AV52" s="23" t="str">
        <f t="shared" ref="AV52:AV54" ca="1" si="81">IF(AO52&lt;&gt;"",AP52*3+AQ52*1,"")</f>
        <v/>
      </c>
      <c r="AW52" s="23" t="str">
        <f ca="1">IF(AO52&lt;&gt;"",VLOOKUP(AO52,B4:H40,7,FALSE),"")</f>
        <v/>
      </c>
      <c r="AX52" s="23" t="str">
        <f ca="1">IF(AO52&lt;&gt;"",VLOOKUP(AO52,B4:H40,5,FALSE),"")</f>
        <v/>
      </c>
      <c r="AY52" s="23" t="str">
        <f ca="1">IF(AO52&lt;&gt;"",VLOOKUP(AO52,B4:J40,9,FALSE),"")</f>
        <v/>
      </c>
      <c r="AZ52" s="23" t="str">
        <f t="shared" ref="AZ52" ca="1" si="82">AV52</f>
        <v/>
      </c>
      <c r="BA52" s="23" t="str">
        <f ca="1">IF(AO52&lt;&gt;"",RANK(AZ52,AZ51:AZ54),"")</f>
        <v/>
      </c>
      <c r="BB52" s="23" t="str">
        <f ca="1">IF(AO52&lt;&gt;"",SUMPRODUCT((AZ51:AZ54=AZ52)*(AU51:AU54&gt;AU52)),"")</f>
        <v/>
      </c>
      <c r="BC52" s="23" t="str">
        <f ca="1">IF(AO52&lt;&gt;"",SUMPRODUCT((AZ51:AZ54=AZ52)*(AU51:AU54=AU52)*(AS51:AS54&gt;AS52)),"")</f>
        <v/>
      </c>
      <c r="BD52" s="23" t="str">
        <f ca="1">IF(AO52&lt;&gt;"",SUMPRODUCT((AZ51:AZ54=AZ52)*(AU51:AU54=AU52)*(AS51:AS54=AS52)*(AW51:AW54&gt;AW52)),"")</f>
        <v/>
      </c>
      <c r="BE52" s="23" t="str">
        <f ca="1">IF(AO52&lt;&gt;"",SUMPRODUCT((AZ51:AZ54=AZ52)*(AU51:AU54=AU52)*(AS51:AS54=AS52)*(AW51:AW54=AW52)*(AX51:AX54&gt;AX52)),"")</f>
        <v/>
      </c>
      <c r="BF52" s="23" t="str">
        <f ca="1">IF(AO52&lt;&gt;"",SUMPRODUCT((AZ51:AZ54=AZ52)*(AU51:AU54=AU52)*(AS51:AS54=AS52)*(AW51:AW54=AW52)*(AX51:AX54=AX52)*(AY51:AY54&gt;AY52)),"")</f>
        <v/>
      </c>
      <c r="BG52" s="23" t="str">
        <f ca="1">IF(AO52&lt;&gt;"",SUM(BA52:BF52)+1,"")</f>
        <v/>
      </c>
      <c r="EJ52" s="252" t="str">
        <f>IF(ISERROR("'Countries and Timezone'!"&amp;VLOOKUP(EH52,'Dummy Table'!EH7:EI38,2,FALSE)),"'Countries and Timezone'!b39","'Countries and Timezone'!"&amp;VLOOKUP(EH52,'Dummy Table'!EH7:EI38,2,FALSE))</f>
        <v>'Countries and Timezone'!b39</v>
      </c>
      <c r="EL52" s="264">
        <v>45478.75</v>
      </c>
      <c r="EM52" s="265">
        <f>EL52+EK7/24</f>
        <v>45478.75</v>
      </c>
      <c r="EO52" s="274" t="s">
        <v>799</v>
      </c>
      <c r="EP52" s="23">
        <v>0</v>
      </c>
      <c r="EQ52" s="23" t="s">
        <v>595</v>
      </c>
      <c r="ER52" s="23" t="s">
        <v>594</v>
      </c>
    </row>
    <row r="53" spans="9:148" x14ac:dyDescent="0.25">
      <c r="I53" s="23">
        <f ca="1">SUMPRODUCT((I11:I14=I13)*(H11:H14=H13)*(F11:F14&gt;F13))+1</f>
        <v>1</v>
      </c>
      <c r="T53" s="23" t="str">
        <f ca="1">IF(U13&lt;&gt;"",SUMPRODUCT((AB11:AB14=AB13)*(AA11:AA14=AA13)*(Y11:Y14=Y13)*(Z11:Z14=Z13)),"")</f>
        <v/>
      </c>
      <c r="U53" s="23" t="str">
        <f t="shared" ca="1" si="77"/>
        <v/>
      </c>
      <c r="V53" s="23">
        <f ca="1">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23">
        <f ca="1">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23">
        <f ca="1">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23">
        <f ca="1">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23">
        <f ca="1">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23">
        <f ca="1">Y53-Z53+1000</f>
        <v>1000</v>
      </c>
      <c r="AB53" s="23" t="str">
        <f t="shared" ca="1" si="76"/>
        <v/>
      </c>
      <c r="AC53" s="23" t="str">
        <f ca="1">IF(U53&lt;&gt;"",VLOOKUP(U53,B4:H40,7,FALSE),"")</f>
        <v/>
      </c>
      <c r="AD53" s="23" t="str">
        <f ca="1">IF(U53&lt;&gt;"",VLOOKUP(U53,B4:H40,5,FALSE),"")</f>
        <v/>
      </c>
      <c r="AE53" s="23" t="str">
        <f ca="1">IF(U53&lt;&gt;"",VLOOKUP(U53,B4:J40,9,FALSE),"")</f>
        <v/>
      </c>
      <c r="AF53" s="23" t="str">
        <f t="shared" ca="1" si="78"/>
        <v/>
      </c>
      <c r="AG53" s="23" t="str">
        <f ca="1">IF(U53&lt;&gt;"",RANK(AF53,AF51:AF54),"")</f>
        <v/>
      </c>
      <c r="AH53" s="23" t="str">
        <f ca="1">IF(U53&lt;&gt;"",SUMPRODUCT((AF51:AF54=AF53)*(AA51:AA54&gt;AA53)),"")</f>
        <v/>
      </c>
      <c r="AI53" s="23" t="str">
        <f ca="1">IF(U53&lt;&gt;"",SUMPRODUCT((AF51:AF54=AF53)*(AA51:AA54=AA53)*(Y51:Y54&gt;Y53)),"")</f>
        <v/>
      </c>
      <c r="AJ53" s="23" t="str">
        <f ca="1">IF(U53&lt;&gt;"",SUMPRODUCT((AF51:AF54=AF53)*(AA51:AA54=AA53)*(Y51:Y54=Y53)*(AC51:AC54&gt;AC53)),"")</f>
        <v/>
      </c>
      <c r="AK53" s="23" t="str">
        <f ca="1">IF(U53&lt;&gt;"",SUMPRODUCT((AF51:AF54=AF53)*(AA51:AA54=AA53)*(Y51:Y54=Y53)*(AC51:AC54=AC53)*(AD51:AD54&gt;AD53)),"")</f>
        <v/>
      </c>
      <c r="AL53" s="23" t="str">
        <f ca="1">IF(U53&lt;&gt;"",SUMPRODUCT((AF51:AF54=AF53)*(AA51:AA54=AA53)*(Y51:Y54=Y53)*(AC51:AC54=AC53)*(AD51:AD54=AD53)*(AE51:AE54&gt;AE53)),"")</f>
        <v/>
      </c>
      <c r="AM53" s="23" t="str">
        <f t="shared" ca="1" si="79"/>
        <v/>
      </c>
      <c r="AN53" s="23" t="str">
        <f ca="1">IF(AO13&lt;&gt;"",SUMPRODUCT((AV11:AV14=AV13)*(AU11:AU14=AU13)*(AS11:AS14=AS13)*(AT11:AT14=AT13)),"")</f>
        <v/>
      </c>
      <c r="AO53" s="23" t="str">
        <f t="shared" ca="1" si="80"/>
        <v/>
      </c>
      <c r="AP53" s="23">
        <f ca="1">SUMPRODUCT((CZ3:CZ42=AO53)*(DC3:DC42=AO54)*(DD3:DD42="W"))+SUMPRODUCT((CZ3:CZ42=AO53)*(DC3:DC42=AO55)*(DD3:DD42="W"))+SUMPRODUCT((CZ3:CZ42=AO53)*(DC3:DC42=AO52)*(DD3:DD42="W"))+SUMPRODUCT((CZ3:CZ42=AO54)*(DC3:DC42=AO53)*(DE3:DE42="W"))+SUMPRODUCT((CZ3:CZ42=AO55)*(DC3:DC42=AO53)*(DE3:DE42="W"))+SUMPRODUCT((CZ3:CZ42=AO52)*(DC3:DC42=AO53)*(DE3:DE42="W"))</f>
        <v>0</v>
      </c>
      <c r="AQ53" s="23">
        <f ca="1">SUMPRODUCT((CZ3:CZ42=AO53)*(DC3:DC42=AO54)*(DD3:DD42="D"))+SUMPRODUCT((CZ3:CZ42=AO53)*(DC3:DC42=AO55)*(DD3:DD42="D"))+SUMPRODUCT((CZ3:CZ42=AO53)*(DC3:DC42=AO52)*(DD3:DD42="D"))+SUMPRODUCT((CZ3:CZ42=AO54)*(DC3:DC42=AO53)*(DD3:DD42="D"))+SUMPRODUCT((CZ3:CZ42=AO55)*(DC3:DC42=AO53)*(DD3:DD42="D"))+SUMPRODUCT((CZ3:CZ42=AO52)*(DC3:DC42=AO53)*(DD3:DD42="D"))</f>
        <v>0</v>
      </c>
      <c r="AR53" s="23">
        <f ca="1">SUMPRODUCT((CZ3:CZ42=AO53)*(DC3:DC42=AO54)*(DD3:DD42="L"))+SUMPRODUCT((CZ3:CZ42=AO53)*(DC3:DC42=AO55)*(DD3:DD42="L"))+SUMPRODUCT((CZ3:CZ42=AO53)*(DC3:DC42=AO52)*(DD3:DD42="L"))+SUMPRODUCT((CZ3:CZ42=AO54)*(DC3:DC42=AO53)*(DE3:DE42="L"))+SUMPRODUCT((CZ3:CZ42=AO55)*(DC3:DC42=AO53)*(DE3:DE42="L"))+SUMPRODUCT((CZ3:CZ42=AO52)*(DC3:DC42=AO53)*(DE3:DE42="L"))</f>
        <v>0</v>
      </c>
      <c r="AS53" s="23">
        <f ca="1">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23">
        <f ca="1">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23">
        <f ca="1">AS53-AT53+1000</f>
        <v>1000</v>
      </c>
      <c r="AV53" s="23" t="str">
        <f t="shared" ca="1" si="81"/>
        <v/>
      </c>
      <c r="AW53" s="23" t="str">
        <f ca="1">IF(AO53&lt;&gt;"",VLOOKUP(AO53,B4:H40,7,FALSE),"")</f>
        <v/>
      </c>
      <c r="AX53" s="23" t="str">
        <f ca="1">IF(AO53&lt;&gt;"",VLOOKUP(AO53,B4:H40,5,FALSE),"")</f>
        <v/>
      </c>
      <c r="AY53" s="23" t="str">
        <f ca="1">IF(AO53&lt;&gt;"",VLOOKUP(AO53,B4:J40,9,FALSE),"")</f>
        <v/>
      </c>
      <c r="AZ53" s="23" t="str">
        <f t="shared" ref="AZ53:AZ54" ca="1" si="83">AV53</f>
        <v/>
      </c>
      <c r="BA53" s="23" t="str">
        <f ca="1">IF(AO53&lt;&gt;"",RANK(AZ53,AZ51:AZ54),"")</f>
        <v/>
      </c>
      <c r="BB53" s="23" t="str">
        <f ca="1">IF(AO53&lt;&gt;"",SUMPRODUCT((AZ51:AZ54=AZ53)*(AU51:AU54&gt;AU53)),"")</f>
        <v/>
      </c>
      <c r="BC53" s="23" t="str">
        <f ca="1">IF(AO53&lt;&gt;"",SUMPRODUCT((AZ51:AZ54=AZ53)*(AU51:AU54=AU53)*(AS51:AS54&gt;AS53)),"")</f>
        <v/>
      </c>
      <c r="BD53" s="23" t="str">
        <f ca="1">IF(AO53&lt;&gt;"",SUMPRODUCT((AZ51:AZ54=AZ53)*(AU51:AU54=AU53)*(AS51:AS54=AS53)*(AW51:AW54&gt;AW53)),"")</f>
        <v/>
      </c>
      <c r="BE53" s="23" t="str">
        <f ca="1">IF(AO53&lt;&gt;"",SUMPRODUCT((AZ51:AZ54=AZ53)*(AU51:AU54=AU53)*(AS51:AS54=AS53)*(AW51:AW54=AW53)*(AX51:AX54&gt;AX53)),"")</f>
        <v/>
      </c>
      <c r="BF53" s="23" t="str">
        <f ca="1">IF(AO53&lt;&gt;"",SUMPRODUCT((AZ51:AZ54=AZ53)*(AU51:AU54=AU53)*(AS51:AS54=AS53)*(AW51:AW54=AW53)*(AX51:AX54=AX53)*(AY51:AY54&gt;AY53)),"")</f>
        <v/>
      </c>
      <c r="BG53" s="23" t="str">
        <f t="shared" ref="BG53:BG54" ca="1" si="84">IF(AO53&lt;&gt;"",SUM(BA53:BF53)+1,"")</f>
        <v/>
      </c>
      <c r="EJ53" s="252" t="str">
        <f>IF(ISERROR("'Countries and Timezone'!"&amp;VLOOKUP(EH53,'Dummy Table'!EH7:EI38,2,FALSE)),"'Countries and Timezone'!b39","'Countries and Timezone'!"&amp;VLOOKUP(EH53,'Dummy Table'!EH7:EI38,2,FALSE))</f>
        <v>'Countries and Timezone'!b39</v>
      </c>
      <c r="EL53" s="264">
        <v>45478.875</v>
      </c>
      <c r="EM53" s="265">
        <f>EL53+EK7/24</f>
        <v>45478.875</v>
      </c>
      <c r="EO53" s="274" t="s">
        <v>800</v>
      </c>
      <c r="EP53" s="23">
        <v>0</v>
      </c>
      <c r="EQ53" s="23" t="s">
        <v>597</v>
      </c>
      <c r="ER53" s="23" t="s">
        <v>596</v>
      </c>
    </row>
    <row r="54" spans="9:148" x14ac:dyDescent="0.25">
      <c r="I54" s="23">
        <f ca="1">SUMPRODUCT((I11:I14=I14)*(H11:H14=H14)*(F11:F14&gt;F14))+1</f>
        <v>1</v>
      </c>
      <c r="T54" s="23" t="str">
        <f ca="1">IF(U14&lt;&gt;"",SUMPRODUCT((AB11:AB14=AB14)*(AA11:AA14=AA14)*(Y11:Y14=Y14)*(Z11:Z14=Z14)),"")</f>
        <v/>
      </c>
      <c r="U54" s="23" t="str">
        <f t="shared" ca="1" si="77"/>
        <v/>
      </c>
      <c r="V54" s="23">
        <f ca="1">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23">
        <f ca="1">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23">
        <f ca="1">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23">
        <f ca="1">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23">
        <f ca="1">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23">
        <f ca="1">Y54-Z54+1000</f>
        <v>1000</v>
      </c>
      <c r="AB54" s="23" t="str">
        <f t="shared" ca="1" si="76"/>
        <v/>
      </c>
      <c r="AC54" s="23" t="str">
        <f ca="1">IF(U54&lt;&gt;"",VLOOKUP(U54,B4:H40,7,FALSE),"")</f>
        <v/>
      </c>
      <c r="AD54" s="23" t="str">
        <f ca="1">IF(U54&lt;&gt;"",VLOOKUP(U54,B4:H40,5,FALSE),"")</f>
        <v/>
      </c>
      <c r="AE54" s="23" t="str">
        <f ca="1">IF(U54&lt;&gt;"",VLOOKUP(U54,B4:J40,9,FALSE),"")</f>
        <v/>
      </c>
      <c r="AF54" s="23" t="str">
        <f t="shared" ca="1" si="78"/>
        <v/>
      </c>
      <c r="AG54" s="23" t="str">
        <f ca="1">IF(U54&lt;&gt;"",RANK(AF54,AF51:AF54),"")</f>
        <v/>
      </c>
      <c r="AH54" s="23" t="str">
        <f ca="1">IF(U54&lt;&gt;"",SUMPRODUCT((AF51:AF54=AF54)*(AA51:AA54&gt;AA54)),"")</f>
        <v/>
      </c>
      <c r="AI54" s="23" t="str">
        <f ca="1">IF(U54&lt;&gt;"",SUMPRODUCT((AF51:AF54=AF54)*(AA51:AA54=AA54)*(Y51:Y54&gt;Y54)),"")</f>
        <v/>
      </c>
      <c r="AJ54" s="23" t="str">
        <f ca="1">IF(U54&lt;&gt;"",SUMPRODUCT((AF51:AF54=AF54)*(AA51:AA54=AA54)*(Y51:Y54=Y54)*(AC51:AC54&gt;AC54)),"")</f>
        <v/>
      </c>
      <c r="AK54" s="23" t="str">
        <f ca="1">IF(U54&lt;&gt;"",SUMPRODUCT((AF51:AF54=AF54)*(AA51:AA54=AA54)*(Y51:Y54=Y54)*(AC51:AC54=AC54)*(AD51:AD54&gt;AD54)),"")</f>
        <v/>
      </c>
      <c r="AL54" s="23" t="str">
        <f ca="1">IF(U54&lt;&gt;"",SUMPRODUCT((AF51:AF54=AF54)*(AA51:AA54=AA54)*(Y51:Y54=Y54)*(AC51:AC54=AC54)*(AD51:AD54=AD54)*(AE51:AE54&gt;AE54)),"")</f>
        <v/>
      </c>
      <c r="AM54" s="23" t="str">
        <f t="shared" ca="1" si="79"/>
        <v/>
      </c>
      <c r="AN54" s="23" t="str">
        <f ca="1">IF(AO14&lt;&gt;"",SUMPRODUCT((AV11:AV14=AV14)*(AU11:AU14=AU14)*(AS11:AS14=AS14)*(AT11:AT14=AT14)),"")</f>
        <v/>
      </c>
      <c r="AO54" s="23" t="str">
        <f t="shared" ca="1" si="80"/>
        <v/>
      </c>
      <c r="AP54" s="23" t="str">
        <f ca="1">IF(AO54&lt;&gt;"",SUMPRODUCT((CZ3:CZ42=AO54)*(DC3:DC42=AO55)*(DD3:DD42="W"))+SUMPRODUCT((CZ3:CZ42=AO54)*(DC3:DC42=AO52)*(DD3:DD42="W"))+SUMPRODUCT((CZ3:CZ42=AO54)*(DC3:DC42=AO53)*(DD3:DD42="W"))+SUMPRODUCT((CZ3:CZ42=AO55)*(DC3:DC42=AO54)*(DE3:DE42="W"))+SUMPRODUCT((CZ3:CZ42=AO52)*(DC3:DC42=AO54)*(DE3:DE42="W"))+SUMPRODUCT((CZ3:CZ42=AO53)*(DC3:DC42=AO54)*(DE3:DE42="W")),"")</f>
        <v/>
      </c>
      <c r="AQ54" s="23" t="str">
        <f ca="1">IF(AO54&lt;&gt;"",SUMPRODUCT((CZ3:CZ42=AO54)*(DC3:DC42=AO55)*(DD3:DD42="D"))+SUMPRODUCT((CZ3:CZ42=AO54)*(DC3:DC42=AO52)*(DD3:DD42="D"))+SUMPRODUCT((CZ3:CZ42=AO54)*(DC3:DC42=AO53)*(DD3:DD42="D"))+SUMPRODUCT((CZ3:CZ42=AO55)*(DC3:DC42=AO54)*(DD3:DD42="D"))+SUMPRODUCT((CZ3:CZ42=AO52)*(DC3:DC42=AO54)*(DD3:DD42="D"))+SUMPRODUCT((CZ3:CZ42=AO53)*(DC3:DC42=AO54)*(DD3:DD42="D")),"")</f>
        <v/>
      </c>
      <c r="AR54" s="23" t="str">
        <f ca="1">IF(AO54&lt;&gt;"",SUMPRODUCT((CZ3:CZ42=AO54)*(DC3:DC42=AO55)*(DD3:DD42="L"))+SUMPRODUCT((CZ3:CZ42=AO54)*(DC3:DC42=AO52)*(DD3:DD42="L"))+SUMPRODUCT((CZ3:CZ42=AO54)*(DC3:DC42=AO53)*(DD3:DD42="L"))+SUMPRODUCT((CZ3:CZ42=AO55)*(DC3:DC42=AO54)*(DE3:DE42="L"))+SUMPRODUCT((CZ3:CZ42=AO52)*(DC3:DC42=AO54)*(DE3:DE42="L"))+SUMPRODUCT((CZ3:CZ42=AO53)*(DC3:DC42=AO54)*(DE3:DE42="L")),"")</f>
        <v/>
      </c>
      <c r="AS54" s="23">
        <f ca="1">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23">
        <f ca="1">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23">
        <f ca="1">AS54-AT54+1000</f>
        <v>1000</v>
      </c>
      <c r="AV54" s="23" t="str">
        <f t="shared" ca="1" si="81"/>
        <v/>
      </c>
      <c r="AW54" s="23" t="str">
        <f ca="1">IF(AO54&lt;&gt;"",VLOOKUP(AO54,B4:H40,7,FALSE),"")</f>
        <v/>
      </c>
      <c r="AX54" s="23" t="str">
        <f ca="1">IF(AO54&lt;&gt;"",VLOOKUP(AO54,B4:H40,5,FALSE),"")</f>
        <v/>
      </c>
      <c r="AY54" s="23" t="str">
        <f ca="1">IF(AO54&lt;&gt;"",VLOOKUP(AO54,B4:J40,9,FALSE),"")</f>
        <v/>
      </c>
      <c r="AZ54" s="23" t="str">
        <f t="shared" ca="1" si="83"/>
        <v/>
      </c>
      <c r="BA54" s="23" t="str">
        <f ca="1">IF(AO54&lt;&gt;"",RANK(AZ54,AZ51:AZ54),"")</f>
        <v/>
      </c>
      <c r="BB54" s="23" t="str">
        <f ca="1">IF(AO54&lt;&gt;"",SUMPRODUCT((AZ51:AZ54=AZ54)*(AU51:AU54&gt;AU54)),"")</f>
        <v/>
      </c>
      <c r="BC54" s="23" t="str">
        <f ca="1">IF(AO54&lt;&gt;"",SUMPRODUCT((AZ51:AZ54=AZ54)*(AU51:AU54=AU54)*(AS51:AS54&gt;AS54)),"")</f>
        <v/>
      </c>
      <c r="BD54" s="23" t="str">
        <f ca="1">IF(AO54&lt;&gt;"",SUMPRODUCT((AZ51:AZ54=AZ54)*(AU51:AU54=AU54)*(AS51:AS54=AS54)*(AW51:AW54&gt;AW54)),"")</f>
        <v/>
      </c>
      <c r="BE54" s="23" t="str">
        <f ca="1">IF(AO54&lt;&gt;"",SUMPRODUCT((AZ51:AZ54=AZ54)*(AU51:AU54=AU54)*(AS51:AS54=AS54)*(AW51:AW54=AW54)*(AX51:AX54&gt;AX54)),"")</f>
        <v/>
      </c>
      <c r="BF54" s="23" t="str">
        <f ca="1">IF(AO54&lt;&gt;"",SUMPRODUCT((AZ51:AZ54=AZ54)*(AU51:AU54=AU54)*(AS51:AS54=AS54)*(AW51:AW54=AW54)*(AX51:AX54=AX54)*(AY51:AY54&gt;AY54)),"")</f>
        <v/>
      </c>
      <c r="BG54" s="23" t="str">
        <f t="shared" ca="1" si="84"/>
        <v/>
      </c>
      <c r="EJ54" s="252" t="str">
        <f>IF(ISERROR("'Countries and Timezone'!"&amp;VLOOKUP(EH54,'Dummy Table'!EH7:EI38,2,FALSE)),"'Countries and Timezone'!b39","'Countries and Timezone'!"&amp;VLOOKUP(EH54,'Dummy Table'!EH7:EI38,2,FALSE))</f>
        <v>'Countries and Timezone'!b39</v>
      </c>
      <c r="EL54" s="264">
        <v>45479.875</v>
      </c>
      <c r="EM54" s="265">
        <f>EL54+EK7/24</f>
        <v>45479.875</v>
      </c>
      <c r="EO54" s="274" t="s">
        <v>801</v>
      </c>
      <c r="EP54" s="23">
        <v>0</v>
      </c>
      <c r="EQ54" s="23" t="s">
        <v>599</v>
      </c>
      <c r="ER54" s="23" t="s">
        <v>598</v>
      </c>
    </row>
    <row r="55" spans="9:148" x14ac:dyDescent="0.25">
      <c r="EJ55" s="252" t="str">
        <f>IF(ISERROR("'Countries and Timezone'!"&amp;VLOOKUP(EH55,'Dummy Table'!EH7:EI38,2,FALSE)),"'Countries and Timezone'!b39","'Countries and Timezone'!"&amp;VLOOKUP(EH55,'Dummy Table'!EH7:EI38,2,FALSE))</f>
        <v>'Countries and Timezone'!b39</v>
      </c>
      <c r="EL55" s="264">
        <v>45479.75</v>
      </c>
      <c r="EM55" s="265">
        <f>EL55+EK7/24</f>
        <v>45479.75</v>
      </c>
      <c r="EO55" s="274" t="s">
        <v>802</v>
      </c>
      <c r="EP55" s="23">
        <v>1</v>
      </c>
      <c r="EQ55" s="23" t="s">
        <v>601</v>
      </c>
      <c r="ER55" s="23" t="s">
        <v>600</v>
      </c>
    </row>
    <row r="56" spans="9:148" x14ac:dyDescent="0.25">
      <c r="EJ56" s="252" t="str">
        <f>IF(ISERROR("'Countries and Timezone'!"&amp;VLOOKUP(EH56,'Dummy Table'!EH7:EI38,2,FALSE)),"'Countries and Timezone'!b39","'Countries and Timezone'!"&amp;VLOOKUP(EH56,'Dummy Table'!EH7:EI38,2,FALSE))</f>
        <v>'Countries and Timezone'!b39</v>
      </c>
      <c r="EL56" s="264">
        <v>45482.875</v>
      </c>
      <c r="EM56" s="265">
        <f>EL56+EK7/24</f>
        <v>45482.875</v>
      </c>
      <c r="EO56" s="274" t="s">
        <v>803</v>
      </c>
      <c r="EP56" s="23">
        <v>1</v>
      </c>
      <c r="EQ56" s="23" t="s">
        <v>603</v>
      </c>
      <c r="ER56" s="23" t="s">
        <v>602</v>
      </c>
    </row>
    <row r="57" spans="9:148" x14ac:dyDescent="0.25">
      <c r="T57" s="23">
        <f ca="1">IF(U58="",SUM(AG18:AL18),IF(U59="",SUM(AG19:AL19),IF(U60="",SUM(AG20:AL20),IF(U61="",SUM(AG21:AL21),0))))</f>
        <v>0</v>
      </c>
      <c r="AN57" s="23">
        <f ca="1">IF(AO59="",SUM(BA19:BF19),IF(AO60="",SUM(BA20:BF20),IF(AO61="",SUM(BA21:BF21),0)))</f>
        <v>0</v>
      </c>
      <c r="EJ57" s="252" t="str">
        <f>IF(ISERROR("'Countries and Timezone'!"&amp;VLOOKUP(EH57,'Dummy Table'!EH7:EI38,2,FALSE)),"'Countries and Timezone'!b39","'Countries and Timezone'!"&amp;VLOOKUP(EH57,'Dummy Table'!EH7:EI38,2,FALSE))</f>
        <v>'Countries and Timezone'!b39</v>
      </c>
      <c r="EL57" s="264">
        <v>45483.875</v>
      </c>
      <c r="EM57" s="265">
        <f>EL57+EK7/24</f>
        <v>45483.875</v>
      </c>
      <c r="EO57" s="275"/>
      <c r="EP57" s="23">
        <v>1</v>
      </c>
      <c r="EQ57" s="23" t="s">
        <v>605</v>
      </c>
      <c r="ER57" s="23" t="s">
        <v>604</v>
      </c>
    </row>
    <row r="58" spans="9:148" x14ac:dyDescent="0.25">
      <c r="I58" s="23">
        <f ca="1">SUMPRODUCT((I18:I21=I18)*(H18:H21=H18)*(F18:F21&gt;F18))+1</f>
        <v>1</v>
      </c>
      <c r="T58" s="23">
        <f ca="1">IF(U18&lt;&gt;"",SUMPRODUCT((AB18:AB21=AB18)*(AA18:AA21=AA18)*(Y18:Y21=Y18)*(Z18:Z21=Z18)),"")</f>
        <v>4</v>
      </c>
      <c r="U58" s="23" t="str">
        <f ca="1">IF(AND(T58&lt;&gt;"",T58&gt;1),U18,"")</f>
        <v>Serbia</v>
      </c>
      <c r="V58" s="23">
        <f ca="1">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23">
        <f ca="1">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0</v>
      </c>
      <c r="X58" s="23">
        <f ca="1">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23">
        <f ca="1">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23">
        <f ca="1">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23">
        <f ca="1">Y58-Z58+1000</f>
        <v>1000</v>
      </c>
      <c r="AB58" s="23">
        <f ca="1">IF(U58&lt;&gt;"",V58*3+W58*1,"")</f>
        <v>0</v>
      </c>
      <c r="AC58" s="23">
        <f ca="1">IF(U58&lt;&gt;"",VLOOKUP(U58,B4:H40,7,FALSE),"")</f>
        <v>1000</v>
      </c>
      <c r="AD58" s="23">
        <f ca="1">IF(U58&lt;&gt;"",VLOOKUP(U58,B4:H40,5,FALSE),"")</f>
        <v>0</v>
      </c>
      <c r="AE58" s="23">
        <f ca="1">IF(U58&lt;&gt;"",VLOOKUP(U58,B4:J40,9,FALSE),"")</f>
        <v>35</v>
      </c>
      <c r="AF58" s="23">
        <f ca="1">AB58</f>
        <v>0</v>
      </c>
      <c r="AG58" s="23">
        <f ca="1">IF(U58&lt;&gt;"",RANK(AF58,AF58:AF61),"")</f>
        <v>1</v>
      </c>
      <c r="AH58" s="23">
        <f ca="1">IF(U58&lt;&gt;"",SUMPRODUCT((AF58:AF61=AF58)*(AA58:AA61&gt;AA58)),"")</f>
        <v>0</v>
      </c>
      <c r="AI58" s="23">
        <f ca="1">IF(U58&lt;&gt;"",SUMPRODUCT((AF58:AF61=AF58)*(AA58:AA61=AA58)*(Y58:Y61&gt;Y58)),"")</f>
        <v>0</v>
      </c>
      <c r="AJ58" s="23">
        <f ca="1">IF(U58&lt;&gt;"",SUMPRODUCT((AF58:AF61=AF58)*(AA58:AA61=AA58)*(Y58:Y61=Y58)*(AC58:AC61&gt;AC58)),"")</f>
        <v>0</v>
      </c>
      <c r="AK58" s="23">
        <f ca="1">IF(U58&lt;&gt;"",SUMPRODUCT((AF58:AF61=AF58)*(AA58:AA61=AA58)*(Y58:Y61=Y58)*(AC58:AC61=AC58)*(AD58:AD61&gt;AD58)),"")</f>
        <v>0</v>
      </c>
      <c r="AL58" s="23">
        <f ca="1">IF(U58&lt;&gt;"",SUMPRODUCT((AF58:AF61=AF58)*(AA58:AA61=AA58)*(Y58:Y61=Y58)*(AC58:AC61=AC58)*(AD58:AD61=AD58)*(AE58:AE61&gt;AE58)),"")</f>
        <v>3</v>
      </c>
      <c r="AM58" s="23">
        <f ca="1">IF(U58&lt;&gt;"",SUM(AG58:AL58),"")</f>
        <v>4</v>
      </c>
      <c r="EJ58" s="252" t="str">
        <f>IF(ISERROR("'Countries and Timezone'!"&amp;VLOOKUP(EH58,'Dummy Table'!EH7:EI38,2,FALSE)),"'Countries and Timezone'!b39","'Countries and Timezone'!"&amp;VLOOKUP(EH58,'Dummy Table'!EH7:EI38,2,FALSE))</f>
        <v>'Countries and Timezone'!b39</v>
      </c>
      <c r="EL58" s="264">
        <v>45487.875</v>
      </c>
      <c r="EM58" s="265">
        <f>EL58+EK7/24</f>
        <v>45487.875</v>
      </c>
      <c r="EP58" s="23">
        <v>1</v>
      </c>
      <c r="EQ58" s="23" t="s">
        <v>607</v>
      </c>
      <c r="ER58" s="23" t="s">
        <v>606</v>
      </c>
    </row>
    <row r="59" spans="9:148" x14ac:dyDescent="0.25">
      <c r="I59" s="23">
        <f ca="1">SUMPRODUCT((I18:I21=I19)*(H18:H21=H19)*(F18:F21&gt;F19))+1</f>
        <v>1</v>
      </c>
      <c r="T59" s="23">
        <f ca="1">IF(U19&lt;&gt;"",SUMPRODUCT((AB18:AB21=AB19)*(AA18:AA21=AA19)*(Y18:Y21=Y19)*(Z18:Z21=Z19)),"")</f>
        <v>4</v>
      </c>
      <c r="U59" s="23" t="str">
        <f t="shared" ref="U59:U61" ca="1" si="85">IF(AND(T59&lt;&gt;"",T59&gt;1),U19,"")</f>
        <v>Slovenia</v>
      </c>
      <c r="V59" s="23">
        <f ca="1">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23">
        <f ca="1">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0</v>
      </c>
      <c r="X59" s="23">
        <f ca="1">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23">
        <f ca="1">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23">
        <f ca="1">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23">
        <f ca="1">Y59-Z59+1000</f>
        <v>1000</v>
      </c>
      <c r="AB59" s="23">
        <f t="shared" ref="AB59:AB61" ca="1" si="86">IF(U59&lt;&gt;"",V59*3+W59*1,"")</f>
        <v>0</v>
      </c>
      <c r="AC59" s="23">
        <f ca="1">IF(U59&lt;&gt;"",VLOOKUP(U59,B4:H40,7,FALSE),"")</f>
        <v>1000</v>
      </c>
      <c r="AD59" s="23">
        <f ca="1">IF(U59&lt;&gt;"",VLOOKUP(U59,B4:H40,5,FALSE),"")</f>
        <v>0</v>
      </c>
      <c r="AE59" s="23">
        <f ca="1">IF(U59&lt;&gt;"",VLOOKUP(U59,B4:J40,9,FALSE),"")</f>
        <v>39</v>
      </c>
      <c r="AF59" s="23">
        <f t="shared" ref="AF59:AF61" ca="1" si="87">AB59</f>
        <v>0</v>
      </c>
      <c r="AG59" s="23">
        <f ca="1">IF(U59&lt;&gt;"",RANK(AF59,AF58:AF61),"")</f>
        <v>1</v>
      </c>
      <c r="AH59" s="23">
        <f ca="1">IF(U59&lt;&gt;"",SUMPRODUCT((AF58:AF61=AF59)*(AA58:AA61&gt;AA59)),"")</f>
        <v>0</v>
      </c>
      <c r="AI59" s="23">
        <f ca="1">IF(U59&lt;&gt;"",SUMPRODUCT((AF58:AF61=AF59)*(AA58:AA61=AA59)*(Y58:Y61&gt;Y59)),"")</f>
        <v>0</v>
      </c>
      <c r="AJ59" s="23">
        <f ca="1">IF(U59&lt;&gt;"",SUMPRODUCT((AF58:AF61=AF59)*(AA58:AA61=AA59)*(Y58:Y61=Y59)*(AC58:AC61&gt;AC59)),"")</f>
        <v>0</v>
      </c>
      <c r="AK59" s="23">
        <f ca="1">IF(U59&lt;&gt;"",SUMPRODUCT((AF58:AF61=AF59)*(AA58:AA61=AA59)*(Y58:Y61=Y59)*(AC58:AC61=AC59)*(AD58:AD61&gt;AD59)),"")</f>
        <v>0</v>
      </c>
      <c r="AL59" s="23">
        <f ca="1">IF(U59&lt;&gt;"",SUMPRODUCT((AF58:AF61=AF59)*(AA58:AA61=AA59)*(Y58:Y61=Y59)*(AC58:AC61=AC59)*(AD58:AD61=AD59)*(AE58:AE61&gt;AE59)),"")</f>
        <v>2</v>
      </c>
      <c r="AM59" s="23">
        <f ca="1">IF(U59&lt;&gt;"",SUM(AG59:AL59),"")</f>
        <v>3</v>
      </c>
      <c r="AN59" s="23" t="str">
        <f ca="1">IF(AO19&lt;&gt;"",SUMPRODUCT((AV18:AV21=AV19)*(AU18:AU21=AU19)*(AS18:AS21=AS19)*(AT18:AT21=AT19)),"")</f>
        <v/>
      </c>
      <c r="AO59" s="23" t="str">
        <f t="shared" ref="AO59:AO61" ca="1" si="88">IF(AND(AN59&lt;&gt;"",AN59&gt;1),AO19,"")</f>
        <v/>
      </c>
      <c r="AP59" s="23">
        <f ca="1">SUMPRODUCT((CZ3:CZ42=AO59)*(DC3:DC42=AO60)*(DD3:DD42="W"))+SUMPRODUCT((CZ3:CZ42=AO59)*(DC3:DC42=AO61)*(DD3:DD42="W"))+SUMPRODUCT((CZ3:CZ42=AO59)*(DC3:DC42=AO62)*(DD3:DD42="W"))+SUMPRODUCT((CZ3:CZ42=AO60)*(DC3:DC42=AO59)*(DE3:DE42="W"))+SUMPRODUCT((CZ3:CZ42=AO61)*(DC3:DC42=AO59)*(DE3:DE42="W"))+SUMPRODUCT((CZ3:CZ42=AO62)*(DC3:DC42=AO59)*(DE3:DE42="W"))</f>
        <v>0</v>
      </c>
      <c r="AQ59" s="23">
        <f ca="1">SUMPRODUCT((CZ3:CZ42=AO59)*(DC3:DC42=AO60)*(DD3:DD42="D"))+SUMPRODUCT((CZ3:CZ42=AO59)*(DC3:DC42=AO61)*(DD3:DD42="D"))+SUMPRODUCT((CZ3:CZ42=AO59)*(DC3:DC42=AO62)*(DD3:DD42="D"))+SUMPRODUCT((CZ3:CZ42=AO60)*(DC3:DC42=AO59)*(DD3:DD42="D"))+SUMPRODUCT((CZ3:CZ42=AO61)*(DC3:DC42=AO59)*(DD3:DD42="D"))+SUMPRODUCT((CZ3:CZ42=AO62)*(DC3:DC42=AO59)*(DD3:DD42="D"))</f>
        <v>0</v>
      </c>
      <c r="AR59" s="23">
        <f ca="1">SUMPRODUCT((CZ3:CZ42=AO59)*(DC3:DC42=AO60)*(DD3:DD42="L"))+SUMPRODUCT((CZ3:CZ42=AO59)*(DC3:DC42=AO61)*(DD3:DD42="L"))+SUMPRODUCT((CZ3:CZ42=AO59)*(DC3:DC42=AO62)*(DD3:DD42="L"))+SUMPRODUCT((CZ3:CZ42=AO60)*(DC3:DC42=AO59)*(DE3:DE42="L"))+SUMPRODUCT((CZ3:CZ42=AO61)*(DC3:DC42=AO59)*(DE3:DE42="L"))+SUMPRODUCT((CZ3:CZ42=AO62)*(DC3:DC42=AO59)*(DE3:DE42="L"))</f>
        <v>0</v>
      </c>
      <c r="AS59" s="23">
        <f ca="1">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0</v>
      </c>
      <c r="AT59" s="23">
        <f ca="1">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0</v>
      </c>
      <c r="AU59" s="23">
        <f ca="1">AS59-AT59+1000</f>
        <v>1000</v>
      </c>
      <c r="AV59" s="23" t="str">
        <f t="shared" ref="AV59:AV61" ca="1" si="89">IF(AO59&lt;&gt;"",AP59*3+AQ59*1,"")</f>
        <v/>
      </c>
      <c r="AW59" s="23" t="str">
        <f ca="1">IF(AO59&lt;&gt;"",VLOOKUP(AO59,B4:H40,7,FALSE),"")</f>
        <v/>
      </c>
      <c r="AX59" s="23" t="str">
        <f ca="1">IF(AO59&lt;&gt;"",VLOOKUP(AO59,B4:H40,5,FALSE),"")</f>
        <v/>
      </c>
      <c r="AY59" s="23" t="str">
        <f ca="1">IF(AO59&lt;&gt;"",VLOOKUP(AO59,B4:J40,9,FALSE),"")</f>
        <v/>
      </c>
      <c r="AZ59" s="23" t="str">
        <f t="shared" ref="AZ59" ca="1" si="90">AV59</f>
        <v/>
      </c>
      <c r="BA59" s="23" t="str">
        <f ca="1">IF(AO59&lt;&gt;"",RANK(AZ59,AZ58:AZ61),"")</f>
        <v/>
      </c>
      <c r="BB59" s="23" t="str">
        <f ca="1">IF(AO59&lt;&gt;"",SUMPRODUCT((AZ58:AZ61=AZ59)*(AU58:AU61&gt;AU59)),"")</f>
        <v/>
      </c>
      <c r="BC59" s="23" t="str">
        <f ca="1">IF(AO59&lt;&gt;"",SUMPRODUCT((AZ58:AZ61=AZ59)*(AU58:AU61=AU59)*(AS58:AS61&gt;AS59)),"")</f>
        <v/>
      </c>
      <c r="BD59" s="23" t="str">
        <f ca="1">IF(AO59&lt;&gt;"",SUMPRODUCT((AZ58:AZ61=AZ59)*(AU58:AU61=AU59)*(AS58:AS61=AS59)*(AW58:AW61&gt;AW59)),"")</f>
        <v/>
      </c>
      <c r="BE59" s="23" t="str">
        <f ca="1">IF(AO59&lt;&gt;"",SUMPRODUCT((AZ58:AZ61=AZ59)*(AU58:AU61=AU59)*(AS58:AS61=AS59)*(AW58:AW61=AW59)*(AX58:AX61&gt;AX59)),"")</f>
        <v/>
      </c>
      <c r="BF59" s="23" t="str">
        <f ca="1">IF(AO59&lt;&gt;"",SUMPRODUCT((AZ58:AZ61=AZ59)*(AU58:AU61=AU59)*(AS58:AS61=AS59)*(AW58:AW61=AW59)*(AX58:AX61=AX59)*(AY58:AY61&gt;AY59)),"")</f>
        <v/>
      </c>
      <c r="BG59" s="23" t="str">
        <f ca="1">IF(AO59&lt;&gt;"",SUM(BA59:BF59)+1,"")</f>
        <v/>
      </c>
      <c r="EJ59" s="252" t="str">
        <f>IF(ISERROR("'Countries and Timezone'!"&amp;VLOOKUP(EH59,'Dummy Table'!EH7:EI38,2,FALSE)),"'Countries and Timezone'!b39","'Countries and Timezone'!"&amp;VLOOKUP(EH59,'Dummy Table'!EH7:EI38,2,FALSE))</f>
        <v>'Countries and Timezone'!b39</v>
      </c>
      <c r="EP59" s="23">
        <v>1</v>
      </c>
      <c r="EQ59" s="23" t="s">
        <v>609</v>
      </c>
      <c r="ER59" s="23" t="s">
        <v>608</v>
      </c>
    </row>
    <row r="60" spans="9:148" x14ac:dyDescent="0.25">
      <c r="I60" s="23">
        <f ca="1">SUMPRODUCT((I18:I21=I20)*(H18:H21=H20)*(F18:F21&gt;F20))+1</f>
        <v>1</v>
      </c>
      <c r="T60" s="23">
        <f ca="1">IF(U20&lt;&gt;"",SUMPRODUCT((AB18:AB21=AB20)*(AA18:AA21=AA20)*(Y18:Y21=Y20)*(Z18:Z21=Z20)),"")</f>
        <v>4</v>
      </c>
      <c r="U60" s="23" t="str">
        <f t="shared" ca="1" si="85"/>
        <v>Denmark</v>
      </c>
      <c r="V60" s="23">
        <f ca="1">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23">
        <f ca="1">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23">
        <f ca="1">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23">
        <f ca="1">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23">
        <f ca="1">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23">
        <f ca="1">Y60-Z60+1000</f>
        <v>1000</v>
      </c>
      <c r="AB60" s="23">
        <f t="shared" ca="1" si="86"/>
        <v>0</v>
      </c>
      <c r="AC60" s="23">
        <f ca="1">IF(U60&lt;&gt;"",VLOOKUP(U60,B4:H40,7,FALSE),"")</f>
        <v>1000</v>
      </c>
      <c r="AD60" s="23">
        <f ca="1">IF(U60&lt;&gt;"",VLOOKUP(U60,B4:H40,5,FALSE),"")</f>
        <v>0</v>
      </c>
      <c r="AE60" s="23">
        <f ca="1">IF(U60&lt;&gt;"",VLOOKUP(U60,B4:J40,9,FALSE),"")</f>
        <v>45</v>
      </c>
      <c r="AF60" s="23">
        <f t="shared" ca="1" si="87"/>
        <v>0</v>
      </c>
      <c r="AG60" s="23">
        <f ca="1">IF(U60&lt;&gt;"",RANK(AF60,AF58:AF61),"")</f>
        <v>1</v>
      </c>
      <c r="AH60" s="23">
        <f ca="1">IF(U60&lt;&gt;"",SUMPRODUCT((AF58:AF61=AF60)*(AA58:AA61&gt;AA60)),"")</f>
        <v>0</v>
      </c>
      <c r="AI60" s="23">
        <f ca="1">IF(U60&lt;&gt;"",SUMPRODUCT((AF58:AF61=AF60)*(AA58:AA61=AA60)*(Y58:Y61&gt;Y60)),"")</f>
        <v>0</v>
      </c>
      <c r="AJ60" s="23">
        <f ca="1">IF(U60&lt;&gt;"",SUMPRODUCT((AF58:AF61=AF60)*(AA58:AA61=AA60)*(Y58:Y61=Y60)*(AC58:AC61&gt;AC60)),"")</f>
        <v>0</v>
      </c>
      <c r="AK60" s="23">
        <f ca="1">IF(U60&lt;&gt;"",SUMPRODUCT((AF58:AF61=AF60)*(AA58:AA61=AA60)*(Y58:Y61=Y60)*(AC58:AC61=AC60)*(AD58:AD61&gt;AD60)),"")</f>
        <v>0</v>
      </c>
      <c r="AL60" s="23">
        <f ca="1">IF(U60&lt;&gt;"",SUMPRODUCT((AF58:AF61=AF60)*(AA58:AA61=AA60)*(Y58:Y61=Y60)*(AC58:AC61=AC60)*(AD58:AD61=AD60)*(AE58:AE61&gt;AE60)),"")</f>
        <v>1</v>
      </c>
      <c r="AM60" s="23">
        <f ca="1">IF(U60&lt;&gt;"",SUM(AG60:AL60),"")</f>
        <v>2</v>
      </c>
      <c r="AN60" s="23" t="str">
        <f ca="1">IF(AO20&lt;&gt;"",SUMPRODUCT((AV18:AV21=AV20)*(AU18:AU21=AU20)*(AS18:AS21=AS20)*(AT18:AT21=AT20)),"")</f>
        <v/>
      </c>
      <c r="AO60" s="23" t="str">
        <f t="shared" ca="1" si="88"/>
        <v/>
      </c>
      <c r="AP60" s="23">
        <f ca="1">SUMPRODUCT((CZ3:CZ42=AO60)*(DC3:DC42=AO61)*(DD3:DD42="W"))+SUMPRODUCT((CZ3:CZ42=AO60)*(DC3:DC42=AO62)*(DD3:DD42="W"))+SUMPRODUCT((CZ3:CZ42=AO60)*(DC3:DC42=AO59)*(DD3:DD42="W"))+SUMPRODUCT((CZ3:CZ42=AO61)*(DC3:DC42=AO60)*(DE3:DE42="W"))+SUMPRODUCT((CZ3:CZ42=AO62)*(DC3:DC42=AO60)*(DE3:DE42="W"))+SUMPRODUCT((CZ3:CZ42=AO59)*(DC3:DC42=AO60)*(DE3:DE42="W"))</f>
        <v>0</v>
      </c>
      <c r="AQ60" s="23">
        <f ca="1">SUMPRODUCT((CZ3:CZ42=AO60)*(DC3:DC42=AO61)*(DD3:DD42="D"))+SUMPRODUCT((CZ3:CZ42=AO60)*(DC3:DC42=AO62)*(DD3:DD42="D"))+SUMPRODUCT((CZ3:CZ42=AO60)*(DC3:DC42=AO59)*(DD3:DD42="D"))+SUMPRODUCT((CZ3:CZ42=AO61)*(DC3:DC42=AO60)*(DD3:DD42="D"))+SUMPRODUCT((CZ3:CZ42=AO62)*(DC3:DC42=AO60)*(DD3:DD42="D"))+SUMPRODUCT((CZ3:CZ42=AO59)*(DC3:DC42=AO60)*(DD3:DD42="D"))</f>
        <v>0</v>
      </c>
      <c r="AR60" s="23">
        <f ca="1">SUMPRODUCT((CZ3:CZ42=AO60)*(DC3:DC42=AO61)*(DD3:DD42="L"))+SUMPRODUCT((CZ3:CZ42=AO60)*(DC3:DC42=AO62)*(DD3:DD42="L"))+SUMPRODUCT((CZ3:CZ42=AO60)*(DC3:DC42=AO59)*(DD3:DD42="L"))+SUMPRODUCT((CZ3:CZ42=AO61)*(DC3:DC42=AO60)*(DE3:DE42="L"))+SUMPRODUCT((CZ3:CZ42=AO62)*(DC3:DC42=AO60)*(DE3:DE42="L"))+SUMPRODUCT((CZ3:CZ42=AO59)*(DC3:DC42=AO60)*(DE3:DE42="L"))</f>
        <v>0</v>
      </c>
      <c r="AS60" s="23">
        <f ca="1">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0</v>
      </c>
      <c r="AT60" s="23">
        <f ca="1">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0</v>
      </c>
      <c r="AU60" s="23">
        <f ca="1">AS60-AT60+1000</f>
        <v>1000</v>
      </c>
      <c r="AV60" s="23" t="str">
        <f t="shared" ca="1" si="89"/>
        <v/>
      </c>
      <c r="AW60" s="23" t="str">
        <f ca="1">IF(AO60&lt;&gt;"",VLOOKUP(AO60,B4:H40,7,FALSE),"")</f>
        <v/>
      </c>
      <c r="AX60" s="23" t="str">
        <f ca="1">IF(AO60&lt;&gt;"",VLOOKUP(AO60,B4:H40,5,FALSE),"")</f>
        <v/>
      </c>
      <c r="AY60" s="23" t="str">
        <f ca="1">IF(AO60&lt;&gt;"",VLOOKUP(AO60,B4:J40,9,FALSE),"")</f>
        <v/>
      </c>
      <c r="AZ60" s="23" t="str">
        <f t="shared" ref="AZ60:AZ61" ca="1" si="91">AV60</f>
        <v/>
      </c>
      <c r="BA60" s="23" t="str">
        <f ca="1">IF(AO60&lt;&gt;"",RANK(AZ60,AZ58:AZ61),"")</f>
        <v/>
      </c>
      <c r="BB60" s="23" t="str">
        <f ca="1">IF(AO60&lt;&gt;"",SUMPRODUCT((AZ58:AZ61=AZ60)*(AU58:AU61&gt;AU60)),"")</f>
        <v/>
      </c>
      <c r="BC60" s="23" t="str">
        <f ca="1">IF(AO60&lt;&gt;"",SUMPRODUCT((AZ58:AZ61=AZ60)*(AU58:AU61=AU60)*(AS58:AS61&gt;AS60)),"")</f>
        <v/>
      </c>
      <c r="BD60" s="23" t="str">
        <f ca="1">IF(AO60&lt;&gt;"",SUMPRODUCT((AZ58:AZ61=AZ60)*(AU58:AU61=AU60)*(AS58:AS61=AS60)*(AW58:AW61&gt;AW60)),"")</f>
        <v/>
      </c>
      <c r="BE60" s="23" t="str">
        <f ca="1">IF(AO60&lt;&gt;"",SUMPRODUCT((AZ58:AZ61=AZ60)*(AU58:AU61=AU60)*(AS58:AS61=AS60)*(AW58:AW61=AW60)*(AX58:AX61&gt;AX60)),"")</f>
        <v/>
      </c>
      <c r="BF60" s="23" t="str">
        <f ca="1">IF(AO60&lt;&gt;"",SUMPRODUCT((AZ58:AZ61=AZ60)*(AU58:AU61=AU60)*(AS58:AS61=AS60)*(AW58:AW61=AW60)*(AX58:AX61=AX60)*(AY58:AY61&gt;AY60)),"")</f>
        <v/>
      </c>
      <c r="BG60" s="23" t="str">
        <f t="shared" ref="BG60:BG61" ca="1" si="92">IF(AO60&lt;&gt;"",SUM(BA60:BF60)+1,"")</f>
        <v/>
      </c>
      <c r="EJ60" s="252" t="str">
        <f>IF(ISERROR("'Countries and Timezone'!"&amp;VLOOKUP(EH60,'Dummy Table'!EH7:EI38,2,FALSE)),"'Countries and Timezone'!b39","'Countries and Timezone'!"&amp;VLOOKUP(EH60,'Dummy Table'!EH7:EI38,2,FALSE))</f>
        <v>'Countries and Timezone'!b39</v>
      </c>
      <c r="EP60" s="23">
        <v>1</v>
      </c>
      <c r="EQ60" s="23" t="s">
        <v>611</v>
      </c>
      <c r="ER60" s="23" t="s">
        <v>610</v>
      </c>
    </row>
    <row r="61" spans="9:148" x14ac:dyDescent="0.25">
      <c r="I61" s="23">
        <f ca="1">SUMPRODUCT((I18:I21=I21)*(H18:H21=H21)*(F18:F21&gt;F21))+1</f>
        <v>1</v>
      </c>
      <c r="T61" s="23">
        <f ca="1">IF(U21&lt;&gt;"",SUMPRODUCT((AB18:AB21=AB21)*(AA18:AA21=AA21)*(Y18:Y21=Y21)*(Z18:Z21=Z21)),"")</f>
        <v>4</v>
      </c>
      <c r="U61" s="23" t="str">
        <f t="shared" ca="1" si="85"/>
        <v>England</v>
      </c>
      <c r="V61" s="23">
        <f ca="1">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23">
        <f ca="1">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23">
        <f ca="1">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23">
        <f ca="1">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23">
        <f ca="1">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23">
        <f ca="1">Y61-Z61+1000</f>
        <v>1000</v>
      </c>
      <c r="AB61" s="23">
        <f t="shared" ca="1" si="86"/>
        <v>0</v>
      </c>
      <c r="AC61" s="23">
        <f ca="1">IF(U61&lt;&gt;"",VLOOKUP(U61,B4:H40,7,FALSE),"")</f>
        <v>1000</v>
      </c>
      <c r="AD61" s="23">
        <f ca="1">IF(U61&lt;&gt;"",VLOOKUP(U61,B4:H40,5,FALSE),"")</f>
        <v>0</v>
      </c>
      <c r="AE61" s="23">
        <f ca="1">IF(U61&lt;&gt;"",VLOOKUP(U61,B4:J40,9,FALSE),"")</f>
        <v>49</v>
      </c>
      <c r="AF61" s="23">
        <f t="shared" ca="1" si="87"/>
        <v>0</v>
      </c>
      <c r="AG61" s="23">
        <f ca="1">IF(U61&lt;&gt;"",RANK(AF61,AF58:AF61),"")</f>
        <v>1</v>
      </c>
      <c r="AH61" s="23">
        <f ca="1">IF(U61&lt;&gt;"",SUMPRODUCT((AF58:AF61=AF61)*(AA58:AA61&gt;AA61)),"")</f>
        <v>0</v>
      </c>
      <c r="AI61" s="23">
        <f ca="1">IF(U61&lt;&gt;"",SUMPRODUCT((AF58:AF61=AF61)*(AA58:AA61=AA61)*(Y58:Y61&gt;Y61)),"")</f>
        <v>0</v>
      </c>
      <c r="AJ61" s="23">
        <f ca="1">IF(U61&lt;&gt;"",SUMPRODUCT((AF58:AF61=AF61)*(AA58:AA61=AA61)*(Y58:Y61=Y61)*(AC58:AC61&gt;AC61)),"")</f>
        <v>0</v>
      </c>
      <c r="AK61" s="23">
        <f ca="1">IF(U61&lt;&gt;"",SUMPRODUCT((AF58:AF61=AF61)*(AA58:AA61=AA61)*(Y58:Y61=Y61)*(AC58:AC61=AC61)*(AD58:AD61&gt;AD61)),"")</f>
        <v>0</v>
      </c>
      <c r="AL61" s="23">
        <f ca="1">IF(U61&lt;&gt;"",SUMPRODUCT((AF58:AF61=AF61)*(AA58:AA61=AA61)*(Y58:Y61=Y61)*(AC58:AC61=AC61)*(AD58:AD61=AD61)*(AE58:AE61&gt;AE61)),"")</f>
        <v>0</v>
      </c>
      <c r="AM61" s="23">
        <f ca="1">IF(U61&lt;&gt;"",SUM(AG61:AL61),"")</f>
        <v>1</v>
      </c>
      <c r="AN61" s="23" t="str">
        <f ca="1">IF(AO21&lt;&gt;"",SUMPRODUCT((AV18:AV21=AV21)*(AU18:AU21=AU21)*(AS18:AS21=AS21)*(AT18:AT21=AT21)),"")</f>
        <v/>
      </c>
      <c r="AO61" s="23" t="str">
        <f t="shared" ca="1" si="88"/>
        <v/>
      </c>
      <c r="AP61" s="23" t="str">
        <f ca="1">IF(AO61&lt;&gt;"",SUMPRODUCT((CZ3:CZ42=AO61)*(DC3:DC42=AO62)*(DD3:DD42="W"))+SUMPRODUCT((CZ3:CZ42=AO61)*(DC3:DC42=AO59)*(DD3:DD42="W"))+SUMPRODUCT((CZ3:CZ42=AO61)*(DC3:DC42=AO60)*(DD3:DD42="W"))+SUMPRODUCT((CZ3:CZ42=AO62)*(DC3:DC42=AO61)*(DE3:DE42="W"))+SUMPRODUCT((CZ3:CZ42=AO59)*(DC3:DC42=AO61)*(DE3:DE42="W"))+SUMPRODUCT((CZ3:CZ42=AO60)*(DC3:DC42=AO61)*(DE3:DE42="W")),"")</f>
        <v/>
      </c>
      <c r="AQ61" s="23" t="str">
        <f ca="1">IF(AO61&lt;&gt;"",SUMPRODUCT((CZ3:CZ42=AO61)*(DC3:DC42=AO62)*(DD3:DD42="D"))+SUMPRODUCT((CZ3:CZ42=AO61)*(DC3:DC42=AO59)*(DD3:DD42="D"))+SUMPRODUCT((CZ3:CZ42=AO61)*(DC3:DC42=AO60)*(DD3:DD42="D"))+SUMPRODUCT((CZ3:CZ42=AO62)*(DC3:DC42=AO61)*(DD3:DD42="D"))+SUMPRODUCT((CZ3:CZ42=AO59)*(DC3:DC42=AO61)*(DD3:DD42="D"))+SUMPRODUCT((CZ3:CZ42=AO60)*(DC3:DC42=AO61)*(DD3:DD42="D")),"")</f>
        <v/>
      </c>
      <c r="AR61" s="23" t="str">
        <f ca="1">IF(AO61&lt;&gt;"",SUMPRODUCT((CZ3:CZ42=AO61)*(DC3:DC42=AO62)*(DD3:DD42="L"))+SUMPRODUCT((CZ3:CZ42=AO61)*(DC3:DC42=AO59)*(DD3:DD42="L"))+SUMPRODUCT((CZ3:CZ42=AO61)*(DC3:DC42=AO60)*(DD3:DD42="L"))+SUMPRODUCT((CZ3:CZ42=AO62)*(DC3:DC42=AO61)*(DE3:DE42="L"))+SUMPRODUCT((CZ3:CZ42=AO59)*(DC3:DC42=AO61)*(DE3:DE42="L"))+SUMPRODUCT((CZ3:CZ42=AO60)*(DC3:DC42=AO61)*(DE3:DE42="L")),"")</f>
        <v/>
      </c>
      <c r="AS61" s="23">
        <f ca="1">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23">
        <f ca="1">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23">
        <f ca="1">AS61-AT61+1000</f>
        <v>1000</v>
      </c>
      <c r="AV61" s="23" t="str">
        <f t="shared" ca="1" si="89"/>
        <v/>
      </c>
      <c r="AW61" s="23" t="str">
        <f ca="1">IF(AO61&lt;&gt;"",VLOOKUP(AO61,B4:H40,7,FALSE),"")</f>
        <v/>
      </c>
      <c r="AX61" s="23" t="str">
        <f ca="1">IF(AO61&lt;&gt;"",VLOOKUP(AO61,B4:H40,5,FALSE),"")</f>
        <v/>
      </c>
      <c r="AY61" s="23" t="str">
        <f ca="1">IF(AO61&lt;&gt;"",VLOOKUP(AO61,B4:J40,9,FALSE),"")</f>
        <v/>
      </c>
      <c r="AZ61" s="23" t="str">
        <f t="shared" ca="1" si="91"/>
        <v/>
      </c>
      <c r="BA61" s="23" t="str">
        <f ca="1">IF(AO61&lt;&gt;"",RANK(AZ61,AZ58:AZ61),"")</f>
        <v/>
      </c>
      <c r="BB61" s="23" t="str">
        <f ca="1">IF(AO61&lt;&gt;"",SUMPRODUCT((AZ58:AZ61=AZ61)*(AU58:AU61&gt;AU61)),"")</f>
        <v/>
      </c>
      <c r="BC61" s="23" t="str">
        <f ca="1">IF(AO61&lt;&gt;"",SUMPRODUCT((AZ58:AZ61=AZ61)*(AU58:AU61=AU61)*(AS58:AS61&gt;AS61)),"")</f>
        <v/>
      </c>
      <c r="BD61" s="23" t="str">
        <f ca="1">IF(AO61&lt;&gt;"",SUMPRODUCT((AZ58:AZ61=AZ61)*(AU58:AU61=AU61)*(AS58:AS61=AS61)*(AW58:AW61&gt;AW61)),"")</f>
        <v/>
      </c>
      <c r="BE61" s="23" t="str">
        <f ca="1">IF(AO61&lt;&gt;"",SUMPRODUCT((AZ58:AZ61=AZ61)*(AU58:AU61=AU61)*(AS58:AS61=AS61)*(AW58:AW61=AW61)*(AX58:AX61&gt;AX61)),"")</f>
        <v/>
      </c>
      <c r="BF61" s="23" t="str">
        <f ca="1">IF(AO61&lt;&gt;"",SUMPRODUCT((AZ58:AZ61=AZ61)*(AU58:AU61=AU61)*(AS58:AS61=AS61)*(AW58:AW61=AW61)*(AX58:AX61=AX61)*(AY58:AY61&gt;AY61)),"")</f>
        <v/>
      </c>
      <c r="BG61" s="23" t="str">
        <f t="shared" ca="1" si="92"/>
        <v/>
      </c>
      <c r="EJ61" s="252" t="str">
        <f>IF(ISERROR("'Countries and Timezone'!"&amp;VLOOKUP(EH61,'Dummy Table'!EH7:EI38,2,FALSE)),"'Countries and Timezone'!b39","'Countries and Timezone'!"&amp;VLOOKUP(EH61,'Dummy Table'!EH7:EI38,2,FALSE))</f>
        <v>'Countries and Timezone'!b39</v>
      </c>
      <c r="EP61" s="23">
        <v>2</v>
      </c>
      <c r="EQ61" s="23" t="s">
        <v>613</v>
      </c>
      <c r="ER61" s="23" t="s">
        <v>612</v>
      </c>
    </row>
    <row r="62" spans="9:148" x14ac:dyDescent="0.25">
      <c r="EJ62" s="252" t="str">
        <f>IF(ISERROR("'Countries and Timezone'!"&amp;VLOOKUP(EH62,'Dummy Table'!EH7:EI38,2,FALSE)),"'Countries and Timezone'!b39","'Countries and Timezone'!"&amp;VLOOKUP(EH62,'Dummy Table'!EH7:EI38,2,FALSE))</f>
        <v>'Countries and Timezone'!b39</v>
      </c>
      <c r="EP62" s="23">
        <v>2</v>
      </c>
      <c r="EQ62" s="23" t="s">
        <v>615</v>
      </c>
      <c r="ER62" s="23" t="s">
        <v>614</v>
      </c>
    </row>
    <row r="63" spans="9:148" x14ac:dyDescent="0.25">
      <c r="EJ63" s="252" t="str">
        <f>IF(ISERROR("'Countries and Timezone'!"&amp;VLOOKUP(EH63,'Dummy Table'!EH7:EI38,2,FALSE)),"'Countries and Timezone'!b39","'Countries and Timezone'!"&amp;VLOOKUP(EH63,'Dummy Table'!EH7:EI38,2,FALSE))</f>
        <v>'Countries and Timezone'!b39</v>
      </c>
      <c r="EP63" s="23">
        <v>2</v>
      </c>
      <c r="EQ63" s="23" t="s">
        <v>617</v>
      </c>
      <c r="ER63" s="23" t="s">
        <v>616</v>
      </c>
    </row>
    <row r="64" spans="9:148" x14ac:dyDescent="0.25">
      <c r="T64" s="23">
        <f ca="1">IF(U65="",SUM(AG25:AL25),IF(U66="",SUM(AG26:AL26),IF(U67="",SUM(AG27:AL27),IF(U68="",SUM(AG28:AL28),0))))</f>
        <v>0</v>
      </c>
      <c r="AN64" s="23">
        <f ca="1">IF(AO66="",SUM(BA26:BF26),IF(AO67="",SUM(BA27:BF27),IF(AO68="",SUM(BA28:BF28),0)))</f>
        <v>0</v>
      </c>
      <c r="EJ64" s="252" t="str">
        <f>IF(ISERROR("'Countries and Timezone'!"&amp;VLOOKUP(EH64,'Dummy Table'!EH7:EI38,2,FALSE)),"'Countries and Timezone'!b39","'Countries and Timezone'!"&amp;VLOOKUP(EH64,'Dummy Table'!EH7:EI38,2,FALSE))</f>
        <v>'Countries and Timezone'!b39</v>
      </c>
      <c r="EP64" s="23">
        <v>2</v>
      </c>
      <c r="EQ64" s="23" t="s">
        <v>619</v>
      </c>
      <c r="ER64" s="23" t="s">
        <v>618</v>
      </c>
    </row>
    <row r="65" spans="9:148" x14ac:dyDescent="0.25">
      <c r="I65" s="23">
        <f ca="1">SUMPRODUCT((I25:I28=I25)*(H25:H28=H25)*(F25:F28&gt;F25))+1</f>
        <v>1</v>
      </c>
      <c r="T65" s="23">
        <f ca="1">IF(U25&lt;&gt;"",SUMPRODUCT((AB25:AB28=AB25)*(AA25:AA28=AA25)*(Y25:Y28=Y25)*(Z25:Z28=Z25)),"")</f>
        <v>4</v>
      </c>
      <c r="U65" s="23" t="str">
        <f ca="1">IF(AND(T65&lt;&gt;"",T65&gt;1),U25,"")</f>
        <v>Poland</v>
      </c>
      <c r="V65" s="23">
        <f ca="1">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23">
        <f ca="1">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23">
        <f ca="1">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23">
        <f ca="1">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23">
        <f ca="1">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23">
        <f ca="1">Y65-Z65+1000</f>
        <v>1000</v>
      </c>
      <c r="AB65" s="23">
        <f ca="1">IF(U65&lt;&gt;"",V65*3+W65*1,"")</f>
        <v>0</v>
      </c>
      <c r="AC65" s="23">
        <f ca="1">IF(U65&lt;&gt;"",VLOOKUP(U65,B4:H40,7,FALSE),"")</f>
        <v>1000</v>
      </c>
      <c r="AD65" s="23">
        <f ca="1">IF(U65&lt;&gt;"",VLOOKUP(U65,B4:H40,5,FALSE),"")</f>
        <v>0</v>
      </c>
      <c r="AE65" s="23">
        <f ca="1">IF(U65&lt;&gt;"",VLOOKUP(U65,B4:J40,9,FALSE),"")</f>
        <v>0</v>
      </c>
      <c r="AF65" s="23">
        <f ca="1">AB65</f>
        <v>0</v>
      </c>
      <c r="AG65" s="23">
        <f ca="1">IF(U65&lt;&gt;"",RANK(AF65,AF65:AF68),"")</f>
        <v>1</v>
      </c>
      <c r="AH65" s="23">
        <f ca="1">IF(U65&lt;&gt;"",SUMPRODUCT((AF65:AF68=AF65)*(AA65:AA68&gt;AA65)),"")</f>
        <v>0</v>
      </c>
      <c r="AI65" s="23">
        <f ca="1">IF(U65&lt;&gt;"",SUMPRODUCT((AF65:AF68=AF65)*(AA65:AA68=AA65)*(Y65:Y68&gt;Y65)),"")</f>
        <v>0</v>
      </c>
      <c r="AJ65" s="23">
        <f ca="1">IF(U65&lt;&gt;"",SUMPRODUCT((AF65:AF68=AF65)*(AA65:AA68=AA65)*(Y65:Y68=Y65)*(AC65:AC68&gt;AC65)),"")</f>
        <v>0</v>
      </c>
      <c r="AK65" s="23">
        <f ca="1">IF(U65&lt;&gt;"",SUMPRODUCT((AF65:AF68=AF65)*(AA65:AA68=AA65)*(Y65:Y68=Y65)*(AC65:AC68=AC65)*(AD65:AD68&gt;AD65)),"")</f>
        <v>0</v>
      </c>
      <c r="AL65" s="23">
        <f ca="1">IF(U65&lt;&gt;"",SUMPRODUCT((AF65:AF68=AF65)*(AA65:AA68=AA65)*(Y65:Y68=Y65)*(AC65:AC68=AC65)*(AD65:AD68=AD65)*(AE65:AE68&gt;AE65)),"")</f>
        <v>3</v>
      </c>
      <c r="AM65" s="23">
        <f ca="1">IF(U65&lt;&gt;"",SUM(AG65:AL65),"")</f>
        <v>4</v>
      </c>
      <c r="EJ65" s="252" t="str">
        <f>IF(ISERROR("'Countries and Timezone'!"&amp;VLOOKUP(EH65,'Dummy Table'!EH7:EI38,2,FALSE)),"'Countries and Timezone'!b39","'Countries and Timezone'!"&amp;VLOOKUP(EH65,'Dummy Table'!EH7:EI38,2,FALSE))</f>
        <v>'Countries and Timezone'!b39</v>
      </c>
      <c r="EP65" s="23">
        <v>2</v>
      </c>
      <c r="EQ65" s="23" t="s">
        <v>621</v>
      </c>
      <c r="ER65" s="23" t="s">
        <v>620</v>
      </c>
    </row>
    <row r="66" spans="9:148" x14ac:dyDescent="0.25">
      <c r="I66" s="23">
        <f ca="1">SUMPRODUCT((I25:I28=I26)*(H25:H28=H26)*(F25:F28&gt;F26))+1</f>
        <v>1</v>
      </c>
      <c r="T66" s="23">
        <f ca="1">IF(U26&lt;&gt;"",SUMPRODUCT((AB25:AB28=AB26)*(AA25:AA28=AA26)*(Y25:Y28=Y26)*(Z25:Z28=Z26)),"")</f>
        <v>4</v>
      </c>
      <c r="U66" s="23" t="str">
        <f t="shared" ref="U66:U68" ca="1" si="93">IF(AND(T66&lt;&gt;"",T66&gt;1),U26,"")</f>
        <v>Austria</v>
      </c>
      <c r="V66" s="23">
        <f ca="1">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23">
        <f ca="1">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23">
        <f ca="1">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23">
        <f ca="1">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23">
        <f ca="1">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23">
        <f ca="1">Y66-Z66+1000</f>
        <v>1000</v>
      </c>
      <c r="AB66" s="23">
        <f t="shared" ref="AB66:AB68" ca="1" si="94">IF(U66&lt;&gt;"",V66*3+W66*1,"")</f>
        <v>0</v>
      </c>
      <c r="AC66" s="23">
        <f ca="1">IF(U66&lt;&gt;"",VLOOKUP(U66,B4:H40,7,FALSE),"")</f>
        <v>1000</v>
      </c>
      <c r="AD66" s="23">
        <f ca="1">IF(U66&lt;&gt;"",VLOOKUP(U66,B4:H40,5,FALSE),"")</f>
        <v>0</v>
      </c>
      <c r="AE66" s="23">
        <f ca="1">IF(U66&lt;&gt;"",VLOOKUP(U66,B4:J40,9,FALSE),"")</f>
        <v>41</v>
      </c>
      <c r="AF66" s="23">
        <f t="shared" ref="AF66:AF68" ca="1" si="95">AB66</f>
        <v>0</v>
      </c>
      <c r="AG66" s="23">
        <f ca="1">IF(U66&lt;&gt;"",RANK(AF66,AF65:AF68),"")</f>
        <v>1</v>
      </c>
      <c r="AH66" s="23">
        <f ca="1">IF(U66&lt;&gt;"",SUMPRODUCT((AF65:AF68=AF66)*(AA65:AA68&gt;AA66)),"")</f>
        <v>0</v>
      </c>
      <c r="AI66" s="23">
        <f ca="1">IF(U66&lt;&gt;"",SUMPRODUCT((AF65:AF68=AF66)*(AA65:AA68=AA66)*(Y65:Y68&gt;Y66)),"")</f>
        <v>0</v>
      </c>
      <c r="AJ66" s="23">
        <f ca="1">IF(U66&lt;&gt;"",SUMPRODUCT((AF65:AF68=AF66)*(AA65:AA68=AA66)*(Y65:Y68=Y66)*(AC65:AC68&gt;AC66)),"")</f>
        <v>0</v>
      </c>
      <c r="AK66" s="23">
        <f ca="1">IF(U66&lt;&gt;"",SUMPRODUCT((AF65:AF68=AF66)*(AA65:AA68=AA66)*(Y65:Y68=Y66)*(AC65:AC68=AC66)*(AD65:AD68&gt;AD66)),"")</f>
        <v>0</v>
      </c>
      <c r="AL66" s="23">
        <f ca="1">IF(U66&lt;&gt;"",SUMPRODUCT((AF65:AF68=AF66)*(AA65:AA68=AA66)*(Y65:Y68=Y66)*(AC65:AC68=AC66)*(AD65:AD68=AD66)*(AE65:AE68&gt;AE66)),"")</f>
        <v>2</v>
      </c>
      <c r="AM66" s="23">
        <f ca="1">IF(U66&lt;&gt;"",SUM(AG66:AL66),"")</f>
        <v>3</v>
      </c>
      <c r="AN66" s="23" t="str">
        <f ca="1">IF(AO26&lt;&gt;"",SUMPRODUCT((AV25:AV28=AV26)*(AU25:AU28=AU26)*(AS25:AS28=AS26)*(AT25:AT28=AT26)),"")</f>
        <v/>
      </c>
      <c r="AO66" s="23" t="str">
        <f t="shared" ref="AO66:AO68" ca="1" si="96">IF(AND(AN66&lt;&gt;"",AN66&gt;1),AO26,"")</f>
        <v/>
      </c>
      <c r="AP66" s="23">
        <f ca="1">SUMPRODUCT((CZ3:CZ42=AO66)*(DC3:DC42=AO67)*(DD3:DD42="W"))+SUMPRODUCT((CZ3:CZ42=AO66)*(DC3:DC42=AO68)*(DD3:DD42="W"))+SUMPRODUCT((CZ3:CZ42=AO66)*(DC3:DC42=AO69)*(DD3:DD42="W"))+SUMPRODUCT((CZ3:CZ42=AO67)*(DC3:DC42=AO66)*(DE3:DE42="W"))+SUMPRODUCT((CZ3:CZ42=AO68)*(DC3:DC42=AO66)*(DE3:DE42="W"))+SUMPRODUCT((CZ3:CZ42=AO69)*(DC3:DC42=AO66)*(DE3:DE42="W"))</f>
        <v>0</v>
      </c>
      <c r="AQ66" s="23">
        <f ca="1">SUMPRODUCT((CZ3:CZ42=AO66)*(DC3:DC42=AO67)*(DD3:DD42="D"))+SUMPRODUCT((CZ3:CZ42=AO66)*(DC3:DC42=AO68)*(DD3:DD42="D"))+SUMPRODUCT((CZ3:CZ42=AO66)*(DC3:DC42=AO69)*(DD3:DD42="D"))+SUMPRODUCT((CZ3:CZ42=AO67)*(DC3:DC42=AO66)*(DD3:DD42="D"))+SUMPRODUCT((CZ3:CZ42=AO68)*(DC3:DC42=AO66)*(DD3:DD42="D"))+SUMPRODUCT((CZ3:CZ42=AO69)*(DC3:DC42=AO66)*(DD3:DD42="D"))</f>
        <v>0</v>
      </c>
      <c r="AR66" s="23">
        <f ca="1">SUMPRODUCT((CZ3:CZ42=AO66)*(DC3:DC42=AO67)*(DD3:DD42="L"))+SUMPRODUCT((CZ3:CZ42=AO66)*(DC3:DC42=AO68)*(DD3:DD42="L"))+SUMPRODUCT((CZ3:CZ42=AO66)*(DC3:DC42=AO69)*(DD3:DD42="L"))+SUMPRODUCT((CZ3:CZ42=AO67)*(DC3:DC42=AO66)*(DE3:DE42="L"))+SUMPRODUCT((CZ3:CZ42=AO68)*(DC3:DC42=AO66)*(DE3:DE42="L"))+SUMPRODUCT((CZ3:CZ42=AO69)*(DC3:DC42=AO66)*(DE3:DE42="L"))</f>
        <v>0</v>
      </c>
      <c r="AS66" s="23">
        <f ca="1">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23">
        <f ca="1">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23">
        <f ca="1">AS66-AT66+1000</f>
        <v>1000</v>
      </c>
      <c r="AV66" s="23" t="str">
        <f t="shared" ref="AV66:AV68" ca="1" si="97">IF(AO66&lt;&gt;"",AP66*3+AQ66*1,"")</f>
        <v/>
      </c>
      <c r="AW66" s="23" t="str">
        <f ca="1">IF(AO66&lt;&gt;"",VLOOKUP(AO66,B4:H40,7,FALSE),"")</f>
        <v/>
      </c>
      <c r="AX66" s="23" t="str">
        <f ca="1">IF(AO66&lt;&gt;"",VLOOKUP(AO66,B4:H40,5,FALSE),"")</f>
        <v/>
      </c>
      <c r="AY66" s="23" t="str">
        <f ca="1">IF(AO66&lt;&gt;"",VLOOKUP(AO66,B4:J40,9,FALSE),"")</f>
        <v/>
      </c>
      <c r="AZ66" s="23" t="str">
        <f t="shared" ref="AZ66:AZ68" ca="1" si="98">AV66</f>
        <v/>
      </c>
      <c r="BA66" s="23" t="str">
        <f ca="1">IF(AO66&lt;&gt;"",RANK(AZ66,AZ65:AZ68),"")</f>
        <v/>
      </c>
      <c r="BB66" s="23" t="str">
        <f ca="1">IF(AO66&lt;&gt;"",SUMPRODUCT((AZ65:AZ68=AZ66)*(AU65:AU68&gt;AU66)),"")</f>
        <v/>
      </c>
      <c r="BC66" s="23" t="str">
        <f ca="1">IF(AO66&lt;&gt;"",SUMPRODUCT((AZ65:AZ68=AZ66)*(AU65:AU68=AU66)*(AS65:AS68&gt;AS66)),"")</f>
        <v/>
      </c>
      <c r="BD66" s="23" t="str">
        <f ca="1">IF(AO66&lt;&gt;"",SUMPRODUCT((AZ65:AZ68=AZ66)*(AU65:AU68=AU66)*(AS65:AS68=AS66)*(AW65:AW68&gt;AW66)),"")</f>
        <v/>
      </c>
      <c r="BE66" s="23" t="str">
        <f ca="1">IF(AO66&lt;&gt;"",SUMPRODUCT((AZ65:AZ68=AZ66)*(AU65:AU68=AU66)*(AS65:AS68=AS66)*(AW65:AW68=AW66)*(AX65:AX68&gt;AX66)),"")</f>
        <v/>
      </c>
      <c r="BF66" s="23" t="str">
        <f ca="1">IF(AO66&lt;&gt;"",SUMPRODUCT((AZ65:AZ68=AZ66)*(AU65:AU68=AU66)*(AS65:AS68=AS66)*(AW65:AW68=AW66)*(AX65:AX68=AX66)*(AY65:AY68&gt;AY66)),"")</f>
        <v/>
      </c>
      <c r="BG66" s="23" t="str">
        <f ca="1">IF(AO66&lt;&gt;"",SUM(BA66:BF66)+1,"")</f>
        <v/>
      </c>
      <c r="EJ66" s="252" t="str">
        <f>IF(ISERROR("'Countries and Timezone'!"&amp;VLOOKUP(EH66,'Dummy Table'!EH7:EI38,2,FALSE)),"'Countries and Timezone'!b39","'Countries and Timezone'!"&amp;VLOOKUP(EH66,'Dummy Table'!EH7:EI38,2,FALSE))</f>
        <v>'Countries and Timezone'!b39</v>
      </c>
      <c r="EP66" s="23">
        <v>2</v>
      </c>
      <c r="EQ66" s="23" t="s">
        <v>623</v>
      </c>
      <c r="ER66" s="23" t="s">
        <v>622</v>
      </c>
    </row>
    <row r="67" spans="9:148" x14ac:dyDescent="0.25">
      <c r="I67" s="23">
        <f ca="1">SUMPRODUCT((I25:I28=I27)*(H25:H28=H27)*(F25:F28&gt;F27))+1</f>
        <v>1</v>
      </c>
      <c r="T67" s="23">
        <f ca="1">IF(U27&lt;&gt;"",SUMPRODUCT((AB25:AB28=AB27)*(AA25:AA28=AA27)*(Y25:Y28=Y27)*(Z25:Z28=Z27)),"")</f>
        <v>4</v>
      </c>
      <c r="U67" s="23" t="str">
        <f t="shared" ca="1" si="93"/>
        <v>Netherlands</v>
      </c>
      <c r="V67" s="23">
        <f ca="1">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23">
        <f ca="1">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23">
        <f ca="1">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23">
        <f ca="1">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23">
        <f ca="1">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23">
        <f ca="1">Y67-Z67+1000</f>
        <v>1000</v>
      </c>
      <c r="AB67" s="23">
        <f t="shared" ca="1" si="94"/>
        <v>0</v>
      </c>
      <c r="AC67" s="23">
        <f ca="1">IF(U67&lt;&gt;"",VLOOKUP(U67,B4:H40,7,FALSE),"")</f>
        <v>1000</v>
      </c>
      <c r="AD67" s="23">
        <f ca="1">IF(U67&lt;&gt;"",VLOOKUP(U67,B4:H40,5,FALSE),"")</f>
        <v>0</v>
      </c>
      <c r="AE67" s="23">
        <f ca="1">IF(U67&lt;&gt;"",VLOOKUP(U67,B4:J40,9,FALSE),"")</f>
        <v>42</v>
      </c>
      <c r="AF67" s="23">
        <f t="shared" ca="1" si="95"/>
        <v>0</v>
      </c>
      <c r="AG67" s="23">
        <f ca="1">IF(U67&lt;&gt;"",RANK(AF67,AF65:AF68),"")</f>
        <v>1</v>
      </c>
      <c r="AH67" s="23">
        <f ca="1">IF(U67&lt;&gt;"",SUMPRODUCT((AF65:AF68=AF67)*(AA65:AA68&gt;AA67)),"")</f>
        <v>0</v>
      </c>
      <c r="AI67" s="23">
        <f ca="1">IF(U67&lt;&gt;"",SUMPRODUCT((AF65:AF68=AF67)*(AA65:AA68=AA67)*(Y65:Y68&gt;Y67)),"")</f>
        <v>0</v>
      </c>
      <c r="AJ67" s="23">
        <f ca="1">IF(U67&lt;&gt;"",SUMPRODUCT((AF65:AF68=AF67)*(AA65:AA68=AA67)*(Y65:Y68=Y67)*(AC65:AC68&gt;AC67)),"")</f>
        <v>0</v>
      </c>
      <c r="AK67" s="23">
        <f ca="1">IF(U67&lt;&gt;"",SUMPRODUCT((AF65:AF68=AF67)*(AA65:AA68=AA67)*(Y65:Y68=Y67)*(AC65:AC68=AC67)*(AD65:AD68&gt;AD67)),"")</f>
        <v>0</v>
      </c>
      <c r="AL67" s="23">
        <f ca="1">IF(U67&lt;&gt;"",SUMPRODUCT((AF65:AF68=AF67)*(AA65:AA68=AA67)*(Y65:Y68=Y67)*(AC65:AC68=AC67)*(AD65:AD68=AD67)*(AE65:AE68&gt;AE67)),"")</f>
        <v>1</v>
      </c>
      <c r="AM67" s="23">
        <f ca="1">IF(U67&lt;&gt;"",SUM(AG67:AL67),"")</f>
        <v>2</v>
      </c>
      <c r="AN67" s="23" t="str">
        <f ca="1">IF(AO27&lt;&gt;"",SUMPRODUCT((AV25:AV28=AV27)*(AU25:AU28=AU27)*(AS25:AS28=AS27)*(AT25:AT28=AT27)),"")</f>
        <v/>
      </c>
      <c r="AO67" s="23" t="str">
        <f t="shared" ca="1" si="96"/>
        <v/>
      </c>
      <c r="AP67" s="23">
        <f ca="1">SUMPRODUCT((CZ3:CZ42=AO67)*(DC3:DC42=AO68)*(DD3:DD42="W"))+SUMPRODUCT((CZ3:CZ42=AO67)*(DC3:DC42=AO69)*(DD3:DD42="W"))+SUMPRODUCT((CZ3:CZ42=AO67)*(DC3:DC42=AO66)*(DD3:DD42="W"))+SUMPRODUCT((CZ3:CZ42=AO68)*(DC3:DC42=AO67)*(DE3:DE42="W"))+SUMPRODUCT((CZ3:CZ42=AO69)*(DC3:DC42=AO67)*(DE3:DE42="W"))+SUMPRODUCT((CZ3:CZ42=AO66)*(DC3:DC42=AO67)*(DE3:DE42="W"))</f>
        <v>0</v>
      </c>
      <c r="AQ67" s="23">
        <f ca="1">SUMPRODUCT((CZ3:CZ42=AO67)*(DC3:DC42=AO68)*(DD3:DD42="D"))+SUMPRODUCT((CZ3:CZ42=AO67)*(DC3:DC42=AO69)*(DD3:DD42="D"))+SUMPRODUCT((CZ3:CZ42=AO67)*(DC3:DC42=AO66)*(DD3:DD42="D"))+SUMPRODUCT((CZ3:CZ42=AO68)*(DC3:DC42=AO67)*(DD3:DD42="D"))+SUMPRODUCT((CZ3:CZ42=AO69)*(DC3:DC42=AO67)*(DD3:DD42="D"))+SUMPRODUCT((CZ3:CZ42=AO66)*(DC3:DC42=AO67)*(DD3:DD42="D"))</f>
        <v>0</v>
      </c>
      <c r="AR67" s="23">
        <f ca="1">SUMPRODUCT((CZ3:CZ42=AO67)*(DC3:DC42=AO68)*(DD3:DD42="L"))+SUMPRODUCT((CZ3:CZ42=AO67)*(DC3:DC42=AO69)*(DD3:DD42="L"))+SUMPRODUCT((CZ3:CZ42=AO67)*(DC3:DC42=AO66)*(DD3:DD42="L"))+SUMPRODUCT((CZ3:CZ42=AO68)*(DC3:DC42=AO67)*(DE3:DE42="L"))+SUMPRODUCT((CZ3:CZ42=AO69)*(DC3:DC42=AO67)*(DE3:DE42="L"))+SUMPRODUCT((CZ3:CZ42=AO66)*(DC3:DC42=AO67)*(DE3:DE42="L"))</f>
        <v>0</v>
      </c>
      <c r="AS67" s="23">
        <f ca="1">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23">
        <f ca="1">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23">
        <f ca="1">AS67-AT67+1000</f>
        <v>1000</v>
      </c>
      <c r="AV67" s="23" t="str">
        <f t="shared" ca="1" si="97"/>
        <v/>
      </c>
      <c r="AW67" s="23" t="str">
        <f ca="1">IF(AO67&lt;&gt;"",VLOOKUP(AO67,B4:H40,7,FALSE),"")</f>
        <v/>
      </c>
      <c r="AX67" s="23" t="str">
        <f ca="1">IF(AO67&lt;&gt;"",VLOOKUP(AO67,B4:H40,5,FALSE),"")</f>
        <v/>
      </c>
      <c r="AY67" s="23" t="str">
        <f ca="1">IF(AO67&lt;&gt;"",VLOOKUP(AO67,B4:J40,9,FALSE),"")</f>
        <v/>
      </c>
      <c r="AZ67" s="23" t="str">
        <f t="shared" ca="1" si="98"/>
        <v/>
      </c>
      <c r="BA67" s="23" t="str">
        <f ca="1">IF(AO67&lt;&gt;"",RANK(AZ67,AZ65:AZ68),"")</f>
        <v/>
      </c>
      <c r="BB67" s="23" t="str">
        <f ca="1">IF(AO67&lt;&gt;"",SUMPRODUCT((AZ65:AZ68=AZ67)*(AU65:AU68&gt;AU67)),"")</f>
        <v/>
      </c>
      <c r="BC67" s="23" t="str">
        <f ca="1">IF(AO67&lt;&gt;"",SUMPRODUCT((AZ65:AZ68=AZ67)*(AU65:AU68=AU67)*(AS65:AS68&gt;AS67)),"")</f>
        <v/>
      </c>
      <c r="BD67" s="23" t="str">
        <f ca="1">IF(AO67&lt;&gt;"",SUMPRODUCT((AZ65:AZ68=AZ67)*(AU65:AU68=AU67)*(AS65:AS68=AS67)*(AW65:AW68&gt;AW67)),"")</f>
        <v/>
      </c>
      <c r="BE67" s="23" t="str">
        <f ca="1">IF(AO67&lt;&gt;"",SUMPRODUCT((AZ65:AZ68=AZ67)*(AU65:AU68=AU67)*(AS65:AS68=AS67)*(AW65:AW68=AW67)*(AX65:AX68&gt;AX67)),"")</f>
        <v/>
      </c>
      <c r="BF67" s="23" t="str">
        <f ca="1">IF(AO67&lt;&gt;"",SUMPRODUCT((AZ65:AZ68=AZ67)*(AU65:AU68=AU67)*(AS65:AS68=AS67)*(AW65:AW68=AW67)*(AX65:AX68=AX67)*(AY65:AY68&gt;AY67)),"")</f>
        <v/>
      </c>
      <c r="BG67" s="23" t="str">
        <f t="shared" ref="BG67:BG68" ca="1" si="99">IF(AO67&lt;&gt;"",SUM(BA67:BF67)+1,"")</f>
        <v/>
      </c>
      <c r="EJ67" s="252" t="str">
        <f>IF(ISERROR("'Countries and Timezone'!"&amp;VLOOKUP(EH67,'Dummy Table'!EH7:EI38,2,FALSE)),"'Countries and Timezone'!b39","'Countries and Timezone'!"&amp;VLOOKUP(EH67,'Dummy Table'!EH7:EI38,2,FALSE))</f>
        <v>'Countries and Timezone'!b39</v>
      </c>
      <c r="EP67" s="23">
        <v>2</v>
      </c>
      <c r="EQ67" s="23" t="s">
        <v>625</v>
      </c>
      <c r="ER67" s="23" t="s">
        <v>624</v>
      </c>
    </row>
    <row r="68" spans="9:148" x14ac:dyDescent="0.25">
      <c r="I68" s="23">
        <f ca="1">SUMPRODUCT((I25:I28=I28)*(H25:H28=H28)*(F25:F28&gt;F28))+1</f>
        <v>1</v>
      </c>
      <c r="T68" s="23">
        <f ca="1">IF(U28&lt;&gt;"",SUMPRODUCT((AB25:AB28=AB28)*(AA25:AA28=AA28)*(Y25:Y28=Y28)*(Z25:Z28=Z28)),"")</f>
        <v>4</v>
      </c>
      <c r="U68" s="23" t="str">
        <f t="shared" ca="1" si="93"/>
        <v>France</v>
      </c>
      <c r="V68" s="23">
        <f ca="1">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23">
        <f ca="1">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23">
        <f ca="1">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23">
        <f ca="1">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23">
        <f ca="1">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23">
        <f ca="1">Y68-Z68+1000</f>
        <v>1000</v>
      </c>
      <c r="AB68" s="23">
        <f t="shared" ca="1" si="94"/>
        <v>0</v>
      </c>
      <c r="AC68" s="23">
        <f ca="1">IF(U68&lt;&gt;"",VLOOKUP(U68,B4:H40,7,FALSE),"")</f>
        <v>1000</v>
      </c>
      <c r="AD68" s="23">
        <f ca="1">IF(U68&lt;&gt;"",VLOOKUP(U68,B4:H40,5,FALSE),"")</f>
        <v>0</v>
      </c>
      <c r="AE68" s="23">
        <f ca="1">IF(U68&lt;&gt;"",VLOOKUP(U68,B4:J40,9,FALSE),"")</f>
        <v>52</v>
      </c>
      <c r="AF68" s="23">
        <f t="shared" ca="1" si="95"/>
        <v>0</v>
      </c>
      <c r="AG68" s="23">
        <f ca="1">IF(U68&lt;&gt;"",RANK(AF68,AF65:AF68),"")</f>
        <v>1</v>
      </c>
      <c r="AH68" s="23">
        <f ca="1">IF(U68&lt;&gt;"",SUMPRODUCT((AF65:AF68=AF68)*(AA65:AA68&gt;AA68)),"")</f>
        <v>0</v>
      </c>
      <c r="AI68" s="23">
        <f ca="1">IF(U68&lt;&gt;"",SUMPRODUCT((AF65:AF68=AF68)*(AA65:AA68=AA68)*(Y65:Y68&gt;Y68)),"")</f>
        <v>0</v>
      </c>
      <c r="AJ68" s="23">
        <f ca="1">IF(U68&lt;&gt;"",SUMPRODUCT((AF65:AF68=AF68)*(AA65:AA68=AA68)*(Y65:Y68=Y68)*(AC65:AC68&gt;AC68)),"")</f>
        <v>0</v>
      </c>
      <c r="AK68" s="23">
        <f ca="1">IF(U68&lt;&gt;"",SUMPRODUCT((AF65:AF68=AF68)*(AA65:AA68=AA68)*(Y65:Y68=Y68)*(AC65:AC68=AC68)*(AD65:AD68&gt;AD68)),"")</f>
        <v>0</v>
      </c>
      <c r="AL68" s="23">
        <f ca="1">IF(U68&lt;&gt;"",SUMPRODUCT((AF65:AF68=AF68)*(AA65:AA68=AA68)*(Y65:Y68=Y68)*(AC65:AC68=AC68)*(AD65:AD68=AD68)*(AE65:AE68&gt;AE68)),"")</f>
        <v>0</v>
      </c>
      <c r="AM68" s="23">
        <f ca="1">IF(U68&lt;&gt;"",SUM(AG68:AL68),"")</f>
        <v>1</v>
      </c>
      <c r="AN68" s="23" t="str">
        <f ca="1">IF(AO28&lt;&gt;"",SUMPRODUCT((AV25:AV28=AV28)*(AU25:AU28=AU28)*(AS25:AS28=AS28)*(AT25:AT28=AT28)),"")</f>
        <v/>
      </c>
      <c r="AO68" s="23" t="str">
        <f t="shared" ca="1" si="96"/>
        <v/>
      </c>
      <c r="AP68" s="23" t="str">
        <f ca="1">IF(AO68&lt;&gt;"",SUMPRODUCT((CZ3:CZ42=AO68)*(DC3:DC42=AO69)*(DD3:DD42="W"))+SUMPRODUCT((CZ3:CZ42=AO68)*(DC3:DC42=AO66)*(DD3:DD42="W"))+SUMPRODUCT((CZ3:CZ42=AO68)*(DC3:DC42=AO67)*(DD3:DD42="W"))+SUMPRODUCT((CZ3:CZ42=AO69)*(DC3:DC42=AO68)*(DE3:DE42="W"))+SUMPRODUCT((CZ3:CZ42=AO66)*(DC3:DC42=AO68)*(DE3:DE42="W"))+SUMPRODUCT((CZ3:CZ42=AO67)*(DC3:DC42=AO68)*(DE3:DE42="W")),"")</f>
        <v/>
      </c>
      <c r="AQ68" s="23" t="str">
        <f ca="1">IF(AO68&lt;&gt;"",SUMPRODUCT((CZ3:CZ42=AO68)*(DC3:DC42=AO69)*(DD3:DD42="D"))+SUMPRODUCT((CZ3:CZ42=AO68)*(DC3:DC42=AO66)*(DD3:DD42="D"))+SUMPRODUCT((CZ3:CZ42=AO68)*(DC3:DC42=AO67)*(DD3:DD42="D"))+SUMPRODUCT((CZ3:CZ42=AO69)*(DC3:DC42=AO68)*(DD3:DD42="D"))+SUMPRODUCT((CZ3:CZ42=AO66)*(DC3:DC42=AO68)*(DD3:DD42="D"))+SUMPRODUCT((CZ3:CZ42=AO67)*(DC3:DC42=AO68)*(DD3:DD42="D")),"")</f>
        <v/>
      </c>
      <c r="AR68" s="23" t="str">
        <f ca="1">IF(AO68&lt;&gt;"",SUMPRODUCT((CZ3:CZ42=AO68)*(DC3:DC42=AO69)*(DD3:DD42="L"))+SUMPRODUCT((CZ3:CZ42=AO68)*(DC3:DC42=AO66)*(DD3:DD42="L"))+SUMPRODUCT((CZ3:CZ42=AO68)*(DC3:DC42=AO67)*(DD3:DD42="L"))+SUMPRODUCT((CZ3:CZ42=AO69)*(DC3:DC42=AO68)*(DE3:DE42="L"))+SUMPRODUCT((CZ3:CZ42=AO66)*(DC3:DC42=AO68)*(DE3:DE42="L"))+SUMPRODUCT((CZ3:CZ42=AO67)*(DC3:DC42=AO68)*(DE3:DE42="L")),"")</f>
        <v/>
      </c>
      <c r="AS68" s="23">
        <f ca="1">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23">
        <f ca="1">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23">
        <f ca="1">AS68-AT68+1000</f>
        <v>1000</v>
      </c>
      <c r="AV68" s="23" t="str">
        <f t="shared" ca="1" si="97"/>
        <v/>
      </c>
      <c r="AW68" s="23" t="str">
        <f ca="1">IF(AO68&lt;&gt;"",VLOOKUP(AO68,B4:H40,7,FALSE),"")</f>
        <v/>
      </c>
      <c r="AX68" s="23" t="str">
        <f ca="1">IF(AO68&lt;&gt;"",VLOOKUP(AO68,B4:H40,5,FALSE),"")</f>
        <v/>
      </c>
      <c r="AY68" s="23" t="str">
        <f ca="1">IF(AO68&lt;&gt;"",VLOOKUP(AO68,B4:J40,9,FALSE),"")</f>
        <v/>
      </c>
      <c r="AZ68" s="23" t="str">
        <f t="shared" ca="1" si="98"/>
        <v/>
      </c>
      <c r="BA68" s="23" t="str">
        <f ca="1">IF(AO68&lt;&gt;"",RANK(AZ68,AZ65:AZ68),"")</f>
        <v/>
      </c>
      <c r="BB68" s="23" t="str">
        <f ca="1">IF(AO68&lt;&gt;"",SUMPRODUCT((AZ65:AZ68=AZ68)*(AU65:AU68&gt;AU68)),"")</f>
        <v/>
      </c>
      <c r="BC68" s="23" t="str">
        <f ca="1">IF(AO68&lt;&gt;"",SUMPRODUCT((AZ65:AZ68=AZ68)*(AU65:AU68=AU68)*(AS65:AS68&gt;AS68)),"")</f>
        <v/>
      </c>
      <c r="BD68" s="23" t="str">
        <f ca="1">IF(AO68&lt;&gt;"",SUMPRODUCT((AZ65:AZ68=AZ68)*(AU65:AU68=AU68)*(AS65:AS68=AS68)*(AW65:AW68&gt;AW68)),"")</f>
        <v/>
      </c>
      <c r="BE68" s="23" t="str">
        <f ca="1">IF(AO68&lt;&gt;"",SUMPRODUCT((AZ65:AZ68=AZ68)*(AU65:AU68=AU68)*(AS65:AS68=AS68)*(AW65:AW68=AW68)*(AX65:AX68&gt;AX68)),"")</f>
        <v/>
      </c>
      <c r="BF68" s="23" t="str">
        <f ca="1">IF(AO68&lt;&gt;"",SUMPRODUCT((AZ65:AZ68=AZ68)*(AU65:AU68=AU68)*(AS65:AS68=AS68)*(AW65:AW68=AW68)*(AX65:AX68=AX68)*(AY65:AY68&gt;AY68)),"")</f>
        <v/>
      </c>
      <c r="BG68" s="23" t="str">
        <f t="shared" ca="1" si="99"/>
        <v/>
      </c>
      <c r="EJ68" s="252" t="str">
        <f>IF(ISERROR("'Countries and Timezone'!"&amp;VLOOKUP(EH68,'Dummy Table'!EH7:EI38,2,FALSE)),"'Countries and Timezone'!b39","'Countries and Timezone'!"&amp;VLOOKUP(EH68,'Dummy Table'!EH7:EI38,2,FALSE))</f>
        <v>'Countries and Timezone'!b39</v>
      </c>
      <c r="EP68" s="23">
        <v>2</v>
      </c>
      <c r="EQ68" s="23" t="s">
        <v>627</v>
      </c>
      <c r="ER68" s="23" t="s">
        <v>626</v>
      </c>
    </row>
    <row r="69" spans="9:148" x14ac:dyDescent="0.25">
      <c r="EJ69" s="252" t="str">
        <f>IF(ISERROR("'Countries and Timezone'!"&amp;VLOOKUP(EH69,'Dummy Table'!EH7:EI38,2,FALSE)),"'Countries and Timezone'!b39","'Countries and Timezone'!"&amp;VLOOKUP(EH69,'Dummy Table'!EH7:EI38,2,FALSE))</f>
        <v>'Countries and Timezone'!b39</v>
      </c>
      <c r="EP69" s="23">
        <v>2</v>
      </c>
      <c r="EQ69" s="23" t="s">
        <v>629</v>
      </c>
      <c r="ER69" s="23" t="s">
        <v>628</v>
      </c>
    </row>
    <row r="70" spans="9:148" x14ac:dyDescent="0.25">
      <c r="T70" s="23">
        <f ca="1">IF(U71="",SUM(AG31:AL31),IF(U72="",SUM(AG32:AL32),IF(U73="",SUM(AG33:AL33),IF(U74="",SUM(AG34:AL34),0))))</f>
        <v>0</v>
      </c>
      <c r="AN70" s="23">
        <f ca="1">IF(AO72="",SUM(BA32:BF32),IF(AO73="",SUM(BA33:BF33),IF(AO74="",SUM(BA34:BF34),0)))</f>
        <v>0</v>
      </c>
      <c r="EJ70" s="252" t="str">
        <f>IF(ISERROR("'Countries and Timezone'!"&amp;VLOOKUP(EH70,'Dummy Table'!EH7:EI38,2,FALSE)),"'Countries and Timezone'!b39","'Countries and Timezone'!"&amp;VLOOKUP(EH70,'Dummy Table'!EH7:EI38,2,FALSE))</f>
        <v>'Countries and Timezone'!b39</v>
      </c>
      <c r="EP70" s="23">
        <v>2</v>
      </c>
      <c r="EQ70" s="23" t="s">
        <v>631</v>
      </c>
      <c r="ER70" s="23" t="s">
        <v>630</v>
      </c>
    </row>
    <row r="71" spans="9:148" x14ac:dyDescent="0.25">
      <c r="I71" s="23">
        <f ca="1">SUMPRODUCT((I31:I34=I31)*(H31:H34=H31)*(F31:F34&gt;F31))+1</f>
        <v>1</v>
      </c>
      <c r="T71" s="23">
        <f ca="1">IF(U31&lt;&gt;"",SUMPRODUCT((AB31:AB34=AB31)*(AA31:AA34=AA31)*(Y31:Y34=Y31)*(Z31:Z34=Z31)),"")</f>
        <v>4</v>
      </c>
      <c r="U71" s="23" t="str">
        <f ca="1">IF(AND(T71&lt;&gt;"",T71&gt;1),U31,"")</f>
        <v>Ukraine</v>
      </c>
      <c r="V71" s="23">
        <f ca="1">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0</v>
      </c>
      <c r="W71" s="23">
        <f ca="1">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0</v>
      </c>
      <c r="X71" s="23">
        <f ca="1">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0</v>
      </c>
      <c r="Y71" s="23">
        <f ca="1">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0</v>
      </c>
      <c r="Z71" s="23">
        <f ca="1">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0</v>
      </c>
      <c r="AA71" s="23">
        <f ca="1">Y71-Z71+1000</f>
        <v>1000</v>
      </c>
      <c r="AB71" s="23">
        <f ca="1">IF(U71&lt;&gt;"",V71*3+W71*1,"")</f>
        <v>0</v>
      </c>
      <c r="AC71" s="23">
        <f ca="1">IF(U71&lt;&gt;"",VLOOKUP(U71,B4:H40,7,FALSE),"")</f>
        <v>1000</v>
      </c>
      <c r="AD71" s="23">
        <f ca="1">IF(U71&lt;&gt;"",VLOOKUP(U71,B4:H40,5,FALSE),"")</f>
        <v>0</v>
      </c>
      <c r="AE71" s="23">
        <f ca="1">IF(U71&lt;&gt;"",VLOOKUP(U71,B4:J40,9,FALSE),"")</f>
        <v>0</v>
      </c>
      <c r="AF71" s="23">
        <f ca="1">AB71</f>
        <v>0</v>
      </c>
      <c r="AG71" s="23">
        <f ca="1">IF(U71&lt;&gt;"",RANK(AF71,AF71:AF74),"")</f>
        <v>1</v>
      </c>
      <c r="AH71" s="23">
        <f ca="1">IF(U71&lt;&gt;"",SUMPRODUCT((AF71:AF74=AF71)*(AA71:AA74&gt;AA71)),"")</f>
        <v>0</v>
      </c>
      <c r="AI71" s="23">
        <f ca="1">IF(U71&lt;&gt;"",SUMPRODUCT((AF71:AF74=AF71)*(AA71:AA74=AA71)*(Y71:Y74&gt;Y71)),"")</f>
        <v>0</v>
      </c>
      <c r="AJ71" s="23">
        <f ca="1">IF(U71&lt;&gt;"",SUMPRODUCT((AF71:AF74=AF71)*(AA71:AA74=AA71)*(Y71:Y74=Y71)*(AC71:AC74&gt;AC71)),"")</f>
        <v>0</v>
      </c>
      <c r="AK71" s="23">
        <f ca="1">IF(U71&lt;&gt;"",SUMPRODUCT((AF71:AF74=AF71)*(AA71:AA74=AA71)*(Y71:Y74=Y71)*(AC71:AC74=AC71)*(AD71:AD74&gt;AD71)),"")</f>
        <v>0</v>
      </c>
      <c r="AL71" s="23">
        <f ca="1">IF(U71&lt;&gt;"",SUMPRODUCT((AF71:AF74=AF71)*(AA71:AA74=AA71)*(Y71:Y74=Y71)*(AC71:AC74=AC71)*(AD71:AD74=AD71)*(AE71:AE74&gt;AE71)),"")</f>
        <v>3</v>
      </c>
      <c r="AM71" s="23">
        <f ca="1">IF(U71&lt;&gt;"",SUM(AG71:AL71),"")</f>
        <v>4</v>
      </c>
      <c r="EJ71" s="252" t="str">
        <f>IF(ISERROR("'Countries and Timezone'!"&amp;VLOOKUP(EH71,'Dummy Table'!EH7:EI38,2,FALSE)),"'Countries and Timezone'!b39","'Countries and Timezone'!"&amp;VLOOKUP(EH71,'Dummy Table'!EH7:EI38,2,FALSE))</f>
        <v>'Countries and Timezone'!b39</v>
      </c>
      <c r="EP71" s="23">
        <v>2</v>
      </c>
      <c r="EQ71" s="23" t="s">
        <v>633</v>
      </c>
      <c r="ER71" s="23" t="s">
        <v>632</v>
      </c>
    </row>
    <row r="72" spans="9:148" x14ac:dyDescent="0.25">
      <c r="I72" s="23">
        <f ca="1">SUMPRODUCT((I31:I34=I32)*(H31:H34=H32)*(F31:F34&gt;F32))+1</f>
        <v>1</v>
      </c>
      <c r="T72" s="23">
        <f ca="1">IF(U32&lt;&gt;"",SUMPRODUCT((AB31:AB34=AB32)*(AA31:AA34=AA32)*(Y31:Y34=Y32)*(Z31:Z34=Z32)),"")</f>
        <v>4</v>
      </c>
      <c r="U72" s="23" t="str">
        <f t="shared" ref="U72:U74" ca="1" si="100">IF(AND(T72&lt;&gt;"",T72&gt;1),U32,"")</f>
        <v>Slovakia</v>
      </c>
      <c r="V72" s="23">
        <f ca="1">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0</v>
      </c>
      <c r="W72" s="23">
        <f ca="1">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0</v>
      </c>
      <c r="X72" s="23">
        <f ca="1">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0</v>
      </c>
      <c r="Y72" s="23">
        <f ca="1">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0</v>
      </c>
      <c r="Z72" s="23">
        <f ca="1">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0</v>
      </c>
      <c r="AA72" s="23">
        <f ca="1">Y72-Z72+1000</f>
        <v>1000</v>
      </c>
      <c r="AB72" s="23">
        <f t="shared" ref="AB72:AB74" ca="1" si="101">IF(U72&lt;&gt;"",V72*3+W72*1,"")</f>
        <v>0</v>
      </c>
      <c r="AC72" s="23">
        <f ca="1">IF(U72&lt;&gt;"",VLOOKUP(U72,B4:H40,7,FALSE),"")</f>
        <v>1000</v>
      </c>
      <c r="AD72" s="23">
        <f ca="1">IF(U72&lt;&gt;"",VLOOKUP(U72,B4:H40,5,FALSE),"")</f>
        <v>0</v>
      </c>
      <c r="AE72" s="23">
        <f ca="1">IF(U72&lt;&gt;"",VLOOKUP(U72,B4:J40,9,FALSE),"")</f>
        <v>38</v>
      </c>
      <c r="AF72" s="23">
        <f t="shared" ref="AF72:AF74" ca="1" si="102">AB72</f>
        <v>0</v>
      </c>
      <c r="AG72" s="23">
        <f ca="1">IF(U72&lt;&gt;"",RANK(AF72,AF71:AF74),"")</f>
        <v>1</v>
      </c>
      <c r="AH72" s="23">
        <f ca="1">IF(U72&lt;&gt;"",SUMPRODUCT((AF71:AF74=AF72)*(AA71:AA74&gt;AA72)),"")</f>
        <v>0</v>
      </c>
      <c r="AI72" s="23">
        <f ca="1">IF(U72&lt;&gt;"",SUMPRODUCT((AF71:AF74=AF72)*(AA71:AA74=AA72)*(Y71:Y74&gt;Y72)),"")</f>
        <v>0</v>
      </c>
      <c r="AJ72" s="23">
        <f ca="1">IF(U72&lt;&gt;"",SUMPRODUCT((AF71:AF74=AF72)*(AA71:AA74=AA72)*(Y71:Y74=Y72)*(AC71:AC74&gt;AC72)),"")</f>
        <v>0</v>
      </c>
      <c r="AK72" s="23">
        <f ca="1">IF(U72&lt;&gt;"",SUMPRODUCT((AF71:AF74=AF72)*(AA71:AA74=AA72)*(Y71:Y74=Y72)*(AC71:AC74=AC72)*(AD71:AD74&gt;AD72)),"")</f>
        <v>0</v>
      </c>
      <c r="AL72" s="23">
        <f ca="1">IF(U72&lt;&gt;"",SUMPRODUCT((AF71:AF74=AF72)*(AA71:AA74=AA72)*(Y71:Y74=Y72)*(AC71:AC74=AC72)*(AD71:AD74=AD72)*(AE71:AE74&gt;AE72)),"")</f>
        <v>2</v>
      </c>
      <c r="AM72" s="23">
        <f ca="1">IF(U72&lt;&gt;"",SUM(AG72:AL72),"")</f>
        <v>3</v>
      </c>
      <c r="AN72" s="23" t="str">
        <f ca="1">IF(AO32&lt;&gt;"",SUMPRODUCT((AV31:AV34=AV32)*(AU31:AU34=AU32)*(AS31:AS34=AS32)*(AT31:AT34=AT32)),"")</f>
        <v/>
      </c>
      <c r="AO72" s="23" t="str">
        <f t="shared" ref="AO72:AO74" ca="1" si="103">IF(AND(AN72&lt;&gt;"",AN72&gt;1),AO32,"")</f>
        <v/>
      </c>
      <c r="AP72" s="23">
        <f ca="1">SUMPRODUCT((CZ3:CZ42=AO72)*(DC3:DC42=AO73)*(DD3:DD42="W"))+SUMPRODUCT((CZ3:CZ42=AO72)*(DC3:DC42=AO74)*(DD3:DD42="W"))+SUMPRODUCT((CZ3:CZ42=AO72)*(DC3:DC42=AO75)*(DD3:DD42="W"))+SUMPRODUCT((CZ3:CZ42=AO73)*(DC3:DC42=AO72)*(DE3:DE42="W"))+SUMPRODUCT((CZ3:CZ42=AO74)*(DC3:DC42=AO72)*(DE3:DE42="W"))+SUMPRODUCT((CZ3:CZ42=AO75)*(DC3:DC42=AO72)*(DE3:DE42="W"))</f>
        <v>0</v>
      </c>
      <c r="AQ72" s="23">
        <f ca="1">SUMPRODUCT((CZ3:CZ42=AO72)*(DC3:DC42=AO73)*(DD3:DD42="D"))+SUMPRODUCT((CZ3:CZ42=AO72)*(DC3:DC42=AO74)*(DD3:DD42="D"))+SUMPRODUCT((CZ3:CZ42=AO72)*(DC3:DC42=AO75)*(DD3:DD42="D"))+SUMPRODUCT((CZ3:CZ42=AO73)*(DC3:DC42=AO72)*(DD3:DD42="D"))+SUMPRODUCT((CZ3:CZ42=AO74)*(DC3:DC42=AO72)*(DD3:DD42="D"))+SUMPRODUCT((CZ3:CZ42=AO75)*(DC3:DC42=AO72)*(DD3:DD42="D"))</f>
        <v>0</v>
      </c>
      <c r="AR72" s="23">
        <f ca="1">SUMPRODUCT((CZ3:CZ42=AO72)*(DC3:DC42=AO73)*(DD3:DD42="L"))+SUMPRODUCT((CZ3:CZ42=AO72)*(DC3:DC42=AO74)*(DD3:DD42="L"))+SUMPRODUCT((CZ3:CZ42=AO72)*(DC3:DC42=AO75)*(DD3:DD42="L"))+SUMPRODUCT((CZ3:CZ42=AO73)*(DC3:DC42=AO72)*(DE3:DE42="L"))+SUMPRODUCT((CZ3:CZ42=AO74)*(DC3:DC42=AO72)*(DE3:DE42="L"))+SUMPRODUCT((CZ3:CZ42=AO75)*(DC3:DC42=AO72)*(DE3:DE42="L"))</f>
        <v>0</v>
      </c>
      <c r="AS72" s="23">
        <f ca="1">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0</v>
      </c>
      <c r="AT72" s="23">
        <f ca="1">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0</v>
      </c>
      <c r="AU72" s="23">
        <f ca="1">AS72-AT72+1000</f>
        <v>1000</v>
      </c>
      <c r="AV72" s="23" t="str">
        <f t="shared" ref="AV72:AV74" ca="1" si="104">IF(AO72&lt;&gt;"",AP72*3+AQ72*1,"")</f>
        <v/>
      </c>
      <c r="AW72" s="23" t="str">
        <f ca="1">IF(AO72&lt;&gt;"",VLOOKUP(AO72,B4:H40,7,FALSE),"")</f>
        <v/>
      </c>
      <c r="AX72" s="23" t="str">
        <f ca="1">IF(AO72&lt;&gt;"",VLOOKUP(AO72,B4:H40,5,FALSE),"")</f>
        <v/>
      </c>
      <c r="AY72" s="23" t="str">
        <f ca="1">IF(AO72&lt;&gt;"",VLOOKUP(AO72,B4:J40,9,FALSE),"")</f>
        <v/>
      </c>
      <c r="AZ72" s="23" t="str">
        <f t="shared" ref="AZ72:AZ74" ca="1" si="105">AV72</f>
        <v/>
      </c>
      <c r="BA72" s="23" t="str">
        <f ca="1">IF(AO72&lt;&gt;"",RANK(AZ72,AZ71:AZ74),"")</f>
        <v/>
      </c>
      <c r="BB72" s="23" t="str">
        <f ca="1">IF(AO72&lt;&gt;"",SUMPRODUCT((AZ71:AZ74=AZ72)*(AU71:AU74&gt;AU72)),"")</f>
        <v/>
      </c>
      <c r="BC72" s="23" t="str">
        <f ca="1">IF(AO72&lt;&gt;"",SUMPRODUCT((AZ71:AZ74=AZ72)*(AU71:AU74=AU72)*(AS71:AS74&gt;AS72)),"")</f>
        <v/>
      </c>
      <c r="BD72" s="23" t="str">
        <f ca="1">IF(AO72&lt;&gt;"",SUMPRODUCT((AZ71:AZ74=AZ72)*(AU71:AU74=AU72)*(AS71:AS74=AS72)*(AW71:AW74&gt;AW72)),"")</f>
        <v/>
      </c>
      <c r="BE72" s="23" t="str">
        <f ca="1">IF(AO72&lt;&gt;"",SUMPRODUCT((AZ71:AZ74=AZ72)*(AU71:AU74=AU72)*(AS71:AS74=AS72)*(AW71:AW74=AW72)*(AX71:AX74&gt;AX72)),"")</f>
        <v/>
      </c>
      <c r="BF72" s="23" t="str">
        <f ca="1">IF(AO72&lt;&gt;"",SUMPRODUCT((AZ71:AZ74=AZ72)*(AU71:AU74=AU72)*(AS71:AS74=AS72)*(AW71:AW74=AW72)*(AX71:AX74=AX72)*(AY71:AY74&gt;AY72)),"")</f>
        <v/>
      </c>
      <c r="BG72" s="23" t="str">
        <f ca="1">IF(AO72&lt;&gt;"",SUM(BA72:BF72)+1,"")</f>
        <v/>
      </c>
      <c r="EJ72" s="252" t="str">
        <f>IF(ISERROR("'Countries and Timezone'!"&amp;VLOOKUP(EH72,'Dummy Table'!EH7:EI38,2,FALSE)),"'Countries and Timezone'!b39","'Countries and Timezone'!"&amp;VLOOKUP(EH72,'Dummy Table'!EH7:EI38,2,FALSE))</f>
        <v>'Countries and Timezone'!b39</v>
      </c>
      <c r="EP72" s="23">
        <v>2</v>
      </c>
      <c r="EQ72" s="23" t="s">
        <v>635</v>
      </c>
      <c r="ER72" s="23" t="s">
        <v>634</v>
      </c>
    </row>
    <row r="73" spans="9:148" x14ac:dyDescent="0.25">
      <c r="I73" s="23">
        <f ca="1">SUMPRODUCT((I31:I34=I33)*(H31:H34=H33)*(F31:F34&gt;F33))+1</f>
        <v>1</v>
      </c>
      <c r="T73" s="23">
        <f ca="1">IF(U33&lt;&gt;"",SUMPRODUCT((AB31:AB34=AB33)*(AA31:AA34=AA33)*(Y31:Y34=Y33)*(Z31:Z34=Z33)),"")</f>
        <v>4</v>
      </c>
      <c r="U73" s="23" t="str">
        <f t="shared" ca="1" si="100"/>
        <v>Romania</v>
      </c>
      <c r="V73" s="23">
        <f ca="1">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0</v>
      </c>
      <c r="W73" s="23">
        <f ca="1">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0</v>
      </c>
      <c r="X73" s="23">
        <f ca="1">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0</v>
      </c>
      <c r="Y73" s="23">
        <f ca="1">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0</v>
      </c>
      <c r="Z73" s="23">
        <f ca="1">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0</v>
      </c>
      <c r="AA73" s="23">
        <f ca="1">Y73-Z73+1000</f>
        <v>1000</v>
      </c>
      <c r="AB73" s="23">
        <f t="shared" ca="1" si="101"/>
        <v>0</v>
      </c>
      <c r="AC73" s="23">
        <f ca="1">IF(U73&lt;&gt;"",VLOOKUP(U73,B4:H40,7,FALSE),"")</f>
        <v>1000</v>
      </c>
      <c r="AD73" s="23">
        <f ca="1">IF(U73&lt;&gt;"",VLOOKUP(U73,B4:H40,5,FALSE),"")</f>
        <v>0</v>
      </c>
      <c r="AE73" s="23">
        <f ca="1">IF(U73&lt;&gt;"",VLOOKUP(U73,B4:J40,9,FALSE),"")</f>
        <v>46</v>
      </c>
      <c r="AF73" s="23">
        <f t="shared" ca="1" si="102"/>
        <v>0</v>
      </c>
      <c r="AG73" s="23">
        <f ca="1">IF(U73&lt;&gt;"",RANK(AF73,AF71:AF74),"")</f>
        <v>1</v>
      </c>
      <c r="AH73" s="23">
        <f ca="1">IF(U73&lt;&gt;"",SUMPRODUCT((AF71:AF74=AF73)*(AA71:AA74&gt;AA73)),"")</f>
        <v>0</v>
      </c>
      <c r="AI73" s="23">
        <f ca="1">IF(U73&lt;&gt;"",SUMPRODUCT((AF71:AF74=AF73)*(AA71:AA74=AA73)*(Y71:Y74&gt;Y73)),"")</f>
        <v>0</v>
      </c>
      <c r="AJ73" s="23">
        <f ca="1">IF(U73&lt;&gt;"",SUMPRODUCT((AF71:AF74=AF73)*(AA71:AA74=AA73)*(Y71:Y74=Y73)*(AC71:AC74&gt;AC73)),"")</f>
        <v>0</v>
      </c>
      <c r="AK73" s="23">
        <f ca="1">IF(U73&lt;&gt;"",SUMPRODUCT((AF71:AF74=AF73)*(AA71:AA74=AA73)*(Y71:Y74=Y73)*(AC71:AC74=AC73)*(AD71:AD74&gt;AD73)),"")</f>
        <v>0</v>
      </c>
      <c r="AL73" s="23">
        <f ca="1">IF(U73&lt;&gt;"",SUMPRODUCT((AF71:AF74=AF73)*(AA71:AA74=AA73)*(Y71:Y74=Y73)*(AC71:AC74=AC73)*(AD71:AD74=AD73)*(AE71:AE74&gt;AE73)),"")</f>
        <v>1</v>
      </c>
      <c r="AM73" s="23">
        <f ca="1">IF(U73&lt;&gt;"",SUM(AG73:AL73),"")</f>
        <v>2</v>
      </c>
      <c r="AN73" s="23" t="str">
        <f ca="1">IF(AO33&lt;&gt;"",SUMPRODUCT((AV31:AV34=AV33)*(AU31:AU34=AU33)*(AS31:AS34=AS33)*(AT31:AT34=AT33)),"")</f>
        <v/>
      </c>
      <c r="AO73" s="23" t="str">
        <f t="shared" ca="1" si="103"/>
        <v/>
      </c>
      <c r="AP73" s="23">
        <f ca="1">SUMPRODUCT((CZ3:CZ42=AO73)*(DC3:DC42=AO74)*(DD3:DD42="W"))+SUMPRODUCT((CZ3:CZ42=AO73)*(DC3:DC42=AO75)*(DD3:DD42="W"))+SUMPRODUCT((CZ3:CZ42=AO73)*(DC3:DC42=AO72)*(DD3:DD42="W"))+SUMPRODUCT((CZ3:CZ42=AO74)*(DC3:DC42=AO73)*(DE3:DE42="W"))+SUMPRODUCT((CZ3:CZ42=AO75)*(DC3:DC42=AO73)*(DE3:DE42="W"))+SUMPRODUCT((CZ3:CZ42=AO72)*(DC3:DC42=AO73)*(DE3:DE42="W"))</f>
        <v>0</v>
      </c>
      <c r="AQ73" s="23">
        <f ca="1">SUMPRODUCT((CZ3:CZ42=AO73)*(DC3:DC42=AO74)*(DD3:DD42="D"))+SUMPRODUCT((CZ3:CZ42=AO73)*(DC3:DC42=AO75)*(DD3:DD42="D"))+SUMPRODUCT((CZ3:CZ42=AO73)*(DC3:DC42=AO72)*(DD3:DD42="D"))+SUMPRODUCT((CZ3:CZ42=AO74)*(DC3:DC42=AO73)*(DD3:DD42="D"))+SUMPRODUCT((CZ3:CZ42=AO75)*(DC3:DC42=AO73)*(DD3:DD42="D"))+SUMPRODUCT((CZ3:CZ42=AO72)*(DC3:DC42=AO73)*(DD3:DD42="D"))</f>
        <v>0</v>
      </c>
      <c r="AR73" s="23">
        <f ca="1">SUMPRODUCT((CZ3:CZ42=AO73)*(DC3:DC42=AO74)*(DD3:DD42="L"))+SUMPRODUCT((CZ3:CZ42=AO73)*(DC3:DC42=AO75)*(DD3:DD42="L"))+SUMPRODUCT((CZ3:CZ42=AO73)*(DC3:DC42=AO72)*(DD3:DD42="L"))+SUMPRODUCT((CZ3:CZ42=AO74)*(DC3:DC42=AO73)*(DE3:DE42="L"))+SUMPRODUCT((CZ3:CZ42=AO75)*(DC3:DC42=AO73)*(DE3:DE42="L"))+SUMPRODUCT((CZ3:CZ42=AO72)*(DC3:DC42=AO73)*(DE3:DE42="L"))</f>
        <v>0</v>
      </c>
      <c r="AS73" s="23">
        <f ca="1">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0</v>
      </c>
      <c r="AT73" s="23">
        <f ca="1">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0</v>
      </c>
      <c r="AU73" s="23">
        <f ca="1">AS73-AT73+1000</f>
        <v>1000</v>
      </c>
      <c r="AV73" s="23" t="str">
        <f t="shared" ca="1" si="104"/>
        <v/>
      </c>
      <c r="AW73" s="23" t="str">
        <f ca="1">IF(AO73&lt;&gt;"",VLOOKUP(AO73,B4:H40,7,FALSE),"")</f>
        <v/>
      </c>
      <c r="AX73" s="23" t="str">
        <f ca="1">IF(AO73&lt;&gt;"",VLOOKUP(AO73,B4:H40,5,FALSE),"")</f>
        <v/>
      </c>
      <c r="AY73" s="23" t="str">
        <f ca="1">IF(AO73&lt;&gt;"",VLOOKUP(AO73,B4:J40,9,FALSE),"")</f>
        <v/>
      </c>
      <c r="AZ73" s="23" t="str">
        <f t="shared" ca="1" si="105"/>
        <v/>
      </c>
      <c r="BA73" s="23" t="str">
        <f ca="1">IF(AO73&lt;&gt;"",RANK(AZ73,AZ71:AZ74),"")</f>
        <v/>
      </c>
      <c r="BB73" s="23" t="str">
        <f ca="1">IF(AO73&lt;&gt;"",SUMPRODUCT((AZ71:AZ74=AZ73)*(AU71:AU74&gt;AU73)),"")</f>
        <v/>
      </c>
      <c r="BC73" s="23" t="str">
        <f ca="1">IF(AO73&lt;&gt;"",SUMPRODUCT((AZ71:AZ74=AZ73)*(AU71:AU74=AU73)*(AS71:AS74&gt;AS73)),"")</f>
        <v/>
      </c>
      <c r="BD73" s="23" t="str">
        <f ca="1">IF(AO73&lt;&gt;"",SUMPRODUCT((AZ71:AZ74=AZ73)*(AU71:AU74=AU73)*(AS71:AS74=AS73)*(AW71:AW74&gt;AW73)),"")</f>
        <v/>
      </c>
      <c r="BE73" s="23" t="str">
        <f ca="1">IF(AO73&lt;&gt;"",SUMPRODUCT((AZ71:AZ74=AZ73)*(AU71:AU74=AU73)*(AS71:AS74=AS73)*(AW71:AW74=AW73)*(AX71:AX74&gt;AX73)),"")</f>
        <v/>
      </c>
      <c r="BF73" s="23" t="str">
        <f ca="1">IF(AO73&lt;&gt;"",SUMPRODUCT((AZ71:AZ74=AZ73)*(AU71:AU74=AU73)*(AS71:AS74=AS73)*(AW71:AW74=AW73)*(AX71:AX74=AX73)*(AY71:AY74&gt;AY73)),"")</f>
        <v/>
      </c>
      <c r="BG73" s="23" t="str">
        <f t="shared" ref="BG73:BG74" ca="1" si="106">IF(AO73&lt;&gt;"",SUM(BA73:BF73)+1,"")</f>
        <v/>
      </c>
      <c r="EJ73" s="252" t="str">
        <f>IF(ISERROR("'Countries and Timezone'!"&amp;VLOOKUP(EH73,'Dummy Table'!EH7:EI38,2,FALSE)),"'Countries and Timezone'!b39","'Countries and Timezone'!"&amp;VLOOKUP(EH73,'Dummy Table'!EH7:EI38,2,FALSE))</f>
        <v>'Countries and Timezone'!b39</v>
      </c>
      <c r="EP73" s="23">
        <v>2</v>
      </c>
      <c r="EQ73" s="23" t="s">
        <v>637</v>
      </c>
      <c r="ER73" s="23" t="s">
        <v>636</v>
      </c>
    </row>
    <row r="74" spans="9:148" x14ac:dyDescent="0.25">
      <c r="I74" s="23">
        <f ca="1">SUMPRODUCT((I31:I34=I34)*(H31:H34=H34)*(F31:F34&gt;F34))+1</f>
        <v>1</v>
      </c>
      <c r="T74" s="23">
        <f ca="1">IF(U34&lt;&gt;"",SUMPRODUCT((AB31:AB34=AB34)*(AA31:AA34=AA34)*(Y31:Y34=Y34)*(Z31:Z34=Z34)),"")</f>
        <v>4</v>
      </c>
      <c r="U74" s="23" t="str">
        <f t="shared" ca="1" si="100"/>
        <v>Belgium</v>
      </c>
      <c r="V74" s="23">
        <f ca="1">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0</v>
      </c>
      <c r="W74" s="23">
        <f ca="1">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0</v>
      </c>
      <c r="X74" s="23">
        <f ca="1">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0</v>
      </c>
      <c r="Y74" s="23">
        <f ca="1">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0</v>
      </c>
      <c r="Z74" s="23">
        <f ca="1">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0</v>
      </c>
      <c r="AA74" s="23">
        <f ca="1">Y74-Z74+1000</f>
        <v>1000</v>
      </c>
      <c r="AB74" s="23">
        <f t="shared" ca="1" si="101"/>
        <v>0</v>
      </c>
      <c r="AC74" s="23">
        <f ca="1">IF(U74&lt;&gt;"",VLOOKUP(U74,B4:H40,7,FALSE),"")</f>
        <v>1000</v>
      </c>
      <c r="AD74" s="23">
        <f ca="1">IF(U74&lt;&gt;"",VLOOKUP(U74,B4:H40,5,FALSE),"")</f>
        <v>0</v>
      </c>
      <c r="AE74" s="23">
        <f ca="1">IF(U74&lt;&gt;"",VLOOKUP(U74,B4:J40,9,FALSE),"")</f>
        <v>50</v>
      </c>
      <c r="AF74" s="23">
        <f t="shared" ca="1" si="102"/>
        <v>0</v>
      </c>
      <c r="AG74" s="23">
        <f ca="1">IF(U74&lt;&gt;"",RANK(AF74,AF71:AF74),"")</f>
        <v>1</v>
      </c>
      <c r="AH74" s="23">
        <f ca="1">IF(U74&lt;&gt;"",SUMPRODUCT((AF71:AF74=AF74)*(AA71:AA74&gt;AA74)),"")</f>
        <v>0</v>
      </c>
      <c r="AI74" s="23">
        <f ca="1">IF(U74&lt;&gt;"",SUMPRODUCT((AF71:AF74=AF74)*(AA71:AA74=AA74)*(Y71:Y74&gt;Y74)),"")</f>
        <v>0</v>
      </c>
      <c r="AJ74" s="23">
        <f ca="1">IF(U74&lt;&gt;"",SUMPRODUCT((AF71:AF74=AF74)*(AA71:AA74=AA74)*(Y71:Y74=Y74)*(AC71:AC74&gt;AC74)),"")</f>
        <v>0</v>
      </c>
      <c r="AK74" s="23">
        <f ca="1">IF(U74&lt;&gt;"",SUMPRODUCT((AF71:AF74=AF74)*(AA71:AA74=AA74)*(Y71:Y74=Y74)*(AC71:AC74=AC74)*(AD71:AD74&gt;AD74)),"")</f>
        <v>0</v>
      </c>
      <c r="AL74" s="23">
        <f ca="1">IF(U74&lt;&gt;"",SUMPRODUCT((AF71:AF74=AF74)*(AA71:AA74=AA74)*(Y71:Y74=Y74)*(AC71:AC74=AC74)*(AD71:AD74=AD74)*(AE71:AE74&gt;AE74)),"")</f>
        <v>0</v>
      </c>
      <c r="AM74" s="23">
        <f ca="1">IF(U74&lt;&gt;"",SUM(AG74:AL74),"")</f>
        <v>1</v>
      </c>
      <c r="AN74" s="23" t="str">
        <f ca="1">IF(AO34&lt;&gt;"",SUMPRODUCT((AV31:AV34=AV34)*(AU31:AU34=AU34)*(AS31:AS34=AS34)*(AT31:AT34=AT34)),"")</f>
        <v/>
      </c>
      <c r="AO74" s="23" t="str">
        <f t="shared" ca="1" si="103"/>
        <v/>
      </c>
      <c r="AP74" s="23" t="str">
        <f ca="1">IF(AO74&lt;&gt;"",SUMPRODUCT((CZ3:CZ42=AO74)*(DC3:DC42=AO75)*(DD3:DD42="W"))+SUMPRODUCT((CZ3:CZ42=AO74)*(DC3:DC42=AO72)*(DD3:DD42="W"))+SUMPRODUCT((CZ3:CZ42=AO74)*(DC3:DC42=AO73)*(DD3:DD42="W"))+SUMPRODUCT((CZ3:CZ42=AO75)*(DC3:DC42=AO74)*(DE3:DE42="W"))+SUMPRODUCT((CZ3:CZ42=AO72)*(DC3:DC42=AO74)*(DE3:DE42="W"))+SUMPRODUCT((CZ3:CZ42=AO73)*(DC3:DC42=AO74)*(DE3:DE42="W")),"")</f>
        <v/>
      </c>
      <c r="AQ74" s="23" t="str">
        <f ca="1">IF(AO74&lt;&gt;"",SUMPRODUCT((CZ3:CZ42=AO74)*(DC3:DC42=AO75)*(DD3:DD42="D"))+SUMPRODUCT((CZ3:CZ42=AO74)*(DC3:DC42=AO72)*(DD3:DD42="D"))+SUMPRODUCT((CZ3:CZ42=AO74)*(DC3:DC42=AO73)*(DD3:DD42="D"))+SUMPRODUCT((CZ3:CZ42=AO75)*(DC3:DC42=AO74)*(DD3:DD42="D"))+SUMPRODUCT((CZ3:CZ42=AO72)*(DC3:DC42=AO74)*(DD3:DD42="D"))+SUMPRODUCT((CZ3:CZ42=AO73)*(DC3:DC42=AO74)*(DD3:DD42="D")),"")</f>
        <v/>
      </c>
      <c r="AR74" s="23" t="str">
        <f ca="1">IF(AO74&lt;&gt;"",SUMPRODUCT((CZ3:CZ42=AO74)*(DC3:DC42=AO75)*(DD3:DD42="L"))+SUMPRODUCT((CZ3:CZ42=AO74)*(DC3:DC42=AO72)*(DD3:DD42="L"))+SUMPRODUCT((CZ3:CZ42=AO74)*(DC3:DC42=AO73)*(DD3:DD42="L"))+SUMPRODUCT((CZ3:CZ42=AO75)*(DC3:DC42=AO74)*(DE3:DE42="L"))+SUMPRODUCT((CZ3:CZ42=AO72)*(DC3:DC42=AO74)*(DE3:DE42="L"))+SUMPRODUCT((CZ3:CZ42=AO73)*(DC3:DC42=AO74)*(DE3:DE42="L")),"")</f>
        <v/>
      </c>
      <c r="AS74" s="23">
        <f ca="1">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0</v>
      </c>
      <c r="AT74" s="23">
        <f ca="1">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0</v>
      </c>
      <c r="AU74" s="23">
        <f ca="1">AS74-AT74+1000</f>
        <v>1000</v>
      </c>
      <c r="AV74" s="23" t="str">
        <f t="shared" ca="1" si="104"/>
        <v/>
      </c>
      <c r="AW74" s="23" t="str">
        <f ca="1">IF(AO74&lt;&gt;"",VLOOKUP(AO74,B4:H40,7,FALSE),"")</f>
        <v/>
      </c>
      <c r="AX74" s="23" t="str">
        <f ca="1">IF(AO74&lt;&gt;"",VLOOKUP(AO74,B4:H40,5,FALSE),"")</f>
        <v/>
      </c>
      <c r="AY74" s="23" t="str">
        <f ca="1">IF(AO74&lt;&gt;"",VLOOKUP(AO74,B4:J40,9,FALSE),"")</f>
        <v/>
      </c>
      <c r="AZ74" s="23" t="str">
        <f t="shared" ca="1" si="105"/>
        <v/>
      </c>
      <c r="BA74" s="23" t="str">
        <f ca="1">IF(AO74&lt;&gt;"",RANK(AZ74,AZ71:AZ74),"")</f>
        <v/>
      </c>
      <c r="BB74" s="23" t="str">
        <f ca="1">IF(AO74&lt;&gt;"",SUMPRODUCT((AZ71:AZ74=AZ74)*(AU71:AU74&gt;AU74)),"")</f>
        <v/>
      </c>
      <c r="BC74" s="23" t="str">
        <f ca="1">IF(AO74&lt;&gt;"",SUMPRODUCT((AZ71:AZ74=AZ74)*(AU71:AU74=AU74)*(AS71:AS74&gt;AS74)),"")</f>
        <v/>
      </c>
      <c r="BD74" s="23" t="str">
        <f ca="1">IF(AO74&lt;&gt;"",SUMPRODUCT((AZ71:AZ74=AZ74)*(AU71:AU74=AU74)*(AS71:AS74=AS74)*(AW71:AW74&gt;AW74)),"")</f>
        <v/>
      </c>
      <c r="BE74" s="23" t="str">
        <f ca="1">IF(AO74&lt;&gt;"",SUMPRODUCT((AZ71:AZ74=AZ74)*(AU71:AU74=AU74)*(AS71:AS74=AS74)*(AW71:AW74=AW74)*(AX71:AX74&gt;AX74)),"")</f>
        <v/>
      </c>
      <c r="BF74" s="23" t="str">
        <f ca="1">IF(AO74&lt;&gt;"",SUMPRODUCT((AZ71:AZ74=AZ74)*(AU71:AU74=AU74)*(AS71:AS74=AS74)*(AW71:AW74=AW74)*(AX71:AX74=AX74)*(AY71:AY74&gt;AY74)),"")</f>
        <v/>
      </c>
      <c r="BG74" s="23" t="str">
        <f t="shared" ca="1" si="106"/>
        <v/>
      </c>
      <c r="EP74" s="23">
        <v>2</v>
      </c>
      <c r="EQ74" s="23" t="s">
        <v>639</v>
      </c>
      <c r="ER74" s="23" t="s">
        <v>638</v>
      </c>
    </row>
    <row r="75" spans="9:148" x14ac:dyDescent="0.25">
      <c r="EP75" s="23">
        <v>3</v>
      </c>
      <c r="EQ75" s="23" t="s">
        <v>641</v>
      </c>
      <c r="ER75" s="23" t="s">
        <v>640</v>
      </c>
    </row>
    <row r="76" spans="9:148" x14ac:dyDescent="0.25">
      <c r="T76" s="23">
        <f ca="1">IF(U77="",SUM(AG37:AL37),IF(U78="",SUM(AG38:AL38),IF(U79="",SUM(AG39:AL39),IF(U80="",SUM(AG40:AL40),0))))</f>
        <v>0</v>
      </c>
      <c r="AN76" s="23">
        <f ca="1">IF(AO78="",SUM(BA38:BF38),IF(AO79="",SUM(BA39:BF39),IF(AO80="",SUM(BA40:BF40),0)))</f>
        <v>0</v>
      </c>
      <c r="EP76" s="23">
        <v>3</v>
      </c>
      <c r="EQ76" s="23" t="s">
        <v>643</v>
      </c>
      <c r="ER76" s="23" t="s">
        <v>642</v>
      </c>
    </row>
    <row r="77" spans="9:148" x14ac:dyDescent="0.25">
      <c r="I77" s="23">
        <f ca="1">SUMPRODUCT((I37:I40=I37)*(H37:H40=H37)*(F37:F40&gt;F37))+1</f>
        <v>1</v>
      </c>
      <c r="T77" s="23">
        <f ca="1">IF(U37&lt;&gt;"",SUMPRODUCT((AB37:AB40=AB37)*(AA37:AA40=AA37)*(Y37:Y40=Y37)*(Z37:Z40=Z37)),"")</f>
        <v>4</v>
      </c>
      <c r="U77" s="23" t="str">
        <f ca="1">IF(AND(T77&lt;&gt;"",T77&gt;1),U37,"")</f>
        <v>Georgia</v>
      </c>
      <c r="V77" s="23">
        <f ca="1">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23">
        <f ca="1">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0</v>
      </c>
      <c r="X77" s="23">
        <f ca="1">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23">
        <f ca="1">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0</v>
      </c>
      <c r="Z77" s="23">
        <f ca="1">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0</v>
      </c>
      <c r="AA77" s="23">
        <f ca="1">Y77-Z77+1000</f>
        <v>1000</v>
      </c>
      <c r="AB77" s="23">
        <f ca="1">IF(U77&lt;&gt;"",V77*3+W77*1,"")</f>
        <v>0</v>
      </c>
      <c r="AC77" s="23">
        <f ca="1">IF(U77&lt;&gt;"",VLOOKUP(U77,B4:H40,7,FALSE),"")</f>
        <v>1000</v>
      </c>
      <c r="AD77" s="23">
        <f ca="1">IF(U77&lt;&gt;"",VLOOKUP(U77,B4:H40,5,FALSE),"")</f>
        <v>0</v>
      </c>
      <c r="AE77" s="23">
        <f ca="1">IF(U77&lt;&gt;"",VLOOKUP(U77,B4:J40,9,FALSE),"")</f>
        <v>0</v>
      </c>
      <c r="AF77" s="23">
        <f ca="1">AB77</f>
        <v>0</v>
      </c>
      <c r="AG77" s="23">
        <f ca="1">IF(U77&lt;&gt;"",RANK(AF77,AF77:AF80),"")</f>
        <v>1</v>
      </c>
      <c r="AH77" s="23">
        <f ca="1">IF(U77&lt;&gt;"",SUMPRODUCT((AF77:AF80=AF77)*(AA77:AA80&gt;AA77)),"")</f>
        <v>0</v>
      </c>
      <c r="AI77" s="23">
        <f ca="1">IF(U77&lt;&gt;"",SUMPRODUCT((AF77:AF80=AF77)*(AA77:AA80=AA77)*(Y77:Y80&gt;Y77)),"")</f>
        <v>0</v>
      </c>
      <c r="AJ77" s="23">
        <f ca="1">IF(U77&lt;&gt;"",SUMPRODUCT((AF77:AF80=AF77)*(AA77:AA80=AA77)*(Y77:Y80=Y77)*(AC77:AC80&gt;AC77)),"")</f>
        <v>0</v>
      </c>
      <c r="AK77" s="23">
        <f ca="1">IF(U77&lt;&gt;"",SUMPRODUCT((AF77:AF80=AF77)*(AA77:AA80=AA77)*(Y77:Y80=Y77)*(AC77:AC80=AC77)*(AD77:AD80&gt;AD77)),"")</f>
        <v>0</v>
      </c>
      <c r="AL77" s="23">
        <f ca="1">IF(U77&lt;&gt;"",SUMPRODUCT((AF77:AF80=AF77)*(AA77:AA80=AA77)*(Y77:Y80=Y77)*(AC77:AC80=AC77)*(AD77:AD80=AD77)*(AE77:AE80&gt;AE77)),"")</f>
        <v>3</v>
      </c>
      <c r="AM77" s="23">
        <f ca="1">IF(U77&lt;&gt;"",SUM(AG77:AL77),"")</f>
        <v>4</v>
      </c>
      <c r="EP77" s="23">
        <v>3</v>
      </c>
      <c r="EQ77" s="23" t="s">
        <v>645</v>
      </c>
      <c r="ER77" s="23" t="s">
        <v>644</v>
      </c>
    </row>
    <row r="78" spans="9:148" x14ac:dyDescent="0.25">
      <c r="I78" s="23">
        <f ca="1">SUMPRODUCT((I37:I40=I38)*(H37:H40=H38)*(F37:F40&gt;F38))+1</f>
        <v>1</v>
      </c>
      <c r="T78" s="23">
        <f ca="1">IF(U38&lt;&gt;"",SUMPRODUCT((AB37:AB40=AB38)*(AA37:AA40=AA38)*(Y37:Y40=Y38)*(Z37:Z40=Z38)),"")</f>
        <v>4</v>
      </c>
      <c r="U78" s="23" t="str">
        <f t="shared" ref="U78:U80" ca="1" si="107">IF(AND(T78&lt;&gt;"",T78&gt;1),U38,"")</f>
        <v>Czechia</v>
      </c>
      <c r="V78" s="23">
        <f ca="1">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23">
        <f ca="1">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0</v>
      </c>
      <c r="X78" s="23">
        <f ca="1">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23">
        <f ca="1">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0</v>
      </c>
      <c r="Z78" s="23">
        <f ca="1">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0</v>
      </c>
      <c r="AA78" s="23">
        <f ca="1">Y78-Z78+1000</f>
        <v>1000</v>
      </c>
      <c r="AB78" s="23">
        <f t="shared" ref="AB78:AB80" ca="1" si="108">IF(U78&lt;&gt;"",V78*3+W78*1,"")</f>
        <v>0</v>
      </c>
      <c r="AC78" s="23">
        <f ca="1">IF(U78&lt;&gt;"",VLOOKUP(U78,B4:H40,7,FALSE),"")</f>
        <v>1000</v>
      </c>
      <c r="AD78" s="23">
        <f ca="1">IF(U78&lt;&gt;"",VLOOKUP(U78,B4:H40,5,FALSE),"")</f>
        <v>0</v>
      </c>
      <c r="AE78" s="23">
        <f ca="1">IF(U78&lt;&gt;"",VLOOKUP(U78,B4:J40,9,FALSE),"")</f>
        <v>37</v>
      </c>
      <c r="AF78" s="23">
        <f t="shared" ref="AF78:AF80" ca="1" si="109">AB78</f>
        <v>0</v>
      </c>
      <c r="AG78" s="23">
        <f ca="1">IF(U78&lt;&gt;"",RANK(AF78,AF77:AF80),"")</f>
        <v>1</v>
      </c>
      <c r="AH78" s="23">
        <f ca="1">IF(U78&lt;&gt;"",SUMPRODUCT((AF77:AF80=AF78)*(AA77:AA80&gt;AA78)),"")</f>
        <v>0</v>
      </c>
      <c r="AI78" s="23">
        <f ca="1">IF(U78&lt;&gt;"",SUMPRODUCT((AF77:AF80=AF78)*(AA77:AA80=AA78)*(Y77:Y80&gt;Y78)),"")</f>
        <v>0</v>
      </c>
      <c r="AJ78" s="23">
        <f ca="1">IF(U78&lt;&gt;"",SUMPRODUCT((AF77:AF80=AF78)*(AA77:AA80=AA78)*(Y77:Y80=Y78)*(AC77:AC80&gt;AC78)),"")</f>
        <v>0</v>
      </c>
      <c r="AK78" s="23">
        <f ca="1">IF(U78&lt;&gt;"",SUMPRODUCT((AF77:AF80=AF78)*(AA77:AA80=AA78)*(Y77:Y80=Y78)*(AC77:AC80=AC78)*(AD77:AD80&gt;AD78)),"")</f>
        <v>0</v>
      </c>
      <c r="AL78" s="23">
        <f ca="1">IF(U78&lt;&gt;"",SUMPRODUCT((AF77:AF80=AF78)*(AA77:AA80=AA78)*(Y77:Y80=Y78)*(AC77:AC80=AC78)*(AD77:AD80=AD78)*(AE77:AE80&gt;AE78)),"")</f>
        <v>2</v>
      </c>
      <c r="AM78" s="23">
        <f ca="1">IF(U78&lt;&gt;"",SUM(AG78:AL78),"")</f>
        <v>3</v>
      </c>
      <c r="AN78" s="23" t="str">
        <f ca="1">IF(AO38&lt;&gt;"",SUMPRODUCT((AV37:AV40=AV38)*(AU37:AU40=AU38)*(AS37:AS40=AS38)*(AT37:AT40=AT38)),"")</f>
        <v/>
      </c>
      <c r="AO78" s="23" t="str">
        <f t="shared" ref="AO78:AO80" ca="1" si="110">IF(AND(AN78&lt;&gt;"",AN78&gt;1),AO38,"")</f>
        <v/>
      </c>
      <c r="AP78" s="23">
        <f ca="1">SUMPRODUCT((CZ3:CZ42=AO78)*(DC3:DC42=AO79)*(DD3:DD42="W"))+SUMPRODUCT((CZ3:CZ42=AO78)*(DC3:DC42=AO80)*(DD3:DD42="W"))+SUMPRODUCT((CZ3:CZ42=AO78)*(DC3:DC42=AO81)*(DD3:DD42="W"))+SUMPRODUCT((CZ3:CZ42=AO79)*(DC3:DC42=AO78)*(DE3:DE42="W"))+SUMPRODUCT((CZ3:CZ42=AO80)*(DC3:DC42=AO78)*(DE3:DE42="W"))+SUMPRODUCT((CZ3:CZ42=AO81)*(DC3:DC42=AO78)*(DE3:DE42="W"))</f>
        <v>0</v>
      </c>
      <c r="AQ78" s="23">
        <f ca="1">SUMPRODUCT((CZ3:CZ42=AO78)*(DC3:DC42=AO79)*(DD3:DD42="D"))+SUMPRODUCT((CZ3:CZ42=AO78)*(DC3:DC42=AO80)*(DD3:DD42="D"))+SUMPRODUCT((CZ3:CZ42=AO78)*(DC3:DC42=AO81)*(DD3:DD42="D"))+SUMPRODUCT((CZ3:CZ42=AO79)*(DC3:DC42=AO78)*(DD3:DD42="D"))+SUMPRODUCT((CZ3:CZ42=AO80)*(DC3:DC42=AO78)*(DD3:DD42="D"))+SUMPRODUCT((CZ3:CZ42=AO81)*(DC3:DC42=AO78)*(DD3:DD42="D"))</f>
        <v>0</v>
      </c>
      <c r="AR78" s="23">
        <f ca="1">SUMPRODUCT((CZ3:CZ42=AO78)*(DC3:DC42=AO79)*(DD3:DD42="L"))+SUMPRODUCT((CZ3:CZ42=AO78)*(DC3:DC42=AO80)*(DD3:DD42="L"))+SUMPRODUCT((CZ3:CZ42=AO78)*(DC3:DC42=AO81)*(DD3:DD42="L"))+SUMPRODUCT((CZ3:CZ42=AO79)*(DC3:DC42=AO78)*(DE3:DE42="L"))+SUMPRODUCT((CZ3:CZ42=AO80)*(DC3:DC42=AO78)*(DE3:DE42="L"))+SUMPRODUCT((CZ3:CZ42=AO81)*(DC3:DC42=AO78)*(DE3:DE42="L"))</f>
        <v>0</v>
      </c>
      <c r="AS78" s="23">
        <f ca="1">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23">
        <f ca="1">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23">
        <f ca="1">AS78-AT78+1000</f>
        <v>1000</v>
      </c>
      <c r="AV78" s="23" t="str">
        <f t="shared" ref="AV78:AV80" ca="1" si="111">IF(AO78&lt;&gt;"",AP78*3+AQ78*1,"")</f>
        <v/>
      </c>
      <c r="AW78" s="23" t="str">
        <f ca="1">IF(AO78&lt;&gt;"",VLOOKUP(AO78,B4:H40,7,FALSE),"")</f>
        <v/>
      </c>
      <c r="AX78" s="23" t="str">
        <f ca="1">IF(AO78&lt;&gt;"",VLOOKUP(AO78,B4:H40,5,FALSE),"")</f>
        <v/>
      </c>
      <c r="AY78" s="23" t="str">
        <f ca="1">IF(AO78&lt;&gt;"",VLOOKUP(AO78,B4:J40,9,FALSE),"")</f>
        <v/>
      </c>
      <c r="AZ78" s="23" t="str">
        <f t="shared" ref="AZ78:AZ80" ca="1" si="112">AV78</f>
        <v/>
      </c>
      <c r="BA78" s="23" t="str">
        <f ca="1">IF(AO78&lt;&gt;"",RANK(AZ78,AZ77:AZ80),"")</f>
        <v/>
      </c>
      <c r="BB78" s="23" t="str">
        <f ca="1">IF(AO78&lt;&gt;"",SUMPRODUCT((AZ77:AZ80=AZ78)*(AU77:AU80&gt;AU78)),"")</f>
        <v/>
      </c>
      <c r="BC78" s="23" t="str">
        <f ca="1">IF(AO78&lt;&gt;"",SUMPRODUCT((AZ77:AZ80=AZ78)*(AU77:AU80=AU78)*(AS77:AS80&gt;AS78)),"")</f>
        <v/>
      </c>
      <c r="BD78" s="23" t="str">
        <f ca="1">IF(AO78&lt;&gt;"",SUMPRODUCT((AZ77:AZ80=AZ78)*(AU77:AU80=AU78)*(AS77:AS80=AS78)*(AW77:AW80&gt;AW78)),"")</f>
        <v/>
      </c>
      <c r="BE78" s="23" t="str">
        <f ca="1">IF(AO78&lt;&gt;"",SUMPRODUCT((AZ77:AZ80=AZ78)*(AU77:AU80=AU78)*(AS77:AS80=AS78)*(AW77:AW80=AW78)*(AX77:AX80&gt;AX78)),"")</f>
        <v/>
      </c>
      <c r="BF78" s="23" t="str">
        <f ca="1">IF(AO78&lt;&gt;"",SUMPRODUCT((AZ77:AZ80=AZ78)*(AU77:AU80=AU78)*(AS77:AS80=AS78)*(AW77:AW80=AW78)*(AX77:AX80=AX78)*(AY77:AY80&gt;AY78)),"")</f>
        <v/>
      </c>
      <c r="BG78" s="23" t="str">
        <f ca="1">IF(AO78&lt;&gt;"",SUM(BA78:BF78)+1,"")</f>
        <v/>
      </c>
      <c r="EP78" s="23">
        <v>3</v>
      </c>
      <c r="EQ78" s="23" t="s">
        <v>647</v>
      </c>
      <c r="ER78" s="23" t="s">
        <v>646</v>
      </c>
    </row>
    <row r="79" spans="9:148" x14ac:dyDescent="0.25">
      <c r="I79" s="23">
        <f ca="1">SUMPRODUCT((I37:I40=I39)*(H37:H40=H39)*(F37:F40&gt;F39))+1</f>
        <v>1</v>
      </c>
      <c r="T79" s="23">
        <f ca="1">IF(U39&lt;&gt;"",SUMPRODUCT((AB37:AB40=AB39)*(AA37:AA40=AA39)*(Y37:Y40=Y39)*(Z37:Z40=Z39)),"")</f>
        <v>4</v>
      </c>
      <c r="U79" s="23" t="str">
        <f t="shared" ca="1" si="107"/>
        <v>Türkiye</v>
      </c>
      <c r="V79" s="23">
        <f ca="1">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23">
        <f ca="1">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23">
        <f ca="1">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23">
        <f ca="1">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23">
        <f ca="1">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23">
        <f ca="1">Y79-Z79+1000</f>
        <v>1000</v>
      </c>
      <c r="AB79" s="23">
        <f t="shared" ca="1" si="108"/>
        <v>0</v>
      </c>
      <c r="AC79" s="23">
        <f ca="1">IF(U79&lt;&gt;"",VLOOKUP(U79,B4:H40,7,FALSE),"")</f>
        <v>1000</v>
      </c>
      <c r="AD79" s="23">
        <f ca="1">IF(U79&lt;&gt;"",VLOOKUP(U79,B4:H40,5,FALSE),"")</f>
        <v>0</v>
      </c>
      <c r="AE79" s="23">
        <f ca="1">IF(U79&lt;&gt;"",VLOOKUP(U79,B4:J40,9,FALSE),"")</f>
        <v>47</v>
      </c>
      <c r="AF79" s="23">
        <f t="shared" ca="1" si="109"/>
        <v>0</v>
      </c>
      <c r="AG79" s="23">
        <f ca="1">IF(U79&lt;&gt;"",RANK(AF79,AF77:AF80),"")</f>
        <v>1</v>
      </c>
      <c r="AH79" s="23">
        <f ca="1">IF(U79&lt;&gt;"",SUMPRODUCT((AF77:AF80=AF79)*(AA77:AA80&gt;AA79)),"")</f>
        <v>0</v>
      </c>
      <c r="AI79" s="23">
        <f ca="1">IF(U79&lt;&gt;"",SUMPRODUCT((AF77:AF80=AF79)*(AA77:AA80=AA79)*(Y77:Y80&gt;Y79)),"")</f>
        <v>0</v>
      </c>
      <c r="AJ79" s="23">
        <f ca="1">IF(U79&lt;&gt;"",SUMPRODUCT((AF77:AF80=AF79)*(AA77:AA80=AA79)*(Y77:Y80=Y79)*(AC77:AC80&gt;AC79)),"")</f>
        <v>0</v>
      </c>
      <c r="AK79" s="23">
        <f ca="1">IF(U79&lt;&gt;"",SUMPRODUCT((AF77:AF80=AF79)*(AA77:AA80=AA79)*(Y77:Y80=Y79)*(AC77:AC80=AC79)*(AD77:AD80&gt;AD79)),"")</f>
        <v>0</v>
      </c>
      <c r="AL79" s="23">
        <f ca="1">IF(U79&lt;&gt;"",SUMPRODUCT((AF77:AF80=AF79)*(AA77:AA80=AA79)*(Y77:Y80=Y79)*(AC77:AC80=AC79)*(AD77:AD80=AD79)*(AE77:AE80&gt;AE79)),"")</f>
        <v>1</v>
      </c>
      <c r="AM79" s="23">
        <f ca="1">IF(U79&lt;&gt;"",SUM(AG79:AL79),"")</f>
        <v>2</v>
      </c>
      <c r="AN79" s="23" t="str">
        <f ca="1">IF(AO39&lt;&gt;"",SUMPRODUCT((AV37:AV40=AV39)*(AU37:AU40=AU39)*(AS37:AS40=AS39)*(AT37:AT40=AT39)),"")</f>
        <v/>
      </c>
      <c r="AO79" s="23" t="str">
        <f t="shared" ca="1" si="110"/>
        <v/>
      </c>
      <c r="AP79" s="23">
        <f ca="1">SUMPRODUCT((CZ3:CZ42=AO79)*(DC3:DC42=AO80)*(DD3:DD42="W"))+SUMPRODUCT((CZ3:CZ42=AO79)*(DC3:DC42=AO81)*(DD3:DD42="W"))+SUMPRODUCT((CZ3:CZ42=AO79)*(DC3:DC42=AO78)*(DD3:DD42="W"))+SUMPRODUCT((CZ3:CZ42=AO80)*(DC3:DC42=AO79)*(DE3:DE42="W"))+SUMPRODUCT((CZ3:CZ42=AO81)*(DC3:DC42=AO79)*(DE3:DE42="W"))+SUMPRODUCT((CZ3:CZ42=AO78)*(DC3:DC42=AO79)*(DE3:DE42="W"))</f>
        <v>0</v>
      </c>
      <c r="AQ79" s="23">
        <f ca="1">SUMPRODUCT((CZ3:CZ42=AO79)*(DC3:DC42=AO80)*(DD3:DD42="D"))+SUMPRODUCT((CZ3:CZ42=AO79)*(DC3:DC42=AO81)*(DD3:DD42="D"))+SUMPRODUCT((CZ3:CZ42=AO79)*(DC3:DC42=AO78)*(DD3:DD42="D"))+SUMPRODUCT((CZ3:CZ42=AO80)*(DC3:DC42=AO79)*(DD3:DD42="D"))+SUMPRODUCT((CZ3:CZ42=AO81)*(DC3:DC42=AO79)*(DD3:DD42="D"))+SUMPRODUCT((CZ3:CZ42=AO78)*(DC3:DC42=AO79)*(DD3:DD42="D"))</f>
        <v>0</v>
      </c>
      <c r="AR79" s="23">
        <f ca="1">SUMPRODUCT((CZ3:CZ42=AO79)*(DC3:DC42=AO80)*(DD3:DD42="L"))+SUMPRODUCT((CZ3:CZ42=AO79)*(DC3:DC42=AO81)*(DD3:DD42="L"))+SUMPRODUCT((CZ3:CZ42=AO79)*(DC3:DC42=AO78)*(DD3:DD42="L"))+SUMPRODUCT((CZ3:CZ42=AO80)*(DC3:DC42=AO79)*(DE3:DE42="L"))+SUMPRODUCT((CZ3:CZ42=AO81)*(DC3:DC42=AO79)*(DE3:DE42="L"))+SUMPRODUCT((CZ3:CZ42=AO78)*(DC3:DC42=AO79)*(DE3:DE42="L"))</f>
        <v>0</v>
      </c>
      <c r="AS79" s="23">
        <f ca="1">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23">
        <f ca="1">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23">
        <f ca="1">AS79-AT79+1000</f>
        <v>1000</v>
      </c>
      <c r="AV79" s="23" t="str">
        <f t="shared" ca="1" si="111"/>
        <v/>
      </c>
      <c r="AW79" s="23" t="str">
        <f ca="1">IF(AO79&lt;&gt;"",VLOOKUP(AO79,B4:H40,7,FALSE),"")</f>
        <v/>
      </c>
      <c r="AX79" s="23" t="str">
        <f ca="1">IF(AO79&lt;&gt;"",VLOOKUP(AO79,B4:H40,5,FALSE),"")</f>
        <v/>
      </c>
      <c r="AY79" s="23" t="str">
        <f ca="1">IF(AO79&lt;&gt;"",VLOOKUP(AO79,B4:J40,9,FALSE),"")</f>
        <v/>
      </c>
      <c r="AZ79" s="23" t="str">
        <f t="shared" ca="1" si="112"/>
        <v/>
      </c>
      <c r="BA79" s="23" t="str">
        <f ca="1">IF(AO79&lt;&gt;"",RANK(AZ79,AZ77:AZ80),"")</f>
        <v/>
      </c>
      <c r="BB79" s="23" t="str">
        <f ca="1">IF(AO79&lt;&gt;"",SUMPRODUCT((AZ77:AZ80=AZ79)*(AU77:AU80&gt;AU79)),"")</f>
        <v/>
      </c>
      <c r="BC79" s="23" t="str">
        <f ca="1">IF(AO79&lt;&gt;"",SUMPRODUCT((AZ77:AZ80=AZ79)*(AU77:AU80=AU79)*(AS77:AS80&gt;AS79)),"")</f>
        <v/>
      </c>
      <c r="BD79" s="23" t="str">
        <f ca="1">IF(AO79&lt;&gt;"",SUMPRODUCT((AZ77:AZ80=AZ79)*(AU77:AU80=AU79)*(AS77:AS80=AS79)*(AW77:AW80&gt;AW79)),"")</f>
        <v/>
      </c>
      <c r="BE79" s="23" t="str">
        <f ca="1">IF(AO79&lt;&gt;"",SUMPRODUCT((AZ77:AZ80=AZ79)*(AU77:AU80=AU79)*(AS77:AS80=AS79)*(AW77:AW80=AW79)*(AX77:AX80&gt;AX79)),"")</f>
        <v/>
      </c>
      <c r="BF79" s="23" t="str">
        <f ca="1">IF(AO79&lt;&gt;"",SUMPRODUCT((AZ77:AZ80=AZ79)*(AU77:AU80=AU79)*(AS77:AS80=AS79)*(AW77:AW80=AW79)*(AX77:AX80=AX79)*(AY77:AY80&gt;AY79)),"")</f>
        <v/>
      </c>
      <c r="BG79" s="23" t="str">
        <f t="shared" ref="BG79:BG80" ca="1" si="113">IF(AO79&lt;&gt;"",SUM(BA79:BF79)+1,"")</f>
        <v/>
      </c>
      <c r="EP79" s="23">
        <v>3</v>
      </c>
      <c r="EQ79" s="23" t="s">
        <v>649</v>
      </c>
      <c r="ER79" s="23" t="s">
        <v>648</v>
      </c>
    </row>
    <row r="80" spans="9:148" x14ac:dyDescent="0.25">
      <c r="I80" s="23">
        <f ca="1">SUMPRODUCT((I37:I40=I40)*(H37:H40=H40)*(F37:F40&gt;F40))+1</f>
        <v>1</v>
      </c>
      <c r="T80" s="23">
        <f ca="1">IF(U40&lt;&gt;"",SUMPRODUCT((AB37:AB40=AB40)*(AA37:AA40=AA40)*(Y37:Y40=Y40)*(Z37:Z40=Z40)),"")</f>
        <v>4</v>
      </c>
      <c r="U80" s="23" t="str">
        <f t="shared" ca="1" si="107"/>
        <v>Portugal</v>
      </c>
      <c r="V80" s="23">
        <f ca="1">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23">
        <f ca="1">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23">
        <f ca="1">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23">
        <f ca="1">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23">
        <f ca="1">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23">
        <f ca="1">Y80-Z80+1000</f>
        <v>1000</v>
      </c>
      <c r="AB80" s="23">
        <f t="shared" ca="1" si="108"/>
        <v>0</v>
      </c>
      <c r="AC80" s="23">
        <f ca="1">IF(U80&lt;&gt;"",VLOOKUP(U80,B4:H40,7,FALSE),"")</f>
        <v>1000</v>
      </c>
      <c r="AD80" s="23">
        <f ca="1">IF(U80&lt;&gt;"",VLOOKUP(U80,B4:H40,5,FALSE),"")</f>
        <v>0</v>
      </c>
      <c r="AE80" s="23">
        <f ca="1">IF(U80&lt;&gt;"",VLOOKUP(U80,B4:J40,9,FALSE),"")</f>
        <v>53</v>
      </c>
      <c r="AF80" s="23">
        <f t="shared" ca="1" si="109"/>
        <v>0</v>
      </c>
      <c r="AG80" s="23">
        <f ca="1">IF(U80&lt;&gt;"",RANK(AF80,AF77:AF80),"")</f>
        <v>1</v>
      </c>
      <c r="AH80" s="23">
        <f ca="1">IF(U80&lt;&gt;"",SUMPRODUCT((AF77:AF80=AF80)*(AA77:AA80&gt;AA80)),"")</f>
        <v>0</v>
      </c>
      <c r="AI80" s="23">
        <f ca="1">IF(U80&lt;&gt;"",SUMPRODUCT((AF77:AF80=AF80)*(AA77:AA80=AA80)*(Y77:Y80&gt;Y80)),"")</f>
        <v>0</v>
      </c>
      <c r="AJ80" s="23">
        <f ca="1">IF(U80&lt;&gt;"",SUMPRODUCT((AF77:AF80=AF80)*(AA77:AA80=AA80)*(Y77:Y80=Y80)*(AC77:AC80&gt;AC80)),"")</f>
        <v>0</v>
      </c>
      <c r="AK80" s="23">
        <f ca="1">IF(U80&lt;&gt;"",SUMPRODUCT((AF77:AF80=AF80)*(AA77:AA80=AA80)*(Y77:Y80=Y80)*(AC77:AC80=AC80)*(AD77:AD80&gt;AD80)),"")</f>
        <v>0</v>
      </c>
      <c r="AL80" s="23">
        <f ca="1">IF(U80&lt;&gt;"",SUMPRODUCT((AF77:AF80=AF80)*(AA77:AA80=AA80)*(Y77:Y80=Y80)*(AC77:AC80=AC80)*(AD77:AD80=AD80)*(AE77:AE80&gt;AE80)),"")</f>
        <v>0</v>
      </c>
      <c r="AM80" s="23">
        <f ca="1">IF(U80&lt;&gt;"",SUM(AG80:AL80),"")</f>
        <v>1</v>
      </c>
      <c r="AN80" s="23" t="str">
        <f ca="1">IF(AO40&lt;&gt;"",SUMPRODUCT((AV37:AV40=AV40)*(AU37:AU40=AU40)*(AS37:AS40=AS40)*(AT37:AT40=AT40)),"")</f>
        <v/>
      </c>
      <c r="AO80" s="23" t="str">
        <f t="shared" ca="1" si="110"/>
        <v/>
      </c>
      <c r="AP80" s="23" t="str">
        <f ca="1">IF(AO80&lt;&gt;"",SUMPRODUCT((CZ3:CZ42=AO80)*(DC3:DC42=AO81)*(DD3:DD42="W"))+SUMPRODUCT((CZ3:CZ42=AO80)*(DC3:DC42=AO78)*(DD3:DD42="W"))+SUMPRODUCT((CZ3:CZ42=AO80)*(DC3:DC42=AO79)*(DD3:DD42="W"))+SUMPRODUCT((CZ3:CZ42=AO81)*(DC3:DC42=AO80)*(DE3:DE42="W"))+SUMPRODUCT((CZ3:CZ42=AO78)*(DC3:DC42=AO80)*(DE3:DE42="W"))+SUMPRODUCT((CZ3:CZ42=AO79)*(DC3:DC42=AO80)*(DE3:DE42="W")),"")</f>
        <v/>
      </c>
      <c r="AQ80" s="23" t="str">
        <f ca="1">IF(AO80&lt;&gt;"",SUMPRODUCT((CZ3:CZ42=AO80)*(DC3:DC42=AO81)*(DD3:DD42="D"))+SUMPRODUCT((CZ3:CZ42=AO80)*(DC3:DC42=AO78)*(DD3:DD42="D"))+SUMPRODUCT((CZ3:CZ42=AO80)*(DC3:DC42=AO79)*(DD3:DD42="D"))+SUMPRODUCT((CZ3:CZ42=AO81)*(DC3:DC42=AO80)*(DD3:DD42="D"))+SUMPRODUCT((CZ3:CZ42=AO78)*(DC3:DC42=AO80)*(DD3:DD42="D"))+SUMPRODUCT((CZ3:CZ42=AO79)*(DC3:DC42=AO80)*(DD3:DD42="D")),"")</f>
        <v/>
      </c>
      <c r="AR80" s="23" t="str">
        <f ca="1">IF(AO80&lt;&gt;"",SUMPRODUCT((CZ3:CZ42=AO80)*(DC3:DC42=AO81)*(DD3:DD42="L"))+SUMPRODUCT((CZ3:CZ42=AO80)*(DC3:DC42=AO78)*(DD3:DD42="L"))+SUMPRODUCT((CZ3:CZ42=AO80)*(DC3:DC42=AO79)*(DD3:DD42="L"))+SUMPRODUCT((CZ3:CZ42=AO81)*(DC3:DC42=AO80)*(DE3:DE42="L"))+SUMPRODUCT((CZ3:CZ42=AO78)*(DC3:DC42=AO80)*(DE3:DE42="L"))+SUMPRODUCT((CZ3:CZ42=AO79)*(DC3:DC42=AO80)*(DE3:DE42="L")),"")</f>
        <v/>
      </c>
      <c r="AS80" s="23">
        <f ca="1">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23">
        <f ca="1">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23">
        <f ca="1">AS80-AT80+1000</f>
        <v>1000</v>
      </c>
      <c r="AV80" s="23" t="str">
        <f t="shared" ca="1" si="111"/>
        <v/>
      </c>
      <c r="AW80" s="23" t="str">
        <f ca="1">IF(AO80&lt;&gt;"",VLOOKUP(AO80,B4:H40,7,FALSE),"")</f>
        <v/>
      </c>
      <c r="AX80" s="23" t="str">
        <f ca="1">IF(AO80&lt;&gt;"",VLOOKUP(AO80,B4:H40,5,FALSE),"")</f>
        <v/>
      </c>
      <c r="AY80" s="23" t="str">
        <f ca="1">IF(AO80&lt;&gt;"",VLOOKUP(AO80,B4:J40,9,FALSE),"")</f>
        <v/>
      </c>
      <c r="AZ80" s="23" t="str">
        <f t="shared" ca="1" si="112"/>
        <v/>
      </c>
      <c r="BA80" s="23" t="str">
        <f ca="1">IF(AO80&lt;&gt;"",RANK(AZ80,AZ77:AZ80),"")</f>
        <v/>
      </c>
      <c r="BB80" s="23" t="str">
        <f ca="1">IF(AO80&lt;&gt;"",SUMPRODUCT((AZ77:AZ80=AZ80)*(AU77:AU80&gt;AU80)),"")</f>
        <v/>
      </c>
      <c r="BC80" s="23" t="str">
        <f ca="1">IF(AO80&lt;&gt;"",SUMPRODUCT((AZ77:AZ80=AZ80)*(AU77:AU80=AU80)*(AS77:AS80&gt;AS80)),"")</f>
        <v/>
      </c>
      <c r="BD80" s="23" t="str">
        <f ca="1">IF(AO80&lt;&gt;"",SUMPRODUCT((AZ77:AZ80=AZ80)*(AU77:AU80=AU80)*(AS77:AS80=AS80)*(AW77:AW80&gt;AW80)),"")</f>
        <v/>
      </c>
      <c r="BE80" s="23" t="str">
        <f ca="1">IF(AO80&lt;&gt;"",SUMPRODUCT((AZ77:AZ80=AZ80)*(AU77:AU80=AU80)*(AS77:AS80=AS80)*(AW77:AW80=AW80)*(AX77:AX80&gt;AX80)),"")</f>
        <v/>
      </c>
      <c r="BF80" s="23" t="str">
        <f ca="1">IF(AO80&lt;&gt;"",SUMPRODUCT((AZ77:AZ80=AZ80)*(AU77:AU80=AU80)*(AS77:AS80=AS80)*(AW77:AW80=AW80)*(AX77:AX80=AX80)*(AY77:AY80&gt;AY80)),"")</f>
        <v/>
      </c>
      <c r="BG80" s="23" t="str">
        <f t="shared" ca="1" si="113"/>
        <v/>
      </c>
      <c r="EP80" s="23">
        <v>3</v>
      </c>
      <c r="EQ80" s="23" t="s">
        <v>651</v>
      </c>
      <c r="ER80" s="23" t="s">
        <v>650</v>
      </c>
    </row>
    <row r="81" spans="146:148" x14ac:dyDescent="0.25">
      <c r="EP81" s="23">
        <v>3</v>
      </c>
      <c r="EQ81" s="23" t="s">
        <v>653</v>
      </c>
      <c r="ER81" s="23" t="s">
        <v>652</v>
      </c>
    </row>
    <row r="82" spans="146:148" x14ac:dyDescent="0.25">
      <c r="EP82" s="23">
        <v>4</v>
      </c>
      <c r="EQ82" s="23" t="s">
        <v>655</v>
      </c>
      <c r="ER82" s="23" t="s">
        <v>654</v>
      </c>
    </row>
    <row r="83" spans="146:148" x14ac:dyDescent="0.25">
      <c r="EP83" s="23">
        <v>4</v>
      </c>
      <c r="EQ83" s="23" t="s">
        <v>657</v>
      </c>
      <c r="ER83" s="23" t="s">
        <v>656</v>
      </c>
    </row>
    <row r="84" spans="146:148" x14ac:dyDescent="0.25">
      <c r="EP84" s="23">
        <v>4</v>
      </c>
      <c r="EQ84" s="23" t="s">
        <v>659</v>
      </c>
      <c r="ER84" s="23" t="s">
        <v>658</v>
      </c>
    </row>
    <row r="85" spans="146:148" x14ac:dyDescent="0.25">
      <c r="EP85" s="23">
        <v>4</v>
      </c>
      <c r="EQ85" s="23" t="s">
        <v>661</v>
      </c>
      <c r="ER85" s="23" t="s">
        <v>660</v>
      </c>
    </row>
    <row r="86" spans="146:148" x14ac:dyDescent="0.25">
      <c r="EP86" s="23">
        <v>4</v>
      </c>
      <c r="EQ86" s="23" t="s">
        <v>663</v>
      </c>
      <c r="ER86" s="23" t="s">
        <v>662</v>
      </c>
    </row>
    <row r="87" spans="146:148" x14ac:dyDescent="0.25">
      <c r="EP87" s="23">
        <v>4</v>
      </c>
      <c r="EQ87" s="23" t="s">
        <v>665</v>
      </c>
      <c r="ER87" s="23" t="s">
        <v>664</v>
      </c>
    </row>
    <row r="88" spans="146:148" x14ac:dyDescent="0.25">
      <c r="EP88" s="23">
        <v>4</v>
      </c>
      <c r="EQ88" s="23" t="s">
        <v>667</v>
      </c>
      <c r="ER88" s="23" t="s">
        <v>666</v>
      </c>
    </row>
    <row r="89" spans="146:148" x14ac:dyDescent="0.25">
      <c r="EP89" s="23">
        <v>4</v>
      </c>
      <c r="EQ89" s="23" t="s">
        <v>669</v>
      </c>
      <c r="ER89" s="23" t="s">
        <v>668</v>
      </c>
    </row>
    <row r="90" spans="146:148" x14ac:dyDescent="0.25">
      <c r="EP90" s="23">
        <v>4</v>
      </c>
      <c r="EQ90" s="23" t="s">
        <v>671</v>
      </c>
      <c r="ER90" s="23" t="s">
        <v>670</v>
      </c>
    </row>
    <row r="91" spans="146:148" x14ac:dyDescent="0.25">
      <c r="EP91" s="23">
        <v>4.5</v>
      </c>
      <c r="EQ91" s="23" t="s">
        <v>673</v>
      </c>
      <c r="ER91" s="23" t="s">
        <v>672</v>
      </c>
    </row>
    <row r="92" spans="146:148" x14ac:dyDescent="0.25">
      <c r="EP92" s="23">
        <v>5</v>
      </c>
      <c r="EQ92" s="23" t="s">
        <v>675</v>
      </c>
      <c r="ER92" s="23" t="s">
        <v>674</v>
      </c>
    </row>
    <row r="93" spans="146:148" x14ac:dyDescent="0.25">
      <c r="EP93" s="23">
        <v>5</v>
      </c>
      <c r="EQ93" s="23" t="s">
        <v>677</v>
      </c>
      <c r="ER93" s="23" t="s">
        <v>676</v>
      </c>
    </row>
    <row r="94" spans="146:148" x14ac:dyDescent="0.25">
      <c r="EP94" s="23">
        <v>5</v>
      </c>
      <c r="EQ94" s="23" t="s">
        <v>679</v>
      </c>
      <c r="ER94" s="23" t="s">
        <v>678</v>
      </c>
    </row>
    <row r="95" spans="146:148" x14ac:dyDescent="0.25">
      <c r="EP95" s="23">
        <v>5</v>
      </c>
      <c r="EQ95" s="23" t="s">
        <v>681</v>
      </c>
      <c r="ER95" s="23" t="s">
        <v>680</v>
      </c>
    </row>
    <row r="96" spans="146:148" x14ac:dyDescent="0.25">
      <c r="EP96" s="23">
        <v>5.3</v>
      </c>
      <c r="EQ96" s="23" t="s">
        <v>683</v>
      </c>
      <c r="ER96" s="23" t="s">
        <v>682</v>
      </c>
    </row>
    <row r="97" spans="146:148" x14ac:dyDescent="0.25">
      <c r="EP97" s="23">
        <v>5.3</v>
      </c>
      <c r="EQ97" s="23" t="s">
        <v>685</v>
      </c>
      <c r="ER97" s="23" t="s">
        <v>684</v>
      </c>
    </row>
    <row r="98" spans="146:148" x14ac:dyDescent="0.25">
      <c r="EP98" s="23">
        <v>5.75</v>
      </c>
      <c r="EQ98" s="23" t="s">
        <v>687</v>
      </c>
      <c r="ER98" s="23" t="s">
        <v>686</v>
      </c>
    </row>
    <row r="99" spans="146:148" x14ac:dyDescent="0.25">
      <c r="EP99" s="23">
        <v>6</v>
      </c>
      <c r="EQ99" s="23" t="s">
        <v>689</v>
      </c>
      <c r="ER99" s="23" t="s">
        <v>688</v>
      </c>
    </row>
    <row r="100" spans="146:148" x14ac:dyDescent="0.25">
      <c r="EP100" s="23">
        <v>6</v>
      </c>
      <c r="EQ100" s="23" t="s">
        <v>691</v>
      </c>
      <c r="ER100" s="23" t="s">
        <v>690</v>
      </c>
    </row>
    <row r="101" spans="146:148" x14ac:dyDescent="0.25">
      <c r="EP101" s="23">
        <v>6</v>
      </c>
      <c r="EQ101" s="23" t="s">
        <v>693</v>
      </c>
      <c r="ER101" s="23" t="s">
        <v>692</v>
      </c>
    </row>
    <row r="102" spans="146:148" x14ac:dyDescent="0.25">
      <c r="EP102" s="23">
        <v>6.5</v>
      </c>
      <c r="EQ102" s="23" t="s">
        <v>695</v>
      </c>
      <c r="ER102" s="23" t="s">
        <v>694</v>
      </c>
    </row>
    <row r="103" spans="146:148" x14ac:dyDescent="0.25">
      <c r="EP103" s="23">
        <v>7</v>
      </c>
      <c r="EQ103" s="23" t="s">
        <v>697</v>
      </c>
      <c r="ER103" s="23" t="s">
        <v>696</v>
      </c>
    </row>
    <row r="104" spans="146:148" x14ac:dyDescent="0.25">
      <c r="EP104" s="23">
        <v>7</v>
      </c>
      <c r="EQ104" s="23" t="s">
        <v>699</v>
      </c>
      <c r="ER104" s="23" t="s">
        <v>698</v>
      </c>
    </row>
    <row r="105" spans="146:148" x14ac:dyDescent="0.25">
      <c r="EP105" s="23">
        <v>7</v>
      </c>
      <c r="EQ105" s="23" t="s">
        <v>701</v>
      </c>
      <c r="ER105" s="23" t="s">
        <v>700</v>
      </c>
    </row>
    <row r="106" spans="146:148" x14ac:dyDescent="0.25">
      <c r="EP106" s="23">
        <v>7</v>
      </c>
      <c r="EQ106" s="23" t="s">
        <v>703</v>
      </c>
      <c r="ER106" s="23" t="s">
        <v>702</v>
      </c>
    </row>
    <row r="107" spans="146:148" x14ac:dyDescent="0.25">
      <c r="EP107" s="23">
        <v>7</v>
      </c>
      <c r="EQ107" s="23" t="s">
        <v>705</v>
      </c>
      <c r="ER107" s="23" t="s">
        <v>704</v>
      </c>
    </row>
    <row r="108" spans="146:148" x14ac:dyDescent="0.25">
      <c r="EP108" s="23">
        <v>7</v>
      </c>
      <c r="EQ108" s="23" t="s">
        <v>707</v>
      </c>
      <c r="ER108" s="23" t="s">
        <v>706</v>
      </c>
    </row>
    <row r="109" spans="146:148" x14ac:dyDescent="0.25">
      <c r="EP109" s="23">
        <v>8</v>
      </c>
      <c r="EQ109" s="23" t="s">
        <v>709</v>
      </c>
      <c r="ER109" s="23" t="s">
        <v>708</v>
      </c>
    </row>
    <row r="110" spans="146:148" x14ac:dyDescent="0.25">
      <c r="EP110" s="23">
        <v>8</v>
      </c>
      <c r="EQ110" s="23" t="s">
        <v>711</v>
      </c>
      <c r="ER110" s="23" t="s">
        <v>710</v>
      </c>
    </row>
    <row r="111" spans="146:148" x14ac:dyDescent="0.25">
      <c r="EP111" s="23">
        <v>8</v>
      </c>
      <c r="EQ111" s="23" t="s">
        <v>713</v>
      </c>
      <c r="ER111" s="23" t="s">
        <v>712</v>
      </c>
    </row>
    <row r="112" spans="146:148" x14ac:dyDescent="0.25">
      <c r="EP112" s="23">
        <v>8</v>
      </c>
      <c r="EQ112" s="23" t="s">
        <v>715</v>
      </c>
      <c r="ER112" s="23" t="s">
        <v>714</v>
      </c>
    </row>
    <row r="113" spans="146:148" x14ac:dyDescent="0.25">
      <c r="EP113" s="23">
        <v>8</v>
      </c>
      <c r="EQ113" s="23" t="s">
        <v>717</v>
      </c>
      <c r="ER113" s="23" t="s">
        <v>716</v>
      </c>
    </row>
    <row r="114" spans="146:148" x14ac:dyDescent="0.25">
      <c r="EP114" s="23">
        <v>8</v>
      </c>
      <c r="EQ114" s="23" t="s">
        <v>719</v>
      </c>
      <c r="ER114" s="23" t="s">
        <v>718</v>
      </c>
    </row>
    <row r="115" spans="146:148" x14ac:dyDescent="0.25">
      <c r="EP115" s="23">
        <v>8.75</v>
      </c>
      <c r="EQ115" s="23" t="s">
        <v>721</v>
      </c>
      <c r="ER115" s="23" t="s">
        <v>720</v>
      </c>
    </row>
    <row r="116" spans="146:148" x14ac:dyDescent="0.25">
      <c r="EP116" s="23">
        <v>9</v>
      </c>
      <c r="EQ116" s="23" t="s">
        <v>723</v>
      </c>
      <c r="ER116" s="23" t="s">
        <v>722</v>
      </c>
    </row>
    <row r="117" spans="146:148" x14ac:dyDescent="0.25">
      <c r="EP117" s="23">
        <v>9</v>
      </c>
      <c r="EQ117" s="23" t="s">
        <v>725</v>
      </c>
      <c r="ER117" s="23" t="s">
        <v>724</v>
      </c>
    </row>
    <row r="118" spans="146:148" x14ac:dyDescent="0.25">
      <c r="EP118" s="23">
        <v>9</v>
      </c>
      <c r="EQ118" s="23" t="s">
        <v>727</v>
      </c>
      <c r="ER118" s="23" t="s">
        <v>726</v>
      </c>
    </row>
    <row r="119" spans="146:148" x14ac:dyDescent="0.25">
      <c r="EP119" s="23">
        <v>9</v>
      </c>
      <c r="EQ119" s="23" t="s">
        <v>729</v>
      </c>
      <c r="ER119" s="23" t="s">
        <v>728</v>
      </c>
    </row>
    <row r="120" spans="146:148" x14ac:dyDescent="0.25">
      <c r="EP120" s="23">
        <v>9</v>
      </c>
      <c r="EQ120" s="23" t="s">
        <v>731</v>
      </c>
      <c r="ER120" s="23" t="s">
        <v>730</v>
      </c>
    </row>
    <row r="121" spans="146:148" x14ac:dyDescent="0.25">
      <c r="EP121" s="23">
        <v>9.5</v>
      </c>
      <c r="EQ121" s="23" t="s">
        <v>733</v>
      </c>
      <c r="ER121" s="23" t="s">
        <v>732</v>
      </c>
    </row>
    <row r="122" spans="146:148" x14ac:dyDescent="0.25">
      <c r="EP122" s="23">
        <v>9.5</v>
      </c>
      <c r="EQ122" s="23" t="s">
        <v>735</v>
      </c>
      <c r="ER122" s="23" t="s">
        <v>734</v>
      </c>
    </row>
    <row r="123" spans="146:148" x14ac:dyDescent="0.25">
      <c r="EP123" s="23">
        <v>10</v>
      </c>
      <c r="EQ123" s="23" t="s">
        <v>737</v>
      </c>
      <c r="ER123" s="23" t="s">
        <v>736</v>
      </c>
    </row>
    <row r="124" spans="146:148" x14ac:dyDescent="0.25">
      <c r="EP124" s="23">
        <v>10</v>
      </c>
      <c r="EQ124" s="23" t="s">
        <v>739</v>
      </c>
      <c r="ER124" s="23" t="s">
        <v>738</v>
      </c>
    </row>
    <row r="125" spans="146:148" x14ac:dyDescent="0.25">
      <c r="EP125" s="23">
        <v>10</v>
      </c>
      <c r="EQ125" s="23" t="s">
        <v>741</v>
      </c>
      <c r="ER125" s="23" t="s">
        <v>740</v>
      </c>
    </row>
    <row r="126" spans="146:148" x14ac:dyDescent="0.25">
      <c r="EP126" s="23">
        <v>10</v>
      </c>
      <c r="EQ126" s="23" t="s">
        <v>743</v>
      </c>
      <c r="ER126" s="23" t="s">
        <v>742</v>
      </c>
    </row>
    <row r="127" spans="146:148" x14ac:dyDescent="0.25">
      <c r="EP127" s="23">
        <v>10</v>
      </c>
      <c r="EQ127" s="23" t="s">
        <v>745</v>
      </c>
      <c r="ER127" s="23" t="s">
        <v>744</v>
      </c>
    </row>
    <row r="128" spans="146:148" x14ac:dyDescent="0.25">
      <c r="EP128" s="23">
        <v>10.5</v>
      </c>
      <c r="EQ128" s="23" t="s">
        <v>747</v>
      </c>
      <c r="ER128" s="23" t="s">
        <v>746</v>
      </c>
    </row>
    <row r="129" spans="146:148" x14ac:dyDescent="0.25">
      <c r="EP129" s="23">
        <v>11</v>
      </c>
      <c r="EQ129" s="23" t="s">
        <v>749</v>
      </c>
      <c r="ER129" s="23" t="s">
        <v>748</v>
      </c>
    </row>
    <row r="130" spans="146:148" x14ac:dyDescent="0.25">
      <c r="EP130" s="23">
        <v>11</v>
      </c>
      <c r="EQ130" s="23" t="s">
        <v>751</v>
      </c>
      <c r="ER130" s="23" t="s">
        <v>750</v>
      </c>
    </row>
    <row r="131" spans="146:148" x14ac:dyDescent="0.25">
      <c r="EP131" s="23">
        <v>11</v>
      </c>
      <c r="EQ131" s="23" t="s">
        <v>753</v>
      </c>
      <c r="ER131" s="23" t="s">
        <v>752</v>
      </c>
    </row>
    <row r="132" spans="146:148" x14ac:dyDescent="0.25">
      <c r="EP132" s="23">
        <v>11</v>
      </c>
      <c r="EQ132" s="23" t="s">
        <v>755</v>
      </c>
      <c r="ER132" s="23" t="s">
        <v>754</v>
      </c>
    </row>
    <row r="133" spans="146:148" x14ac:dyDescent="0.25">
      <c r="EP133" s="23">
        <v>11</v>
      </c>
      <c r="EQ133" s="23" t="s">
        <v>757</v>
      </c>
      <c r="ER133" s="23" t="s">
        <v>756</v>
      </c>
    </row>
    <row r="134" spans="146:148" x14ac:dyDescent="0.25">
      <c r="EP134" s="23">
        <v>11</v>
      </c>
      <c r="EQ134" s="23" t="s">
        <v>759</v>
      </c>
      <c r="ER134" s="23" t="s">
        <v>758</v>
      </c>
    </row>
    <row r="135" spans="146:148" x14ac:dyDescent="0.25">
      <c r="EP135" s="23">
        <v>12</v>
      </c>
      <c r="EQ135" s="23" t="s">
        <v>761</v>
      </c>
      <c r="ER135" s="23" t="s">
        <v>760</v>
      </c>
    </row>
    <row r="136" spans="146:148" x14ac:dyDescent="0.25">
      <c r="EP136" s="23">
        <v>12</v>
      </c>
      <c r="EQ136" s="23" t="s">
        <v>763</v>
      </c>
      <c r="ER136" s="23" t="s">
        <v>762</v>
      </c>
    </row>
    <row r="137" spans="146:148" x14ac:dyDescent="0.25">
      <c r="EP137" s="23">
        <v>12</v>
      </c>
      <c r="EQ137" s="23" t="s">
        <v>765</v>
      </c>
      <c r="ER137" s="23" t="s">
        <v>764</v>
      </c>
    </row>
    <row r="138" spans="146:148" x14ac:dyDescent="0.25">
      <c r="EP138" s="23">
        <v>12</v>
      </c>
      <c r="EQ138" s="23" t="s">
        <v>767</v>
      </c>
      <c r="ER138" s="23" t="s">
        <v>766</v>
      </c>
    </row>
    <row r="139" spans="146:148" x14ac:dyDescent="0.25">
      <c r="EP139" s="23">
        <v>12.75</v>
      </c>
      <c r="EQ139" s="23" t="s">
        <v>769</v>
      </c>
      <c r="ER139" s="23" t="s">
        <v>768</v>
      </c>
    </row>
    <row r="140" spans="146:148" x14ac:dyDescent="0.25">
      <c r="EP140" s="23">
        <v>13</v>
      </c>
      <c r="EQ140" s="23" t="s">
        <v>771</v>
      </c>
      <c r="ER140" s="23" t="s">
        <v>770</v>
      </c>
    </row>
    <row r="141" spans="146:148" x14ac:dyDescent="0.25">
      <c r="EP141" s="23">
        <v>13</v>
      </c>
      <c r="EQ141" s="23" t="s">
        <v>773</v>
      </c>
      <c r="ER141" s="23" t="s">
        <v>772</v>
      </c>
    </row>
    <row r="142" spans="146:148" x14ac:dyDescent="0.25">
      <c r="EP142" s="23">
        <v>13</v>
      </c>
      <c r="EQ142" s="23" t="s">
        <v>775</v>
      </c>
      <c r="ER142" s="23" t="s">
        <v>774</v>
      </c>
    </row>
    <row r="143" spans="146:148" x14ac:dyDescent="0.25">
      <c r="EP143" s="23">
        <v>14</v>
      </c>
      <c r="EQ143" s="23" t="s">
        <v>777</v>
      </c>
      <c r="ER143" s="23" t="s">
        <v>776</v>
      </c>
    </row>
  </sheetData>
  <sheetProtection algorithmName="SHA-512" hashValue="DZaUzwCpna2CFSQvqd5O6UV72/90KLOe76UiqUJeP2skidVetyqmYFd6QptdJHLouTbMQ3Yg1rA0IuvapQeH6g==" saltValue="DSLNcZGoeS+56/UfKjey4w==" spinCount="100000" sheet="1" objects="1" scenarios="1" selectLockedCells="1" selectUnlockedCells="1"/>
  <sortState xmlns:xlrd2="http://schemas.microsoft.com/office/spreadsheetml/2017/richdata2" ref="C32:C70">
    <sortCondition ref="C70"/>
  </sortState>
  <phoneticPr fontId="1" type="noConversion"/>
  <conditionalFormatting sqref="C3">
    <cfRule type="expression" dxfId="0" priority="1">
      <formula>$C$3&lt;&gt;""</formula>
    </cfRule>
  </conditionalFormatting>
  <pageMargins left="0.75" right="0.75" top="1" bottom="1" header="0.5" footer="0.5"/>
  <pageSetup paperSize="9" orientation="portrait" horizontalDpi="300" verticalDpi="300" r:id="rId1"/>
  <headerFooter alignWithMargins="0">
    <oddFooter>&amp;R(c) 2020 | journalSHEET.com</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CR46"/>
  <sheetViews>
    <sheetView showGridLines="0" workbookViewId="0">
      <pane ySplit="4" topLeftCell="A8" activePane="bottomLeft" state="frozen"/>
      <selection pane="bottomLeft" activeCell="B15" sqref="B15"/>
    </sheetView>
  </sheetViews>
  <sheetFormatPr defaultColWidth="8.7109375" defaultRowHeight="15" x14ac:dyDescent="0.25"/>
  <cols>
    <col min="1" max="1" width="1.5703125" style="13" customWidth="1"/>
    <col min="2" max="7" width="8.7109375" style="13"/>
    <col min="8" max="8" width="4.5703125" style="13" customWidth="1"/>
    <col min="9" max="16384" width="8.7109375" style="13"/>
  </cols>
  <sheetData>
    <row r="1" spans="2:96" s="33" customFormat="1" ht="5.0999999999999996" customHeight="1" x14ac:dyDescent="0.2"/>
    <row r="2" spans="2:96" s="2" customFormat="1" ht="5.0999999999999996" customHeight="1" x14ac:dyDescent="0.25">
      <c r="D2" s="24"/>
      <c r="N2" s="6"/>
      <c r="O2" s="25"/>
      <c r="P2" s="25"/>
      <c r="Q2" s="25"/>
      <c r="R2" s="25"/>
      <c r="S2" s="25"/>
      <c r="T2" s="11"/>
      <c r="U2" s="26"/>
      <c r="V2" s="27"/>
      <c r="CO2" s="6"/>
      <c r="CP2" s="6"/>
      <c r="CQ2" s="6"/>
      <c r="CR2" s="6"/>
    </row>
    <row r="3" spans="2:96" s="3" customFormat="1" ht="30" customHeight="1" x14ac:dyDescent="0.25">
      <c r="B3" s="122" t="s">
        <v>459</v>
      </c>
      <c r="C3" s="2"/>
      <c r="D3" s="24"/>
      <c r="E3" s="2"/>
      <c r="F3" s="2"/>
      <c r="G3" s="2"/>
      <c r="H3" s="2"/>
      <c r="I3" s="2"/>
      <c r="J3" s="2"/>
      <c r="K3" s="2"/>
      <c r="L3" s="2"/>
      <c r="M3" s="2"/>
      <c r="N3" s="2"/>
      <c r="O3" s="2"/>
      <c r="P3" s="2"/>
      <c r="Q3" s="2"/>
      <c r="R3" s="2"/>
      <c r="S3" s="2"/>
      <c r="T3" s="120"/>
      <c r="U3" s="121"/>
      <c r="V3" s="2"/>
      <c r="W3" s="2"/>
      <c r="X3" s="2"/>
      <c r="Y3" s="2"/>
      <c r="Z3" s="2"/>
      <c r="AA3" s="2"/>
      <c r="AB3" s="2"/>
      <c r="AC3" s="2"/>
      <c r="AD3" s="2"/>
      <c r="AE3" s="2"/>
    </row>
    <row r="4" spans="2:96" ht="5.0999999999999996" customHeight="1" x14ac:dyDescent="0.25"/>
    <row r="5" spans="2:96" x14ac:dyDescent="0.25">
      <c r="B5" s="123" t="s">
        <v>460</v>
      </c>
    </row>
    <row r="6" spans="2:96" ht="5.0999999999999996" customHeight="1" x14ac:dyDescent="0.25"/>
    <row r="7" spans="2:96" x14ac:dyDescent="0.25">
      <c r="B7" s="13" t="s">
        <v>467</v>
      </c>
    </row>
    <row r="8" spans="2:96" ht="5.0999999999999996" customHeight="1" x14ac:dyDescent="0.25"/>
    <row r="9" spans="2:96" x14ac:dyDescent="0.25">
      <c r="B9" s="129" t="s">
        <v>445</v>
      </c>
    </row>
    <row r="10" spans="2:96" x14ac:dyDescent="0.25">
      <c r="B10" s="129" t="s">
        <v>446</v>
      </c>
    </row>
    <row r="11" spans="2:96" x14ac:dyDescent="0.25">
      <c r="B11" s="129" t="s">
        <v>447</v>
      </c>
    </row>
    <row r="12" spans="2:96" ht="14.45" customHeight="1" x14ac:dyDescent="0.25">
      <c r="B12" s="322" t="s">
        <v>924</v>
      </c>
      <c r="C12" s="322"/>
      <c r="D12" s="322"/>
      <c r="E12" s="322"/>
      <c r="F12" s="322"/>
      <c r="G12" s="322"/>
      <c r="H12" s="322"/>
      <c r="I12" s="322"/>
      <c r="J12" s="322"/>
      <c r="K12" s="322"/>
      <c r="L12" s="322"/>
      <c r="M12" s="322"/>
      <c r="N12" s="322"/>
    </row>
    <row r="13" spans="2:96" x14ac:dyDescent="0.25">
      <c r="B13" s="322"/>
      <c r="C13" s="322"/>
      <c r="D13" s="322"/>
      <c r="E13" s="322"/>
      <c r="F13" s="322"/>
      <c r="G13" s="322"/>
      <c r="H13" s="322"/>
      <c r="I13" s="322"/>
      <c r="J13" s="322"/>
      <c r="K13" s="322"/>
      <c r="L13" s="322"/>
      <c r="M13" s="322"/>
      <c r="N13" s="322"/>
    </row>
    <row r="14" spans="2:96" x14ac:dyDescent="0.25">
      <c r="B14" s="322"/>
      <c r="C14" s="322"/>
      <c r="D14" s="322"/>
      <c r="E14" s="322"/>
      <c r="F14" s="322"/>
      <c r="G14" s="322"/>
      <c r="H14" s="322"/>
      <c r="I14" s="322"/>
      <c r="J14" s="322"/>
      <c r="K14" s="322"/>
      <c r="L14" s="322"/>
      <c r="M14" s="322"/>
      <c r="N14" s="322"/>
    </row>
    <row r="15" spans="2:96" x14ac:dyDescent="0.25">
      <c r="B15" s="129" t="s">
        <v>448</v>
      </c>
    </row>
    <row r="16" spans="2:96" x14ac:dyDescent="0.25">
      <c r="B16" s="129" t="s">
        <v>449</v>
      </c>
    </row>
    <row r="17" spans="2:14" x14ac:dyDescent="0.25">
      <c r="B17" s="129" t="s">
        <v>504</v>
      </c>
    </row>
    <row r="18" spans="2:14" x14ac:dyDescent="0.25">
      <c r="B18" s="323" t="s">
        <v>450</v>
      </c>
      <c r="C18" s="323"/>
      <c r="D18" s="323"/>
      <c r="E18" s="323"/>
      <c r="F18" s="323"/>
      <c r="G18" s="323"/>
      <c r="H18" s="323"/>
      <c r="I18" s="323"/>
      <c r="J18" s="323"/>
      <c r="K18" s="323"/>
      <c r="L18" s="323"/>
      <c r="M18" s="323"/>
      <c r="N18" s="323"/>
    </row>
    <row r="19" spans="2:14" x14ac:dyDescent="0.25">
      <c r="B19" s="323"/>
      <c r="C19" s="323"/>
      <c r="D19" s="323"/>
      <c r="E19" s="323"/>
      <c r="F19" s="323"/>
      <c r="G19" s="323"/>
      <c r="H19" s="323"/>
      <c r="I19" s="323"/>
      <c r="J19" s="323"/>
      <c r="K19" s="323"/>
      <c r="L19" s="323"/>
      <c r="M19" s="323"/>
      <c r="N19" s="323"/>
    </row>
    <row r="20" spans="2:14" x14ac:dyDescent="0.25">
      <c r="B20" s="323"/>
      <c r="C20" s="323"/>
      <c r="D20" s="323"/>
      <c r="E20" s="323"/>
      <c r="F20" s="323"/>
      <c r="G20" s="323"/>
      <c r="H20" s="323"/>
      <c r="I20" s="323"/>
      <c r="J20" s="323"/>
      <c r="K20" s="323"/>
      <c r="L20" s="323"/>
      <c r="M20" s="323"/>
      <c r="N20" s="323"/>
    </row>
    <row r="21" spans="2:14" x14ac:dyDescent="0.25">
      <c r="B21" s="323" t="s">
        <v>451</v>
      </c>
      <c r="C21" s="323"/>
      <c r="D21" s="323"/>
      <c r="E21" s="323"/>
      <c r="F21" s="323"/>
      <c r="G21" s="323"/>
      <c r="H21" s="323"/>
      <c r="I21" s="323"/>
      <c r="J21" s="323"/>
      <c r="K21" s="323"/>
      <c r="L21" s="323"/>
      <c r="M21" s="323"/>
      <c r="N21" s="323"/>
    </row>
    <row r="22" spans="2:14" x14ac:dyDescent="0.25">
      <c r="B22" s="323"/>
      <c r="C22" s="323"/>
      <c r="D22" s="323"/>
      <c r="E22" s="323"/>
      <c r="F22" s="323"/>
      <c r="G22" s="323"/>
      <c r="H22" s="323"/>
      <c r="I22" s="323"/>
      <c r="J22" s="323"/>
      <c r="K22" s="323"/>
      <c r="L22" s="323"/>
      <c r="M22" s="323"/>
      <c r="N22" s="323"/>
    </row>
    <row r="23" spans="2:14" x14ac:dyDescent="0.25">
      <c r="B23" s="129" t="s">
        <v>452</v>
      </c>
    </row>
    <row r="25" spans="2:14" x14ac:dyDescent="0.25">
      <c r="B25" s="324" t="s">
        <v>815</v>
      </c>
      <c r="C25" s="324"/>
      <c r="D25" s="324"/>
      <c r="E25" s="324"/>
      <c r="F25" s="324"/>
      <c r="G25" s="324"/>
      <c r="H25" s="324"/>
      <c r="I25" s="324"/>
      <c r="J25" s="324"/>
      <c r="K25" s="324"/>
      <c r="L25" s="324"/>
      <c r="M25" s="324"/>
      <c r="N25" s="324"/>
    </row>
    <row r="26" spans="2:14" x14ac:dyDescent="0.25">
      <c r="B26" s="324"/>
      <c r="C26" s="324"/>
      <c r="D26" s="324"/>
      <c r="E26" s="324"/>
      <c r="F26" s="324"/>
      <c r="G26" s="324"/>
      <c r="H26" s="324"/>
      <c r="I26" s="324"/>
      <c r="J26" s="324"/>
      <c r="K26" s="324"/>
      <c r="L26" s="324"/>
      <c r="M26" s="324"/>
      <c r="N26" s="324"/>
    </row>
    <row r="27" spans="2:14" x14ac:dyDescent="0.25">
      <c r="B27" s="144"/>
      <c r="C27" s="144"/>
      <c r="D27" s="144"/>
      <c r="E27" s="144"/>
      <c r="F27" s="144"/>
      <c r="G27" s="144"/>
      <c r="H27" s="144"/>
      <c r="I27" s="144"/>
      <c r="J27" s="144"/>
      <c r="K27" s="144"/>
      <c r="L27" s="144"/>
      <c r="M27" s="144"/>
      <c r="N27" s="144"/>
    </row>
    <row r="28" spans="2:14" x14ac:dyDescent="0.25">
      <c r="B28" s="123" t="s">
        <v>468</v>
      </c>
    </row>
    <row r="29" spans="2:14" ht="5.0999999999999996" customHeight="1" x14ac:dyDescent="0.25"/>
    <row r="30" spans="2:14" x14ac:dyDescent="0.25">
      <c r="B30" s="321" t="s">
        <v>469</v>
      </c>
      <c r="C30" s="321"/>
      <c r="D30" s="321"/>
      <c r="E30" s="321"/>
      <c r="F30" s="321"/>
      <c r="G30" s="321"/>
      <c r="I30" s="124" t="s">
        <v>45</v>
      </c>
      <c r="J30" s="124" t="s">
        <v>46</v>
      </c>
      <c r="K30" s="124" t="s">
        <v>435</v>
      </c>
      <c r="L30" s="124" t="s">
        <v>436</v>
      </c>
    </row>
    <row r="31" spans="2:14" x14ac:dyDescent="0.25">
      <c r="B31" s="321"/>
      <c r="C31" s="321"/>
      <c r="D31" s="321"/>
      <c r="E31" s="321"/>
      <c r="F31" s="321"/>
      <c r="G31" s="321"/>
      <c r="I31" s="124" t="s">
        <v>453</v>
      </c>
      <c r="J31" s="124" t="s">
        <v>453</v>
      </c>
      <c r="K31" s="124" t="s">
        <v>453</v>
      </c>
      <c r="L31" s="124" t="s">
        <v>453</v>
      </c>
    </row>
    <row r="32" spans="2:14" x14ac:dyDescent="0.25">
      <c r="B32" s="124" t="s">
        <v>15</v>
      </c>
      <c r="C32" s="124" t="s">
        <v>3</v>
      </c>
      <c r="D32" s="124" t="s">
        <v>4</v>
      </c>
      <c r="E32" s="124" t="s">
        <v>13</v>
      </c>
      <c r="F32" s="124"/>
      <c r="G32" s="124"/>
      <c r="H32" s="125" t="s">
        <v>470</v>
      </c>
      <c r="I32" s="124" t="s">
        <v>461</v>
      </c>
      <c r="J32" s="124" t="s">
        <v>462</v>
      </c>
      <c r="K32" s="124" t="s">
        <v>463</v>
      </c>
      <c r="L32" s="124" t="s">
        <v>464</v>
      </c>
    </row>
    <row r="33" spans="2:12" x14ac:dyDescent="0.25">
      <c r="B33" s="124" t="s">
        <v>15</v>
      </c>
      <c r="C33" s="124" t="s">
        <v>3</v>
      </c>
      <c r="D33" s="124" t="s">
        <v>4</v>
      </c>
      <c r="E33" s="124"/>
      <c r="F33" s="124" t="s">
        <v>109</v>
      </c>
      <c r="G33" s="124"/>
      <c r="H33" s="125" t="s">
        <v>470</v>
      </c>
      <c r="I33" s="124" t="s">
        <v>461</v>
      </c>
      <c r="J33" s="124" t="s">
        <v>465</v>
      </c>
      <c r="K33" s="124" t="s">
        <v>463</v>
      </c>
      <c r="L33" s="124" t="s">
        <v>464</v>
      </c>
    </row>
    <row r="34" spans="2:12" x14ac:dyDescent="0.25">
      <c r="B34" s="124" t="s">
        <v>15</v>
      </c>
      <c r="C34" s="124" t="s">
        <v>3</v>
      </c>
      <c r="D34" s="124" t="s">
        <v>4</v>
      </c>
      <c r="E34" s="124"/>
      <c r="F34" s="124"/>
      <c r="G34" s="124" t="s">
        <v>114</v>
      </c>
      <c r="H34" s="125" t="s">
        <v>470</v>
      </c>
      <c r="I34" s="124" t="s">
        <v>461</v>
      </c>
      <c r="J34" s="124" t="s">
        <v>466</v>
      </c>
      <c r="K34" s="124" t="s">
        <v>463</v>
      </c>
      <c r="L34" s="124" t="s">
        <v>464</v>
      </c>
    </row>
    <row r="35" spans="2:12" x14ac:dyDescent="0.25">
      <c r="B35" s="124" t="s">
        <v>15</v>
      </c>
      <c r="C35" s="124" t="s">
        <v>3</v>
      </c>
      <c r="D35" s="124"/>
      <c r="E35" s="124" t="s">
        <v>13</v>
      </c>
      <c r="F35" s="124" t="s">
        <v>109</v>
      </c>
      <c r="G35" s="124"/>
      <c r="H35" s="125" t="s">
        <v>470</v>
      </c>
      <c r="I35" s="124" t="s">
        <v>462</v>
      </c>
      <c r="J35" s="124" t="s">
        <v>465</v>
      </c>
      <c r="K35" s="124" t="s">
        <v>461</v>
      </c>
      <c r="L35" s="124" t="s">
        <v>463</v>
      </c>
    </row>
    <row r="36" spans="2:12" x14ac:dyDescent="0.25">
      <c r="B36" s="124" t="s">
        <v>15</v>
      </c>
      <c r="C36" s="124" t="s">
        <v>3</v>
      </c>
      <c r="D36" s="124"/>
      <c r="E36" s="124" t="s">
        <v>13</v>
      </c>
      <c r="F36" s="124"/>
      <c r="G36" s="124" t="s">
        <v>114</v>
      </c>
      <c r="H36" s="125" t="s">
        <v>470</v>
      </c>
      <c r="I36" s="124" t="s">
        <v>462</v>
      </c>
      <c r="J36" s="124" t="s">
        <v>466</v>
      </c>
      <c r="K36" s="124" t="s">
        <v>461</v>
      </c>
      <c r="L36" s="124" t="s">
        <v>463</v>
      </c>
    </row>
    <row r="37" spans="2:12" x14ac:dyDescent="0.25">
      <c r="B37" s="124" t="s">
        <v>15</v>
      </c>
      <c r="C37" s="124" t="s">
        <v>3</v>
      </c>
      <c r="D37" s="124"/>
      <c r="E37" s="124"/>
      <c r="F37" s="124" t="s">
        <v>109</v>
      </c>
      <c r="G37" s="124" t="s">
        <v>114</v>
      </c>
      <c r="H37" s="125" t="s">
        <v>470</v>
      </c>
      <c r="I37" s="124" t="s">
        <v>465</v>
      </c>
      <c r="J37" s="124" t="s">
        <v>466</v>
      </c>
      <c r="K37" s="124" t="s">
        <v>463</v>
      </c>
      <c r="L37" s="124" t="s">
        <v>461</v>
      </c>
    </row>
    <row r="38" spans="2:12" x14ac:dyDescent="0.25">
      <c r="B38" s="124" t="s">
        <v>15</v>
      </c>
      <c r="C38" s="124"/>
      <c r="D38" s="124" t="s">
        <v>4</v>
      </c>
      <c r="E38" s="124" t="s">
        <v>13</v>
      </c>
      <c r="F38" s="124" t="s">
        <v>109</v>
      </c>
      <c r="G38" s="124"/>
      <c r="H38" s="125" t="s">
        <v>470</v>
      </c>
      <c r="I38" s="124" t="s">
        <v>465</v>
      </c>
      <c r="J38" s="124" t="s">
        <v>462</v>
      </c>
      <c r="K38" s="124" t="s">
        <v>464</v>
      </c>
      <c r="L38" s="124" t="s">
        <v>461</v>
      </c>
    </row>
    <row r="39" spans="2:12" x14ac:dyDescent="0.25">
      <c r="B39" s="124" t="s">
        <v>15</v>
      </c>
      <c r="C39" s="124"/>
      <c r="D39" s="124" t="s">
        <v>4</v>
      </c>
      <c r="E39" s="124" t="s">
        <v>13</v>
      </c>
      <c r="F39" s="124"/>
      <c r="G39" s="124" t="s">
        <v>114</v>
      </c>
      <c r="H39" s="125" t="s">
        <v>470</v>
      </c>
      <c r="I39" s="124" t="s">
        <v>466</v>
      </c>
      <c r="J39" s="124" t="s">
        <v>462</v>
      </c>
      <c r="K39" s="124" t="s">
        <v>464</v>
      </c>
      <c r="L39" s="124" t="s">
        <v>461</v>
      </c>
    </row>
    <row r="40" spans="2:12" x14ac:dyDescent="0.25">
      <c r="B40" s="124" t="s">
        <v>15</v>
      </c>
      <c r="C40" s="124"/>
      <c r="D40" s="124" t="s">
        <v>4</v>
      </c>
      <c r="E40" s="124"/>
      <c r="F40" s="124" t="s">
        <v>109</v>
      </c>
      <c r="G40" s="124" t="s">
        <v>114</v>
      </c>
      <c r="H40" s="125" t="s">
        <v>470</v>
      </c>
      <c r="I40" s="124" t="s">
        <v>465</v>
      </c>
      <c r="J40" s="124" t="s">
        <v>466</v>
      </c>
      <c r="K40" s="124" t="s">
        <v>464</v>
      </c>
      <c r="L40" s="124" t="s">
        <v>461</v>
      </c>
    </row>
    <row r="41" spans="2:12" x14ac:dyDescent="0.25">
      <c r="B41" s="124" t="s">
        <v>15</v>
      </c>
      <c r="C41" s="124"/>
      <c r="D41" s="124"/>
      <c r="E41" s="124" t="s">
        <v>13</v>
      </c>
      <c r="F41" s="124" t="s">
        <v>109</v>
      </c>
      <c r="G41" s="124" t="s">
        <v>114</v>
      </c>
      <c r="H41" s="125" t="s">
        <v>470</v>
      </c>
      <c r="I41" s="124" t="s">
        <v>465</v>
      </c>
      <c r="J41" s="124" t="s">
        <v>466</v>
      </c>
      <c r="K41" s="124" t="s">
        <v>462</v>
      </c>
      <c r="L41" s="124" t="s">
        <v>461</v>
      </c>
    </row>
    <row r="42" spans="2:12" x14ac:dyDescent="0.25">
      <c r="B42" s="124"/>
      <c r="C42" s="124" t="s">
        <v>3</v>
      </c>
      <c r="D42" s="124" t="s">
        <v>4</v>
      </c>
      <c r="E42" s="124" t="s">
        <v>13</v>
      </c>
      <c r="F42" s="124" t="s">
        <v>109</v>
      </c>
      <c r="G42" s="124"/>
      <c r="H42" s="125" t="s">
        <v>470</v>
      </c>
      <c r="I42" s="124" t="s">
        <v>465</v>
      </c>
      <c r="J42" s="124" t="s">
        <v>462</v>
      </c>
      <c r="K42" s="124" t="s">
        <v>463</v>
      </c>
      <c r="L42" s="124" t="s">
        <v>464</v>
      </c>
    </row>
    <row r="43" spans="2:12" x14ac:dyDescent="0.25">
      <c r="B43" s="124"/>
      <c r="C43" s="124" t="s">
        <v>3</v>
      </c>
      <c r="D43" s="124" t="s">
        <v>4</v>
      </c>
      <c r="E43" s="124" t="s">
        <v>13</v>
      </c>
      <c r="F43" s="124"/>
      <c r="G43" s="124" t="s">
        <v>114</v>
      </c>
      <c r="H43" s="125" t="s">
        <v>470</v>
      </c>
      <c r="I43" s="124" t="s">
        <v>466</v>
      </c>
      <c r="J43" s="124" t="s">
        <v>462</v>
      </c>
      <c r="K43" s="124" t="s">
        <v>464</v>
      </c>
      <c r="L43" s="124" t="s">
        <v>463</v>
      </c>
    </row>
    <row r="44" spans="2:12" x14ac:dyDescent="0.25">
      <c r="B44" s="124"/>
      <c r="C44" s="124" t="s">
        <v>3</v>
      </c>
      <c r="D44" s="124" t="s">
        <v>4</v>
      </c>
      <c r="E44" s="124"/>
      <c r="F44" s="124" t="s">
        <v>109</v>
      </c>
      <c r="G44" s="124" t="s">
        <v>114</v>
      </c>
      <c r="H44" s="125" t="s">
        <v>470</v>
      </c>
      <c r="I44" s="124" t="s">
        <v>466</v>
      </c>
      <c r="J44" s="124" t="s">
        <v>465</v>
      </c>
      <c r="K44" s="124" t="s">
        <v>464</v>
      </c>
      <c r="L44" s="124" t="s">
        <v>463</v>
      </c>
    </row>
    <row r="45" spans="2:12" x14ac:dyDescent="0.25">
      <c r="B45" s="124"/>
      <c r="C45" s="124" t="s">
        <v>3</v>
      </c>
      <c r="D45" s="124"/>
      <c r="E45" s="124" t="s">
        <v>13</v>
      </c>
      <c r="F45" s="124" t="s">
        <v>109</v>
      </c>
      <c r="G45" s="124" t="s">
        <v>114</v>
      </c>
      <c r="H45" s="125" t="s">
        <v>470</v>
      </c>
      <c r="I45" s="124" t="s">
        <v>466</v>
      </c>
      <c r="J45" s="124" t="s">
        <v>465</v>
      </c>
      <c r="K45" s="124" t="s">
        <v>462</v>
      </c>
      <c r="L45" s="124" t="s">
        <v>463</v>
      </c>
    </row>
    <row r="46" spans="2:12" x14ac:dyDescent="0.25">
      <c r="B46" s="124"/>
      <c r="C46" s="124"/>
      <c r="D46" s="124" t="s">
        <v>4</v>
      </c>
      <c r="E46" s="124" t="s">
        <v>13</v>
      </c>
      <c r="F46" s="124" t="s">
        <v>109</v>
      </c>
      <c r="G46" s="124" t="s">
        <v>114</v>
      </c>
      <c r="H46" s="125" t="s">
        <v>470</v>
      </c>
      <c r="I46" s="124" t="s">
        <v>466</v>
      </c>
      <c r="J46" s="124" t="s">
        <v>465</v>
      </c>
      <c r="K46" s="124" t="s">
        <v>462</v>
      </c>
      <c r="L46" s="124" t="s">
        <v>464</v>
      </c>
    </row>
  </sheetData>
  <sheetProtection sheet="1" objects="1" scenarios="1"/>
  <mergeCells count="5">
    <mergeCell ref="B30:G31"/>
    <mergeCell ref="B12:N14"/>
    <mergeCell ref="B18:N20"/>
    <mergeCell ref="B21:N22"/>
    <mergeCell ref="B25:N26"/>
  </mergeCells>
  <pageMargins left="0.45" right="0.45" top="0.5" bottom="0.5" header="0.3" footer="0.3"/>
  <pageSetup scale="89" fitToHeight="0" orientation="portrait" r:id="rId1"/>
  <headerFooter>
    <oddFooter>&amp;R(c) 2020 | journalSHEET.com</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CW22"/>
  <sheetViews>
    <sheetView showGridLines="0" workbookViewId="0">
      <pane ySplit="4" topLeftCell="A5" activePane="bottomLeft" state="frozen"/>
      <selection pane="bottomLeft" activeCell="E10" sqref="E10"/>
    </sheetView>
  </sheetViews>
  <sheetFormatPr defaultColWidth="8.7109375" defaultRowHeight="12.75" x14ac:dyDescent="0.2"/>
  <cols>
    <col min="1" max="1" width="1.5703125" style="146" customWidth="1"/>
    <col min="2" max="2" width="3.5703125" style="146" customWidth="1"/>
    <col min="3" max="3" width="12" style="146" customWidth="1"/>
    <col min="4" max="4" width="2.5703125" style="146" customWidth="1"/>
    <col min="5" max="5" width="38.42578125" style="146" customWidth="1"/>
    <col min="6" max="6" width="8.7109375" style="146"/>
    <col min="7" max="7" width="1.5703125" style="146" customWidth="1"/>
    <col min="8" max="10" width="13.5703125" style="146" customWidth="1"/>
    <col min="11" max="11" width="2.5703125" style="146" customWidth="1"/>
    <col min="12" max="16384" width="8.7109375" style="146"/>
  </cols>
  <sheetData>
    <row r="1" spans="2:101" s="33" customFormat="1" ht="5.0999999999999996" customHeight="1" x14ac:dyDescent="0.2"/>
    <row r="2" spans="2:101" s="2" customFormat="1" ht="5.0999999999999996" customHeight="1" x14ac:dyDescent="0.25">
      <c r="D2" s="24"/>
      <c r="L2" s="6"/>
      <c r="M2" s="25"/>
      <c r="N2" s="25"/>
      <c r="O2" s="25"/>
      <c r="P2" s="25"/>
      <c r="Q2" s="25"/>
      <c r="R2" s="11"/>
      <c r="S2" s="26"/>
      <c r="T2" s="27"/>
      <c r="CM2" s="6"/>
      <c r="CN2" s="6"/>
      <c r="CO2" s="6"/>
      <c r="CP2" s="6"/>
    </row>
    <row r="3" spans="2:101" s="3" customFormat="1" ht="30" customHeight="1" x14ac:dyDescent="0.25">
      <c r="B3" s="122" t="s">
        <v>804</v>
      </c>
      <c r="C3" s="2"/>
      <c r="D3" s="24"/>
      <c r="E3" s="2"/>
      <c r="F3" s="2"/>
      <c r="G3" s="2"/>
      <c r="H3" s="2"/>
      <c r="I3" s="2"/>
      <c r="J3" s="2"/>
      <c r="K3" s="2"/>
      <c r="L3" s="2"/>
      <c r="M3" s="2"/>
      <c r="N3" s="2"/>
      <c r="O3" s="2"/>
      <c r="P3" s="2"/>
      <c r="Q3" s="2"/>
      <c r="R3" s="120"/>
      <c r="S3" s="121"/>
      <c r="T3" s="2"/>
      <c r="U3" s="2"/>
      <c r="V3" s="2"/>
      <c r="W3" s="2"/>
      <c r="X3" s="2"/>
      <c r="Y3" s="2"/>
      <c r="Z3" s="2"/>
      <c r="AA3" s="2"/>
      <c r="AB3" s="2"/>
      <c r="AC3" s="2"/>
    </row>
    <row r="4" spans="2:101" s="3" customFormat="1" ht="5.0999999999999996" customHeight="1" thickBot="1" x14ac:dyDescent="0.3">
      <c r="D4" s="8"/>
      <c r="K4" s="2"/>
      <c r="L4" s="6"/>
      <c r="M4" s="6"/>
      <c r="N4" s="6"/>
      <c r="O4" s="6"/>
      <c r="P4" s="6"/>
      <c r="Q4" s="6"/>
      <c r="R4" s="11"/>
      <c r="S4" s="26"/>
      <c r="T4" s="27"/>
      <c r="U4" s="2"/>
      <c r="V4" s="2"/>
      <c r="W4" s="2"/>
      <c r="X4" s="2"/>
      <c r="Y4" s="2"/>
      <c r="Z4" s="2"/>
      <c r="AA4" s="2"/>
      <c r="AB4" s="2"/>
      <c r="AC4" s="2"/>
      <c r="CT4" s="5"/>
      <c r="CU4" s="5"/>
      <c r="CV4" s="5"/>
      <c r="CW4" s="5"/>
    </row>
    <row r="5" spans="2:101" ht="15" customHeight="1" thickTop="1" x14ac:dyDescent="0.25">
      <c r="B5" s="137"/>
      <c r="C5" s="137"/>
      <c r="D5" s="137"/>
      <c r="E5" s="137"/>
      <c r="F5" s="137"/>
      <c r="H5" s="148"/>
      <c r="I5" s="149"/>
      <c r="J5" s="150"/>
    </row>
    <row r="6" spans="2:101" ht="15" customHeight="1" x14ac:dyDescent="0.25">
      <c r="B6" s="137"/>
      <c r="C6" s="137"/>
      <c r="D6" s="137"/>
      <c r="E6" s="138"/>
      <c r="F6" s="138"/>
      <c r="H6" s="151"/>
      <c r="J6" s="152"/>
    </row>
    <row r="7" spans="2:101" ht="15" customHeight="1" x14ac:dyDescent="0.25">
      <c r="B7" s="137"/>
      <c r="C7" s="137"/>
      <c r="D7" s="137"/>
      <c r="E7" s="138"/>
      <c r="F7" s="138"/>
      <c r="H7" s="151"/>
      <c r="J7" s="152"/>
    </row>
    <row r="8" spans="2:101" ht="15" customHeight="1" x14ac:dyDescent="0.25">
      <c r="B8" s="137"/>
      <c r="C8" s="137" t="s">
        <v>806</v>
      </c>
      <c r="D8" s="137" t="s">
        <v>807</v>
      </c>
      <c r="E8" s="137" t="s">
        <v>1205</v>
      </c>
      <c r="F8" s="137"/>
      <c r="H8" s="151"/>
      <c r="J8" s="152"/>
    </row>
    <row r="9" spans="2:101" ht="15" customHeight="1" x14ac:dyDescent="0.25">
      <c r="B9" s="137"/>
      <c r="C9" s="137" t="s">
        <v>808</v>
      </c>
      <c r="D9" s="137" t="s">
        <v>807</v>
      </c>
      <c r="E9" s="139" t="s">
        <v>1641</v>
      </c>
      <c r="F9" s="137"/>
      <c r="H9" s="151"/>
      <c r="J9" s="152"/>
    </row>
    <row r="10" spans="2:101" ht="15" customHeight="1" x14ac:dyDescent="0.25">
      <c r="B10" s="137"/>
      <c r="C10" s="137" t="s">
        <v>809</v>
      </c>
      <c r="D10" s="137" t="s">
        <v>807</v>
      </c>
      <c r="E10" s="137" t="s">
        <v>810</v>
      </c>
      <c r="F10" s="137"/>
      <c r="H10" s="151"/>
      <c r="J10" s="152"/>
    </row>
    <row r="11" spans="2:101" ht="15" customHeight="1" x14ac:dyDescent="0.25">
      <c r="B11" s="137"/>
      <c r="C11" s="137" t="s">
        <v>811</v>
      </c>
      <c r="D11" s="137" t="s">
        <v>807</v>
      </c>
      <c r="E11" s="141" t="s">
        <v>816</v>
      </c>
      <c r="F11" s="140"/>
      <c r="H11" s="151"/>
      <c r="J11" s="152"/>
    </row>
    <row r="12" spans="2:101" ht="15" customHeight="1" x14ac:dyDescent="0.25">
      <c r="B12" s="137"/>
      <c r="C12" s="137" t="s">
        <v>812</v>
      </c>
      <c r="D12" s="137" t="s">
        <v>807</v>
      </c>
      <c r="E12" s="141" t="s">
        <v>813</v>
      </c>
      <c r="F12" s="140"/>
      <c r="H12" s="325" t="s">
        <v>1207</v>
      </c>
      <c r="I12" s="326"/>
      <c r="J12" s="327"/>
      <c r="K12" s="147"/>
    </row>
    <row r="13" spans="2:101" ht="15" customHeight="1" x14ac:dyDescent="0.25">
      <c r="B13" s="137"/>
      <c r="C13" s="137" t="s">
        <v>814</v>
      </c>
      <c r="D13" s="137" t="s">
        <v>807</v>
      </c>
      <c r="E13" s="145" t="s">
        <v>817</v>
      </c>
      <c r="F13" s="140"/>
      <c r="H13" s="153"/>
      <c r="I13" s="328" t="s">
        <v>1038</v>
      </c>
      <c r="J13" s="154"/>
    </row>
    <row r="14" spans="2:101" ht="15" customHeight="1" thickBot="1" x14ac:dyDescent="0.3">
      <c r="B14" s="137"/>
      <c r="C14" s="137"/>
      <c r="D14" s="137"/>
      <c r="E14" s="137"/>
      <c r="F14" s="140"/>
      <c r="H14" s="155"/>
      <c r="I14" s="329"/>
      <c r="J14" s="156"/>
    </row>
    <row r="15" spans="2:101" ht="13.5" thickTop="1" x14ac:dyDescent="0.2"/>
    <row r="16" spans="2:101" ht="15.6" customHeight="1" x14ac:dyDescent="0.2">
      <c r="B16" s="331" t="s">
        <v>818</v>
      </c>
      <c r="C16" s="331"/>
      <c r="D16" s="331"/>
      <c r="E16" s="331"/>
      <c r="F16" s="331"/>
      <c r="G16" s="331"/>
      <c r="H16" s="331"/>
      <c r="I16" s="331"/>
      <c r="J16" s="331"/>
    </row>
    <row r="17" spans="2:10" ht="15.6" customHeight="1" x14ac:dyDescent="0.2">
      <c r="B17" s="331"/>
      <c r="C17" s="331"/>
      <c r="D17" s="331"/>
      <c r="E17" s="331"/>
      <c r="F17" s="331"/>
      <c r="G17" s="331"/>
      <c r="H17" s="331"/>
      <c r="I17" s="331"/>
      <c r="J17" s="331"/>
    </row>
    <row r="18" spans="2:10" ht="15.75" x14ac:dyDescent="0.25">
      <c r="B18" s="147"/>
    </row>
    <row r="19" spans="2:10" s="157" customFormat="1" ht="15.75" x14ac:dyDescent="0.25">
      <c r="B19" s="330" t="s">
        <v>1206</v>
      </c>
      <c r="C19" s="330"/>
      <c r="D19" s="330"/>
      <c r="E19" s="330"/>
      <c r="F19" s="330"/>
    </row>
    <row r="20" spans="2:10" s="147" customFormat="1" ht="15.75" x14ac:dyDescent="0.25"/>
    <row r="21" spans="2:10" s="147" customFormat="1" ht="15.75" x14ac:dyDescent="0.25"/>
    <row r="22" spans="2:10" s="147" customFormat="1" ht="15.75" x14ac:dyDescent="0.25"/>
  </sheetData>
  <sheetProtection algorithmName="SHA-512" hashValue="gixABQvPNREmpVjtz+WeduEULEUhgnqC7VAj8OXDv2cizx1D/bFuSWzoaYDILcSBb0mB/IG5bc6neSRchp1k5Q==" saltValue="ttMD+za2Ryk9jMEZPHfGAQ==" spinCount="100000" sheet="1" objects="1" scenarios="1"/>
  <mergeCells count="4">
    <mergeCell ref="H12:J12"/>
    <mergeCell ref="I13:I14"/>
    <mergeCell ref="B19:F19"/>
    <mergeCell ref="B16:J17"/>
  </mergeCells>
  <hyperlinks>
    <hyperlink ref="E11" r:id="rId1" xr:uid="{00000000-0004-0000-0A00-000000000000}"/>
    <hyperlink ref="B19:F19" r:id="rId2" display="Go to journalSHEET.com for other Euro 2020 spreadsheets" xr:uid="{00000000-0004-0000-0A00-000001000000}"/>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CY14"/>
  <sheetViews>
    <sheetView showGridLines="0" workbookViewId="0">
      <pane ySplit="4" topLeftCell="A5" activePane="bottomLeft" state="frozen"/>
      <selection pane="bottomLeft" activeCell="G14" sqref="G14"/>
    </sheetView>
  </sheetViews>
  <sheetFormatPr defaultRowHeight="12.75" x14ac:dyDescent="0.2"/>
  <cols>
    <col min="1" max="1" width="1.5703125" customWidth="1"/>
  </cols>
  <sheetData>
    <row r="1" spans="2:103" s="33" customFormat="1" ht="5.0999999999999996" customHeight="1" x14ac:dyDescent="0.2"/>
    <row r="2" spans="2:103" s="2" customFormat="1" ht="5.0999999999999996" customHeight="1" x14ac:dyDescent="0.25">
      <c r="D2" s="24"/>
      <c r="N2" s="6"/>
      <c r="O2" s="25"/>
      <c r="P2" s="25"/>
      <c r="Q2" s="25"/>
      <c r="R2" s="25"/>
      <c r="S2" s="25"/>
      <c r="T2" s="11"/>
      <c r="U2" s="26"/>
      <c r="V2" s="27"/>
      <c r="CO2" s="6"/>
      <c r="CP2" s="6"/>
      <c r="CQ2" s="6"/>
      <c r="CR2" s="6"/>
    </row>
    <row r="3" spans="2:103" s="3" customFormat="1" ht="30" customHeight="1" x14ac:dyDescent="0.25">
      <c r="B3" s="122" t="s">
        <v>805</v>
      </c>
      <c r="C3" s="2"/>
      <c r="D3" s="24"/>
      <c r="E3" s="2"/>
      <c r="F3" s="2"/>
      <c r="G3" s="2"/>
      <c r="H3" s="2"/>
      <c r="I3" s="2"/>
      <c r="J3" s="2"/>
      <c r="K3" s="2"/>
      <c r="L3" s="2"/>
      <c r="M3" s="2"/>
      <c r="N3" s="2"/>
      <c r="O3" s="2"/>
      <c r="P3" s="2"/>
      <c r="Q3" s="2"/>
      <c r="R3" s="2"/>
      <c r="S3" s="2"/>
      <c r="T3" s="120"/>
      <c r="U3" s="121"/>
      <c r="V3" s="2"/>
      <c r="W3" s="2"/>
      <c r="X3" s="2"/>
      <c r="Y3" s="2"/>
      <c r="Z3" s="2"/>
      <c r="AA3" s="2"/>
      <c r="AB3" s="2"/>
      <c r="AC3" s="2"/>
      <c r="AD3" s="2"/>
      <c r="AE3" s="2"/>
    </row>
    <row r="4" spans="2:103" s="3" customFormat="1" ht="5.0999999999999996" customHeight="1" x14ac:dyDescent="0.25">
      <c r="D4" s="8"/>
      <c r="M4" s="2"/>
      <c r="N4" s="6"/>
      <c r="O4" s="6"/>
      <c r="P4" s="6"/>
      <c r="Q4" s="6"/>
      <c r="R4" s="6"/>
      <c r="S4" s="6"/>
      <c r="T4" s="11"/>
      <c r="U4" s="26"/>
      <c r="V4" s="27"/>
      <c r="W4" s="2"/>
      <c r="X4" s="2"/>
      <c r="Y4" s="2"/>
      <c r="Z4" s="2"/>
      <c r="AA4" s="2"/>
      <c r="AB4" s="2"/>
      <c r="AC4" s="2"/>
      <c r="AD4" s="2"/>
      <c r="AE4" s="2"/>
      <c r="CV4" s="5"/>
      <c r="CW4" s="5"/>
      <c r="CX4" s="5"/>
      <c r="CY4" s="5"/>
    </row>
    <row r="14" spans="2:103" x14ac:dyDescent="0.2">
      <c r="G14" s="216" t="s">
        <v>1236</v>
      </c>
    </row>
  </sheetData>
  <sheetProtection algorithmName="SHA-512" hashValue="z2WNiKvguRLSyw8LH8NNcBd/VDJLnM9V1WSmjho1ynwvMBps3VaAd82kRqiOqyJt8+OWpmYMIDxZdEqQl23f0A==" saltValue="ILGC5w4i8Uto8SunKY0VeA==" spinCount="100000"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139</vt:i4>
      </vt:variant>
    </vt:vector>
  </HeadingPairs>
  <TitlesOfParts>
    <vt:vector size="151" baseType="lpstr">
      <vt:lpstr>Setup</vt:lpstr>
      <vt:lpstr>Top Scorer</vt:lpstr>
      <vt:lpstr>Group Stages</vt:lpstr>
      <vt:lpstr>Dummy Top Scorer</vt:lpstr>
      <vt:lpstr>Knock Out Stages</vt:lpstr>
      <vt:lpstr>Player Database</vt:lpstr>
      <vt:lpstr>Tournament</vt:lpstr>
      <vt:lpstr>Language</vt:lpstr>
      <vt:lpstr>Dummy Table</vt:lpstr>
      <vt:lpstr>Tie Breaker Regulation</vt:lpstr>
      <vt:lpstr>About</vt:lpstr>
      <vt:lpstr>License</vt:lpstr>
      <vt:lpstr>A1A2</vt:lpstr>
      <vt:lpstr>A1A3</vt:lpstr>
      <vt:lpstr>A1A4</vt:lpstr>
      <vt:lpstr>A2A1</vt:lpstr>
      <vt:lpstr>A2A3</vt:lpstr>
      <vt:lpstr>A2A4</vt:lpstr>
      <vt:lpstr>A3A1</vt:lpstr>
      <vt:lpstr>A3A2</vt:lpstr>
      <vt:lpstr>A3A4</vt:lpstr>
      <vt:lpstr>A4A1</vt:lpstr>
      <vt:lpstr>A4A2</vt:lpstr>
      <vt:lpstr>A4A3</vt:lpstr>
      <vt:lpstr>AC1C2</vt:lpstr>
      <vt:lpstr>AC1C3</vt:lpstr>
      <vt:lpstr>AC1C4</vt:lpstr>
      <vt:lpstr>AC2C1</vt:lpstr>
      <vt:lpstr>AC2C3</vt:lpstr>
      <vt:lpstr>AC2C4</vt:lpstr>
      <vt:lpstr>AC3C1</vt:lpstr>
      <vt:lpstr>AC3C2</vt:lpstr>
      <vt:lpstr>AC3C4</vt:lpstr>
      <vt:lpstr>AC4C1</vt:lpstr>
      <vt:lpstr>AC4C2</vt:lpstr>
      <vt:lpstr>AC4C3</vt:lpstr>
      <vt:lpstr>B1B2</vt:lpstr>
      <vt:lpstr>B1B3</vt:lpstr>
      <vt:lpstr>B1B4</vt:lpstr>
      <vt:lpstr>B2B1</vt:lpstr>
      <vt:lpstr>B2B3</vt:lpstr>
      <vt:lpstr>B2B4</vt:lpstr>
      <vt:lpstr>B3B1</vt:lpstr>
      <vt:lpstr>B3B2</vt:lpstr>
      <vt:lpstr>B3B4</vt:lpstr>
      <vt:lpstr>B4B1</vt:lpstr>
      <vt:lpstr>B4B2</vt:lpstr>
      <vt:lpstr>B4B3</vt:lpstr>
      <vt:lpstr>BIGQ11</vt:lpstr>
      <vt:lpstr>BIGQ12</vt:lpstr>
      <vt:lpstr>BIGQ21</vt:lpstr>
      <vt:lpstr>BIGQ22</vt:lpstr>
      <vt:lpstr>BIGQ31</vt:lpstr>
      <vt:lpstr>BIGQ32</vt:lpstr>
      <vt:lpstr>BIGQ41</vt:lpstr>
      <vt:lpstr>BIGQ42</vt:lpstr>
      <vt:lpstr>Countries</vt:lpstr>
      <vt:lpstr>Country</vt:lpstr>
      <vt:lpstr>D1D2</vt:lpstr>
      <vt:lpstr>D1D3</vt:lpstr>
      <vt:lpstr>D1D4</vt:lpstr>
      <vt:lpstr>D2D1</vt:lpstr>
      <vt:lpstr>D2D3</vt:lpstr>
      <vt:lpstr>D2D4</vt:lpstr>
      <vt:lpstr>D3D1</vt:lpstr>
      <vt:lpstr>D3D2</vt:lpstr>
      <vt:lpstr>D3D4</vt:lpstr>
      <vt:lpstr>D4D1</vt:lpstr>
      <vt:lpstr>D4D2</vt:lpstr>
      <vt:lpstr>D4D3</vt:lpstr>
      <vt:lpstr>E1E2</vt:lpstr>
      <vt:lpstr>E1E3</vt:lpstr>
      <vt:lpstr>E1E4</vt:lpstr>
      <vt:lpstr>E2E1</vt:lpstr>
      <vt:lpstr>E2E3</vt:lpstr>
      <vt:lpstr>E2E4</vt:lpstr>
      <vt:lpstr>E3E1</vt:lpstr>
      <vt:lpstr>E3E2</vt:lpstr>
      <vt:lpstr>E3E4</vt:lpstr>
      <vt:lpstr>E4E1</vt:lpstr>
      <vt:lpstr>E4E2</vt:lpstr>
      <vt:lpstr>E4E3</vt:lpstr>
      <vt:lpstr>F1F2</vt:lpstr>
      <vt:lpstr>F1F3</vt:lpstr>
      <vt:lpstr>F1F4</vt:lpstr>
      <vt:lpstr>F2F1</vt:lpstr>
      <vt:lpstr>F2F3</vt:lpstr>
      <vt:lpstr>F2F4</vt:lpstr>
      <vt:lpstr>F3F1</vt:lpstr>
      <vt:lpstr>F3F2</vt:lpstr>
      <vt:lpstr>F3F4</vt:lpstr>
      <vt:lpstr>F4F1</vt:lpstr>
      <vt:lpstr>F4F2</vt:lpstr>
      <vt:lpstr>F4F3</vt:lpstr>
      <vt:lpstr>FINAL11</vt:lpstr>
      <vt:lpstr>FINAL12</vt:lpstr>
      <vt:lpstr>G1G2</vt:lpstr>
      <vt:lpstr>G1G3</vt:lpstr>
      <vt:lpstr>G1G4</vt:lpstr>
      <vt:lpstr>G2G1</vt:lpstr>
      <vt:lpstr>G2G3</vt:lpstr>
      <vt:lpstr>G2G4</vt:lpstr>
      <vt:lpstr>G3G1</vt:lpstr>
      <vt:lpstr>G3G2</vt:lpstr>
      <vt:lpstr>G3G4</vt:lpstr>
      <vt:lpstr>G4G1</vt:lpstr>
      <vt:lpstr>G4G2</vt:lpstr>
      <vt:lpstr>G4G3</vt:lpstr>
      <vt:lpstr>H1H2</vt:lpstr>
      <vt:lpstr>H1H3</vt:lpstr>
      <vt:lpstr>H1H4</vt:lpstr>
      <vt:lpstr>H2H1</vt:lpstr>
      <vt:lpstr>H2H3</vt:lpstr>
      <vt:lpstr>H2H4</vt:lpstr>
      <vt:lpstr>H3H1</vt:lpstr>
      <vt:lpstr>H3H2</vt:lpstr>
      <vt:lpstr>H3H4</vt:lpstr>
      <vt:lpstr>H4H1</vt:lpstr>
      <vt:lpstr>H4H2</vt:lpstr>
      <vt:lpstr>H4H3</vt:lpstr>
      <vt:lpstr>PoolTeam</vt:lpstr>
      <vt:lpstr>'Group Stages'!Print_Area</vt:lpstr>
      <vt:lpstr>'Knock Out Stages'!Print_Area</vt:lpstr>
      <vt:lpstr>'Tie Breaker Regulation'!Print_Area</vt:lpstr>
      <vt:lpstr>Tournament!Print_Area</vt:lpstr>
      <vt:lpstr>QUFI11</vt:lpstr>
      <vt:lpstr>QUFI12</vt:lpstr>
      <vt:lpstr>QUFI21</vt:lpstr>
      <vt:lpstr>QUFI22</vt:lpstr>
      <vt:lpstr>QUFI31</vt:lpstr>
      <vt:lpstr>QUFI32</vt:lpstr>
      <vt:lpstr>QUFI41</vt:lpstr>
      <vt:lpstr>QUFI42</vt:lpstr>
      <vt:lpstr>QUFI51</vt:lpstr>
      <vt:lpstr>QUFI52</vt:lpstr>
      <vt:lpstr>QUFI61</vt:lpstr>
      <vt:lpstr>QUFI62</vt:lpstr>
      <vt:lpstr>QUFI71</vt:lpstr>
      <vt:lpstr>QUFI72</vt:lpstr>
      <vt:lpstr>QUFI81</vt:lpstr>
      <vt:lpstr>QUFI82</vt:lpstr>
      <vt:lpstr>SEFI11</vt:lpstr>
      <vt:lpstr>SEFI12</vt:lpstr>
      <vt:lpstr>SEFI21</vt:lpstr>
      <vt:lpstr>SEFI22</vt:lpstr>
      <vt:lpstr>Team</vt:lpstr>
      <vt:lpstr>THIR11</vt:lpstr>
      <vt:lpstr>THIR12</vt:lpstr>
      <vt:lpstr>TimezoneData</vt:lpstr>
      <vt:lpstr>TimezoneList</vt:lpstr>
      <vt:lpstr>Venues</vt:lpstr>
    </vt:vector>
  </TitlesOfParts>
  <Company>journalSHEET.com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Euro 2020 - 2021 Fixtures</dc:title>
  <dc:creator>journalSHEET</dc:creator>
  <cp:keywords>euro 2020</cp:keywords>
  <cp:lastModifiedBy>Michael Capuccino</cp:lastModifiedBy>
  <cp:lastPrinted>2021-04-06T09:16:23Z</cp:lastPrinted>
  <dcterms:created xsi:type="dcterms:W3CDTF">2008-04-13T01:23:18Z</dcterms:created>
  <dcterms:modified xsi:type="dcterms:W3CDTF">2024-06-27T02:57:37Z</dcterms:modified>
  <cp:category>Sport Spreadsheet</cp:category>
</cp:coreProperties>
</file>