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workbookProtection workbookPassword="CF63" lockStructure="1"/>
  <bookViews>
    <workbookView xWindow="9670" yWindow="0" windowWidth="9540" windowHeight="4040" tabRatio="804"/>
  </bookViews>
  <sheets>
    <sheet name="Tournament" sheetId="1" r:id="rId1"/>
    <sheet name="Dummy Table" sheetId="2" state="hidden" r:id="rId2"/>
    <sheet name="About" sheetId="21" r:id="rId3"/>
  </sheets>
  <definedNames>
    <definedName name="PoolTeam">Tournament!$AT$8:$AT$27</definedName>
    <definedName name="_xlnm.Print_Area" localSheetId="0">Tournament!$B$6:$AR$80</definedName>
    <definedName name="Venues">Tournament!$AU$8:$AU$18</definedName>
  </definedNames>
  <calcPr calcId="145621"/>
</workbook>
</file>

<file path=xl/calcChain.xml><?xml version="1.0" encoding="utf-8"?>
<calcChain xmlns="http://schemas.openxmlformats.org/spreadsheetml/2006/main">
  <c r="J29" i="2" l="1"/>
  <c r="I29" i="2"/>
  <c r="J28" i="2"/>
  <c r="I28" i="2"/>
  <c r="K28" i="2" s="1"/>
  <c r="J27" i="2"/>
  <c r="I27" i="2"/>
  <c r="J26" i="2"/>
  <c r="I26" i="2"/>
  <c r="K26" i="2" s="1"/>
  <c r="J25" i="2"/>
  <c r="I25" i="2"/>
  <c r="J22" i="2"/>
  <c r="I22" i="2"/>
  <c r="J21" i="2"/>
  <c r="I21" i="2"/>
  <c r="J20" i="2"/>
  <c r="I20" i="2"/>
  <c r="K20" i="2" s="1"/>
  <c r="J19" i="2"/>
  <c r="I19" i="2"/>
  <c r="J18" i="2"/>
  <c r="I18" i="2"/>
  <c r="J15" i="2"/>
  <c r="I15" i="2"/>
  <c r="J14" i="2"/>
  <c r="I14" i="2"/>
  <c r="K14" i="2" s="1"/>
  <c r="J13" i="2"/>
  <c r="I13" i="2"/>
  <c r="J12" i="2"/>
  <c r="I12" i="2"/>
  <c r="K12" i="2" s="1"/>
  <c r="J11" i="2"/>
  <c r="I11" i="2"/>
  <c r="J8" i="2"/>
  <c r="I8" i="2"/>
  <c r="K8" i="2" s="1"/>
  <c r="J7" i="2"/>
  <c r="I7" i="2"/>
  <c r="J6" i="2"/>
  <c r="I6" i="2"/>
  <c r="J5" i="2"/>
  <c r="I5" i="2"/>
  <c r="J4" i="2"/>
  <c r="I4" i="2"/>
  <c r="K4" i="2" s="1"/>
  <c r="AP38" i="1"/>
  <c r="AP37" i="1"/>
  <c r="N61" i="1"/>
  <c r="N60" i="1"/>
  <c r="AC73" i="1"/>
  <c r="AB70" i="1"/>
  <c r="AA70" i="1" s="1"/>
  <c r="EA39" i="2"/>
  <c r="EA35" i="2"/>
  <c r="EA31" i="2"/>
  <c r="EA27" i="2"/>
  <c r="EA23" i="2"/>
  <c r="EA19" i="2"/>
  <c r="EA15" i="2"/>
  <c r="EA11" i="2"/>
  <c r="EA7" i="2"/>
  <c r="EA3" i="2"/>
  <c r="EA42" i="2"/>
  <c r="DZ42" i="2"/>
  <c r="EA41" i="2"/>
  <c r="DZ41" i="2"/>
  <c r="EA40" i="2"/>
  <c r="DZ40" i="2"/>
  <c r="DZ39" i="2"/>
  <c r="EA38" i="2"/>
  <c r="DZ38" i="2"/>
  <c r="EA37" i="2"/>
  <c r="DZ37" i="2"/>
  <c r="EA36" i="2"/>
  <c r="DZ36" i="2"/>
  <c r="DZ35" i="2"/>
  <c r="EA34" i="2"/>
  <c r="DZ34" i="2"/>
  <c r="EA33" i="2"/>
  <c r="DZ33" i="2"/>
  <c r="EA32" i="2"/>
  <c r="DZ32" i="2"/>
  <c r="DZ31" i="2"/>
  <c r="EA30" i="2"/>
  <c r="DZ30" i="2"/>
  <c r="EA29" i="2"/>
  <c r="DZ29" i="2"/>
  <c r="EA28" i="2"/>
  <c r="DZ28" i="2"/>
  <c r="DZ27" i="2"/>
  <c r="EA26" i="2"/>
  <c r="DZ26" i="2"/>
  <c r="EA25" i="2"/>
  <c r="DZ25" i="2"/>
  <c r="EA24" i="2"/>
  <c r="DZ24" i="2"/>
  <c r="DZ23" i="2"/>
  <c r="EA22" i="2"/>
  <c r="DZ22" i="2"/>
  <c r="EA21" i="2"/>
  <c r="DZ21" i="2"/>
  <c r="EA20" i="2"/>
  <c r="DZ20" i="2"/>
  <c r="DZ19" i="2"/>
  <c r="EA18" i="2"/>
  <c r="DZ18" i="2"/>
  <c r="EA17" i="2"/>
  <c r="DZ17" i="2"/>
  <c r="EA16" i="2"/>
  <c r="DZ16" i="2"/>
  <c r="DZ15" i="2"/>
  <c r="EA14" i="2"/>
  <c r="DZ14" i="2"/>
  <c r="EA13" i="2"/>
  <c r="DZ13" i="2"/>
  <c r="EA12" i="2"/>
  <c r="DZ12" i="2"/>
  <c r="DZ11" i="2"/>
  <c r="EA10" i="2"/>
  <c r="DZ10" i="2"/>
  <c r="EA9" i="2"/>
  <c r="DZ9" i="2"/>
  <c r="EA8" i="2"/>
  <c r="DZ8" i="2"/>
  <c r="DZ7" i="2"/>
  <c r="EA6" i="2"/>
  <c r="DZ6" i="2"/>
  <c r="EA5" i="2"/>
  <c r="DZ5" i="2"/>
  <c r="EA4" i="2"/>
  <c r="DZ4" i="2"/>
  <c r="DZ3" i="2"/>
  <c r="DW42" i="2"/>
  <c r="DW40" i="2"/>
  <c r="EF40" i="2" s="1"/>
  <c r="DW38" i="2"/>
  <c r="DW36" i="2"/>
  <c r="EB36" i="2" s="1"/>
  <c r="DW34" i="2"/>
  <c r="DW32" i="2"/>
  <c r="EF32" i="2" s="1"/>
  <c r="EG32" i="2" s="1"/>
  <c r="DW30" i="2"/>
  <c r="DW28" i="2"/>
  <c r="ED28" i="2" s="1"/>
  <c r="DX27" i="2"/>
  <c r="DW26" i="2"/>
  <c r="DW24" i="2"/>
  <c r="DW22" i="2"/>
  <c r="EB22" i="2" s="1"/>
  <c r="DW20" i="2"/>
  <c r="DW18" i="2"/>
  <c r="EF18" i="2" s="1"/>
  <c r="DW16" i="2"/>
  <c r="DW14" i="2"/>
  <c r="DW12" i="2"/>
  <c r="DW10" i="2"/>
  <c r="DW8" i="2"/>
  <c r="DW6" i="2"/>
  <c r="EB6" i="2" s="1"/>
  <c r="DW4" i="2"/>
  <c r="DX13" i="2"/>
  <c r="DX23" i="2"/>
  <c r="DX31" i="2"/>
  <c r="EC31" i="2" s="1"/>
  <c r="DX35" i="2"/>
  <c r="DX39" i="2"/>
  <c r="DX9" i="2"/>
  <c r="DX17" i="2"/>
  <c r="EC17" i="2" s="1"/>
  <c r="DX21" i="2"/>
  <c r="DX25" i="2"/>
  <c r="EC25" i="2" s="1"/>
  <c r="DX29" i="2"/>
  <c r="DX33" i="2"/>
  <c r="ED33" i="2" s="1"/>
  <c r="DX37" i="2"/>
  <c r="DX41" i="2"/>
  <c r="EF41" i="2" s="1"/>
  <c r="DX4" i="2"/>
  <c r="EE4" i="2" s="1"/>
  <c r="DX6" i="2"/>
  <c r="EC6" i="2" s="1"/>
  <c r="DX8" i="2"/>
  <c r="EE8" i="2" s="1"/>
  <c r="DX10" i="2"/>
  <c r="EE10" i="2" s="1"/>
  <c r="DX12" i="2"/>
  <c r="EE12" i="2" s="1"/>
  <c r="DX14" i="2"/>
  <c r="ED14" i="2" s="1"/>
  <c r="DX16" i="2"/>
  <c r="DW3" i="2"/>
  <c r="DW5" i="2"/>
  <c r="DW7" i="2"/>
  <c r="EB7" i="2" s="1"/>
  <c r="DW9" i="2"/>
  <c r="DW11" i="2"/>
  <c r="DW13" i="2"/>
  <c r="ED13" i="2" s="1"/>
  <c r="DW15" i="2"/>
  <c r="ED15" i="2" s="1"/>
  <c r="DW17" i="2"/>
  <c r="DW19" i="2"/>
  <c r="EE19" i="2" s="1"/>
  <c r="DW21" i="2"/>
  <c r="DW23" i="2"/>
  <c r="EB23" i="2" s="1"/>
  <c r="DW25" i="2"/>
  <c r="DW27" i="2"/>
  <c r="EE27" i="2" s="1"/>
  <c r="DW29" i="2"/>
  <c r="EE29" i="2" s="1"/>
  <c r="DW31" i="2"/>
  <c r="EE31" i="2" s="1"/>
  <c r="DW33" i="2"/>
  <c r="DW35" i="2"/>
  <c r="EF35" i="2" s="1"/>
  <c r="EG35" i="2" s="1"/>
  <c r="DW37" i="2"/>
  <c r="DW39" i="2"/>
  <c r="EB39" i="2" s="1"/>
  <c r="DW41" i="2"/>
  <c r="DX7" i="2"/>
  <c r="DX11" i="2"/>
  <c r="ED11" i="2" s="1"/>
  <c r="DX15" i="2"/>
  <c r="DX19" i="2"/>
  <c r="DX18" i="2"/>
  <c r="EE18" i="2" s="1"/>
  <c r="DX20" i="2"/>
  <c r="EE20" i="2" s="1"/>
  <c r="DX22" i="2"/>
  <c r="EE22" i="2" s="1"/>
  <c r="DX24" i="2"/>
  <c r="DX26" i="2"/>
  <c r="EE26" i="2" s="1"/>
  <c r="DX28" i="2"/>
  <c r="DX30" i="2"/>
  <c r="ED30" i="2" s="1"/>
  <c r="DX32" i="2"/>
  <c r="DX34" i="2"/>
  <c r="EE34" i="2" s="1"/>
  <c r="DX36" i="2"/>
  <c r="DX38" i="2"/>
  <c r="EE38" i="2" s="1"/>
  <c r="DX40" i="2"/>
  <c r="DX42" i="2"/>
  <c r="EE42" i="2" s="1"/>
  <c r="DX5" i="2"/>
  <c r="EF14" i="2"/>
  <c r="EG14" i="2" s="1"/>
  <c r="EF16" i="2"/>
  <c r="EF39" i="2"/>
  <c r="EG39" i="2" s="1"/>
  <c r="DX3" i="2"/>
  <c r="ED24" i="2"/>
  <c r="AK73" i="1"/>
  <c r="EF15" i="2"/>
  <c r="EF4" i="2"/>
  <c r="EG4" i="2" s="1"/>
  <c r="EF6" i="2"/>
  <c r="EF26" i="2"/>
  <c r="EG26" i="2" s="1"/>
  <c r="EF29" i="2"/>
  <c r="EF31" i="2"/>
  <c r="EF34" i="2"/>
  <c r="EG34" i="2" s="1"/>
  <c r="EE6" i="2"/>
  <c r="ED21" i="2"/>
  <c r="EF8" i="2"/>
  <c r="EG8" i="2" s="1"/>
  <c r="EF37" i="2"/>
  <c r="EF21" i="2"/>
  <c r="EG21" i="2" s="1"/>
  <c r="ED36" i="2"/>
  <c r="ED16" i="2"/>
  <c r="ED29" i="2"/>
  <c r="EF13" i="2"/>
  <c r="EG13" i="2" s="1"/>
  <c r="EF10" i="2"/>
  <c r="EG10" i="2" s="1"/>
  <c r="EF3" i="2"/>
  <c r="ED27" i="2"/>
  <c r="EE37" i="2"/>
  <c r="EE21" i="2"/>
  <c r="EF11" i="2"/>
  <c r="EE25" i="2"/>
  <c r="EE11" i="2"/>
  <c r="EF7" i="2"/>
  <c r="EG7" i="2" s="1"/>
  <c r="EF33" i="2"/>
  <c r="EF17" i="2"/>
  <c r="EG17" i="2" s="1"/>
  <c r="ED7" i="2"/>
  <c r="ED37" i="2"/>
  <c r="EF9" i="2"/>
  <c r="EF24" i="2"/>
  <c r="EG24" i="2" s="1"/>
  <c r="EF28" i="2"/>
  <c r="EG28" i="2" s="1"/>
  <c r="EF20" i="2"/>
  <c r="EG20" i="2" s="1"/>
  <c r="EF38" i="2"/>
  <c r="EF30" i="2"/>
  <c r="EG30" i="2" s="1"/>
  <c r="EF22" i="2"/>
  <c r="EG22" i="2" s="1"/>
  <c r="ED25" i="2"/>
  <c r="ED9" i="2"/>
  <c r="EE41" i="2"/>
  <c r="EE17" i="2"/>
  <c r="ED42" i="2"/>
  <c r="N73" i="1"/>
  <c r="N72" i="1"/>
  <c r="S75" i="1"/>
  <c r="S74" i="1"/>
  <c r="S67" i="1"/>
  <c r="S66" i="1"/>
  <c r="CU31" i="2"/>
  <c r="K29" i="2"/>
  <c r="K25" i="2"/>
  <c r="K22" i="2"/>
  <c r="K19" i="2"/>
  <c r="K13" i="2"/>
  <c r="K7" i="2"/>
  <c r="K5" i="2"/>
  <c r="K27" i="2"/>
  <c r="K6" i="2"/>
  <c r="K11" i="2"/>
  <c r="K15" i="2"/>
  <c r="K21" i="2"/>
  <c r="K18" i="2"/>
  <c r="DY31" i="2"/>
  <c r="DY19" i="2"/>
  <c r="DV26" i="2"/>
  <c r="DY24" i="2"/>
  <c r="DY32" i="2"/>
  <c r="DV38" i="2"/>
  <c r="DY40" i="2"/>
  <c r="DV20" i="2"/>
  <c r="DV27" i="2"/>
  <c r="DV31" i="2"/>
  <c r="DY29" i="2"/>
  <c r="DV41" i="2"/>
  <c r="DV40" i="2"/>
  <c r="DV39" i="2"/>
  <c r="DV37" i="2"/>
  <c r="DV36" i="2"/>
  <c r="DV35" i="2"/>
  <c r="DV34" i="2"/>
  <c r="DV33" i="2"/>
  <c r="DV32" i="2"/>
  <c r="DV30" i="2"/>
  <c r="DV29" i="2"/>
  <c r="DV28" i="2"/>
  <c r="DV25" i="2"/>
  <c r="DV24" i="2"/>
  <c r="DV23" i="2"/>
  <c r="DV21" i="2"/>
  <c r="DV19" i="2"/>
  <c r="DV18" i="2"/>
  <c r="DV17" i="2"/>
  <c r="DV16" i="2"/>
  <c r="DV15" i="2"/>
  <c r="DV14" i="2"/>
  <c r="DV13" i="2"/>
  <c r="DV12" i="2"/>
  <c r="DV11" i="2"/>
  <c r="DV9" i="2"/>
  <c r="DV8" i="2"/>
  <c r="DV7" i="2"/>
  <c r="DV6" i="2"/>
  <c r="DV5" i="2"/>
  <c r="DV3" i="2"/>
  <c r="DY42" i="2"/>
  <c r="DY41" i="2"/>
  <c r="DY39" i="2"/>
  <c r="DY38" i="2"/>
  <c r="DY36" i="2"/>
  <c r="DY35" i="2"/>
  <c r="DY34" i="2"/>
  <c r="DY30" i="2"/>
  <c r="DY27" i="2"/>
  <c r="DY26" i="2"/>
  <c r="DY25" i="2"/>
  <c r="DY23" i="2"/>
  <c r="DY22" i="2"/>
  <c r="DY20" i="2"/>
  <c r="DY18" i="2"/>
  <c r="DY17" i="2"/>
  <c r="DY16" i="2"/>
  <c r="DY15" i="2"/>
  <c r="DY13" i="2"/>
  <c r="DY11" i="2"/>
  <c r="DY10" i="2"/>
  <c r="DY8" i="2"/>
  <c r="DY7" i="2"/>
  <c r="DY6" i="2"/>
  <c r="DY5" i="2"/>
  <c r="DY4" i="2"/>
  <c r="DY3" i="2"/>
  <c r="EE3" i="2"/>
  <c r="ED3" i="2"/>
  <c r="EG38" i="2"/>
  <c r="EG37" i="2"/>
  <c r="EG33" i="2"/>
  <c r="EG29" i="2"/>
  <c r="EC37" i="2"/>
  <c r="EC32" i="2"/>
  <c r="EC28" i="2"/>
  <c r="EC24" i="2"/>
  <c r="EC20" i="2"/>
  <c r="EC16" i="2"/>
  <c r="EC12" i="2"/>
  <c r="EC4" i="2"/>
  <c r="EB24" i="2"/>
  <c r="EB20" i="2"/>
  <c r="EB11" i="2"/>
  <c r="EB3" i="2"/>
  <c r="EC40" i="2"/>
  <c r="EC36" i="2"/>
  <c r="EC27" i="2"/>
  <c r="EC23" i="2"/>
  <c r="EC19" i="2"/>
  <c r="EC11" i="2"/>
  <c r="EC7" i="2"/>
  <c r="EC3" i="2"/>
  <c r="EB35" i="2"/>
  <c r="EB19" i="2"/>
  <c r="EB14" i="2"/>
  <c r="EB10" i="2"/>
  <c r="EC34" i="2"/>
  <c r="EB17" i="2"/>
  <c r="EC35" i="2"/>
  <c r="EC14" i="2"/>
  <c r="EC10" i="2"/>
  <c r="EB42" i="2"/>
  <c r="EB38" i="2"/>
  <c r="EB34" i="2"/>
  <c r="EB30" i="2"/>
  <c r="EB13" i="2"/>
  <c r="EB9" i="2"/>
  <c r="EB5" i="2"/>
  <c r="EC33" i="2"/>
  <c r="EC29" i="2"/>
  <c r="EC21" i="2"/>
  <c r="EC13" i="2"/>
  <c r="EC9" i="2"/>
  <c r="EC5" i="2"/>
  <c r="EB41" i="2"/>
  <c r="EB37" i="2"/>
  <c r="EB33" i="2"/>
  <c r="EB29" i="2"/>
  <c r="EB25" i="2"/>
  <c r="EB21" i="2"/>
  <c r="EB16" i="2"/>
  <c r="EB12" i="2"/>
  <c r="EB4" i="2"/>
  <c r="DY33" i="2"/>
  <c r="DV22" i="2"/>
  <c r="DV42" i="2"/>
  <c r="DY28" i="2"/>
  <c r="DY21" i="2"/>
  <c r="DY37" i="2"/>
  <c r="DY9" i="2"/>
  <c r="DY14" i="2"/>
  <c r="DV10" i="2"/>
  <c r="DY12" i="2"/>
  <c r="DV4" i="2"/>
  <c r="EG31" i="2"/>
  <c r="EG16" i="2"/>
  <c r="EG9" i="2"/>
  <c r="EG11" i="2"/>
  <c r="EG6" i="2"/>
  <c r="EG15" i="2"/>
  <c r="EG3" i="2"/>
  <c r="AA73" i="1"/>
  <c r="C22" i="2" l="1"/>
  <c r="EE33" i="2"/>
  <c r="EE39" i="2"/>
  <c r="EC30" i="2"/>
  <c r="EB28" i="2"/>
  <c r="EB31" i="2"/>
  <c r="EB15" i="2"/>
  <c r="ED38" i="2"/>
  <c r="ED17" i="2"/>
  <c r="ED22" i="2"/>
  <c r="EE7" i="2"/>
  <c r="ED31" i="2"/>
  <c r="EE15" i="2"/>
  <c r="EC38" i="2"/>
  <c r="EC22" i="2"/>
  <c r="EC15" i="2"/>
  <c r="EE14" i="2"/>
  <c r="EE36" i="2"/>
  <c r="EE28" i="2"/>
  <c r="ED39" i="2"/>
  <c r="ED26" i="2"/>
  <c r="ED4" i="2"/>
  <c r="ED12" i="2"/>
  <c r="ED6" i="2"/>
  <c r="EE5" i="2"/>
  <c r="EE9" i="2"/>
  <c r="EE23" i="2"/>
  <c r="ED8" i="2"/>
  <c r="EG41" i="2"/>
  <c r="C15" i="2"/>
  <c r="EG18" i="2"/>
  <c r="EG40" i="2"/>
  <c r="E28" i="2"/>
  <c r="EB26" i="2"/>
  <c r="EC18" i="2"/>
  <c r="EB40" i="2"/>
  <c r="EF19" i="2"/>
  <c r="EG19" i="2" s="1"/>
  <c r="EF25" i="2"/>
  <c r="EG25" i="2" s="1"/>
  <c r="ED41" i="2"/>
  <c r="ED19" i="2"/>
  <c r="ED32" i="2"/>
  <c r="EF42" i="2"/>
  <c r="EG42" i="2" s="1"/>
  <c r="EE40" i="2"/>
  <c r="N25" i="2" s="1"/>
  <c r="EE32" i="2"/>
  <c r="EE24" i="2"/>
  <c r="EE16" i="2"/>
  <c r="M12" i="2"/>
  <c r="EC39" i="2"/>
  <c r="EB27" i="2"/>
  <c r="EC41" i="2"/>
  <c r="ED40" i="2"/>
  <c r="N28" i="2" s="1"/>
  <c r="EF36" i="2"/>
  <c r="EG36" i="2" s="1"/>
  <c r="ED35" i="2"/>
  <c r="ED20" i="2"/>
  <c r="ED34" i="2"/>
  <c r="EF23" i="2"/>
  <c r="EG23" i="2" s="1"/>
  <c r="EE30" i="2"/>
  <c r="ED23" i="2"/>
  <c r="D15" i="2"/>
  <c r="E13" i="2"/>
  <c r="EC42" i="2"/>
  <c r="EB18" i="2"/>
  <c r="EC26" i="2"/>
  <c r="M18" i="2" s="1"/>
  <c r="EB32" i="2"/>
  <c r="EE35" i="2"/>
  <c r="EF27" i="2"/>
  <c r="EG27" i="2" s="1"/>
  <c r="ED18" i="2"/>
  <c r="N27" i="2" s="1"/>
  <c r="EE13" i="2"/>
  <c r="N7" i="2"/>
  <c r="EF12" i="2"/>
  <c r="ED10" i="2"/>
  <c r="EB8" i="2"/>
  <c r="EC8" i="2"/>
  <c r="ED5" i="2"/>
  <c r="EF5" i="2"/>
  <c r="EG5" i="2" s="1"/>
  <c r="C12" i="2" s="1"/>
  <c r="R74" i="1"/>
  <c r="AA74" i="1"/>
  <c r="R67" i="1"/>
  <c r="F11" i="2"/>
  <c r="R66" i="1"/>
  <c r="E14" i="2"/>
  <c r="C19" i="2"/>
  <c r="F14" i="2"/>
  <c r="D8" i="2"/>
  <c r="D14" i="2"/>
  <c r="M11" i="2"/>
  <c r="M4" i="2"/>
  <c r="M5" i="2"/>
  <c r="C25" i="2"/>
  <c r="D28" i="2"/>
  <c r="E7" i="2"/>
  <c r="M21" i="2"/>
  <c r="R75" i="1"/>
  <c r="E15" i="2"/>
  <c r="C5" i="2"/>
  <c r="E26" i="2"/>
  <c r="E11" i="2"/>
  <c r="M19" i="2"/>
  <c r="N18" i="2"/>
  <c r="G28" i="2"/>
  <c r="G5" i="2"/>
  <c r="G13" i="2"/>
  <c r="G20" i="2"/>
  <c r="F13" i="2"/>
  <c r="F22" i="2"/>
  <c r="G15" i="2"/>
  <c r="F27" i="2"/>
  <c r="F20" i="2"/>
  <c r="D25" i="2"/>
  <c r="C4" i="2"/>
  <c r="D12" i="2"/>
  <c r="D29" i="2"/>
  <c r="E18" i="2"/>
  <c r="D22" i="2"/>
  <c r="L22" i="2" s="1"/>
  <c r="N5" i="2"/>
  <c r="N19" i="2"/>
  <c r="N12" i="2"/>
  <c r="N21" i="2"/>
  <c r="N26" i="2"/>
  <c r="M22" i="2"/>
  <c r="M6" i="2"/>
  <c r="M15" i="2"/>
  <c r="D11" i="2"/>
  <c r="C20" i="2"/>
  <c r="C26" i="2"/>
  <c r="E19" i="2"/>
  <c r="E5" i="2"/>
  <c r="C27" i="2"/>
  <c r="E8" i="2"/>
  <c r="C28" i="2"/>
  <c r="L28" i="2" s="1"/>
  <c r="G11" i="2"/>
  <c r="F7" i="2"/>
  <c r="F5" i="2"/>
  <c r="F15" i="2"/>
  <c r="G6" i="2"/>
  <c r="F19" i="2"/>
  <c r="G12" i="2"/>
  <c r="F8" i="2"/>
  <c r="F18" i="2"/>
  <c r="G25" i="2"/>
  <c r="G7" i="2"/>
  <c r="D4" i="2"/>
  <c r="E21" i="2"/>
  <c r="E12" i="2"/>
  <c r="D18" i="2"/>
  <c r="D13" i="2"/>
  <c r="E22" i="2"/>
  <c r="N11" i="2"/>
  <c r="M29" i="2"/>
  <c r="N29" i="2"/>
  <c r="N13" i="2"/>
  <c r="M26" i="2"/>
  <c r="M8" i="2"/>
  <c r="M14" i="2"/>
  <c r="M25" i="2"/>
  <c r="M7" i="2"/>
  <c r="E20" i="2"/>
  <c r="D7" i="2"/>
  <c r="D26" i="2"/>
  <c r="D19" i="2"/>
  <c r="D5" i="2"/>
  <c r="C14" i="2"/>
  <c r="D27" i="2"/>
  <c r="C8" i="2"/>
  <c r="G22" i="2"/>
  <c r="G8" i="2"/>
  <c r="F25" i="2"/>
  <c r="H25" i="2" s="1"/>
  <c r="F21" i="2"/>
  <c r="F12" i="2"/>
  <c r="G14" i="2"/>
  <c r="F26" i="2"/>
  <c r="G18" i="2"/>
  <c r="G21" i="2"/>
  <c r="F28" i="2"/>
  <c r="E25" i="2"/>
  <c r="E4" i="2"/>
  <c r="D21" i="2"/>
  <c r="E29" i="2"/>
  <c r="C18" i="2"/>
  <c r="C13" i="2"/>
  <c r="N14" i="2"/>
  <c r="N22" i="2"/>
  <c r="N6" i="2"/>
  <c r="N15" i="2"/>
  <c r="N20" i="2"/>
  <c r="C21" i="2"/>
  <c r="G19" i="2"/>
  <c r="F4" i="2"/>
  <c r="L15" i="2"/>
  <c r="G27" i="2"/>
  <c r="F6" i="2"/>
  <c r="G26" i="2"/>
  <c r="G29" i="2"/>
  <c r="D20" i="2"/>
  <c r="M20" i="2"/>
  <c r="M27" i="2"/>
  <c r="N4" i="2"/>
  <c r="N8" i="2"/>
  <c r="C29" i="2"/>
  <c r="F29" i="2"/>
  <c r="G4" i="2"/>
  <c r="E27" i="2" l="1"/>
  <c r="C11" i="2"/>
  <c r="L11" i="2" s="1"/>
  <c r="O11" i="2" s="1"/>
  <c r="M28" i="2"/>
  <c r="M13" i="2"/>
  <c r="L14" i="2"/>
  <c r="O14" i="2" s="1"/>
  <c r="H11" i="2"/>
  <c r="L5" i="2"/>
  <c r="EG12" i="2"/>
  <c r="C7" i="2"/>
  <c r="L7" i="2" s="1"/>
  <c r="O7" i="2" s="1"/>
  <c r="L25" i="2"/>
  <c r="L21" i="2"/>
  <c r="H14" i="2"/>
  <c r="H28" i="2"/>
  <c r="L29" i="2"/>
  <c r="O29" i="2" s="1"/>
  <c r="H12" i="2"/>
  <c r="L18" i="2"/>
  <c r="O18" i="2" s="1"/>
  <c r="L8" i="2"/>
  <c r="O8" i="2" s="1"/>
  <c r="H5" i="2"/>
  <c r="L13" i="2"/>
  <c r="L12" i="2"/>
  <c r="O12" i="2" s="1"/>
  <c r="H20" i="2"/>
  <c r="H15" i="2"/>
  <c r="H6" i="2"/>
  <c r="L19" i="2"/>
  <c r="O19" i="2" s="1"/>
  <c r="H13" i="2"/>
  <c r="H29" i="2"/>
  <c r="O25" i="2"/>
  <c r="H26" i="2"/>
  <c r="H19" i="2"/>
  <c r="H7" i="2"/>
  <c r="L27" i="2"/>
  <c r="O27" i="2" s="1"/>
  <c r="L26" i="2"/>
  <c r="O26" i="2" s="1"/>
  <c r="O21" i="2"/>
  <c r="O5" i="2"/>
  <c r="H27" i="2"/>
  <c r="O22" i="2"/>
  <c r="H18" i="2"/>
  <c r="L20" i="2"/>
  <c r="O20" i="2" s="1"/>
  <c r="L4" i="2"/>
  <c r="O4" i="2" s="1"/>
  <c r="H8" i="2"/>
  <c r="O28" i="2"/>
  <c r="H22" i="2"/>
  <c r="H4" i="2"/>
  <c r="O15" i="2"/>
  <c r="H21" i="2"/>
  <c r="O13" i="2" l="1"/>
  <c r="C6" i="2"/>
  <c r="D6" i="2"/>
  <c r="E6" i="2"/>
  <c r="S14" i="2"/>
  <c r="S25" i="2"/>
  <c r="S18" i="2"/>
  <c r="S27" i="2"/>
  <c r="Q27" i="2"/>
  <c r="Q15" i="2"/>
  <c r="S15" i="2"/>
  <c r="S13" i="2"/>
  <c r="Q13" i="2"/>
  <c r="Q18" i="2"/>
  <c r="Q11" i="2"/>
  <c r="S11" i="2"/>
  <c r="Q14" i="2"/>
  <c r="Q29" i="2"/>
  <c r="S29" i="2"/>
  <c r="S21" i="2"/>
  <c r="Q21" i="2"/>
  <c r="S19" i="2"/>
  <c r="Q19" i="2"/>
  <c r="Q26" i="2"/>
  <c r="S26" i="2"/>
  <c r="Q28" i="2"/>
  <c r="S28" i="2"/>
  <c r="S20" i="2"/>
  <c r="Q20" i="2"/>
  <c r="S12" i="2"/>
  <c r="Q12" i="2"/>
  <c r="S22" i="2"/>
  <c r="Q22" i="2"/>
  <c r="Q25" i="2"/>
  <c r="T25" i="2" l="1"/>
  <c r="T28" i="2"/>
  <c r="U28" i="2" s="1"/>
  <c r="L6" i="2"/>
  <c r="O6" i="2" s="1"/>
  <c r="T18" i="2"/>
  <c r="T22" i="2"/>
  <c r="U22" i="2" s="1"/>
  <c r="Y18" i="2" s="1"/>
  <c r="Y19" i="2" s="1"/>
  <c r="CU22" i="2" s="1"/>
  <c r="U25" i="2"/>
  <c r="T19" i="2"/>
  <c r="U19" i="2" s="1"/>
  <c r="V18" i="2" s="1"/>
  <c r="T12" i="2"/>
  <c r="U12" i="2" s="1"/>
  <c r="T13" i="2"/>
  <c r="U13" i="2" s="1"/>
  <c r="W11" i="2" s="1"/>
  <c r="T11" i="2"/>
  <c r="U11" i="2" s="1"/>
  <c r="T15" i="2"/>
  <c r="U15" i="2" s="1"/>
  <c r="Y11" i="2" s="1"/>
  <c r="T14" i="2"/>
  <c r="U14" i="2" s="1"/>
  <c r="T27" i="2"/>
  <c r="U27" i="2" s="1"/>
  <c r="W25" i="2" s="1"/>
  <c r="T20" i="2"/>
  <c r="U20" i="2" s="1"/>
  <c r="T26" i="2"/>
  <c r="U26" i="2" s="1"/>
  <c r="V25" i="2" s="1"/>
  <c r="T29" i="2"/>
  <c r="U29" i="2" s="1"/>
  <c r="Y25" i="2" s="1"/>
  <c r="T21" i="2"/>
  <c r="U21" i="2" s="1"/>
  <c r="X18" i="2" s="1"/>
  <c r="U18" i="2"/>
  <c r="Q8" i="2" l="1"/>
  <c r="S6" i="2"/>
  <c r="S5" i="2"/>
  <c r="S7" i="2"/>
  <c r="S8" i="2"/>
  <c r="Q5" i="2"/>
  <c r="Q7" i="2"/>
  <c r="S4" i="2"/>
  <c r="Q4" i="2"/>
  <c r="Q6" i="2"/>
  <c r="W18" i="2"/>
  <c r="X25" i="2"/>
  <c r="X11" i="2"/>
  <c r="X12" i="2" s="1"/>
  <c r="V11" i="2"/>
  <c r="V12" i="2" s="1"/>
  <c r="CU21" i="2"/>
  <c r="DF21" i="2" s="1"/>
  <c r="AY26" i="2"/>
  <c r="W26" i="2"/>
  <c r="W12" i="2"/>
  <c r="AY12" i="2"/>
  <c r="Y26" i="2"/>
  <c r="CU29" i="2" s="1"/>
  <c r="CU28" i="2"/>
  <c r="V26" i="2"/>
  <c r="AA25" i="2"/>
  <c r="CU14" i="2"/>
  <c r="Y12" i="2"/>
  <c r="CU15" i="2" s="1"/>
  <c r="V19" i="2"/>
  <c r="AA18" i="2"/>
  <c r="X19" i="2"/>
  <c r="BW20" i="2"/>
  <c r="W19" i="2"/>
  <c r="AY19" i="2"/>
  <c r="DB22" i="2"/>
  <c r="DF22" i="2"/>
  <c r="DI22" i="2"/>
  <c r="CY22" i="2"/>
  <c r="DC22" i="2"/>
  <c r="CZ22" i="2"/>
  <c r="CX22" i="2"/>
  <c r="DK22" i="2"/>
  <c r="DE22" i="2"/>
  <c r="DQ22" i="2"/>
  <c r="DG22" i="2"/>
  <c r="BW13" i="2" l="1"/>
  <c r="CE13" i="2" s="1"/>
  <c r="T5" i="2"/>
  <c r="U5" i="2" s="1"/>
  <c r="T8" i="2"/>
  <c r="U8" i="2" s="1"/>
  <c r="Y4" i="2" s="1"/>
  <c r="T4" i="2"/>
  <c r="U4" i="2" s="1"/>
  <c r="T6" i="2"/>
  <c r="U6" i="2" s="1"/>
  <c r="W4" i="2" s="1"/>
  <c r="T7" i="2"/>
  <c r="U7" i="2" s="1"/>
  <c r="X4" i="2" s="1"/>
  <c r="DB21" i="2"/>
  <c r="AA11" i="2"/>
  <c r="AK11" i="2" s="1"/>
  <c r="X26" i="2"/>
  <c r="BW27" i="2"/>
  <c r="DG21" i="2"/>
  <c r="CW22" i="2"/>
  <c r="CZ21" i="2"/>
  <c r="DH22" i="2"/>
  <c r="DI21" i="2"/>
  <c r="DR22" i="2"/>
  <c r="DK21" i="2"/>
  <c r="CW21" i="2"/>
  <c r="CX21" i="2"/>
  <c r="CV22" i="2"/>
  <c r="DR21" i="2"/>
  <c r="DH21" i="2"/>
  <c r="DC21" i="2"/>
  <c r="DD21" i="2" s="1"/>
  <c r="DE21" i="2"/>
  <c r="DQ21" i="2"/>
  <c r="CY21" i="2"/>
  <c r="CV21" i="2"/>
  <c r="DG14" i="2"/>
  <c r="CZ14" i="2"/>
  <c r="DK14" i="2"/>
  <c r="CY14" i="2"/>
  <c r="DE14" i="2"/>
  <c r="CW14" i="2"/>
  <c r="DC14" i="2"/>
  <c r="DH14" i="2"/>
  <c r="DB14" i="2"/>
  <c r="CV14" i="2"/>
  <c r="DF14" i="2"/>
  <c r="DI14" i="2"/>
  <c r="DQ14" i="2"/>
  <c r="CX14" i="2"/>
  <c r="DR14" i="2"/>
  <c r="DR15" i="2"/>
  <c r="CH13" i="2"/>
  <c r="CB13" i="2"/>
  <c r="CI13" i="2"/>
  <c r="CD13" i="2"/>
  <c r="CA13" i="2"/>
  <c r="BI12" i="2"/>
  <c r="BF12" i="2"/>
  <c r="BG12" i="2"/>
  <c r="BJ12" i="2"/>
  <c r="BC12" i="2"/>
  <c r="BK12" i="2"/>
  <c r="BD12" i="2"/>
  <c r="AF18" i="2"/>
  <c r="AL18" i="2"/>
  <c r="AK18" i="2"/>
  <c r="AM18" i="2"/>
  <c r="AH18" i="2"/>
  <c r="AE18" i="2"/>
  <c r="AI18" i="2"/>
  <c r="AE25" i="2"/>
  <c r="AF25" i="2"/>
  <c r="AM25" i="2"/>
  <c r="AI25" i="2"/>
  <c r="AH25" i="2"/>
  <c r="AL25" i="2"/>
  <c r="AK25" i="2"/>
  <c r="X13" i="2"/>
  <c r="BW15" i="2" s="1"/>
  <c r="BW14" i="2"/>
  <c r="W13" i="2"/>
  <c r="AY13" i="2"/>
  <c r="BI19" i="2"/>
  <c r="BF19" i="2"/>
  <c r="BG19" i="2"/>
  <c r="BD19" i="2"/>
  <c r="BK19" i="2"/>
  <c r="BC19" i="2"/>
  <c r="BJ19" i="2"/>
  <c r="CE20" i="2"/>
  <c r="CG20" i="2"/>
  <c r="CH20" i="2"/>
  <c r="CA20" i="2"/>
  <c r="CI20" i="2"/>
  <c r="CD20" i="2"/>
  <c r="CB20" i="2"/>
  <c r="AY20" i="2"/>
  <c r="W20" i="2"/>
  <c r="BW21" i="2"/>
  <c r="X20" i="2"/>
  <c r="BW22" i="2" s="1"/>
  <c r="DA22" i="2"/>
  <c r="DD22" i="2"/>
  <c r="V20" i="2"/>
  <c r="AA19" i="2"/>
  <c r="V27" i="2"/>
  <c r="AA26" i="2"/>
  <c r="AM11" i="2"/>
  <c r="AH11" i="2"/>
  <c r="AE11" i="2"/>
  <c r="DK28" i="2"/>
  <c r="CY28" i="2"/>
  <c r="CZ28" i="2"/>
  <c r="DG28" i="2"/>
  <c r="DC28" i="2"/>
  <c r="DB28" i="2"/>
  <c r="DF28" i="2"/>
  <c r="DE28" i="2"/>
  <c r="DQ28" i="2"/>
  <c r="DR28" i="2"/>
  <c r="DR29" i="2"/>
  <c r="W27" i="2"/>
  <c r="AY27" i="2"/>
  <c r="DH15" i="2"/>
  <c r="CZ15" i="2"/>
  <c r="DE15" i="2"/>
  <c r="CV15" i="2"/>
  <c r="DC15" i="2"/>
  <c r="CY15" i="2"/>
  <c r="DA15" i="2" s="1"/>
  <c r="DB15" i="2"/>
  <c r="CX15" i="2"/>
  <c r="DK15" i="2"/>
  <c r="DG15" i="2"/>
  <c r="DF15" i="2"/>
  <c r="CW15" i="2"/>
  <c r="DI15" i="2"/>
  <c r="DQ15" i="2"/>
  <c r="AA12" i="2"/>
  <c r="V13" i="2"/>
  <c r="DF29" i="2"/>
  <c r="DC29" i="2"/>
  <c r="DK29" i="2"/>
  <c r="DG29" i="2"/>
  <c r="DE29" i="2"/>
  <c r="CZ29" i="2"/>
  <c r="CY29" i="2"/>
  <c r="DB29" i="2"/>
  <c r="DQ29" i="2"/>
  <c r="BO26" i="2"/>
  <c r="BC26" i="2"/>
  <c r="BJ26" i="2"/>
  <c r="BK26" i="2"/>
  <c r="BI26" i="2"/>
  <c r="BD26" i="2"/>
  <c r="BG26" i="2"/>
  <c r="BF26" i="2"/>
  <c r="BU26" i="2"/>
  <c r="BV26" i="2"/>
  <c r="CG13" i="2" l="1"/>
  <c r="V4" i="2"/>
  <c r="AL11" i="2"/>
  <c r="AI11" i="2"/>
  <c r="AF11" i="2"/>
  <c r="W5" i="2"/>
  <c r="AY5" i="2"/>
  <c r="Y5" i="2"/>
  <c r="CU8" i="2" s="1"/>
  <c r="CU7" i="2"/>
  <c r="DA21" i="2"/>
  <c r="BW6" i="2"/>
  <c r="X5" i="2"/>
  <c r="DJ21" i="2"/>
  <c r="DJ22" i="2"/>
  <c r="CG27" i="2"/>
  <c r="CB27" i="2"/>
  <c r="CH27" i="2"/>
  <c r="CE27" i="2"/>
  <c r="CD27" i="2"/>
  <c r="CA27" i="2"/>
  <c r="CI27" i="2"/>
  <c r="X27" i="2"/>
  <c r="BW29" i="2" s="1"/>
  <c r="BW28" i="2"/>
  <c r="AG18" i="2"/>
  <c r="CF13" i="2"/>
  <c r="CC20" i="2"/>
  <c r="DJ14" i="2"/>
  <c r="CF20" i="2"/>
  <c r="DA29" i="2"/>
  <c r="AG11" i="2"/>
  <c r="BE19" i="2"/>
  <c r="BH19" i="2"/>
  <c r="BH26" i="2"/>
  <c r="DN21" i="2"/>
  <c r="DD28" i="2"/>
  <c r="AJ11" i="2"/>
  <c r="BY13" i="2"/>
  <c r="BE12" i="2"/>
  <c r="BI27" i="2"/>
  <c r="BF27" i="2"/>
  <c r="BK27" i="2"/>
  <c r="BO27" i="2"/>
  <c r="BJ27" i="2"/>
  <c r="BD27" i="2"/>
  <c r="BC27" i="2"/>
  <c r="BG27" i="2"/>
  <c r="BU27" i="2"/>
  <c r="BV27" i="2"/>
  <c r="AL19" i="2"/>
  <c r="AM19" i="2"/>
  <c r="AE19" i="2"/>
  <c r="AH19" i="2"/>
  <c r="AF19" i="2"/>
  <c r="AK19" i="2"/>
  <c r="AI19" i="2"/>
  <c r="CA21" i="2"/>
  <c r="CJ21" i="2"/>
  <c r="BX21" i="2"/>
  <c r="CI21" i="2"/>
  <c r="CB21" i="2"/>
  <c r="CE21" i="2"/>
  <c r="BZ21" i="2"/>
  <c r="BY21" i="2"/>
  <c r="CD21" i="2"/>
  <c r="CK21" i="2"/>
  <c r="CH21" i="2"/>
  <c r="CG21" i="2"/>
  <c r="BY20" i="2"/>
  <c r="DD29" i="2"/>
  <c r="DD15" i="2"/>
  <c r="W28" i="2"/>
  <c r="AY29" i="2" s="1"/>
  <c r="AY28" i="2"/>
  <c r="DA28" i="2"/>
  <c r="AA20" i="2"/>
  <c r="V21" i="2"/>
  <c r="W21" i="2"/>
  <c r="AY22" i="2" s="1"/>
  <c r="AY21" i="2"/>
  <c r="CK20" i="2"/>
  <c r="V14" i="2"/>
  <c r="AA13" i="2"/>
  <c r="AL26" i="2"/>
  <c r="AI26" i="2"/>
  <c r="AM26" i="2"/>
  <c r="AK26" i="2"/>
  <c r="AF26" i="2"/>
  <c r="AE26" i="2"/>
  <c r="AH26" i="2"/>
  <c r="BC20" i="2"/>
  <c r="BJ20" i="2"/>
  <c r="BK20" i="2"/>
  <c r="BD20" i="2"/>
  <c r="BF20" i="2"/>
  <c r="BI20" i="2"/>
  <c r="BG20" i="2"/>
  <c r="CJ20" i="2"/>
  <c r="W14" i="2"/>
  <c r="AY15" i="2" s="1"/>
  <c r="AY14" i="2"/>
  <c r="CE15" i="2"/>
  <c r="CA15" i="2"/>
  <c r="CJ15" i="2"/>
  <c r="CB15" i="2"/>
  <c r="BY15" i="2"/>
  <c r="CG15" i="2"/>
  <c r="CD15" i="2"/>
  <c r="CI15" i="2"/>
  <c r="BX15" i="2"/>
  <c r="BZ15" i="2"/>
  <c r="CH15" i="2"/>
  <c r="CK15" i="2"/>
  <c r="AJ25" i="2"/>
  <c r="AG25" i="2"/>
  <c r="CC13" i="2"/>
  <c r="BZ13" i="2"/>
  <c r="AM12" i="2"/>
  <c r="AK12" i="2"/>
  <c r="AL12" i="2"/>
  <c r="AH12" i="2"/>
  <c r="AF12" i="2"/>
  <c r="AI12" i="2"/>
  <c r="AE12" i="2"/>
  <c r="AA27" i="2"/>
  <c r="V28" i="2"/>
  <c r="CH22" i="2"/>
  <c r="CA22" i="2"/>
  <c r="BY22" i="2"/>
  <c r="CB22" i="2"/>
  <c r="CK22" i="2"/>
  <c r="BX22" i="2"/>
  <c r="BZ22" i="2"/>
  <c r="CJ22" i="2"/>
  <c r="CI22" i="2"/>
  <c r="CD22" i="2"/>
  <c r="CE22" i="2"/>
  <c r="CG22" i="2"/>
  <c r="BZ20" i="2"/>
  <c r="BX20" i="2"/>
  <c r="BE26" i="2"/>
  <c r="DJ15" i="2"/>
  <c r="BX13" i="2"/>
  <c r="CJ13" i="2"/>
  <c r="DD14" i="2"/>
  <c r="BC13" i="2"/>
  <c r="BD13" i="2"/>
  <c r="BF13" i="2"/>
  <c r="BI13" i="2"/>
  <c r="BJ13" i="2"/>
  <c r="BG13" i="2"/>
  <c r="BK13" i="2"/>
  <c r="CG14" i="2"/>
  <c r="CD14" i="2"/>
  <c r="BZ14" i="2"/>
  <c r="BX14" i="2"/>
  <c r="CJ14" i="2"/>
  <c r="CA14" i="2"/>
  <c r="CH14" i="2"/>
  <c r="CE14" i="2"/>
  <c r="CI14" i="2"/>
  <c r="BY14" i="2"/>
  <c r="CB14" i="2"/>
  <c r="CK14" i="2"/>
  <c r="AJ18" i="2"/>
  <c r="BH12" i="2"/>
  <c r="CK13" i="2"/>
  <c r="DA14" i="2"/>
  <c r="DM21" i="2" l="1"/>
  <c r="AA4" i="2"/>
  <c r="V5" i="2"/>
  <c r="DM22" i="2"/>
  <c r="DO21" i="2"/>
  <c r="DP22" i="2"/>
  <c r="DL22" i="2"/>
  <c r="DP21" i="2"/>
  <c r="DL21" i="2"/>
  <c r="DO22" i="2"/>
  <c r="DN22" i="2"/>
  <c r="CF27" i="2"/>
  <c r="BW7" i="2"/>
  <c r="X6" i="2"/>
  <c r="BW8" i="2" s="1"/>
  <c r="CZ8" i="2"/>
  <c r="DE8" i="2"/>
  <c r="CY8" i="2"/>
  <c r="DQ8" i="2"/>
  <c r="DH8" i="2"/>
  <c r="DB8" i="2"/>
  <c r="DC8" i="2"/>
  <c r="CX8" i="2"/>
  <c r="CV8" i="2"/>
  <c r="DI8" i="2"/>
  <c r="DG8" i="2"/>
  <c r="DK8" i="2"/>
  <c r="DF8" i="2"/>
  <c r="CW8" i="2"/>
  <c r="CB6" i="2"/>
  <c r="CI6" i="2"/>
  <c r="CA6" i="2"/>
  <c r="CG6" i="2"/>
  <c r="CD6" i="2"/>
  <c r="CH6" i="2"/>
  <c r="CE6" i="2"/>
  <c r="BC5" i="2"/>
  <c r="BJ5" i="2"/>
  <c r="BO5" i="2"/>
  <c r="BU5" i="2"/>
  <c r="BI5" i="2"/>
  <c r="BG5" i="2"/>
  <c r="BD5" i="2"/>
  <c r="BF5" i="2"/>
  <c r="BK5" i="2"/>
  <c r="BV5" i="2"/>
  <c r="CY7" i="2"/>
  <c r="CV7" i="2"/>
  <c r="DK7" i="2"/>
  <c r="DQ7" i="2"/>
  <c r="DH7" i="2"/>
  <c r="CW7" i="2"/>
  <c r="DG7" i="2"/>
  <c r="DF7" i="2"/>
  <c r="CZ7" i="2"/>
  <c r="CX7" i="2"/>
  <c r="DB7" i="2"/>
  <c r="DI7" i="2"/>
  <c r="DE7" i="2"/>
  <c r="DR7" i="2"/>
  <c r="DC7" i="2"/>
  <c r="DR8" i="2"/>
  <c r="W6" i="2"/>
  <c r="AY6" i="2"/>
  <c r="CF22" i="2"/>
  <c r="CL15" i="2"/>
  <c r="BY27" i="2"/>
  <c r="BZ27" i="2"/>
  <c r="CE28" i="2"/>
  <c r="CA28" i="2"/>
  <c r="BY28" i="2"/>
  <c r="CI28" i="2"/>
  <c r="CJ28" i="2"/>
  <c r="BZ28" i="2"/>
  <c r="CG28" i="2"/>
  <c r="CK27" i="2"/>
  <c r="CJ27" i="2"/>
  <c r="CH28" i="2"/>
  <c r="BX28" i="2"/>
  <c r="CB28" i="2"/>
  <c r="BX27" i="2"/>
  <c r="CD28" i="2"/>
  <c r="CK28" i="2"/>
  <c r="CL22" i="2"/>
  <c r="CI29" i="2"/>
  <c r="CB29" i="2"/>
  <c r="CU30" i="2" s="1"/>
  <c r="CD29" i="2"/>
  <c r="CJ29" i="2"/>
  <c r="CH29" i="2"/>
  <c r="CF29" i="2"/>
  <c r="BZ29" i="2"/>
  <c r="CG29" i="2"/>
  <c r="CE29" i="2"/>
  <c r="CK29" i="2"/>
  <c r="CA29" i="2"/>
  <c r="BX29" i="2"/>
  <c r="BY29" i="2"/>
  <c r="CC27" i="2"/>
  <c r="CF15" i="2"/>
  <c r="BM13" i="2"/>
  <c r="BL26" i="2"/>
  <c r="BB26" i="2"/>
  <c r="BL20" i="2"/>
  <c r="AZ13" i="2"/>
  <c r="DM14" i="2"/>
  <c r="BA13" i="2"/>
  <c r="BL13" i="2"/>
  <c r="BB13" i="2"/>
  <c r="CC15" i="2"/>
  <c r="BA19" i="2"/>
  <c r="BM20" i="2"/>
  <c r="BB12" i="2"/>
  <c r="AG12" i="2"/>
  <c r="BA20" i="2"/>
  <c r="AZ20" i="2"/>
  <c r="BA27" i="2"/>
  <c r="AJ26" i="2"/>
  <c r="CC14" i="2"/>
  <c r="BE13" i="2"/>
  <c r="CC21" i="2"/>
  <c r="AG19" i="2"/>
  <c r="BH27" i="2"/>
  <c r="BH13" i="2"/>
  <c r="CL20" i="2"/>
  <c r="AJ12" i="2"/>
  <c r="DN15" i="2"/>
  <c r="DP15" i="2"/>
  <c r="DO15" i="2"/>
  <c r="DM15" i="2"/>
  <c r="DL15" i="2"/>
  <c r="DO14" i="2"/>
  <c r="DP14" i="2"/>
  <c r="V29" i="2"/>
  <c r="AA29" i="2" s="1"/>
  <c r="AA28" i="2"/>
  <c r="BH14" i="2"/>
  <c r="BG14" i="2"/>
  <c r="BF14" i="2"/>
  <c r="BD14" i="2"/>
  <c r="BO14" i="2"/>
  <c r="BJ14" i="2"/>
  <c r="AZ14" i="2"/>
  <c r="BK14" i="2"/>
  <c r="BA14" i="2"/>
  <c r="BB14" i="2"/>
  <c r="BN14" i="2"/>
  <c r="BL14" i="2"/>
  <c r="BM14" i="2"/>
  <c r="BI14" i="2"/>
  <c r="BC14" i="2"/>
  <c r="BU14" i="2"/>
  <c r="BV14" i="2"/>
  <c r="AZ12" i="2"/>
  <c r="AG26" i="2"/>
  <c r="AH13" i="2"/>
  <c r="AI13" i="2"/>
  <c r="AE13" i="2"/>
  <c r="AL13" i="2"/>
  <c r="AM13" i="2"/>
  <c r="AK13" i="2"/>
  <c r="AF13" i="2"/>
  <c r="BF29" i="2"/>
  <c r="BD29" i="2"/>
  <c r="BC29" i="2"/>
  <c r="BB29" i="2"/>
  <c r="BN29" i="2"/>
  <c r="BI29" i="2"/>
  <c r="BO29" i="2"/>
  <c r="BJ29" i="2"/>
  <c r="AZ29" i="2"/>
  <c r="BK29" i="2"/>
  <c r="BA29" i="2"/>
  <c r="BG29" i="2"/>
  <c r="BM29" i="2"/>
  <c r="BL29" i="2"/>
  <c r="BH29" i="2"/>
  <c r="BU29" i="2"/>
  <c r="BV29" i="2"/>
  <c r="BB27" i="2"/>
  <c r="CF14" i="2"/>
  <c r="DL14" i="2"/>
  <c r="AE27" i="2"/>
  <c r="AH27" i="2"/>
  <c r="AM27" i="2"/>
  <c r="AI27" i="2"/>
  <c r="AL27" i="2"/>
  <c r="AK27" i="2"/>
  <c r="AF27" i="2"/>
  <c r="BK15" i="2"/>
  <c r="BB15" i="2"/>
  <c r="BJ15" i="2"/>
  <c r="BI15" i="2"/>
  <c r="BG15" i="2"/>
  <c r="BF15" i="2"/>
  <c r="BN15" i="2"/>
  <c r="BU15" i="2"/>
  <c r="BV15" i="2"/>
  <c r="BH15" i="2"/>
  <c r="AZ15" i="2"/>
  <c r="BL15" i="2"/>
  <c r="BC15" i="2"/>
  <c r="BO15" i="2"/>
  <c r="BA15" i="2"/>
  <c r="BM15" i="2"/>
  <c r="BD15" i="2"/>
  <c r="V15" i="2"/>
  <c r="AA15" i="2" s="1"/>
  <c r="AA14" i="2"/>
  <c r="BO21" i="2"/>
  <c r="BN21" i="2"/>
  <c r="BM21" i="2"/>
  <c r="BK21" i="2"/>
  <c r="BF21" i="2"/>
  <c r="AZ21" i="2"/>
  <c r="BL21" i="2"/>
  <c r="BG21" i="2"/>
  <c r="BA21" i="2"/>
  <c r="BB21" i="2"/>
  <c r="BJ21" i="2"/>
  <c r="BH21" i="2"/>
  <c r="BI21" i="2"/>
  <c r="BC21" i="2"/>
  <c r="BD21" i="2"/>
  <c r="BV21" i="2"/>
  <c r="BU21" i="2"/>
  <c r="AZ19" i="2"/>
  <c r="BB19" i="2"/>
  <c r="BM19" i="2"/>
  <c r="V22" i="2"/>
  <c r="AA22" i="2" s="1"/>
  <c r="AA21" i="2"/>
  <c r="CL21" i="2"/>
  <c r="BE27" i="2"/>
  <c r="BU22" i="2"/>
  <c r="BV22" i="2"/>
  <c r="BG22" i="2"/>
  <c r="BF22" i="2"/>
  <c r="BD22" i="2"/>
  <c r="BC22" i="2"/>
  <c r="BN22" i="2"/>
  <c r="BI22" i="2"/>
  <c r="BO22" i="2"/>
  <c r="BJ22" i="2"/>
  <c r="AZ22" i="2"/>
  <c r="BK22" i="2"/>
  <c r="BL22" i="2"/>
  <c r="BB22" i="2"/>
  <c r="BH22" i="2"/>
  <c r="BA22" i="2"/>
  <c r="BM22" i="2"/>
  <c r="AL20" i="2"/>
  <c r="AE20" i="2"/>
  <c r="AF20" i="2"/>
  <c r="AM20" i="2"/>
  <c r="AH20" i="2"/>
  <c r="AK20" i="2"/>
  <c r="AI20" i="2"/>
  <c r="BL27" i="2"/>
  <c r="BA12" i="2"/>
  <c r="DN14" i="2"/>
  <c r="BM12" i="2"/>
  <c r="CL14" i="2"/>
  <c r="CM14" i="2" s="1"/>
  <c r="CL13" i="2"/>
  <c r="BL12" i="2"/>
  <c r="CC22" i="2"/>
  <c r="BL19" i="2"/>
  <c r="BB20" i="2"/>
  <c r="BH20" i="2"/>
  <c r="BE20" i="2"/>
  <c r="BG28" i="2"/>
  <c r="BF28" i="2"/>
  <c r="BD28" i="2"/>
  <c r="BC28" i="2"/>
  <c r="BB28" i="2"/>
  <c r="BM28" i="2"/>
  <c r="BH28" i="2"/>
  <c r="BN28" i="2"/>
  <c r="BI28" i="2"/>
  <c r="BO28" i="2"/>
  <c r="AZ28" i="2"/>
  <c r="BK28" i="2"/>
  <c r="BL28" i="2"/>
  <c r="BJ28" i="2"/>
  <c r="BA28" i="2"/>
  <c r="BV28" i="2"/>
  <c r="BU28" i="2"/>
  <c r="BA26" i="2"/>
  <c r="AZ26" i="2"/>
  <c r="BM26" i="2"/>
  <c r="CF21" i="2"/>
  <c r="AJ19" i="2"/>
  <c r="BM27" i="2"/>
  <c r="AZ27" i="2"/>
  <c r="AA5" i="2" l="1"/>
  <c r="V6" i="2"/>
  <c r="AE4" i="2"/>
  <c r="AH4" i="2"/>
  <c r="AJ4" i="2" s="1"/>
  <c r="AM4" i="2"/>
  <c r="AF4" i="2"/>
  <c r="AL4" i="2"/>
  <c r="AK4" i="2"/>
  <c r="AI4" i="2"/>
  <c r="BH5" i="2"/>
  <c r="CC6" i="2"/>
  <c r="CL29" i="2"/>
  <c r="CC29" i="2"/>
  <c r="BE5" i="2"/>
  <c r="DD8" i="2"/>
  <c r="DD7" i="2"/>
  <c r="DJ7" i="2"/>
  <c r="DJ8" i="2"/>
  <c r="BF6" i="2"/>
  <c r="BD6" i="2"/>
  <c r="BU6" i="2"/>
  <c r="BO6" i="2"/>
  <c r="BG6" i="2"/>
  <c r="BI6" i="2"/>
  <c r="BV6" i="2"/>
  <c r="BC6" i="2"/>
  <c r="BK6" i="2"/>
  <c r="BJ6" i="2"/>
  <c r="AY7" i="2"/>
  <c r="W7" i="2"/>
  <c r="AY8" i="2" s="1"/>
  <c r="DA7" i="2"/>
  <c r="CE8" i="2"/>
  <c r="CK8" i="2"/>
  <c r="CG8" i="2"/>
  <c r="BZ8" i="2"/>
  <c r="CJ8" i="2"/>
  <c r="BX8" i="2"/>
  <c r="CD8" i="2"/>
  <c r="CF8" i="2" s="1"/>
  <c r="BY8" i="2"/>
  <c r="CL8" i="2" s="1"/>
  <c r="CH8" i="2"/>
  <c r="CB8" i="2"/>
  <c r="CI8" i="2"/>
  <c r="CA8" i="2"/>
  <c r="CF28" i="2"/>
  <c r="CF6" i="2"/>
  <c r="DA8" i="2"/>
  <c r="BX7" i="2"/>
  <c r="CG7" i="2"/>
  <c r="CI7" i="2"/>
  <c r="BZ6" i="2"/>
  <c r="CJ6" i="2"/>
  <c r="BY6" i="2"/>
  <c r="CJ7" i="2"/>
  <c r="BZ7" i="2"/>
  <c r="BY7" i="2"/>
  <c r="BX6" i="2"/>
  <c r="CD7" i="2"/>
  <c r="CE7" i="2"/>
  <c r="CK7" i="2"/>
  <c r="CH7" i="2"/>
  <c r="CB7" i="2"/>
  <c r="CA7" i="2"/>
  <c r="CK6" i="2"/>
  <c r="CM21" i="2"/>
  <c r="CC28" i="2"/>
  <c r="DI28" i="2"/>
  <c r="DH28" i="2"/>
  <c r="CW29" i="2"/>
  <c r="CX29" i="2"/>
  <c r="CV29" i="2"/>
  <c r="CV28" i="2"/>
  <c r="DI29" i="2"/>
  <c r="DH29" i="2"/>
  <c r="CW28" i="2"/>
  <c r="CX28" i="2"/>
  <c r="AB19" i="2"/>
  <c r="CL28" i="2"/>
  <c r="CL27" i="2"/>
  <c r="CM20" i="2"/>
  <c r="CM22" i="2"/>
  <c r="CM13" i="2"/>
  <c r="AC18" i="2"/>
  <c r="CM15" i="2"/>
  <c r="CM7" i="2"/>
  <c r="CM6" i="2"/>
  <c r="CM8" i="2"/>
  <c r="BN20" i="2"/>
  <c r="AN27" i="2"/>
  <c r="AO27" i="2"/>
  <c r="AO11" i="2"/>
  <c r="BN13" i="2"/>
  <c r="AC25" i="2"/>
  <c r="AC11" i="2"/>
  <c r="AB20" i="2"/>
  <c r="AN19" i="2"/>
  <c r="AC27" i="2"/>
  <c r="AN26" i="2"/>
  <c r="AO26" i="2"/>
  <c r="AB26" i="2"/>
  <c r="AB11" i="2"/>
  <c r="CO15" i="2"/>
  <c r="AD25" i="2"/>
  <c r="AN20" i="2"/>
  <c r="AO25" i="2"/>
  <c r="AB27" i="2"/>
  <c r="BE29" i="2"/>
  <c r="AJ13" i="2"/>
  <c r="BE14" i="2"/>
  <c r="CP22" i="2"/>
  <c r="BN27" i="2"/>
  <c r="AN25" i="2"/>
  <c r="AD27" i="2"/>
  <c r="CR15" i="2"/>
  <c r="AD20" i="2"/>
  <c r="AO19" i="2"/>
  <c r="AC26" i="2"/>
  <c r="AB25" i="2"/>
  <c r="CN15" i="2"/>
  <c r="AJ20" i="2"/>
  <c r="AN13" i="2"/>
  <c r="CP20" i="2"/>
  <c r="AG20" i="2"/>
  <c r="AJ27" i="2"/>
  <c r="AG13" i="2"/>
  <c r="BE22" i="2"/>
  <c r="CO20" i="2"/>
  <c r="AB12" i="2"/>
  <c r="CR13" i="2"/>
  <c r="CP13" i="2"/>
  <c r="CO13" i="2"/>
  <c r="CN13" i="2"/>
  <c r="CQ13" i="2"/>
  <c r="CQ20" i="2"/>
  <c r="CR20" i="2"/>
  <c r="AK21" i="2"/>
  <c r="AE21" i="2"/>
  <c r="AL21" i="2"/>
  <c r="AB21" i="2"/>
  <c r="AD21" i="2"/>
  <c r="AN21" i="2"/>
  <c r="AH21" i="2"/>
  <c r="AO21" i="2"/>
  <c r="AC21" i="2"/>
  <c r="AF21" i="2"/>
  <c r="AM21" i="2"/>
  <c r="AI21" i="2"/>
  <c r="AN18" i="2"/>
  <c r="AB18" i="2"/>
  <c r="AD18" i="2"/>
  <c r="AO18" i="2"/>
  <c r="BN19" i="2"/>
  <c r="BO19" i="2" s="1"/>
  <c r="BE21" i="2"/>
  <c r="BE15" i="2"/>
  <c r="AD19" i="2"/>
  <c r="AD13" i="2"/>
  <c r="AB13" i="2"/>
  <c r="CR22" i="2"/>
  <c r="AC19" i="2"/>
  <c r="BE28" i="2"/>
  <c r="CQ15" i="2"/>
  <c r="CR14" i="2"/>
  <c r="CQ14" i="2"/>
  <c r="CP14" i="2"/>
  <c r="CO14" i="2"/>
  <c r="CN14" i="2"/>
  <c r="AO20" i="2"/>
  <c r="CN20" i="2"/>
  <c r="AN22" i="2"/>
  <c r="AD22" i="2"/>
  <c r="AO22" i="2"/>
  <c r="AE22" i="2"/>
  <c r="AH22" i="2"/>
  <c r="AB22" i="2"/>
  <c r="AM22" i="2"/>
  <c r="AC22" i="2"/>
  <c r="AK22" i="2"/>
  <c r="AF22" i="2"/>
  <c r="AI22" i="2"/>
  <c r="AL22" i="2"/>
  <c r="AG27" i="2"/>
  <c r="AM28" i="2"/>
  <c r="AH28" i="2"/>
  <c r="AK28" i="2"/>
  <c r="AN28" i="2"/>
  <c r="AL28" i="2"/>
  <c r="AF28" i="2"/>
  <c r="AE28" i="2"/>
  <c r="AB28" i="2"/>
  <c r="AI28" i="2"/>
  <c r="AD28" i="2"/>
  <c r="AC28" i="2"/>
  <c r="AO28" i="2"/>
  <c r="CN22" i="2"/>
  <c r="BN26" i="2"/>
  <c r="CP15" i="2"/>
  <c r="AC20" i="2"/>
  <c r="AO14" i="2"/>
  <c r="AN14" i="2"/>
  <c r="AD14" i="2"/>
  <c r="AC14" i="2"/>
  <c r="AK14" i="2"/>
  <c r="AM14" i="2"/>
  <c r="AF14" i="2"/>
  <c r="AI14" i="2"/>
  <c r="AB14" i="2"/>
  <c r="AE14" i="2"/>
  <c r="AL14" i="2"/>
  <c r="AH14" i="2"/>
  <c r="AJ14" i="2" s="1"/>
  <c r="AN11" i="2"/>
  <c r="AC12" i="2"/>
  <c r="AO12" i="2"/>
  <c r="AD11" i="2"/>
  <c r="AD12" i="2"/>
  <c r="AN12" i="2"/>
  <c r="AC13" i="2"/>
  <c r="AL29" i="2"/>
  <c r="AK29" i="2"/>
  <c r="AN29" i="2"/>
  <c r="AH29" i="2"/>
  <c r="AB29" i="2"/>
  <c r="AM29" i="2"/>
  <c r="AC29" i="2"/>
  <c r="AO29" i="2"/>
  <c r="AF29" i="2"/>
  <c r="AI29" i="2"/>
  <c r="AE29" i="2"/>
  <c r="AD29" i="2"/>
  <c r="CQ22" i="2"/>
  <c r="AD26" i="2"/>
  <c r="CP21" i="2"/>
  <c r="CQ21" i="2"/>
  <c r="CO21" i="2"/>
  <c r="CR21" i="2"/>
  <c r="CN21" i="2"/>
  <c r="AM15" i="2"/>
  <c r="AH15" i="2"/>
  <c r="AF15" i="2"/>
  <c r="AE15" i="2"/>
  <c r="AC15" i="2"/>
  <c r="AI15" i="2"/>
  <c r="AO15" i="2"/>
  <c r="AD15" i="2"/>
  <c r="AL15" i="2"/>
  <c r="AK15" i="2"/>
  <c r="AN15" i="2"/>
  <c r="AB15" i="2"/>
  <c r="AO13" i="2"/>
  <c r="BN12" i="2"/>
  <c r="BO12" i="2" s="1"/>
  <c r="CO22" i="2"/>
  <c r="AG4" i="2" l="1"/>
  <c r="BL6" i="2"/>
  <c r="V7" i="2"/>
  <c r="AA6" i="2"/>
  <c r="AM5" i="2"/>
  <c r="AF5" i="2"/>
  <c r="AK5" i="2"/>
  <c r="AI5" i="2"/>
  <c r="AL5" i="2"/>
  <c r="AH5" i="2"/>
  <c r="AJ5" i="2" s="1"/>
  <c r="AE5" i="2"/>
  <c r="BE6" i="2"/>
  <c r="CL6" i="2"/>
  <c r="CC7" i="2"/>
  <c r="BB8" i="2"/>
  <c r="BF8" i="2"/>
  <c r="BN8" i="2"/>
  <c r="BI8" i="2"/>
  <c r="BJ8" i="2"/>
  <c r="BL8" i="2"/>
  <c r="BK8" i="2"/>
  <c r="BU8" i="2"/>
  <c r="AZ8" i="2"/>
  <c r="BH8" i="2"/>
  <c r="BC8" i="2"/>
  <c r="BG8" i="2"/>
  <c r="BA8" i="2"/>
  <c r="BD8" i="2"/>
  <c r="BO8" i="2"/>
  <c r="BM8" i="2"/>
  <c r="BV8" i="2"/>
  <c r="BH6" i="2"/>
  <c r="CL7" i="2"/>
  <c r="AZ5" i="2"/>
  <c r="BA6" i="2"/>
  <c r="BL7" i="2"/>
  <c r="BH7" i="2"/>
  <c r="AZ7" i="2"/>
  <c r="BO7" i="2"/>
  <c r="BK7" i="2"/>
  <c r="BG7" i="2"/>
  <c r="BN7" i="2"/>
  <c r="BA7" i="2"/>
  <c r="BM7" i="2"/>
  <c r="BI7" i="2"/>
  <c r="BB7" i="2"/>
  <c r="BF7" i="2"/>
  <c r="BV7" i="2"/>
  <c r="BA5" i="2"/>
  <c r="AZ6" i="2"/>
  <c r="BJ7" i="2"/>
  <c r="BD7" i="2"/>
  <c r="BC7" i="2"/>
  <c r="BU7" i="2"/>
  <c r="BB5" i="2"/>
  <c r="DL8" i="2"/>
  <c r="DO8" i="2"/>
  <c r="DN8" i="2"/>
  <c r="DP8" i="2"/>
  <c r="DM8" i="2"/>
  <c r="CN29" i="2"/>
  <c r="BL5" i="2"/>
  <c r="BB6" i="2"/>
  <c r="BM5" i="2"/>
  <c r="DL7" i="2"/>
  <c r="DO7" i="2"/>
  <c r="DP7" i="2"/>
  <c r="DM7" i="2"/>
  <c r="DN7" i="2"/>
  <c r="CF7" i="2"/>
  <c r="BM6" i="2"/>
  <c r="CC8" i="2"/>
  <c r="BO20" i="2"/>
  <c r="BO13" i="2"/>
  <c r="DJ28" i="2"/>
  <c r="CM27" i="2"/>
  <c r="CP27" i="2"/>
  <c r="CO27" i="2"/>
  <c r="CN27" i="2"/>
  <c r="CR27" i="2"/>
  <c r="CQ27" i="2"/>
  <c r="DJ29" i="2"/>
  <c r="CR29" i="2"/>
  <c r="CS14" i="2"/>
  <c r="CO28" i="2"/>
  <c r="CQ28" i="2"/>
  <c r="CR28" i="2"/>
  <c r="CP28" i="2"/>
  <c r="CM28" i="2"/>
  <c r="CN28" i="2"/>
  <c r="CO29" i="2"/>
  <c r="CM29" i="2"/>
  <c r="CS21" i="2"/>
  <c r="CQ29" i="2"/>
  <c r="CP29" i="2"/>
  <c r="CS22" i="2"/>
  <c r="CS15" i="2"/>
  <c r="CS20" i="2"/>
  <c r="CS13" i="2"/>
  <c r="CS8" i="2"/>
  <c r="CS6" i="2"/>
  <c r="CS7" i="2"/>
  <c r="AP11" i="2"/>
  <c r="AP27" i="2"/>
  <c r="AP25" i="2"/>
  <c r="BR22" i="2"/>
  <c r="BS22" i="2"/>
  <c r="AP26" i="2"/>
  <c r="AP20" i="2"/>
  <c r="BR13" i="2"/>
  <c r="AG15" i="2"/>
  <c r="BT27" i="2"/>
  <c r="AP19" i="2"/>
  <c r="BS20" i="2"/>
  <c r="AP21" i="2"/>
  <c r="AJ21" i="2"/>
  <c r="BT22" i="2"/>
  <c r="AG14" i="2"/>
  <c r="BR27" i="2"/>
  <c r="AJ15" i="2"/>
  <c r="AJ29" i="2"/>
  <c r="BS21" i="2"/>
  <c r="AJ28" i="2"/>
  <c r="BS29" i="2"/>
  <c r="BR28" i="2"/>
  <c r="AP12" i="2"/>
  <c r="AP22" i="2"/>
  <c r="BT21" i="2"/>
  <c r="AP15" i="2"/>
  <c r="AP14" i="2"/>
  <c r="BS27" i="2"/>
  <c r="AP28" i="2"/>
  <c r="AJ22" i="2"/>
  <c r="AP29" i="2"/>
  <c r="BT29" i="2"/>
  <c r="AG22" i="2"/>
  <c r="BR20" i="2"/>
  <c r="AG21" i="2"/>
  <c r="BR15" i="2"/>
  <c r="BT28" i="2"/>
  <c r="BR21" i="2"/>
  <c r="BT14" i="2"/>
  <c r="AG29" i="2"/>
  <c r="BR14" i="2"/>
  <c r="BT15" i="2"/>
  <c r="AP13" i="2"/>
  <c r="AP18" i="2"/>
  <c r="BQ15" i="2"/>
  <c r="BT12" i="2"/>
  <c r="BS12" i="2"/>
  <c r="BP15" i="2"/>
  <c r="BP13" i="2"/>
  <c r="BP14" i="2"/>
  <c r="BQ13" i="2"/>
  <c r="BR12" i="2"/>
  <c r="BP12" i="2"/>
  <c r="BQ12" i="2"/>
  <c r="BQ14" i="2"/>
  <c r="BS14" i="2"/>
  <c r="BS15" i="2"/>
  <c r="BQ29" i="2"/>
  <c r="BP29" i="2"/>
  <c r="BP28" i="2"/>
  <c r="BQ27" i="2"/>
  <c r="BP27" i="2"/>
  <c r="BT26" i="2"/>
  <c r="BS26" i="2"/>
  <c r="BP26" i="2"/>
  <c r="BR26" i="2"/>
  <c r="BQ26" i="2"/>
  <c r="BQ28" i="2"/>
  <c r="AG28" i="2"/>
  <c r="BR29" i="2"/>
  <c r="BT13" i="2"/>
  <c r="BR19" i="2"/>
  <c r="BT19" i="2"/>
  <c r="BP20" i="2"/>
  <c r="BQ20" i="2"/>
  <c r="BS19" i="2"/>
  <c r="BP21" i="2"/>
  <c r="BP19" i="2"/>
  <c r="BQ19" i="2"/>
  <c r="BP22" i="2"/>
  <c r="BQ22" i="2"/>
  <c r="BQ21" i="2"/>
  <c r="BS28" i="2"/>
  <c r="BS13" i="2"/>
  <c r="BT20" i="2"/>
  <c r="AG5" i="2" l="1"/>
  <c r="AL6" i="2"/>
  <c r="AM6" i="2"/>
  <c r="AF6" i="2"/>
  <c r="AH6" i="2"/>
  <c r="AI6" i="2"/>
  <c r="AE6" i="2"/>
  <c r="AK6" i="2"/>
  <c r="V8" i="2"/>
  <c r="AA8" i="2" s="1"/>
  <c r="AA7" i="2"/>
  <c r="CQ6" i="2"/>
  <c r="BE7" i="2"/>
  <c r="CO6" i="2"/>
  <c r="BE8" i="2"/>
  <c r="BN6" i="2"/>
  <c r="BN5" i="2"/>
  <c r="CR7" i="2"/>
  <c r="CO7" i="2"/>
  <c r="CN6" i="2"/>
  <c r="CN7" i="2"/>
  <c r="CR6" i="2"/>
  <c r="CP7" i="2"/>
  <c r="CQ7" i="2"/>
  <c r="BU19" i="2"/>
  <c r="CP8" i="2"/>
  <c r="CR8" i="2"/>
  <c r="CO8" i="2"/>
  <c r="CN8" i="2"/>
  <c r="CQ8" i="2"/>
  <c r="CP6" i="2"/>
  <c r="BV19" i="2"/>
  <c r="BU12" i="2"/>
  <c r="BU20" i="2"/>
  <c r="BV20" i="2" s="1"/>
  <c r="BV13" i="2"/>
  <c r="BU13" i="2"/>
  <c r="CS29" i="2"/>
  <c r="DP29" i="2"/>
  <c r="DL29" i="2"/>
  <c r="DN28" i="2"/>
  <c r="DM29" i="2"/>
  <c r="DN29" i="2"/>
  <c r="DP28" i="2"/>
  <c r="DO28" i="2"/>
  <c r="DM28" i="2"/>
  <c r="DO29" i="2"/>
  <c r="CS27" i="2"/>
  <c r="CS28" i="2"/>
  <c r="DL28" i="2"/>
  <c r="CT20" i="2"/>
  <c r="CT21" i="2"/>
  <c r="CT22" i="2"/>
  <c r="CT13" i="2"/>
  <c r="CT14" i="2"/>
  <c r="CT15" i="2"/>
  <c r="CT6" i="2"/>
  <c r="CT8" i="2"/>
  <c r="CT7" i="2"/>
  <c r="AQ27" i="2"/>
  <c r="AQ19" i="2"/>
  <c r="AQ25" i="2"/>
  <c r="AQ13" i="2"/>
  <c r="AQ26" i="2"/>
  <c r="AT28" i="2"/>
  <c r="AQ29" i="2"/>
  <c r="AQ28" i="2"/>
  <c r="AR29" i="2"/>
  <c r="AS21" i="2"/>
  <c r="AR18" i="2"/>
  <c r="AS20" i="2"/>
  <c r="AT22" i="2"/>
  <c r="AU19" i="2"/>
  <c r="AU20" i="2"/>
  <c r="AS19" i="2"/>
  <c r="AR21" i="2"/>
  <c r="AU21" i="2"/>
  <c r="AS22" i="2"/>
  <c r="AV22" i="2"/>
  <c r="AV18" i="2"/>
  <c r="AV19" i="2"/>
  <c r="AV20" i="2"/>
  <c r="AT21" i="2"/>
  <c r="AR22" i="2"/>
  <c r="AU22" i="2"/>
  <c r="AR19" i="2"/>
  <c r="AR20" i="2"/>
  <c r="AT19" i="2"/>
  <c r="AT20" i="2"/>
  <c r="AV21" i="2"/>
  <c r="AU18" i="2"/>
  <c r="AT18" i="2"/>
  <c r="AS18" i="2"/>
  <c r="AQ18" i="2"/>
  <c r="AS29" i="2"/>
  <c r="AS25" i="2"/>
  <c r="AT27" i="2"/>
  <c r="AU29" i="2"/>
  <c r="AV26" i="2"/>
  <c r="AR27" i="2"/>
  <c r="AR14" i="2"/>
  <c r="AU11" i="2"/>
  <c r="AR13" i="2"/>
  <c r="AT14" i="2"/>
  <c r="AS11" i="2"/>
  <c r="AV14" i="2"/>
  <c r="AQ22" i="2"/>
  <c r="AU28" i="2"/>
  <c r="AT25" i="2"/>
  <c r="AT26" i="2"/>
  <c r="AS28" i="2"/>
  <c r="AS26" i="2"/>
  <c r="AU25" i="2"/>
  <c r="AQ11" i="2"/>
  <c r="AT13" i="2"/>
  <c r="AU15" i="2"/>
  <c r="AV12" i="2"/>
  <c r="AU14" i="2"/>
  <c r="AS15" i="2"/>
  <c r="AS12" i="2"/>
  <c r="AQ12" i="2"/>
  <c r="AQ20" i="2"/>
  <c r="AR25" i="2"/>
  <c r="AS27" i="2"/>
  <c r="AT29" i="2"/>
  <c r="AU26" i="2"/>
  <c r="AU27" i="2"/>
  <c r="AV29" i="2"/>
  <c r="AR28" i="2"/>
  <c r="AT11" i="2"/>
  <c r="AT12" i="2"/>
  <c r="AS14" i="2"/>
  <c r="AR11" i="2"/>
  <c r="AS13" i="2"/>
  <c r="AV13" i="2"/>
  <c r="AV15" i="2"/>
  <c r="AV25" i="2"/>
  <c r="AV28" i="2"/>
  <c r="AR26" i="2"/>
  <c r="AV27" i="2"/>
  <c r="AT15" i="2"/>
  <c r="AU12" i="2"/>
  <c r="AU13" i="2"/>
  <c r="AR15" i="2"/>
  <c r="AV11" i="2"/>
  <c r="AR12" i="2"/>
  <c r="AQ15" i="2"/>
  <c r="AQ14" i="2"/>
  <c r="AQ21" i="2"/>
  <c r="AJ6" i="2" l="1"/>
  <c r="AK7" i="2"/>
  <c r="AF7" i="2"/>
  <c r="AN7" i="2"/>
  <c r="AM7" i="2"/>
  <c r="AL7" i="2"/>
  <c r="AC7" i="2"/>
  <c r="AH7" i="2"/>
  <c r="AJ7" i="2" s="1"/>
  <c r="AB7" i="2"/>
  <c r="AI7" i="2"/>
  <c r="AO7" i="2"/>
  <c r="AE7" i="2"/>
  <c r="AG7" i="2" s="1"/>
  <c r="AD7" i="2"/>
  <c r="AO6" i="2"/>
  <c r="AO5" i="2"/>
  <c r="AD4" i="2"/>
  <c r="AN6" i="2"/>
  <c r="AM8" i="2"/>
  <c r="AN8" i="2"/>
  <c r="AB8" i="2"/>
  <c r="AK8" i="2"/>
  <c r="AC8" i="2"/>
  <c r="AO8" i="2"/>
  <c r="AF8" i="2"/>
  <c r="AH8" i="2"/>
  <c r="AJ8" i="2" s="1"/>
  <c r="AI8" i="2"/>
  <c r="AE8" i="2"/>
  <c r="AG8" i="2" s="1"/>
  <c r="AL8" i="2"/>
  <c r="AD8" i="2"/>
  <c r="AC4" i="2"/>
  <c r="AO4" i="2"/>
  <c r="AB6" i="2"/>
  <c r="AD5" i="2"/>
  <c r="AD6" i="2"/>
  <c r="AN4" i="2"/>
  <c r="AN5" i="2"/>
  <c r="AG6" i="2"/>
  <c r="AC6" i="2"/>
  <c r="AB4" i="2"/>
  <c r="AP4" i="2" s="1"/>
  <c r="AB5" i="2"/>
  <c r="AC5" i="2"/>
  <c r="BT6" i="2"/>
  <c r="BR6" i="2"/>
  <c r="BP6" i="2"/>
  <c r="BQ6" i="2"/>
  <c r="BS6" i="2"/>
  <c r="BT5" i="2"/>
  <c r="BP7" i="2"/>
  <c r="BR5" i="2"/>
  <c r="BP8" i="2"/>
  <c r="BQ5" i="2"/>
  <c r="BR7" i="2"/>
  <c r="BS5" i="2"/>
  <c r="BP5" i="2"/>
  <c r="BT8" i="2"/>
  <c r="BQ7" i="2"/>
  <c r="BS7" i="2"/>
  <c r="BR8" i="2"/>
  <c r="BT7" i="2"/>
  <c r="BS8" i="2"/>
  <c r="BQ8" i="2"/>
  <c r="BV12" i="2"/>
  <c r="CT27" i="2"/>
  <c r="CT29" i="2"/>
  <c r="CT28" i="2"/>
  <c r="AW19" i="2"/>
  <c r="AW20" i="2"/>
  <c r="AW21" i="2"/>
  <c r="AW22" i="2"/>
  <c r="AW13" i="2"/>
  <c r="AW26" i="2"/>
  <c r="AW25" i="2"/>
  <c r="AW29" i="2"/>
  <c r="AW27" i="2"/>
  <c r="AW14" i="2"/>
  <c r="AW15" i="2"/>
  <c r="AW28" i="2"/>
  <c r="AW11" i="2"/>
  <c r="AW18" i="2"/>
  <c r="AW12" i="2"/>
  <c r="AP7" i="2" l="1"/>
  <c r="AP5" i="2"/>
  <c r="AP6" i="2"/>
  <c r="AQ4" i="2" s="1"/>
  <c r="AP8" i="2"/>
  <c r="AQ8" i="2" s="1"/>
  <c r="AT8" i="2"/>
  <c r="AS4" i="2"/>
  <c r="AR7" i="2"/>
  <c r="AS6" i="2"/>
  <c r="AT5" i="2"/>
  <c r="AV5" i="2"/>
  <c r="AT6" i="2"/>
  <c r="AU5" i="2"/>
  <c r="AT7" i="2"/>
  <c r="AU8" i="2"/>
  <c r="AR4" i="2"/>
  <c r="AV8" i="2"/>
  <c r="AS5" i="2"/>
  <c r="AS8" i="2"/>
  <c r="AV7" i="2"/>
  <c r="AU4" i="2"/>
  <c r="AX25" i="2"/>
  <c r="DS25" i="2" s="1"/>
  <c r="AX28" i="2"/>
  <c r="DS28" i="2" s="1"/>
  <c r="AX29" i="2"/>
  <c r="DS29" i="2" s="1"/>
  <c r="AX27" i="2"/>
  <c r="DS27" i="2" s="1"/>
  <c r="AX18" i="2"/>
  <c r="DS18" i="2" s="1"/>
  <c r="AX19" i="2"/>
  <c r="DS19" i="2" s="1"/>
  <c r="AX20" i="2"/>
  <c r="DS20" i="2" s="1"/>
  <c r="AX21" i="2"/>
  <c r="DS21" i="2" s="1"/>
  <c r="AX22" i="2"/>
  <c r="DS22" i="2" s="1"/>
  <c r="AX11" i="2"/>
  <c r="DS11" i="2" s="1"/>
  <c r="AX12" i="2"/>
  <c r="DS12" i="2" s="1"/>
  <c r="AX13" i="2"/>
  <c r="DS13" i="2" s="1"/>
  <c r="AX15" i="2"/>
  <c r="DS15" i="2" s="1"/>
  <c r="AX14" i="2"/>
  <c r="DS14" i="2" s="1"/>
  <c r="AX26" i="2"/>
  <c r="DS26" i="2" s="1"/>
  <c r="A27" i="2" s="1"/>
  <c r="AV4" i="2" l="1"/>
  <c r="AR5" i="2"/>
  <c r="AT4" i="2"/>
  <c r="AV6" i="2"/>
  <c r="AS7" i="2"/>
  <c r="AR6" i="2"/>
  <c r="AU7" i="2"/>
  <c r="AW4" i="2"/>
  <c r="AQ6" i="2"/>
  <c r="AR8" i="2"/>
  <c r="AW8" i="2" s="1"/>
  <c r="AQ5" i="2"/>
  <c r="AW5" i="2" s="1"/>
  <c r="AU6" i="2"/>
  <c r="AQ7" i="2"/>
  <c r="A28" i="2"/>
  <c r="A29" i="2"/>
  <c r="A15" i="2"/>
  <c r="A14" i="2"/>
  <c r="A12" i="2"/>
  <c r="A11" i="2"/>
  <c r="A13" i="2"/>
  <c r="A25" i="2"/>
  <c r="A21" i="2"/>
  <c r="A22" i="2"/>
  <c r="A20" i="2"/>
  <c r="A18" i="2"/>
  <c r="A19" i="2"/>
  <c r="A26" i="2"/>
  <c r="AW7" i="2" l="1"/>
  <c r="AW6" i="2"/>
  <c r="AX8" i="2" s="1"/>
  <c r="DS8" i="2" s="1"/>
  <c r="AX4" i="2"/>
  <c r="DS4" i="2" s="1"/>
  <c r="AX6" i="2"/>
  <c r="DS6" i="2" s="1"/>
  <c r="AX5" i="2"/>
  <c r="DS5" i="2" s="1"/>
  <c r="A4" i="2" s="1"/>
  <c r="AD11" i="1" s="1"/>
  <c r="AN11" i="1" s="1"/>
  <c r="AX7" i="2"/>
  <c r="DS7" i="2" s="1"/>
  <c r="AD27" i="1"/>
  <c r="AD28" i="1"/>
  <c r="AD29" i="1"/>
  <c r="AD26" i="1"/>
  <c r="AD25" i="1"/>
  <c r="AD36" i="1"/>
  <c r="AD33" i="1"/>
  <c r="AD32" i="1"/>
  <c r="AD35" i="1"/>
  <c r="AD34" i="1"/>
  <c r="AD21" i="1"/>
  <c r="AD18" i="1"/>
  <c r="AD19" i="1"/>
  <c r="AD22" i="1"/>
  <c r="AD20" i="1"/>
  <c r="A6" i="2" l="1"/>
  <c r="A7" i="2"/>
  <c r="A5" i="2"/>
  <c r="A8" i="2"/>
  <c r="AJ11" i="1"/>
  <c r="AQ11" i="1"/>
  <c r="AK11" i="1"/>
  <c r="AL11" i="1"/>
  <c r="AO11" i="1"/>
  <c r="AI11" i="1"/>
  <c r="AP11" i="1"/>
  <c r="AH11" i="1"/>
  <c r="AG11" i="1" s="1"/>
  <c r="AK21" i="1"/>
  <c r="AO21" i="1"/>
  <c r="AH21" i="1"/>
  <c r="AJ21" i="1"/>
  <c r="AI21" i="1"/>
  <c r="AN21" i="1"/>
  <c r="AQ21" i="1"/>
  <c r="AP21" i="1"/>
  <c r="AL21" i="1"/>
  <c r="AJ34" i="1"/>
  <c r="AN34" i="1"/>
  <c r="AP34" i="1"/>
  <c r="AQ34" i="1"/>
  <c r="AI34" i="1"/>
  <c r="AO34" i="1"/>
  <c r="AK34" i="1"/>
  <c r="AH34" i="1"/>
  <c r="AL34" i="1"/>
  <c r="AO36" i="1"/>
  <c r="AH36" i="1"/>
  <c r="AJ36" i="1"/>
  <c r="AP36" i="1"/>
  <c r="AL36" i="1"/>
  <c r="AI36" i="1"/>
  <c r="AK36" i="1"/>
  <c r="AQ36" i="1"/>
  <c r="AN36" i="1"/>
  <c r="AK28" i="1"/>
  <c r="AQ28" i="1"/>
  <c r="AI28" i="1"/>
  <c r="AH28" i="1"/>
  <c r="AO28" i="1"/>
  <c r="AL28" i="1"/>
  <c r="AP28" i="1"/>
  <c r="AN28" i="1"/>
  <c r="AJ28" i="1"/>
  <c r="AK22" i="1"/>
  <c r="AO22" i="1"/>
  <c r="AN22" i="1"/>
  <c r="AQ22" i="1"/>
  <c r="AJ22" i="1"/>
  <c r="AI22" i="1"/>
  <c r="AL22" i="1"/>
  <c r="AP22" i="1"/>
  <c r="AH22" i="1"/>
  <c r="AI35" i="1"/>
  <c r="AH35" i="1"/>
  <c r="AQ35" i="1"/>
  <c r="AO35" i="1"/>
  <c r="AP35" i="1"/>
  <c r="AL35" i="1"/>
  <c r="AJ35" i="1"/>
  <c r="AK35" i="1"/>
  <c r="AN35" i="1"/>
  <c r="AP25" i="1"/>
  <c r="AN25" i="1"/>
  <c r="AJ25" i="1"/>
  <c r="AO25" i="1"/>
  <c r="AI25" i="1"/>
  <c r="AQ25" i="1"/>
  <c r="AH25" i="1"/>
  <c r="AL25" i="1"/>
  <c r="AK25" i="1"/>
  <c r="AN27" i="1"/>
  <c r="AH27" i="1"/>
  <c r="AP27" i="1"/>
  <c r="AI27" i="1"/>
  <c r="AK27" i="1"/>
  <c r="AQ27" i="1"/>
  <c r="AJ27" i="1"/>
  <c r="AL27" i="1"/>
  <c r="AO27" i="1"/>
  <c r="AK19" i="1"/>
  <c r="AJ19" i="1"/>
  <c r="AO19" i="1"/>
  <c r="AN19" i="1"/>
  <c r="AQ19" i="1"/>
  <c r="AL19" i="1"/>
  <c r="AI19" i="1"/>
  <c r="AH19" i="1"/>
  <c r="AP19" i="1"/>
  <c r="AO32" i="1"/>
  <c r="AH32" i="1"/>
  <c r="AK32" i="1"/>
  <c r="AJ32" i="1"/>
  <c r="AI32" i="1"/>
  <c r="AP32" i="1"/>
  <c r="AL32" i="1"/>
  <c r="AN32" i="1"/>
  <c r="AQ32" i="1"/>
  <c r="AJ26" i="1"/>
  <c r="AN26" i="1"/>
  <c r="AL26" i="1"/>
  <c r="AP26" i="1"/>
  <c r="AH26" i="1"/>
  <c r="AO26" i="1"/>
  <c r="AQ26" i="1"/>
  <c r="AK26" i="1"/>
  <c r="AI26" i="1"/>
  <c r="AI20" i="1"/>
  <c r="AL20" i="1"/>
  <c r="AJ20" i="1"/>
  <c r="AO20" i="1"/>
  <c r="AP20" i="1"/>
  <c r="AH20" i="1"/>
  <c r="AK20" i="1"/>
  <c r="AN20" i="1"/>
  <c r="AQ20" i="1"/>
  <c r="AK18" i="1"/>
  <c r="AP18" i="1"/>
  <c r="AN18" i="1"/>
  <c r="AQ18" i="1"/>
  <c r="AO18" i="1"/>
  <c r="AI18" i="1"/>
  <c r="AL18" i="1"/>
  <c r="AJ18" i="1"/>
  <c r="AH18" i="1"/>
  <c r="AQ33" i="1"/>
  <c r="AH33" i="1"/>
  <c r="AN33" i="1"/>
  <c r="AJ33" i="1"/>
  <c r="AI33" i="1"/>
  <c r="AO33" i="1"/>
  <c r="AL33" i="1"/>
  <c r="AK33" i="1"/>
  <c r="AP33" i="1"/>
  <c r="AL29" i="1"/>
  <c r="AK29" i="1"/>
  <c r="AN29" i="1"/>
  <c r="AH29" i="1"/>
  <c r="AI29" i="1"/>
  <c r="AO29" i="1"/>
  <c r="AP29" i="1"/>
  <c r="AJ29" i="1"/>
  <c r="AQ29" i="1"/>
  <c r="AD15" i="1" l="1"/>
  <c r="AD13" i="1"/>
  <c r="AD14" i="1"/>
  <c r="AM11" i="1"/>
  <c r="AD12" i="1"/>
  <c r="AM28" i="1"/>
  <c r="AM26" i="1"/>
  <c r="AM25" i="1"/>
  <c r="AG35" i="1"/>
  <c r="AM34" i="1"/>
  <c r="AM18" i="1"/>
  <c r="AG20" i="1"/>
  <c r="AG22" i="1"/>
  <c r="AM22" i="1"/>
  <c r="AM36" i="1"/>
  <c r="AG34" i="1"/>
  <c r="AG36" i="1"/>
  <c r="AG29" i="1"/>
  <c r="AM33" i="1"/>
  <c r="AG28" i="1"/>
  <c r="AG21" i="1"/>
  <c r="AM29" i="1"/>
  <c r="AM20" i="1"/>
  <c r="AM32" i="1"/>
  <c r="AM19" i="1"/>
  <c r="AG27" i="1"/>
  <c r="AG25" i="1"/>
  <c r="AM35" i="1"/>
  <c r="AG33" i="1"/>
  <c r="AG18" i="1"/>
  <c r="AG26" i="1"/>
  <c r="AG32" i="1"/>
  <c r="AG19" i="1"/>
  <c r="AM27" i="1"/>
  <c r="AM21" i="1"/>
  <c r="AO14" i="1" l="1"/>
  <c r="AQ14" i="1"/>
  <c r="AK14" i="1"/>
  <c r="AL14" i="1"/>
  <c r="AP14" i="1"/>
  <c r="AI14" i="1"/>
  <c r="AH14" i="1"/>
  <c r="AN14" i="1"/>
  <c r="AJ14" i="1"/>
  <c r="AH13" i="1"/>
  <c r="AL13" i="1"/>
  <c r="AQ13" i="1"/>
  <c r="AP13" i="1"/>
  <c r="AI13" i="1"/>
  <c r="AN13" i="1"/>
  <c r="AO13" i="1"/>
  <c r="AK13" i="1"/>
  <c r="AJ13" i="1"/>
  <c r="AN12" i="1"/>
  <c r="AQ12" i="1"/>
  <c r="AP12" i="1"/>
  <c r="AK12" i="1"/>
  <c r="AL12" i="1"/>
  <c r="AO12" i="1"/>
  <c r="AH12" i="1"/>
  <c r="AI12" i="1"/>
  <c r="AJ12" i="1"/>
  <c r="AI15" i="1"/>
  <c r="AQ15" i="1"/>
  <c r="AL15" i="1"/>
  <c r="AK15" i="1"/>
  <c r="AM15" i="1" s="1"/>
  <c r="AP15" i="1"/>
  <c r="AJ15" i="1"/>
  <c r="AH15" i="1"/>
  <c r="AO15" i="1"/>
  <c r="AN15" i="1"/>
  <c r="H76" i="1"/>
  <c r="H57" i="1"/>
  <c r="H69" i="1"/>
  <c r="H64" i="1"/>
  <c r="H63" i="1"/>
  <c r="H70" i="1"/>
  <c r="AG12" i="1" l="1"/>
  <c r="AM13" i="1"/>
  <c r="AG14" i="1"/>
  <c r="AM14" i="1"/>
  <c r="AG15" i="1"/>
  <c r="AM12" i="1"/>
  <c r="AG13" i="1"/>
  <c r="H75" i="1" s="1"/>
  <c r="M73" i="1" s="1"/>
  <c r="H58" i="1"/>
  <c r="M60" i="1" s="1"/>
  <c r="M72" i="1"/>
  <c r="M61" i="1"/>
</calcChain>
</file>

<file path=xl/comments1.xml><?xml version="1.0" encoding="utf-8"?>
<comments xmlns="http://schemas.openxmlformats.org/spreadsheetml/2006/main">
  <authors>
    <author>Agam PC</author>
  </authors>
  <commentList>
    <comment ref="AC10" authorId="0">
      <text>
        <r>
          <rPr>
            <b/>
            <sz val="9"/>
            <color indexed="81"/>
            <rFont val="Tahoma"/>
            <family val="2"/>
          </rPr>
          <t>Re-type country name in tables below if final standing is different from standings in its official Rugby World Cup website</t>
        </r>
      </text>
    </comment>
  </commentList>
</comments>
</file>

<file path=xl/sharedStrings.xml><?xml version="1.0" encoding="utf-8"?>
<sst xmlns="http://schemas.openxmlformats.org/spreadsheetml/2006/main" count="377" uniqueCount="115">
  <si>
    <t>P</t>
  </si>
  <si>
    <t>r musadya</t>
  </si>
  <si>
    <t>Uruguay</t>
  </si>
  <si>
    <t>Argentina</t>
  </si>
  <si>
    <t>England</t>
  </si>
  <si>
    <t>Australia</t>
  </si>
  <si>
    <t>Japan</t>
  </si>
  <si>
    <t>B</t>
  </si>
  <si>
    <t>C</t>
  </si>
  <si>
    <t>Standings</t>
  </si>
  <si>
    <t>Score</t>
  </si>
  <si>
    <t>Final</t>
  </si>
  <si>
    <t>Date</t>
  </si>
  <si>
    <t>Time</t>
  </si>
  <si>
    <t>Italy</t>
  </si>
  <si>
    <t>France</t>
  </si>
  <si>
    <t>W</t>
  </si>
  <si>
    <t>D</t>
  </si>
  <si>
    <t>L</t>
  </si>
  <si>
    <t>A</t>
  </si>
  <si>
    <t>Country</t>
  </si>
  <si>
    <t>:</t>
  </si>
  <si>
    <t>-</t>
  </si>
  <si>
    <t>Venue</t>
  </si>
  <si>
    <t>Tries</t>
  </si>
  <si>
    <t>Fiji</t>
  </si>
  <si>
    <t>#</t>
  </si>
  <si>
    <t>Team 1</t>
  </si>
  <si>
    <t>Team 2</t>
  </si>
  <si>
    <t>Tonga</t>
  </si>
  <si>
    <t>Georgia</t>
  </si>
  <si>
    <t>Ireland</t>
  </si>
  <si>
    <t>Canada</t>
  </si>
  <si>
    <t>South Africa</t>
  </si>
  <si>
    <t>Samoa</t>
  </si>
  <si>
    <t>Wales</t>
  </si>
  <si>
    <t>New Zealand</t>
  </si>
  <si>
    <t>Scotland</t>
  </si>
  <si>
    <t>Namibia</t>
  </si>
  <si>
    <t>Pts</t>
  </si>
  <si>
    <t>TA</t>
  </si>
  <si>
    <t>TF</t>
  </si>
  <si>
    <t>BP</t>
  </si>
  <si>
    <t>Pool A</t>
  </si>
  <si>
    <t>Pool B</t>
  </si>
  <si>
    <t>Pool C</t>
  </si>
  <si>
    <t>Pool D</t>
  </si>
  <si>
    <t>Quarterfinals</t>
  </si>
  <si>
    <t>Semifinals</t>
  </si>
  <si>
    <t>Match for 3rd Place</t>
  </si>
  <si>
    <t>KNOCK OUT ROUND</t>
  </si>
  <si>
    <t>GROUP STAGES</t>
  </si>
  <si>
    <t>CHAMPION</t>
  </si>
  <si>
    <t>Pool Winner</t>
  </si>
  <si>
    <t>Color Description</t>
  </si>
  <si>
    <t>Abbreviation Description</t>
  </si>
  <si>
    <t>&gt; Win - 4 points</t>
  </si>
  <si>
    <t>&gt; Draw - 2 points</t>
  </si>
  <si>
    <t>&gt; Loss - 0 points</t>
  </si>
  <si>
    <t>Bonus points</t>
  </si>
  <si>
    <t>&gt; 4 or more tries - 1 point</t>
  </si>
  <si>
    <t>&gt; Loss by 7 points or less - 1 point</t>
  </si>
  <si>
    <t>PF</t>
  </si>
  <si>
    <t>PA</t>
  </si>
  <si>
    <t>PD</t>
  </si>
  <si>
    <t>P : Played  - W : Win - D : Draw - L : Loss</t>
  </si>
  <si>
    <t>PF : Points For - PA : Points Against - PD : Points Difference</t>
  </si>
  <si>
    <t>TF : Tries For - TA : Tries Against - BP : Bonus Points</t>
  </si>
  <si>
    <t>Pts : Pool Points</t>
  </si>
  <si>
    <t>Points Awarded</t>
  </si>
  <si>
    <t>Standings Regulation</t>
  </si>
  <si>
    <t>&gt; Teams are ranked based on total Pool Points</t>
  </si>
  <si>
    <t>&gt; If 2 or more teams are leveled on total Pool Points, they will be ranked based on following tie-breaker rule :</t>
  </si>
  <si>
    <t>1. Total points on head-to-head matches</t>
  </si>
  <si>
    <t>4. Scored Most Points in All Pool Matches</t>
  </si>
  <si>
    <t>5. Scores Most Tries in All Pool Matches</t>
  </si>
  <si>
    <t>6. Official World Rugby World Rankings on October 12, 2015</t>
  </si>
  <si>
    <t>2. Best Points Difference in all Pool Matches</t>
  </si>
  <si>
    <t>3. Best Tries Difference in all Pool Matches</t>
  </si>
  <si>
    <t>Tokyo Stadium</t>
  </si>
  <si>
    <t>Russia</t>
  </si>
  <si>
    <t>United States</t>
  </si>
  <si>
    <t>Yokohama Stadium</t>
  </si>
  <si>
    <t>Qualified for 2023 Rugby World Cup</t>
  </si>
  <si>
    <t>Qualified for Knock Out Round  and 2023 Rugby World Cup</t>
  </si>
  <si>
    <t>Gr</t>
  </si>
  <si>
    <t>◄</t>
  </si>
  <si>
    <t>Select Pool #, Country and Venue to highlight particular rows</t>
  </si>
  <si>
    <t>Pool</t>
  </si>
  <si>
    <t>Interested to have Fully Editable Version?</t>
  </si>
  <si>
    <t>With fully editable version you can add your own logo, modify its formula, adjust its layout and many things</t>
  </si>
  <si>
    <t>You can purchase it through paypal button below. It is only USD 5</t>
  </si>
  <si>
    <t>Also, if you interested to play prediction score games with your friends, you can also try particular spreadsheet below</t>
  </si>
  <si>
    <t>You can use this to play with up to 15 players. Need more? You can purchase the 25 - 100 players version where they can also be uploaded to Google Sheets where your friends can update and follow their prediction results online</t>
  </si>
  <si>
    <t>USD</t>
  </si>
  <si>
    <t xml:space="preserve">Click paypal button to proceed </t>
  </si>
  <si>
    <t>►</t>
  </si>
  <si>
    <t>Romania</t>
  </si>
  <si>
    <t>Chile</t>
  </si>
  <si>
    <t>Portugal</t>
  </si>
  <si>
    <t>Stade de France, Paris</t>
  </si>
  <si>
    <t>Stade Geoffroy Guichard, Saint-Étienne</t>
  </si>
  <si>
    <t>Stade de Bordeaux, Bordeaux</t>
  </si>
  <si>
    <t>Stade Vélodrome, Marseille</t>
  </si>
  <si>
    <t>Stadium de Toulouse, Toulouse</t>
  </si>
  <si>
    <t>Stade Pierre Mauroy, Lille</t>
  </si>
  <si>
    <t>Stade de Nice, Nice</t>
  </si>
  <si>
    <t>Stade de la Beaujoire, Nantes</t>
  </si>
  <si>
    <t>Parc OL, Lyon</t>
  </si>
  <si>
    <t>RUGBY WORLD CUP 2023</t>
  </si>
  <si>
    <t>RUGBY WORLD CUP 2023 SCHEDULE AND SCORESHEET V4 - FULLY EDITABLE VERSION</t>
  </si>
  <si>
    <t>RUGBY WORLD CUP 2023 POOL V4                        25 to 100 PLAYERS - FULLY EDITABLE VERSION</t>
  </si>
  <si>
    <t>https://journalsheet.com/download/rugby-world-cup-pool</t>
  </si>
  <si>
    <t>RUGBY WORLD CUP 2023 SCHEDULE AND SCORESHEET V41</t>
  </si>
  <si>
    <t>PURCHASE THE UNPROTECTED VERSION HERE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</si>
</sst>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d\-mmm\,\ h:mm"/>
  </numFmts>
  <fonts count="27" x14ac:knownFonts="1">
    <font>
      <sz val="10"/>
      <name val="Arial"/>
    </font>
    <font>
      <sz val="8"/>
      <name val="Arial"/>
      <family val="2"/>
    </font>
    <font>
      <u/>
      <sz val="10"/>
      <color indexed="12"/>
      <name val="Arial"/>
      <family val="2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11"/>
      <name val="Segoe UI"/>
      <family val="2"/>
    </font>
    <font>
      <sz val="11"/>
      <color indexed="10"/>
      <name val="Segoe UI"/>
      <family val="2"/>
    </font>
    <font>
      <sz val="11"/>
      <color indexed="9"/>
      <name val="Segoe UI"/>
      <family val="2"/>
    </font>
    <font>
      <sz val="11"/>
      <color theme="0"/>
      <name val="Segoe UI"/>
      <family val="2"/>
    </font>
    <font>
      <sz val="11"/>
      <color rgb="FFFF0000"/>
      <name val="Segoe UI"/>
      <family val="2"/>
    </font>
    <font>
      <b/>
      <sz val="11"/>
      <name val="Segoe UI"/>
      <family val="2"/>
    </font>
    <font>
      <b/>
      <sz val="11"/>
      <color indexed="9"/>
      <name val="Segoe UI"/>
      <family val="2"/>
    </font>
    <font>
      <b/>
      <sz val="10"/>
      <color theme="0"/>
      <name val="Segoe UI"/>
      <family val="2"/>
    </font>
    <font>
      <sz val="10"/>
      <name val="Segoe UI"/>
      <family val="2"/>
    </font>
    <font>
      <b/>
      <sz val="10"/>
      <color theme="1"/>
      <name val="Segoe UI"/>
      <family val="2"/>
    </font>
    <font>
      <b/>
      <sz val="10"/>
      <color rgb="FF0000FF"/>
      <name val="Segoe UI"/>
      <family val="2"/>
    </font>
    <font>
      <b/>
      <sz val="10"/>
      <name val="Segoe UI"/>
      <family val="2"/>
    </font>
    <font>
      <b/>
      <sz val="11"/>
      <color rgb="FF0000FF"/>
      <name val="Segoe UI"/>
      <family val="2"/>
    </font>
    <font>
      <b/>
      <sz val="16"/>
      <color theme="0"/>
      <name val="Segoe UI"/>
      <family val="2"/>
    </font>
    <font>
      <b/>
      <sz val="20"/>
      <color indexed="9"/>
      <name val="Segoe UI"/>
      <family val="2"/>
    </font>
    <font>
      <b/>
      <sz val="22"/>
      <name val="Segoe UI"/>
      <family val="2"/>
    </font>
    <font>
      <b/>
      <sz val="16"/>
      <name val="Segoe UI"/>
      <family val="2"/>
    </font>
    <font>
      <b/>
      <sz val="16"/>
      <color indexed="9"/>
      <name val="Segoe UI"/>
      <family val="2"/>
    </font>
    <font>
      <b/>
      <sz val="14"/>
      <name val="Segoe UI"/>
      <family val="2"/>
    </font>
    <font>
      <b/>
      <sz val="14"/>
      <color theme="0"/>
      <name val="Segoe UI"/>
      <family val="2"/>
    </font>
    <font>
      <u/>
      <sz val="11"/>
      <color indexed="12"/>
      <name val="Segoe UI"/>
      <family val="2"/>
    </font>
    <font>
      <u/>
      <sz val="11"/>
      <color indexed="12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theme="1" tint="0.499984740745262"/>
      </left>
      <right style="medium">
        <color theme="1" tint="0.499984740745262"/>
      </right>
      <top/>
      <bottom style="thin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/>
      <top style="medium">
        <color theme="1" tint="0.499984740745262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/>
      <right/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/>
      <top style="thin">
        <color theme="1" tint="0.499984740745262"/>
      </top>
      <bottom style="medium">
        <color theme="1" tint="0.499984740745262"/>
      </bottom>
      <diagonal/>
    </border>
    <border>
      <left/>
      <right/>
      <top style="thin">
        <color theme="1" tint="0.499984740745262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theme="1" tint="0.499984740745262"/>
      </right>
      <top style="medium">
        <color theme="1" tint="0.499984740745262"/>
      </top>
      <bottom style="thin">
        <color indexed="64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medium">
        <color theme="8" tint="-0.499984740745262"/>
      </bottom>
      <diagonal/>
    </border>
    <border>
      <left style="medium">
        <color theme="8" tint="-0.499984740745262"/>
      </left>
      <right/>
      <top style="medium">
        <color theme="8" tint="-0.499984740745262"/>
      </top>
      <bottom/>
      <diagonal/>
    </border>
    <border>
      <left/>
      <right/>
      <top style="medium">
        <color theme="8" tint="-0.499984740745262"/>
      </top>
      <bottom/>
      <diagonal/>
    </border>
    <border>
      <left/>
      <right style="medium">
        <color theme="8" tint="-0.499984740745262"/>
      </right>
      <top style="medium">
        <color theme="8" tint="-0.499984740745262"/>
      </top>
      <bottom/>
      <diagonal/>
    </border>
    <border>
      <left/>
      <right style="medium">
        <color theme="8" tint="-0.499984740745262"/>
      </right>
      <top/>
      <bottom/>
      <diagonal/>
    </border>
    <border>
      <left style="medium">
        <color theme="8" tint="-0.499984740745262"/>
      </left>
      <right/>
      <top/>
      <bottom style="medium">
        <color theme="8" tint="-0.499984740745262"/>
      </bottom>
      <diagonal/>
    </border>
    <border>
      <left/>
      <right/>
      <top/>
      <bottom style="medium">
        <color theme="8" tint="-0.499984740745262"/>
      </bottom>
      <diagonal/>
    </border>
    <border>
      <left/>
      <right style="medium">
        <color theme="8" tint="-0.499984740745262"/>
      </right>
      <top/>
      <bottom style="medium">
        <color theme="8" tint="-0.499984740745262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15">
    <xf numFmtId="0" fontId="0" fillId="0" borderId="0" xfId="0"/>
    <xf numFmtId="0" fontId="3" fillId="0" borderId="0" xfId="0" applyFont="1" applyProtection="1">
      <protection hidden="1"/>
    </xf>
    <xf numFmtId="0" fontId="5" fillId="0" borderId="0" xfId="0" applyFont="1" applyProtection="1">
      <protection hidden="1"/>
    </xf>
    <xf numFmtId="0" fontId="5" fillId="0" borderId="0" xfId="0" applyFont="1" applyAlignment="1" applyProtection="1">
      <alignment wrapText="1"/>
      <protection hidden="1"/>
    </xf>
    <xf numFmtId="0" fontId="5" fillId="0" borderId="0" xfId="0" applyFont="1" applyAlignment="1" applyProtection="1">
      <protection hidden="1"/>
    </xf>
    <xf numFmtId="0" fontId="6" fillId="0" borderId="0" xfId="0" applyFont="1" applyProtection="1">
      <protection hidden="1"/>
    </xf>
    <xf numFmtId="0" fontId="7" fillId="0" borderId="0" xfId="0" applyFont="1" applyProtection="1">
      <protection hidden="1"/>
    </xf>
    <xf numFmtId="0" fontId="7" fillId="0" borderId="0" xfId="0" applyFont="1" applyFill="1" applyProtection="1">
      <protection hidden="1"/>
    </xf>
    <xf numFmtId="0" fontId="8" fillId="0" borderId="0" xfId="0" applyFont="1" applyAlignment="1" applyProtection="1">
      <alignment horizontal="left" indent="1"/>
      <protection hidden="1"/>
    </xf>
    <xf numFmtId="0" fontId="8" fillId="0" borderId="0" xfId="0" applyFont="1" applyAlignment="1" applyProtection="1">
      <alignment horizontal="center"/>
      <protection locked="0"/>
    </xf>
    <xf numFmtId="0" fontId="9" fillId="0" borderId="0" xfId="0" applyFont="1" applyProtection="1">
      <protection hidden="1"/>
    </xf>
    <xf numFmtId="0" fontId="10" fillId="0" borderId="0" xfId="0" applyFont="1" applyProtection="1">
      <protection hidden="1"/>
    </xf>
    <xf numFmtId="0" fontId="5" fillId="0" borderId="0" xfId="0" applyFont="1" applyProtection="1">
      <protection locked="0"/>
    </xf>
    <xf numFmtId="0" fontId="5" fillId="0" borderId="0" xfId="0" applyFont="1" applyAlignment="1" applyProtection="1">
      <alignment horizontal="center"/>
      <protection hidden="1"/>
    </xf>
    <xf numFmtId="0" fontId="5" fillId="0" borderId="0" xfId="0" applyFont="1" applyAlignment="1" applyProtection="1">
      <alignment horizontal="center" wrapText="1"/>
      <protection hidden="1"/>
    </xf>
    <xf numFmtId="0" fontId="11" fillId="0" borderId="0" xfId="1" applyFont="1" applyFill="1" applyAlignment="1" applyProtection="1">
      <alignment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vertical="center" wrapText="1"/>
      <protection hidden="1"/>
    </xf>
    <xf numFmtId="0" fontId="6" fillId="0" borderId="0" xfId="0" applyFont="1" applyFill="1" applyProtection="1">
      <protection hidden="1"/>
    </xf>
    <xf numFmtId="0" fontId="5" fillId="0" borderId="0" xfId="0" applyFont="1" applyAlignment="1" applyProtection="1">
      <alignment vertical="center"/>
      <protection hidden="1"/>
    </xf>
    <xf numFmtId="0" fontId="6" fillId="0" borderId="0" xfId="0" applyFont="1" applyAlignment="1" applyProtection="1">
      <alignment vertical="center"/>
      <protection hidden="1"/>
    </xf>
    <xf numFmtId="0" fontId="6" fillId="0" borderId="0" xfId="0" applyFont="1" applyBorder="1" applyProtection="1">
      <protection hidden="1"/>
    </xf>
    <xf numFmtId="0" fontId="6" fillId="0" borderId="0" xfId="0" applyFont="1" applyFill="1" applyBorder="1" applyProtection="1">
      <protection hidden="1"/>
    </xf>
    <xf numFmtId="0" fontId="8" fillId="0" borderId="0" xfId="0" applyFont="1" applyBorder="1" applyAlignment="1" applyProtection="1">
      <alignment horizontal="left" indent="1"/>
      <protection hidden="1"/>
    </xf>
    <xf numFmtId="0" fontId="5" fillId="0" borderId="0" xfId="0" applyFont="1" applyBorder="1" applyProtection="1">
      <protection hidden="1"/>
    </xf>
    <xf numFmtId="0" fontId="5" fillId="0" borderId="1" xfId="0" applyFont="1" applyBorder="1" applyAlignment="1" applyProtection="1">
      <alignment vertical="center"/>
      <protection hidden="1"/>
    </xf>
    <xf numFmtId="0" fontId="12" fillId="0" borderId="0" xfId="0" applyFont="1" applyFill="1" applyBorder="1" applyAlignment="1" applyProtection="1">
      <alignment vertical="center"/>
      <protection hidden="1"/>
    </xf>
    <xf numFmtId="0" fontId="5" fillId="0" borderId="2" xfId="0" applyFont="1" applyBorder="1" applyAlignment="1" applyProtection="1">
      <alignment vertical="center"/>
      <protection hidden="1"/>
    </xf>
    <xf numFmtId="0" fontId="5" fillId="0" borderId="1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 wrapText="1"/>
      <protection locked="0"/>
    </xf>
    <xf numFmtId="0" fontId="5" fillId="0" borderId="2" xfId="0" applyFont="1" applyBorder="1" applyAlignment="1" applyProtection="1">
      <alignment vertical="center"/>
      <protection locked="0"/>
    </xf>
    <xf numFmtId="0" fontId="13" fillId="0" borderId="0" xfId="0" applyFont="1" applyBorder="1" applyAlignment="1" applyProtection="1">
      <alignment vertical="center"/>
      <protection hidden="1"/>
    </xf>
    <xf numFmtId="0" fontId="13" fillId="0" borderId="0" xfId="0" applyFont="1" applyBorder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Alignment="1" applyProtection="1">
      <alignment horizontal="left" vertical="center" indent="1"/>
      <protection locked="0"/>
    </xf>
    <xf numFmtId="0" fontId="9" fillId="0" borderId="0" xfId="0" applyFont="1" applyBorder="1" applyAlignment="1" applyProtection="1">
      <alignment vertical="center"/>
      <protection locked="0"/>
    </xf>
    <xf numFmtId="0" fontId="10" fillId="0" borderId="0" xfId="0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center" vertical="center" wrapText="1"/>
      <protection locked="0"/>
    </xf>
    <xf numFmtId="0" fontId="10" fillId="0" borderId="0" xfId="0" applyFont="1" applyBorder="1" applyAlignment="1" applyProtection="1">
      <alignment horizontal="right" vertical="center"/>
      <protection locked="0"/>
    </xf>
    <xf numFmtId="0" fontId="10" fillId="0" borderId="0" xfId="0" applyFont="1" applyBorder="1" applyAlignment="1" applyProtection="1">
      <alignment horizontal="left" vertical="center"/>
      <protection locked="0"/>
    </xf>
    <xf numFmtId="0" fontId="10" fillId="0" borderId="0" xfId="0" applyFont="1" applyBorder="1" applyAlignment="1" applyProtection="1">
      <alignment vertical="center"/>
      <protection locked="0"/>
    </xf>
    <xf numFmtId="0" fontId="10" fillId="0" borderId="2" xfId="0" applyFont="1" applyBorder="1" applyAlignment="1" applyProtection="1">
      <alignment vertical="center"/>
      <protection locked="0"/>
    </xf>
    <xf numFmtId="0" fontId="14" fillId="7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vertical="center"/>
      <protection hidden="1"/>
    </xf>
    <xf numFmtId="0" fontId="5" fillId="0" borderId="0" xfId="0" applyFont="1" applyBorder="1" applyAlignment="1" applyProtection="1">
      <alignment vertical="center"/>
      <protection hidden="1"/>
    </xf>
    <xf numFmtId="0" fontId="5" fillId="0" borderId="0" xfId="0" applyFont="1" applyBorder="1" applyAlignment="1" applyProtection="1">
      <alignment vertical="center" wrapText="1"/>
      <protection hidden="1"/>
    </xf>
    <xf numFmtId="0" fontId="15" fillId="10" borderId="0" xfId="0" applyFont="1" applyFill="1" applyBorder="1" applyAlignment="1" applyProtection="1">
      <alignment horizontal="center" vertical="center"/>
      <protection hidden="1"/>
    </xf>
    <xf numFmtId="0" fontId="5" fillId="0" borderId="0" xfId="0" applyFont="1" applyBorder="1" applyAlignment="1" applyProtection="1">
      <alignment horizontal="center" vertical="center"/>
      <protection hidden="1"/>
    </xf>
    <xf numFmtId="0" fontId="5" fillId="0" borderId="0" xfId="0" applyFont="1" applyBorder="1" applyAlignment="1" applyProtection="1">
      <alignment horizontal="center" vertical="center"/>
      <protection locked="0"/>
    </xf>
    <xf numFmtId="16" fontId="5" fillId="0" borderId="0" xfId="0" applyNumberFormat="1" applyFont="1" applyBorder="1" applyAlignment="1" applyProtection="1">
      <alignment horizontal="right" vertical="center" wrapText="1" shrinkToFit="1"/>
      <protection locked="0"/>
    </xf>
    <xf numFmtId="164" fontId="5" fillId="0" borderId="0" xfId="0" applyNumberFormat="1" applyFont="1" applyBorder="1" applyAlignment="1" applyProtection="1">
      <alignment horizontal="right" vertical="center"/>
      <protection locked="0"/>
    </xf>
    <xf numFmtId="0" fontId="5" fillId="0" borderId="0" xfId="0" applyFont="1" applyBorder="1" applyAlignment="1" applyProtection="1">
      <alignment horizontal="right" vertical="center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quotePrefix="1" applyFont="1" applyFill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vertical="center"/>
    </xf>
    <xf numFmtId="0" fontId="13" fillId="10" borderId="0" xfId="0" applyFont="1" applyFill="1" applyBorder="1" applyAlignment="1" applyProtection="1">
      <alignment horizontal="center" vertical="center"/>
      <protection hidden="1"/>
    </xf>
    <xf numFmtId="0" fontId="13" fillId="2" borderId="0" xfId="0" applyFont="1" applyFill="1" applyBorder="1" applyAlignment="1" applyProtection="1">
      <alignment horizontal="center" vertical="center"/>
      <protection hidden="1"/>
    </xf>
    <xf numFmtId="0" fontId="13" fillId="0" borderId="0" xfId="0" applyFont="1" applyBorder="1" applyAlignment="1" applyProtection="1">
      <alignment horizontal="center" vertical="center"/>
      <protection hidden="1"/>
    </xf>
    <xf numFmtId="0" fontId="5" fillId="0" borderId="0" xfId="0" applyFont="1" applyFill="1" applyBorder="1" applyAlignment="1" applyProtection="1">
      <alignment vertical="center"/>
      <protection hidden="1"/>
    </xf>
    <xf numFmtId="0" fontId="8" fillId="0" borderId="0" xfId="0" applyFont="1" applyBorder="1" applyAlignment="1" applyProtection="1">
      <alignment horizontal="left" vertical="center" indent="1"/>
      <protection hidden="1"/>
    </xf>
    <xf numFmtId="0" fontId="12" fillId="6" borderId="0" xfId="0" applyFont="1" applyFill="1" applyBorder="1" applyAlignment="1" applyProtection="1">
      <alignment horizontal="left" vertical="center" indent="1"/>
      <protection locked="0"/>
    </xf>
    <xf numFmtId="0" fontId="12" fillId="6" borderId="0" xfId="0" applyFont="1" applyFill="1" applyBorder="1" applyAlignment="1" applyProtection="1">
      <alignment horizontal="left" vertical="center"/>
      <protection locked="0"/>
    </xf>
    <xf numFmtId="0" fontId="5" fillId="6" borderId="0" xfId="0" applyFont="1" applyFill="1" applyBorder="1" applyAlignment="1" applyProtection="1">
      <alignment horizontal="left" vertical="center"/>
      <protection locked="0"/>
    </xf>
    <xf numFmtId="0" fontId="12" fillId="6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vertical="center"/>
      <protection hidden="1"/>
    </xf>
    <xf numFmtId="0" fontId="13" fillId="0" borderId="0" xfId="0" applyFont="1" applyFill="1" applyBorder="1" applyAlignment="1" applyProtection="1">
      <alignment vertical="center"/>
      <protection hidden="1"/>
    </xf>
    <xf numFmtId="0" fontId="12" fillId="8" borderId="0" xfId="0" applyFont="1" applyFill="1" applyBorder="1" applyAlignment="1" applyProtection="1">
      <alignment horizontal="left" vertical="center" indent="1"/>
      <protection locked="0"/>
    </xf>
    <xf numFmtId="0" fontId="12" fillId="8" borderId="0" xfId="0" applyFont="1" applyFill="1" applyBorder="1" applyAlignment="1" applyProtection="1">
      <alignment horizontal="left" vertical="center"/>
      <protection locked="0"/>
    </xf>
    <xf numFmtId="0" fontId="5" fillId="8" borderId="0" xfId="0" applyFont="1" applyFill="1" applyBorder="1" applyAlignment="1" applyProtection="1">
      <alignment horizontal="left" vertical="center"/>
      <protection locked="0"/>
    </xf>
    <xf numFmtId="0" fontId="12" fillId="8" borderId="0" xfId="0" applyFont="1" applyFill="1" applyBorder="1" applyAlignment="1" applyProtection="1">
      <alignment horizontal="center" vertical="center"/>
      <protection locked="0"/>
    </xf>
    <xf numFmtId="0" fontId="12" fillId="3" borderId="0" xfId="0" applyFont="1" applyFill="1" applyBorder="1" applyAlignment="1" applyProtection="1">
      <alignment horizontal="left" vertical="center" indent="1"/>
      <protection locked="0"/>
    </xf>
    <xf numFmtId="0" fontId="16" fillId="3" borderId="0" xfId="0" applyFont="1" applyFill="1" applyBorder="1" applyAlignment="1" applyProtection="1">
      <alignment horizontal="left" vertical="center"/>
      <protection locked="0"/>
    </xf>
    <xf numFmtId="0" fontId="5" fillId="3" borderId="0" xfId="0" applyFont="1" applyFill="1" applyBorder="1" applyAlignment="1" applyProtection="1">
      <alignment horizontal="left" vertical="center"/>
      <protection locked="0"/>
    </xf>
    <xf numFmtId="0" fontId="12" fillId="3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vertical="center"/>
      <protection hidden="1"/>
    </xf>
    <xf numFmtId="0" fontId="5" fillId="0" borderId="5" xfId="0" applyFont="1" applyBorder="1" applyAlignment="1" applyProtection="1">
      <alignment vertical="center"/>
      <protection locked="0"/>
    </xf>
    <xf numFmtId="0" fontId="5" fillId="0" borderId="5" xfId="0" applyFont="1" applyFill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horizontal="left" vertical="center" indent="1"/>
      <protection locked="0"/>
    </xf>
    <xf numFmtId="0" fontId="17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10" borderId="0" xfId="0" applyFont="1" applyFill="1" applyAlignment="1" applyProtection="1">
      <alignment vertical="center"/>
      <protection locked="0"/>
    </xf>
    <xf numFmtId="0" fontId="5" fillId="10" borderId="0" xfId="0" applyFont="1" applyFill="1" applyBorder="1" applyAlignment="1" applyProtection="1">
      <alignment vertical="center"/>
      <protection locked="0"/>
    </xf>
    <xf numFmtId="0" fontId="8" fillId="10" borderId="0" xfId="0" applyFont="1" applyFill="1" applyBorder="1" applyAlignment="1" applyProtection="1">
      <alignment horizontal="left" vertical="center" indent="1"/>
      <protection locked="0"/>
    </xf>
    <xf numFmtId="0" fontId="5" fillId="2" borderId="0" xfId="0" applyFont="1" applyFill="1" applyAlignment="1" applyProtection="1">
      <alignment vertical="center"/>
      <protection locked="0"/>
    </xf>
    <xf numFmtId="0" fontId="5" fillId="2" borderId="0" xfId="0" applyFont="1" applyFill="1" applyBorder="1" applyAlignment="1" applyProtection="1">
      <alignment vertical="center"/>
      <protection locked="0"/>
    </xf>
    <xf numFmtId="0" fontId="8" fillId="2" borderId="0" xfId="0" applyFont="1" applyFill="1" applyBorder="1" applyAlignment="1" applyProtection="1">
      <alignment horizontal="left" vertical="center" indent="1"/>
      <protection locked="0"/>
    </xf>
    <xf numFmtId="0" fontId="8" fillId="0" borderId="0" xfId="0" applyFont="1" applyBorder="1" applyAlignment="1" applyProtection="1">
      <alignment horizontal="left" vertical="center" indent="1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7" xfId="0" applyFont="1" applyBorder="1" applyAlignment="1" applyProtection="1">
      <alignment vertical="center"/>
      <protection hidden="1"/>
    </xf>
    <xf numFmtId="0" fontId="5" fillId="0" borderId="5" xfId="0" applyFont="1" applyBorder="1" applyAlignment="1" applyProtection="1">
      <alignment vertical="center"/>
      <protection hidden="1"/>
    </xf>
    <xf numFmtId="0" fontId="5" fillId="0" borderId="5" xfId="0" applyFont="1" applyBorder="1" applyAlignment="1" applyProtection="1">
      <alignment vertical="center" wrapText="1"/>
      <protection hidden="1"/>
    </xf>
    <xf numFmtId="0" fontId="5" fillId="0" borderId="5" xfId="0" applyFont="1" applyFill="1" applyBorder="1" applyAlignment="1" applyProtection="1">
      <alignment vertical="center"/>
      <protection hidden="1"/>
    </xf>
    <xf numFmtId="0" fontId="5" fillId="0" borderId="6" xfId="0" applyFont="1" applyBorder="1" applyAlignment="1" applyProtection="1">
      <alignment vertical="center"/>
      <protection hidden="1"/>
    </xf>
    <xf numFmtId="0" fontId="8" fillId="0" borderId="0" xfId="0" applyFont="1" applyBorder="1" applyAlignment="1" applyProtection="1">
      <alignment horizontal="center" vertical="center"/>
      <protection locked="0"/>
    </xf>
    <xf numFmtId="0" fontId="5" fillId="5" borderId="13" xfId="0" applyFont="1" applyFill="1" applyBorder="1" applyAlignment="1" applyProtection="1">
      <alignment horizontal="center" vertical="center"/>
      <protection locked="0"/>
    </xf>
    <xf numFmtId="165" fontId="5" fillId="5" borderId="14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vertical="center"/>
      <protection hidden="1"/>
    </xf>
    <xf numFmtId="0" fontId="8" fillId="6" borderId="10" xfId="0" applyFont="1" applyFill="1" applyBorder="1" applyAlignment="1" applyProtection="1">
      <alignment horizontal="center" vertical="center"/>
      <protection hidden="1"/>
    </xf>
    <xf numFmtId="0" fontId="5" fillId="0" borderId="7" xfId="0" applyFont="1" applyFill="1" applyBorder="1" applyAlignment="1" applyProtection="1">
      <alignment horizontal="center" vertical="center"/>
      <protection locked="0"/>
    </xf>
    <xf numFmtId="0" fontId="5" fillId="7" borderId="11" xfId="0" applyFont="1" applyFill="1" applyBorder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/>
      <protection hidden="1"/>
    </xf>
    <xf numFmtId="0" fontId="5" fillId="5" borderId="12" xfId="0" applyFont="1" applyFill="1" applyBorder="1" applyAlignment="1" applyProtection="1">
      <alignment horizontal="center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  <xf numFmtId="165" fontId="5" fillId="0" borderId="14" xfId="0" applyNumberFormat="1" applyFont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/>
    </xf>
    <xf numFmtId="0" fontId="8" fillId="0" borderId="25" xfId="0" applyFont="1" applyBorder="1" applyAlignment="1" applyProtection="1">
      <alignment vertical="center"/>
      <protection hidden="1"/>
    </xf>
    <xf numFmtId="0" fontId="5" fillId="0" borderId="10" xfId="0" applyFont="1" applyBorder="1" applyAlignment="1">
      <alignment horizontal="center"/>
    </xf>
    <xf numFmtId="0" fontId="5" fillId="0" borderId="4" xfId="0" applyFont="1" applyBorder="1" applyAlignment="1" applyProtection="1">
      <alignment vertical="center"/>
      <protection hidden="1"/>
    </xf>
    <xf numFmtId="0" fontId="5" fillId="0" borderId="11" xfId="0" applyFont="1" applyBorder="1" applyAlignment="1">
      <alignment horizontal="center"/>
    </xf>
    <xf numFmtId="0" fontId="5" fillId="0" borderId="0" xfId="0" applyFont="1" applyAlignment="1" applyProtection="1">
      <alignment horizontal="left" vertical="center" indent="1"/>
      <protection locked="0"/>
    </xf>
    <xf numFmtId="0" fontId="5" fillId="4" borderId="13" xfId="0" applyFont="1" applyFill="1" applyBorder="1" applyAlignment="1" applyProtection="1">
      <alignment horizontal="center" vertical="center"/>
      <protection locked="0"/>
    </xf>
    <xf numFmtId="165" fontId="5" fillId="4" borderId="14" xfId="0" applyNumberFormat="1" applyFont="1" applyFill="1" applyBorder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/>
      <protection locked="0"/>
    </xf>
    <xf numFmtId="0" fontId="8" fillId="8" borderId="10" xfId="0" applyFont="1" applyFill="1" applyBorder="1" applyAlignment="1" applyProtection="1">
      <alignment horizontal="center" vertical="center"/>
      <protection hidden="1"/>
    </xf>
    <xf numFmtId="0" fontId="8" fillId="3" borderId="11" xfId="0" applyFont="1" applyFill="1" applyBorder="1" applyAlignment="1" applyProtection="1">
      <alignment horizontal="center" vertical="center"/>
      <protection hidden="1"/>
    </xf>
    <xf numFmtId="0" fontId="5" fillId="4" borderId="12" xfId="0" applyFont="1" applyFill="1" applyBorder="1" applyAlignment="1">
      <alignment horizontal="center"/>
    </xf>
    <xf numFmtId="0" fontId="8" fillId="0" borderId="0" xfId="0" applyFont="1" applyAlignment="1" applyProtection="1">
      <alignment vertical="center"/>
      <protection hidden="1"/>
    </xf>
    <xf numFmtId="0" fontId="8" fillId="3" borderId="10" xfId="0" applyFont="1" applyFill="1" applyBorder="1" applyAlignment="1" applyProtection="1">
      <alignment horizontal="center" vertical="center"/>
      <protection hidden="1"/>
    </xf>
    <xf numFmtId="0" fontId="8" fillId="8" borderId="11" xfId="0" applyFont="1" applyFill="1" applyBorder="1" applyAlignment="1" applyProtection="1">
      <alignment horizontal="center" vertical="center"/>
      <protection hidden="1"/>
    </xf>
    <xf numFmtId="0" fontId="5" fillId="0" borderId="9" xfId="0" applyFont="1" applyBorder="1" applyAlignment="1" applyProtection="1">
      <alignment vertical="center"/>
      <protection hidden="1"/>
    </xf>
    <xf numFmtId="0" fontId="5" fillId="0" borderId="7" xfId="0" applyFont="1" applyBorder="1" applyAlignment="1" applyProtection="1">
      <alignment horizontal="center" vertical="center"/>
      <protection hidden="1"/>
    </xf>
    <xf numFmtId="0" fontId="5" fillId="0" borderId="0" xfId="0" applyFont="1" applyBorder="1" applyAlignment="1">
      <alignment horizontal="center"/>
    </xf>
    <xf numFmtId="0" fontId="5" fillId="7" borderId="10" xfId="0" applyFont="1" applyFill="1" applyBorder="1" applyAlignment="1" applyProtection="1">
      <alignment horizontal="center" vertical="center"/>
      <protection hidden="1"/>
    </xf>
    <xf numFmtId="0" fontId="8" fillId="6" borderId="11" xfId="0" applyFont="1" applyFill="1" applyBorder="1" applyAlignment="1" applyProtection="1">
      <alignment horizontal="center" vertical="center"/>
      <protection hidden="1"/>
    </xf>
    <xf numFmtId="0" fontId="5" fillId="4" borderId="12" xfId="0" applyFont="1" applyFill="1" applyBorder="1" applyAlignment="1" applyProtection="1">
      <alignment horizontal="center"/>
      <protection locked="0"/>
    </xf>
    <xf numFmtId="0" fontId="13" fillId="0" borderId="0" xfId="0" applyFont="1" applyBorder="1"/>
    <xf numFmtId="0" fontId="8" fillId="0" borderId="0" xfId="0" applyFont="1" applyAlignment="1" applyProtection="1">
      <alignment horizontal="left" vertical="center" indent="1"/>
      <protection hidden="1"/>
    </xf>
    <xf numFmtId="0" fontId="8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vertical="center"/>
      <protection hidden="1"/>
    </xf>
    <xf numFmtId="0" fontId="5" fillId="0" borderId="0" xfId="0" applyFont="1" applyFill="1" applyAlignment="1" applyProtection="1">
      <alignment vertical="center"/>
      <protection hidden="1"/>
    </xf>
    <xf numFmtId="0" fontId="6" fillId="0" borderId="0" xfId="0" applyFont="1" applyFill="1" applyAlignment="1" applyProtection="1">
      <alignment vertical="center"/>
      <protection hidden="1"/>
    </xf>
    <xf numFmtId="0" fontId="5" fillId="12" borderId="8" xfId="0" applyFont="1" applyFill="1" applyBorder="1" applyAlignment="1" applyProtection="1">
      <alignment horizontal="center" vertical="center"/>
      <protection locked="0"/>
    </xf>
    <xf numFmtId="0" fontId="5" fillId="12" borderId="3" xfId="0" applyFont="1" applyFill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wrapText="1"/>
      <protection hidden="1"/>
    </xf>
    <xf numFmtId="0" fontId="5" fillId="0" borderId="0" xfId="0" applyFont="1" applyBorder="1" applyAlignment="1" applyProtection="1">
      <protection hidden="1"/>
    </xf>
    <xf numFmtId="0" fontId="8" fillId="0" borderId="0" xfId="0" applyFont="1" applyBorder="1" applyAlignment="1" applyProtection="1">
      <alignment horizontal="center"/>
      <protection locked="0"/>
    </xf>
    <xf numFmtId="0" fontId="9" fillId="0" borderId="0" xfId="0" applyFont="1" applyBorder="1" applyProtection="1">
      <protection hidden="1"/>
    </xf>
    <xf numFmtId="0" fontId="8" fillId="0" borderId="0" xfId="0" applyFont="1" applyFill="1" applyBorder="1" applyAlignment="1" applyProtection="1">
      <alignment vertical="center"/>
      <protection hidden="1"/>
    </xf>
    <xf numFmtId="0" fontId="11" fillId="0" borderId="0" xfId="0" applyFont="1" applyFill="1" applyAlignment="1" applyProtection="1">
      <alignment vertical="center"/>
      <protection locked="0"/>
    </xf>
    <xf numFmtId="0" fontId="11" fillId="11" borderId="0" xfId="0" applyFont="1" applyFill="1" applyAlignment="1" applyProtection="1">
      <alignment vertical="center"/>
      <protection locked="0"/>
    </xf>
    <xf numFmtId="0" fontId="5" fillId="0" borderId="0" xfId="0" applyFont="1" applyAlignment="1" applyProtection="1">
      <alignment horizontal="right"/>
      <protection hidden="1"/>
    </xf>
    <xf numFmtId="0" fontId="5" fillId="0" borderId="0" xfId="0" applyFont="1" applyAlignment="1" applyProtection="1">
      <alignment horizontal="right" wrapText="1"/>
      <protection hidden="1"/>
    </xf>
    <xf numFmtId="0" fontId="5" fillId="14" borderId="0" xfId="0" applyFont="1" applyFill="1" applyAlignment="1" applyProtection="1">
      <alignment horizontal="center"/>
      <protection locked="0"/>
    </xf>
    <xf numFmtId="0" fontId="5" fillId="13" borderId="0" xfId="0" applyFont="1" applyFill="1" applyProtection="1">
      <protection locked="0"/>
    </xf>
    <xf numFmtId="0" fontId="8" fillId="0" borderId="0" xfId="0" applyFont="1" applyFill="1" applyBorder="1" applyProtection="1">
      <protection hidden="1"/>
    </xf>
    <xf numFmtId="0" fontId="5" fillId="0" borderId="0" xfId="0" applyFont="1"/>
    <xf numFmtId="0" fontId="10" fillId="0" borderId="0" xfId="0" applyFont="1"/>
    <xf numFmtId="0" fontId="5" fillId="0" borderId="0" xfId="0" applyFont="1" applyBorder="1"/>
    <xf numFmtId="0" fontId="5" fillId="0" borderId="28" xfId="0" applyFont="1" applyBorder="1"/>
    <xf numFmtId="0" fontId="5" fillId="0" borderId="29" xfId="0" applyFont="1" applyBorder="1"/>
    <xf numFmtId="0" fontId="5" fillId="0" borderId="30" xfId="0" applyFont="1" applyBorder="1"/>
    <xf numFmtId="0" fontId="5" fillId="0" borderId="31" xfId="0" applyFont="1" applyBorder="1"/>
    <xf numFmtId="0" fontId="5" fillId="0" borderId="32" xfId="0" applyFont="1" applyBorder="1"/>
    <xf numFmtId="0" fontId="5" fillId="0" borderId="33" xfId="0" applyFont="1" applyBorder="1"/>
    <xf numFmtId="0" fontId="5" fillId="0" borderId="32" xfId="0" applyFont="1" applyBorder="1" applyAlignment="1">
      <alignment horizontal="right" vertical="center"/>
    </xf>
    <xf numFmtId="0" fontId="3" fillId="0" borderId="32" xfId="0" applyFont="1" applyBorder="1" applyAlignment="1">
      <alignment horizontal="center" vertical="center"/>
    </xf>
    <xf numFmtId="0" fontId="24" fillId="11" borderId="26" xfId="0" applyFont="1" applyFill="1" applyBorder="1" applyAlignment="1">
      <alignment horizontal="center" vertical="center"/>
    </xf>
    <xf numFmtId="0" fontId="23" fillId="12" borderId="26" xfId="0" applyFont="1" applyFill="1" applyBorder="1" applyAlignment="1">
      <alignment horizontal="center" vertical="center"/>
    </xf>
    <xf numFmtId="0" fontId="9" fillId="0" borderId="0" xfId="0" applyFont="1" applyFill="1" applyBorder="1" applyProtection="1">
      <protection hidden="1"/>
    </xf>
    <xf numFmtId="0" fontId="3" fillId="0" borderId="0" xfId="0" applyFont="1" applyAlignment="1" applyProtection="1">
      <alignment horizontal="center"/>
      <protection hidden="1"/>
    </xf>
    <xf numFmtId="0" fontId="26" fillId="0" borderId="0" xfId="1" applyFont="1" applyAlignment="1" applyProtection="1">
      <alignment horizontal="center"/>
      <protection hidden="1"/>
    </xf>
    <xf numFmtId="0" fontId="22" fillId="11" borderId="0" xfId="0" applyFont="1" applyFill="1" applyAlignment="1" applyProtection="1">
      <alignment horizontal="center" vertical="center"/>
      <protection locked="0"/>
    </xf>
    <xf numFmtId="165" fontId="5" fillId="0" borderId="15" xfId="0" applyNumberFormat="1" applyFont="1" applyBorder="1" applyAlignment="1" applyProtection="1">
      <alignment horizontal="center" vertical="center"/>
      <protection locked="0"/>
    </xf>
    <xf numFmtId="165" fontId="5" fillId="0" borderId="14" xfId="0" applyNumberFormat="1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>
      <alignment horizontal="center"/>
    </xf>
    <xf numFmtId="0" fontId="13" fillId="10" borderId="0" xfId="0" applyFont="1" applyFill="1" applyBorder="1" applyAlignment="1" applyProtection="1">
      <alignment horizontal="left" vertical="center"/>
      <protection locked="0" hidden="1"/>
    </xf>
    <xf numFmtId="0" fontId="13" fillId="2" borderId="0" xfId="0" applyFont="1" applyFill="1" applyBorder="1" applyAlignment="1" applyProtection="1">
      <alignment horizontal="left" vertical="center"/>
      <protection locked="0" hidden="1"/>
    </xf>
    <xf numFmtId="0" fontId="20" fillId="0" borderId="22" xfId="0" applyFont="1" applyBorder="1" applyAlignment="1" applyProtection="1">
      <alignment horizontal="center" vertical="center" wrapText="1"/>
      <protection hidden="1"/>
    </xf>
    <xf numFmtId="0" fontId="20" fillId="0" borderId="23" xfId="0" applyFont="1" applyBorder="1" applyAlignment="1" applyProtection="1">
      <alignment horizontal="center" vertical="center" wrapText="1"/>
      <protection hidden="1"/>
    </xf>
    <xf numFmtId="0" fontId="20" fillId="0" borderId="24" xfId="0" applyFont="1" applyBorder="1" applyAlignment="1" applyProtection="1">
      <alignment horizontal="center" vertical="center" wrapText="1"/>
      <protection hidden="1"/>
    </xf>
    <xf numFmtId="0" fontId="20" fillId="0" borderId="1" xfId="0" applyFont="1" applyBorder="1" applyAlignment="1" applyProtection="1">
      <alignment horizontal="center" vertical="center" wrapText="1"/>
      <protection hidden="1"/>
    </xf>
    <xf numFmtId="0" fontId="20" fillId="0" borderId="0" xfId="0" applyFont="1" applyBorder="1" applyAlignment="1" applyProtection="1">
      <alignment horizontal="center" vertical="center" wrapText="1"/>
      <protection hidden="1"/>
    </xf>
    <xf numFmtId="0" fontId="20" fillId="0" borderId="2" xfId="0" applyFont="1" applyBorder="1" applyAlignment="1" applyProtection="1">
      <alignment horizontal="center" vertical="center" wrapText="1"/>
      <protection hidden="1"/>
    </xf>
    <xf numFmtId="0" fontId="20" fillId="0" borderId="7" xfId="0" applyFont="1" applyBorder="1" applyAlignment="1" applyProtection="1">
      <alignment horizontal="center" vertical="center" wrapText="1"/>
      <protection hidden="1"/>
    </xf>
    <xf numFmtId="0" fontId="20" fillId="0" borderId="5" xfId="0" applyFont="1" applyBorder="1" applyAlignment="1" applyProtection="1">
      <alignment horizontal="center" vertical="center" wrapText="1"/>
      <protection hidden="1"/>
    </xf>
    <xf numFmtId="0" fontId="20" fillId="0" borderId="6" xfId="0" applyFont="1" applyBorder="1" applyAlignment="1" applyProtection="1">
      <alignment horizontal="center" vertical="center" wrapText="1"/>
      <protection hidden="1"/>
    </xf>
    <xf numFmtId="0" fontId="21" fillId="0" borderId="23" xfId="0" applyFont="1" applyBorder="1" applyAlignment="1" applyProtection="1">
      <alignment horizontal="center" vertical="center" wrapText="1"/>
      <protection hidden="1"/>
    </xf>
    <xf numFmtId="0" fontId="21" fillId="0" borderId="5" xfId="0" applyFont="1" applyBorder="1" applyAlignment="1" applyProtection="1">
      <alignment horizontal="center" vertical="center" wrapText="1"/>
      <protection hidden="1"/>
    </xf>
    <xf numFmtId="0" fontId="21" fillId="0" borderId="24" xfId="0" applyFont="1" applyBorder="1" applyAlignment="1" applyProtection="1">
      <alignment horizontal="center" vertical="center" wrapText="1"/>
      <protection hidden="1"/>
    </xf>
    <xf numFmtId="0" fontId="21" fillId="0" borderId="6" xfId="0" applyFont="1" applyBorder="1" applyAlignment="1" applyProtection="1">
      <alignment horizontal="center" vertical="center" wrapText="1"/>
      <protection hidden="1"/>
    </xf>
    <xf numFmtId="0" fontId="21" fillId="0" borderId="22" xfId="0" applyFont="1" applyBorder="1" applyAlignment="1" applyProtection="1">
      <alignment horizontal="center" vertical="center" wrapText="1"/>
      <protection hidden="1"/>
    </xf>
    <xf numFmtId="0" fontId="21" fillId="0" borderId="7" xfId="0" applyFont="1" applyBorder="1" applyAlignment="1" applyProtection="1">
      <alignment horizontal="center" vertical="center" wrapText="1"/>
      <protection hidden="1"/>
    </xf>
    <xf numFmtId="0" fontId="11" fillId="11" borderId="1" xfId="0" applyFont="1" applyFill="1" applyBorder="1" applyAlignment="1" applyProtection="1">
      <alignment horizontal="center" vertical="center"/>
      <protection locked="0"/>
    </xf>
    <xf numFmtId="0" fontId="11" fillId="11" borderId="0" xfId="0" applyFont="1" applyFill="1" applyBorder="1" applyAlignment="1" applyProtection="1">
      <alignment horizontal="center" vertical="center"/>
      <protection locked="0"/>
    </xf>
    <xf numFmtId="0" fontId="5" fillId="0" borderId="16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 applyProtection="1">
      <alignment horizontal="center" vertical="center"/>
      <protection locked="0"/>
    </xf>
    <xf numFmtId="0" fontId="5" fillId="0" borderId="20" xfId="0" applyFont="1" applyBorder="1" applyAlignment="1" applyProtection="1">
      <alignment horizontal="center" vertical="center"/>
      <protection locked="0"/>
    </xf>
    <xf numFmtId="0" fontId="5" fillId="0" borderId="21" xfId="0" applyFont="1" applyBorder="1" applyAlignment="1" applyProtection="1">
      <alignment horizontal="center" vertical="center"/>
      <protection locked="0"/>
    </xf>
    <xf numFmtId="0" fontId="19" fillId="11" borderId="1" xfId="0" applyFont="1" applyFill="1" applyBorder="1" applyAlignment="1" applyProtection="1">
      <alignment horizontal="center" vertical="center" wrapText="1"/>
      <protection locked="0"/>
    </xf>
    <xf numFmtId="0" fontId="19" fillId="11" borderId="0" xfId="0" applyFont="1" applyFill="1" applyBorder="1" applyAlignment="1" applyProtection="1">
      <alignment horizontal="center" vertical="center" wrapText="1"/>
      <protection locked="0"/>
    </xf>
    <xf numFmtId="0" fontId="19" fillId="11" borderId="7" xfId="0" applyFont="1" applyFill="1" applyBorder="1" applyAlignment="1" applyProtection="1">
      <alignment horizontal="center" vertical="center" wrapText="1"/>
      <protection locked="0"/>
    </xf>
    <xf numFmtId="0" fontId="19" fillId="11" borderId="5" xfId="0" applyFont="1" applyFill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9" borderId="0" xfId="0" applyFont="1" applyFill="1" applyAlignment="1" applyProtection="1">
      <alignment horizontal="left" vertical="center" wrapText="1"/>
      <protection locked="0"/>
    </xf>
    <xf numFmtId="0" fontId="18" fillId="11" borderId="0" xfId="0" applyFont="1" applyFill="1" applyBorder="1" applyAlignment="1" applyProtection="1">
      <alignment horizontal="center" vertical="center" textRotation="255"/>
      <protection locked="0"/>
    </xf>
    <xf numFmtId="0" fontId="12" fillId="11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13" fillId="0" borderId="0" xfId="0" applyFont="1" applyBorder="1" applyAlignment="1" applyProtection="1">
      <alignment horizontal="left" vertical="center"/>
      <protection locked="0" hidden="1"/>
    </xf>
    <xf numFmtId="0" fontId="15" fillId="10" borderId="0" xfId="0" applyFont="1" applyFill="1" applyBorder="1" applyAlignment="1" applyProtection="1">
      <alignment horizontal="left" vertical="center"/>
      <protection locked="0" hidden="1"/>
    </xf>
    <xf numFmtId="0" fontId="10" fillId="0" borderId="0" xfId="0" applyFont="1" applyBorder="1" applyAlignment="1" applyProtection="1">
      <alignment horizontal="center" vertical="center"/>
      <protection locked="0"/>
    </xf>
    <xf numFmtId="0" fontId="14" fillId="7" borderId="0" xfId="0" applyFont="1" applyFill="1" applyBorder="1" applyAlignment="1" applyProtection="1">
      <alignment horizontal="left" vertical="center" indent="1"/>
      <protection locked="0"/>
    </xf>
    <xf numFmtId="0" fontId="10" fillId="0" borderId="27" xfId="0" applyFont="1" applyBorder="1" applyAlignment="1">
      <alignment horizontal="left" vertical="center" wrapText="1"/>
    </xf>
    <xf numFmtId="0" fontId="10" fillId="0" borderId="29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33" xfId="0" applyFont="1" applyBorder="1" applyAlignment="1">
      <alignment horizontal="left" vertical="center" wrapText="1"/>
    </xf>
    <xf numFmtId="0" fontId="10" fillId="0" borderId="26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top" wrapText="1"/>
    </xf>
    <xf numFmtId="0" fontId="5" fillId="0" borderId="32" xfId="0" applyFont="1" applyBorder="1" applyAlignment="1">
      <alignment horizontal="left" vertical="top" wrapText="1"/>
    </xf>
    <xf numFmtId="0" fontId="26" fillId="0" borderId="0" xfId="1" applyFont="1" applyAlignment="1" applyProtection="1">
      <alignment horizontal="left" vertical="center"/>
    </xf>
    <xf numFmtId="0" fontId="25" fillId="0" borderId="0" xfId="1" applyFont="1" applyAlignment="1" applyProtection="1">
      <alignment horizontal="left" vertical="center"/>
    </xf>
  </cellXfs>
  <cellStyles count="2">
    <cellStyle name="Hyperlink" xfId="1" builtinId="8"/>
    <cellStyle name="Normal" xfId="0" builtinId="0"/>
  </cellStyles>
  <dxfs count="65">
    <dxf>
      <fill>
        <patternFill>
          <bgColor theme="2" tint="-9.9948118533890809E-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theme="6" tint="-0.499984740745262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theme="6" tint="-0.499984740745262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b val="0"/>
        <i val="0"/>
        <color theme="1" tint="0.499984740745262"/>
      </font>
    </dxf>
    <dxf>
      <font>
        <b/>
        <i val="0"/>
        <color theme="8" tint="-0.499984740745262"/>
      </font>
    </dxf>
    <dxf>
      <font>
        <b val="0"/>
        <i val="0"/>
        <color theme="1" tint="0.499984740745262"/>
      </font>
    </dxf>
    <dxf>
      <font>
        <b/>
        <i val="0"/>
        <color theme="8" tint="-0.499984740745262"/>
      </font>
    </dxf>
    <dxf>
      <font>
        <condense val="0"/>
        <extend val="0"/>
        <color auto="1"/>
      </font>
      <border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  <dxf>
      <font>
        <b val="0"/>
        <i val="0"/>
        <condense val="0"/>
        <extend val="0"/>
        <color indexed="8"/>
      </font>
      <border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  <dxf>
      <font>
        <condense val="0"/>
        <extend val="0"/>
        <color auto="1"/>
      </font>
      <border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  <dxf>
      <font>
        <b val="0"/>
        <i val="0"/>
        <condense val="0"/>
        <extend val="0"/>
        <color indexed="8"/>
      </font>
      <border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  <dxf>
      <font>
        <condense val="0"/>
        <extend val="0"/>
        <color auto="1"/>
      </font>
      <border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  <dxf>
      <fill>
        <patternFill>
          <bgColor theme="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0000FF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fatfreecartpro.com/ecom/gb.php?&amp;c=single&amp;cl=353533&amp;i=1629441" TargetMode="External"/><Relationship Id="rId2" Type="http://schemas.openxmlformats.org/officeDocument/2006/relationships/image" Target="../media/image1.jpg"/><Relationship Id="rId1" Type="http://schemas.openxmlformats.org/officeDocument/2006/relationships/hyperlink" Target="https://www.fatfreecartpro.com/ecom/gb.php?&amp;c=single&amp;cl=353533&amp;i=1629440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44450</xdr:colOff>
      <xdr:row>7</xdr:row>
      <xdr:rowOff>30098</xdr:rowOff>
    </xdr:from>
    <xdr:to>
      <xdr:col>6</xdr:col>
      <xdr:colOff>565150</xdr:colOff>
      <xdr:row>9</xdr:row>
      <xdr:rowOff>273049</xdr:rowOff>
    </xdr:to>
    <xdr:pic>
      <xdr:nvPicPr>
        <xdr:cNvPr id="2" name="Pictur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2100" y="1808098"/>
          <a:ext cx="1739900" cy="852551"/>
        </a:xfrm>
        <a:prstGeom prst="rect">
          <a:avLst/>
        </a:prstGeom>
      </xdr:spPr>
    </xdr:pic>
    <xdr:clientData/>
  </xdr:twoCellAnchor>
  <xdr:twoCellAnchor editAs="absolute">
    <xdr:from>
      <xdr:col>4</xdr:col>
      <xdr:colOff>44450</xdr:colOff>
      <xdr:row>16</xdr:row>
      <xdr:rowOff>30098</xdr:rowOff>
    </xdr:from>
    <xdr:to>
      <xdr:col>6</xdr:col>
      <xdr:colOff>565150</xdr:colOff>
      <xdr:row>18</xdr:row>
      <xdr:rowOff>273049</xdr:rowOff>
    </xdr:to>
    <xdr:pic>
      <xdr:nvPicPr>
        <xdr:cNvPr id="3" name="Picture 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2100" y="4373498"/>
          <a:ext cx="1739900" cy="8525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journalsheet.com/download/rugby-world-cup-poo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DM169"/>
  <sheetViews>
    <sheetView showGridLines="0" tabSelected="1" zoomScale="90" zoomScaleNormal="90" workbookViewId="0">
      <selection activeCell="AY11" sqref="AY11"/>
    </sheetView>
  </sheetViews>
  <sheetFormatPr defaultColWidth="9.08984375" defaultRowHeight="16.5" zeroHeight="1" x14ac:dyDescent="0.45"/>
  <cols>
    <col min="1" max="2" width="1.6328125" style="24" customWidth="1"/>
    <col min="3" max="5" width="3.81640625" style="24" customWidth="1"/>
    <col min="6" max="6" width="7.26953125" style="136" bestFit="1" customWidth="1"/>
    <col min="7" max="7" width="6.81640625" style="137" customWidth="1"/>
    <col min="8" max="8" width="21.81640625" style="24" customWidth="1"/>
    <col min="9" max="10" width="3.81640625" style="24" customWidth="1"/>
    <col min="11" max="11" width="1.6328125" style="24" customWidth="1"/>
    <col min="12" max="13" width="3.81640625" style="24" customWidth="1"/>
    <col min="14" max="14" width="21.81640625" style="24" customWidth="1"/>
    <col min="15" max="15" width="3.81640625" style="24" customWidth="1"/>
    <col min="16" max="16" width="1.6328125" style="24" customWidth="1"/>
    <col min="17" max="28" width="3.81640625" style="24" customWidth="1"/>
    <col min="29" max="33" width="3.81640625" style="21" customWidth="1"/>
    <col min="34" max="34" width="3.81640625" style="22" customWidth="1"/>
    <col min="35" max="35" width="3.81640625" style="23" customWidth="1"/>
    <col min="36" max="36" width="3.81640625" style="138" customWidth="1"/>
    <col min="37" max="37" width="3.81640625" style="139" customWidth="1"/>
    <col min="38" max="43" width="3.81640625" style="24" customWidth="1"/>
    <col min="44" max="44" width="3.81640625" style="2" customWidth="1"/>
    <col min="45" max="45" width="3" style="24" customWidth="1"/>
    <col min="46" max="46" width="12.7265625" style="2" hidden="1" customWidth="1"/>
    <col min="47" max="47" width="35.90625" style="2" hidden="1" customWidth="1"/>
    <col min="48" max="106" width="9.08984375" style="2" customWidth="1"/>
    <col min="107" max="110" width="9.08984375" style="5" customWidth="1"/>
    <col min="111" max="117" width="9.08984375" style="2" customWidth="1"/>
    <col min="118" max="16384" width="9.08984375" style="2"/>
  </cols>
  <sheetData>
    <row r="1" spans="1:117" x14ac:dyDescent="0.45">
      <c r="B1" s="2"/>
      <c r="C1" s="2"/>
      <c r="D1" s="2"/>
      <c r="E1" s="2"/>
      <c r="F1" s="3"/>
      <c r="G1" s="4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5"/>
      <c r="AD1" s="6"/>
      <c r="AE1" s="6"/>
      <c r="AF1" s="6"/>
      <c r="AG1" s="6"/>
      <c r="AH1" s="7"/>
      <c r="AI1" s="8"/>
      <c r="AJ1" s="9"/>
      <c r="AK1" s="10"/>
      <c r="AL1" s="2"/>
      <c r="AM1" s="2"/>
      <c r="AN1" s="2"/>
      <c r="AO1" s="2"/>
      <c r="AP1" s="2"/>
      <c r="AQ1" s="2"/>
    </row>
    <row r="2" spans="1:117" hidden="1" x14ac:dyDescent="0.45">
      <c r="B2" s="2"/>
      <c r="C2" s="2"/>
      <c r="D2" s="2"/>
      <c r="E2" s="2"/>
      <c r="F2" s="3"/>
      <c r="G2" s="4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5"/>
      <c r="AD2" s="6"/>
      <c r="AE2" s="6"/>
      <c r="AF2" s="6"/>
      <c r="AG2" s="6"/>
      <c r="AH2" s="7"/>
      <c r="AI2" s="8"/>
      <c r="AJ2" s="9"/>
      <c r="AK2" s="10"/>
      <c r="AL2" s="2"/>
      <c r="AM2" s="2"/>
      <c r="AN2" s="2"/>
      <c r="AO2" s="2"/>
      <c r="AP2" s="2"/>
      <c r="AQ2" s="2"/>
    </row>
    <row r="3" spans="1:117" ht="15" customHeight="1" x14ac:dyDescent="0.45">
      <c r="B3" s="11"/>
      <c r="C3" s="12" t="s">
        <v>88</v>
      </c>
      <c r="D3" s="2"/>
      <c r="E3" s="144" t="s">
        <v>21</v>
      </c>
      <c r="F3" s="145" t="s">
        <v>7</v>
      </c>
      <c r="G3" s="2"/>
      <c r="H3" s="2"/>
      <c r="I3" s="2"/>
      <c r="J3" s="12" t="s">
        <v>20</v>
      </c>
      <c r="K3" s="2"/>
      <c r="L3" s="13"/>
      <c r="M3" s="144" t="s">
        <v>21</v>
      </c>
      <c r="N3" s="146" t="s">
        <v>15</v>
      </c>
      <c r="O3" s="2"/>
      <c r="P3" s="12" t="s">
        <v>23</v>
      </c>
      <c r="Q3" s="2"/>
      <c r="R3" s="143" t="s">
        <v>21</v>
      </c>
      <c r="S3" s="198" t="s">
        <v>100</v>
      </c>
      <c r="T3" s="198"/>
      <c r="U3" s="198"/>
      <c r="V3" s="198"/>
      <c r="W3" s="198"/>
      <c r="X3" s="2"/>
      <c r="Y3" s="2"/>
      <c r="Z3" s="2"/>
      <c r="AA3" s="2"/>
      <c r="AB3" s="1"/>
      <c r="AC3" s="163" t="s">
        <v>114</v>
      </c>
      <c r="AD3" s="163"/>
      <c r="AE3" s="163"/>
      <c r="AF3" s="163"/>
      <c r="AG3" s="163"/>
      <c r="AH3" s="163"/>
      <c r="AI3" s="163"/>
      <c r="AJ3" s="163"/>
      <c r="AK3" s="163"/>
      <c r="AL3" s="163"/>
      <c r="AM3" s="163"/>
      <c r="AN3" s="163"/>
      <c r="AO3" s="163"/>
      <c r="AP3" s="163"/>
      <c r="AQ3" s="163"/>
      <c r="AV3" s="162" t="s">
        <v>86</v>
      </c>
      <c r="AW3" s="2" t="s">
        <v>87</v>
      </c>
      <c r="AX3" s="6"/>
      <c r="AY3" s="6"/>
      <c r="AZ3" s="6"/>
      <c r="BA3" s="6"/>
      <c r="BB3" s="7"/>
      <c r="BC3" s="8"/>
      <c r="BD3" s="9"/>
      <c r="BE3" s="10"/>
    </row>
    <row r="4" spans="1:117" ht="8.25" hidden="1" customHeight="1" x14ac:dyDescent="0.45">
      <c r="B4" s="2"/>
      <c r="C4" s="12"/>
      <c r="D4" s="2"/>
      <c r="E4" s="13"/>
      <c r="F4" s="3"/>
      <c r="G4" s="14"/>
      <c r="H4" s="2"/>
      <c r="I4" s="2"/>
      <c r="J4" s="2"/>
      <c r="K4" s="2"/>
      <c r="L4" s="2"/>
      <c r="M4" s="2"/>
      <c r="N4" s="2"/>
      <c r="O4" s="16"/>
      <c r="P4" s="17"/>
      <c r="Q4" s="17"/>
      <c r="R4" s="17"/>
      <c r="S4" s="17"/>
      <c r="T4" s="17"/>
      <c r="U4" s="17"/>
      <c r="V4" s="17"/>
      <c r="W4" s="15"/>
      <c r="X4" s="2"/>
      <c r="Y4" s="2"/>
      <c r="Z4" s="2"/>
      <c r="AA4" s="2"/>
      <c r="AB4" s="2"/>
      <c r="AC4" s="5"/>
      <c r="AD4" s="6"/>
      <c r="AE4" s="6"/>
      <c r="AF4" s="6"/>
      <c r="AG4" s="6"/>
      <c r="AH4" s="7"/>
      <c r="AI4" s="8"/>
      <c r="AJ4" s="9"/>
      <c r="AK4" s="10"/>
      <c r="AL4" s="2"/>
      <c r="AM4" s="2"/>
      <c r="AN4" s="2"/>
      <c r="AO4" s="2"/>
      <c r="AP4" s="2"/>
      <c r="AQ4" s="2"/>
      <c r="AW4" s="5"/>
      <c r="AX4" s="6"/>
      <c r="AY4" s="6"/>
      <c r="AZ4" s="6"/>
      <c r="BA4" s="6"/>
      <c r="BB4" s="7"/>
      <c r="BC4" s="8"/>
      <c r="BD4" s="9"/>
      <c r="BE4" s="10"/>
      <c r="DD4" s="6" t="s">
        <v>1</v>
      </c>
    </row>
    <row r="5" spans="1:117" ht="7" customHeight="1" x14ac:dyDescent="0.45">
      <c r="B5" s="2"/>
      <c r="C5" s="2"/>
      <c r="D5" s="2"/>
      <c r="E5" s="2"/>
      <c r="F5" s="3"/>
      <c r="G5" s="13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5"/>
      <c r="AD5" s="5"/>
      <c r="AE5" s="5"/>
      <c r="AF5" s="5"/>
      <c r="AG5" s="5"/>
      <c r="AH5" s="18"/>
      <c r="AI5" s="8"/>
      <c r="AJ5" s="9"/>
      <c r="AK5" s="10"/>
      <c r="AL5" s="2"/>
      <c r="AM5" s="2"/>
      <c r="AN5" s="2"/>
      <c r="AO5" s="2"/>
      <c r="AP5" s="2"/>
      <c r="AQ5" s="2"/>
      <c r="AW5" s="5"/>
      <c r="AX5" s="5"/>
      <c r="AY5" s="5"/>
      <c r="AZ5" s="5"/>
      <c r="BA5" s="5"/>
      <c r="BB5" s="18"/>
      <c r="BC5" s="8"/>
      <c r="BD5" s="9"/>
      <c r="BE5" s="10"/>
    </row>
    <row r="6" spans="1:117" s="132" customFormat="1" ht="25.5" customHeight="1" x14ac:dyDescent="0.25">
      <c r="A6" s="59"/>
      <c r="B6" s="141"/>
      <c r="C6" s="164" t="s">
        <v>109</v>
      </c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4"/>
      <c r="T6" s="164"/>
      <c r="U6" s="164"/>
      <c r="V6" s="164"/>
      <c r="W6" s="164"/>
      <c r="X6" s="164"/>
      <c r="Y6" s="164"/>
      <c r="Z6" s="164"/>
      <c r="AA6" s="164"/>
      <c r="AB6" s="142"/>
      <c r="AC6" s="142"/>
      <c r="AD6" s="142"/>
      <c r="AE6" s="142"/>
      <c r="AF6" s="142"/>
      <c r="AG6" s="142"/>
      <c r="AH6" s="142"/>
      <c r="AI6" s="142"/>
      <c r="AJ6" s="142"/>
      <c r="AK6" s="142"/>
      <c r="AL6" s="142"/>
      <c r="AM6" s="142"/>
      <c r="AN6" s="142"/>
      <c r="AO6" s="142"/>
      <c r="AP6" s="142"/>
      <c r="AQ6" s="142"/>
      <c r="AR6" s="141"/>
      <c r="AS6" s="59"/>
      <c r="DC6" s="133"/>
      <c r="DD6" s="133"/>
      <c r="DE6" s="133"/>
      <c r="DF6" s="133"/>
    </row>
    <row r="7" spans="1:117" ht="3.5" customHeight="1" x14ac:dyDescent="0.45">
      <c r="C7" s="2"/>
      <c r="D7" s="2"/>
      <c r="E7" s="2"/>
      <c r="F7" s="3"/>
      <c r="G7" s="4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5"/>
      <c r="AD7" s="5"/>
      <c r="AE7" s="5"/>
      <c r="AF7" s="5"/>
      <c r="AJ7" s="9"/>
      <c r="AK7" s="10"/>
      <c r="AL7" s="2"/>
      <c r="AP7" s="2"/>
      <c r="AQ7" s="2"/>
      <c r="AR7" s="24"/>
    </row>
    <row r="8" spans="1:117" s="19" customFormat="1" ht="18" customHeight="1" x14ac:dyDescent="0.25">
      <c r="A8" s="45"/>
      <c r="B8" s="45"/>
      <c r="C8" s="185" t="s">
        <v>51</v>
      </c>
      <c r="D8" s="186"/>
      <c r="E8" s="186"/>
      <c r="F8" s="186"/>
      <c r="G8" s="186"/>
      <c r="H8" s="186"/>
      <c r="I8" s="186"/>
      <c r="J8" s="186"/>
      <c r="K8" s="186"/>
      <c r="L8" s="186"/>
      <c r="M8" s="186"/>
      <c r="N8" s="186"/>
      <c r="O8" s="186"/>
      <c r="P8" s="186"/>
      <c r="Q8" s="186"/>
      <c r="R8" s="186"/>
      <c r="S8" s="186"/>
      <c r="T8" s="186"/>
      <c r="U8" s="186"/>
      <c r="V8" s="186"/>
      <c r="W8" s="186"/>
      <c r="X8" s="186"/>
      <c r="Y8" s="186"/>
      <c r="Z8" s="186"/>
      <c r="AA8" s="186"/>
      <c r="AB8" s="26"/>
      <c r="AC8" s="200" t="s">
        <v>9</v>
      </c>
      <c r="AD8" s="200"/>
      <c r="AE8" s="200"/>
      <c r="AF8" s="200"/>
      <c r="AG8" s="200"/>
      <c r="AH8" s="200"/>
      <c r="AI8" s="200"/>
      <c r="AJ8" s="200"/>
      <c r="AK8" s="200"/>
      <c r="AL8" s="200"/>
      <c r="AM8" s="200"/>
      <c r="AN8" s="200"/>
      <c r="AO8" s="200"/>
      <c r="AP8" s="200"/>
      <c r="AQ8" s="200"/>
      <c r="AR8" s="45"/>
      <c r="AS8" s="45"/>
      <c r="AT8" s="19" t="s">
        <v>3</v>
      </c>
      <c r="AU8" s="19" t="s">
        <v>108</v>
      </c>
      <c r="DF8" s="20"/>
      <c r="DG8" s="20"/>
      <c r="DH8" s="20"/>
      <c r="DI8" s="20"/>
    </row>
    <row r="9" spans="1:117" s="19" customFormat="1" ht="18" hidden="1" customHeight="1" x14ac:dyDescent="0.25">
      <c r="A9" s="45"/>
      <c r="B9" s="45"/>
      <c r="C9" s="28"/>
      <c r="D9" s="29"/>
      <c r="E9" s="29"/>
      <c r="F9" s="30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31"/>
      <c r="AB9" s="32"/>
      <c r="AC9" s="33"/>
      <c r="AD9" s="33"/>
      <c r="AE9" s="33"/>
      <c r="AF9" s="33"/>
      <c r="AG9" s="33"/>
      <c r="AH9" s="33"/>
      <c r="AI9" s="29"/>
      <c r="AJ9" s="29"/>
      <c r="AK9" s="29"/>
      <c r="AL9" s="29"/>
      <c r="AM9" s="29"/>
      <c r="AN9" s="29"/>
      <c r="AO9" s="34"/>
      <c r="AP9" s="35"/>
      <c r="AQ9" s="36"/>
      <c r="AR9" s="45"/>
      <c r="AS9" s="45"/>
      <c r="AT9" s="19" t="s">
        <v>80</v>
      </c>
      <c r="AU9" s="19" t="s">
        <v>102</v>
      </c>
      <c r="DJ9" s="20"/>
      <c r="DK9" s="20"/>
      <c r="DL9" s="20"/>
      <c r="DM9" s="20"/>
    </row>
    <row r="10" spans="1:117" s="19" customFormat="1" ht="18" customHeight="1" x14ac:dyDescent="0.45">
      <c r="A10" s="45"/>
      <c r="B10" s="45"/>
      <c r="C10" s="28"/>
      <c r="D10" s="37" t="s">
        <v>26</v>
      </c>
      <c r="E10" s="37" t="s">
        <v>85</v>
      </c>
      <c r="F10" s="38" t="s">
        <v>12</v>
      </c>
      <c r="G10" s="37" t="s">
        <v>13</v>
      </c>
      <c r="H10" s="39" t="s">
        <v>27</v>
      </c>
      <c r="I10" s="37"/>
      <c r="J10" s="204" t="s">
        <v>10</v>
      </c>
      <c r="K10" s="204"/>
      <c r="L10" s="204"/>
      <c r="M10" s="37"/>
      <c r="N10" s="40" t="s">
        <v>28</v>
      </c>
      <c r="O10" s="204" t="s">
        <v>24</v>
      </c>
      <c r="P10" s="204"/>
      <c r="Q10" s="204"/>
      <c r="R10" s="41" t="s">
        <v>23</v>
      </c>
      <c r="S10" s="41"/>
      <c r="T10" s="41"/>
      <c r="U10" s="41"/>
      <c r="V10" s="41"/>
      <c r="W10" s="41"/>
      <c r="X10" s="41"/>
      <c r="Y10" s="41"/>
      <c r="Z10" s="41"/>
      <c r="AA10" s="42"/>
      <c r="AB10" s="32"/>
      <c r="AC10" s="205" t="s">
        <v>43</v>
      </c>
      <c r="AD10" s="205"/>
      <c r="AE10" s="205"/>
      <c r="AF10" s="205"/>
      <c r="AG10" s="43" t="s">
        <v>0</v>
      </c>
      <c r="AH10" s="43" t="s">
        <v>16</v>
      </c>
      <c r="AI10" s="43" t="s">
        <v>17</v>
      </c>
      <c r="AJ10" s="43" t="s">
        <v>18</v>
      </c>
      <c r="AK10" s="43" t="s">
        <v>62</v>
      </c>
      <c r="AL10" s="43" t="s">
        <v>63</v>
      </c>
      <c r="AM10" s="43" t="s">
        <v>64</v>
      </c>
      <c r="AN10" s="43" t="s">
        <v>41</v>
      </c>
      <c r="AO10" s="43" t="s">
        <v>40</v>
      </c>
      <c r="AP10" s="43" t="s">
        <v>42</v>
      </c>
      <c r="AQ10" s="43" t="s">
        <v>39</v>
      </c>
      <c r="AR10" s="45"/>
      <c r="AS10" s="45"/>
      <c r="AT10" s="19" t="s">
        <v>5</v>
      </c>
      <c r="AU10" s="19" t="s">
        <v>100</v>
      </c>
      <c r="DJ10" s="20"/>
      <c r="DK10" s="44"/>
      <c r="DL10" s="21"/>
      <c r="DM10" s="20"/>
    </row>
    <row r="11" spans="1:117" s="19" customFormat="1" ht="18" customHeight="1" x14ac:dyDescent="0.45">
      <c r="A11" s="45"/>
      <c r="B11" s="45"/>
      <c r="C11" s="25"/>
      <c r="D11" s="45"/>
      <c r="E11" s="45"/>
      <c r="F11" s="46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27"/>
      <c r="AB11" s="32"/>
      <c r="AC11" s="47">
        <v>1</v>
      </c>
      <c r="AD11" s="203" t="str">
        <f>VLOOKUP(1,'Dummy Table'!A4:B8,2,FALSE)</f>
        <v>France</v>
      </c>
      <c r="AE11" s="203"/>
      <c r="AF11" s="203"/>
      <c r="AG11" s="47">
        <f>SUM(AH11:AJ11)</f>
        <v>0</v>
      </c>
      <c r="AH11" s="47">
        <f>VLOOKUP(AD11,'Dummy Table'!B4:C29,2,FALSE)</f>
        <v>0</v>
      </c>
      <c r="AI11" s="47">
        <f>VLOOKUP(AD11,'Dummy Table'!B4:D29,3,FALSE)</f>
        <v>0</v>
      </c>
      <c r="AJ11" s="47">
        <f>VLOOKUP(AD11,'Dummy Table'!B4:E29,4,FALSE)</f>
        <v>0</v>
      </c>
      <c r="AK11" s="47">
        <f>VLOOKUP(AD11,'Dummy Table'!B4:F29,5,FALSE)</f>
        <v>0</v>
      </c>
      <c r="AL11" s="47">
        <f>VLOOKUP(AD11,'Dummy Table'!B4:G29,6,FALSE)</f>
        <v>0</v>
      </c>
      <c r="AM11" s="47">
        <f>AK11-AL11</f>
        <v>0</v>
      </c>
      <c r="AN11" s="47">
        <f>VLOOKUP(AD11,'Dummy Table'!B4:I29,8,FALSE)</f>
        <v>0</v>
      </c>
      <c r="AO11" s="47">
        <f>VLOOKUP(AD11,'Dummy Table'!B4:J29,9,FALSE)</f>
        <v>0</v>
      </c>
      <c r="AP11" s="47">
        <f>VLOOKUP(AD11,'Dummy Table'!B4:M29,12,FALSE)+VLOOKUP(AD11,'Dummy Table'!B4:N29,13,FALSE)</f>
        <v>0</v>
      </c>
      <c r="AQ11" s="47">
        <f>VLOOKUP(AD11,'Dummy Table'!B4:O29,14,FALSE)</f>
        <v>0</v>
      </c>
      <c r="AR11" s="45"/>
      <c r="AS11" s="45"/>
      <c r="AT11" s="19" t="s">
        <v>32</v>
      </c>
      <c r="AU11" s="19" t="s">
        <v>107</v>
      </c>
      <c r="DJ11" s="20"/>
      <c r="DK11" s="44"/>
      <c r="DL11" s="21"/>
      <c r="DM11" s="20"/>
    </row>
    <row r="12" spans="1:117" s="19" customFormat="1" ht="18" customHeight="1" x14ac:dyDescent="0.45">
      <c r="A12" s="45"/>
      <c r="B12" s="45"/>
      <c r="C12" s="25"/>
      <c r="D12" s="48">
        <v>1</v>
      </c>
      <c r="E12" s="49" t="s">
        <v>19</v>
      </c>
      <c r="F12" s="50">
        <v>45177</v>
      </c>
      <c r="G12" s="51">
        <v>0.84375</v>
      </c>
      <c r="H12" s="52" t="s">
        <v>15</v>
      </c>
      <c r="I12" s="45"/>
      <c r="J12" s="53"/>
      <c r="K12" s="54" t="s">
        <v>22</v>
      </c>
      <c r="L12" s="53"/>
      <c r="M12" s="45"/>
      <c r="N12" s="55" t="s">
        <v>36</v>
      </c>
      <c r="O12" s="49"/>
      <c r="P12" s="48"/>
      <c r="Q12" s="49"/>
      <c r="R12" s="29" t="s">
        <v>100</v>
      </c>
      <c r="S12" s="29"/>
      <c r="T12" s="29"/>
      <c r="U12" s="29"/>
      <c r="V12" s="29"/>
      <c r="W12" s="29"/>
      <c r="X12" s="29"/>
      <c r="Y12" s="29"/>
      <c r="Z12" s="29"/>
      <c r="AA12" s="27"/>
      <c r="AB12" s="32"/>
      <c r="AC12" s="56">
        <v>2</v>
      </c>
      <c r="AD12" s="168" t="str">
        <f>VLOOKUP(2,'Dummy Table'!A4:B8,2,FALSE)</f>
        <v>New Zealand</v>
      </c>
      <c r="AE12" s="168"/>
      <c r="AF12" s="168"/>
      <c r="AG12" s="56">
        <f>SUM(AH12:AJ12)</f>
        <v>0</v>
      </c>
      <c r="AH12" s="56">
        <f>VLOOKUP(AD12,'Dummy Table'!B4:C29,2,FALSE)</f>
        <v>0</v>
      </c>
      <c r="AI12" s="56">
        <f>VLOOKUP(AD12,'Dummy Table'!B4:D29,3,FALSE)</f>
        <v>0</v>
      </c>
      <c r="AJ12" s="56">
        <f>VLOOKUP(AD12,'Dummy Table'!B4:E29,4,FALSE)</f>
        <v>0</v>
      </c>
      <c r="AK12" s="56">
        <f>VLOOKUP(AD12,'Dummy Table'!B4:F29,5,FALSE)</f>
        <v>0</v>
      </c>
      <c r="AL12" s="56">
        <f>VLOOKUP(AD12,'Dummy Table'!B4:G29,6,FALSE)</f>
        <v>0</v>
      </c>
      <c r="AM12" s="56">
        <f t="shared" ref="AM12:AM15" si="0">AK12-AL12</f>
        <v>0</v>
      </c>
      <c r="AN12" s="56">
        <f>VLOOKUP(AD12,'Dummy Table'!B4:I29,8,FALSE)</f>
        <v>0</v>
      </c>
      <c r="AO12" s="56">
        <f>VLOOKUP(AD12,'Dummy Table'!B4:J29,9,FALSE)</f>
        <v>0</v>
      </c>
      <c r="AP12" s="56">
        <f>VLOOKUP(AD12,'Dummy Table'!B4:M29,12,FALSE)+VLOOKUP(AD12,'Dummy Table'!B4:N29,13,FALSE)</f>
        <v>0</v>
      </c>
      <c r="AQ12" s="56">
        <f>VLOOKUP(AD12,'Dummy Table'!B4:O29,14,FALSE)</f>
        <v>0</v>
      </c>
      <c r="AR12" s="45"/>
      <c r="AS12" s="45"/>
      <c r="AT12" s="19" t="s">
        <v>4</v>
      </c>
      <c r="AU12" s="19" t="s">
        <v>106</v>
      </c>
      <c r="DJ12" s="20"/>
      <c r="DK12" s="44"/>
      <c r="DL12" s="21"/>
      <c r="DM12" s="20"/>
    </row>
    <row r="13" spans="1:117" s="19" customFormat="1" ht="18" customHeight="1" x14ac:dyDescent="0.45">
      <c r="A13" s="45"/>
      <c r="B13" s="45"/>
      <c r="C13" s="25"/>
      <c r="D13" s="48">
        <v>2</v>
      </c>
      <c r="E13" s="49" t="s">
        <v>19</v>
      </c>
      <c r="F13" s="50">
        <v>45178</v>
      </c>
      <c r="G13" s="51">
        <v>0.5</v>
      </c>
      <c r="H13" s="52" t="s">
        <v>14</v>
      </c>
      <c r="I13" s="45"/>
      <c r="J13" s="53"/>
      <c r="K13" s="54" t="s">
        <v>22</v>
      </c>
      <c r="L13" s="53"/>
      <c r="M13" s="45"/>
      <c r="N13" s="55" t="s">
        <v>38</v>
      </c>
      <c r="O13" s="49"/>
      <c r="P13" s="48"/>
      <c r="Q13" s="49"/>
      <c r="R13" s="29" t="s">
        <v>101</v>
      </c>
      <c r="S13" s="29"/>
      <c r="T13" s="29"/>
      <c r="U13" s="29"/>
      <c r="V13" s="29"/>
      <c r="W13" s="29"/>
      <c r="X13" s="29"/>
      <c r="Y13" s="29"/>
      <c r="Z13" s="29"/>
      <c r="AA13" s="27"/>
      <c r="AB13" s="32"/>
      <c r="AC13" s="57">
        <v>3</v>
      </c>
      <c r="AD13" s="169" t="str">
        <f>VLOOKUP(3,'Dummy Table'!A4:B8,2,FALSE)</f>
        <v>Italy</v>
      </c>
      <c r="AE13" s="169"/>
      <c r="AF13" s="169"/>
      <c r="AG13" s="57">
        <f>SUM(AH13:AJ13)</f>
        <v>0</v>
      </c>
      <c r="AH13" s="57">
        <f>VLOOKUP(AD13,'Dummy Table'!B4:C29,2,FALSE)</f>
        <v>0</v>
      </c>
      <c r="AI13" s="57">
        <f>VLOOKUP(AD13,'Dummy Table'!B4:D29,3,FALSE)</f>
        <v>0</v>
      </c>
      <c r="AJ13" s="57">
        <f>VLOOKUP(AD13,'Dummy Table'!B4:E29,4,FALSE)</f>
        <v>0</v>
      </c>
      <c r="AK13" s="57">
        <f>VLOOKUP(AD13,'Dummy Table'!B4:F29,5,FALSE)</f>
        <v>0</v>
      </c>
      <c r="AL13" s="57">
        <f>VLOOKUP(AD13,'Dummy Table'!B4:G29,6,FALSE)</f>
        <v>0</v>
      </c>
      <c r="AM13" s="57">
        <f t="shared" si="0"/>
        <v>0</v>
      </c>
      <c r="AN13" s="57">
        <f>VLOOKUP(AD13,'Dummy Table'!B4:I29,8,FALSE)</f>
        <v>0</v>
      </c>
      <c r="AO13" s="57">
        <f>VLOOKUP(AD13,'Dummy Table'!B4:J29,9,FALSE)</f>
        <v>0</v>
      </c>
      <c r="AP13" s="57">
        <f>VLOOKUP(AD13,'Dummy Table'!B4:M29,12,FALSE)+VLOOKUP(AD13,'Dummy Table'!B4:N29,13,FALSE)</f>
        <v>0</v>
      </c>
      <c r="AQ13" s="57">
        <f>VLOOKUP(AD13,'Dummy Table'!B4:O29,14,FALSE)</f>
        <v>0</v>
      </c>
      <c r="AR13" s="45"/>
      <c r="AS13" s="45"/>
      <c r="AT13" s="19" t="s">
        <v>25</v>
      </c>
      <c r="AU13" s="19" t="s">
        <v>101</v>
      </c>
      <c r="DJ13" s="20"/>
      <c r="DK13" s="44"/>
      <c r="DL13" s="21"/>
      <c r="DM13" s="20"/>
    </row>
    <row r="14" spans="1:117" s="19" customFormat="1" ht="18" customHeight="1" x14ac:dyDescent="0.45">
      <c r="A14" s="45"/>
      <c r="B14" s="45"/>
      <c r="C14" s="25"/>
      <c r="D14" s="48">
        <v>3</v>
      </c>
      <c r="E14" s="49" t="s">
        <v>7</v>
      </c>
      <c r="F14" s="50">
        <v>45178</v>
      </c>
      <c r="G14" s="51">
        <v>0.60416666666666663</v>
      </c>
      <c r="H14" s="52" t="s">
        <v>31</v>
      </c>
      <c r="I14" s="45"/>
      <c r="J14" s="53"/>
      <c r="K14" s="54" t="s">
        <v>22</v>
      </c>
      <c r="L14" s="53"/>
      <c r="M14" s="45"/>
      <c r="N14" s="55" t="s">
        <v>97</v>
      </c>
      <c r="O14" s="49"/>
      <c r="P14" s="48"/>
      <c r="Q14" s="49"/>
      <c r="R14" s="29" t="s">
        <v>102</v>
      </c>
      <c r="S14" s="29"/>
      <c r="T14" s="29"/>
      <c r="U14" s="29"/>
      <c r="V14" s="29"/>
      <c r="W14" s="29"/>
      <c r="X14" s="29"/>
      <c r="Y14" s="29"/>
      <c r="Z14" s="29"/>
      <c r="AA14" s="27"/>
      <c r="AB14" s="32"/>
      <c r="AC14" s="58">
        <v>4</v>
      </c>
      <c r="AD14" s="202" t="str">
        <f>VLOOKUP(4,'Dummy Table'!A4:B8,2,FALSE)</f>
        <v>Uruguay</v>
      </c>
      <c r="AE14" s="202"/>
      <c r="AF14" s="202"/>
      <c r="AG14" s="58">
        <f>SUM(AH14:AJ14)</f>
        <v>0</v>
      </c>
      <c r="AH14" s="58">
        <f>VLOOKUP(AD14,'Dummy Table'!B4:C29,2,FALSE)</f>
        <v>0</v>
      </c>
      <c r="AI14" s="58">
        <f>VLOOKUP(AD14,'Dummy Table'!B4:D29,3,FALSE)</f>
        <v>0</v>
      </c>
      <c r="AJ14" s="58">
        <f>VLOOKUP(AD14,'Dummy Table'!B4:E29,4,FALSE)</f>
        <v>0</v>
      </c>
      <c r="AK14" s="58">
        <f>VLOOKUP(AD14,'Dummy Table'!B4:F29,5,FALSE)</f>
        <v>0</v>
      </c>
      <c r="AL14" s="58">
        <f>VLOOKUP(AD14,'Dummy Table'!B4:G29,6,FALSE)</f>
        <v>0</v>
      </c>
      <c r="AM14" s="58">
        <f t="shared" si="0"/>
        <v>0</v>
      </c>
      <c r="AN14" s="58">
        <f>VLOOKUP(AD14,'Dummy Table'!B4:I29,8,FALSE)</f>
        <v>0</v>
      </c>
      <c r="AO14" s="58">
        <f>VLOOKUP(AD14,'Dummy Table'!B4:J29,9,FALSE)</f>
        <v>0</v>
      </c>
      <c r="AP14" s="58">
        <f>VLOOKUP(AD14,'Dummy Table'!B4:M29,12,FALSE)+VLOOKUP(AD14,'Dummy Table'!B4:N29,13,FALSE)</f>
        <v>0</v>
      </c>
      <c r="AQ14" s="58">
        <f>VLOOKUP(AD14,'Dummy Table'!B4:O29,14,FALSE)</f>
        <v>0</v>
      </c>
      <c r="AR14" s="45"/>
      <c r="AS14" s="45"/>
      <c r="AT14" s="19" t="s">
        <v>15</v>
      </c>
      <c r="AU14" s="19" t="s">
        <v>105</v>
      </c>
      <c r="DJ14" s="20"/>
      <c r="DK14" s="44"/>
      <c r="DL14" s="21"/>
      <c r="DM14" s="20"/>
    </row>
    <row r="15" spans="1:117" s="19" customFormat="1" ht="18" customHeight="1" x14ac:dyDescent="0.45">
      <c r="A15" s="45"/>
      <c r="B15" s="45"/>
      <c r="C15" s="25"/>
      <c r="D15" s="48">
        <v>4</v>
      </c>
      <c r="E15" s="49" t="s">
        <v>8</v>
      </c>
      <c r="F15" s="50">
        <v>45178</v>
      </c>
      <c r="G15" s="51">
        <v>0.70833333333333337</v>
      </c>
      <c r="H15" s="52" t="s">
        <v>5</v>
      </c>
      <c r="I15" s="45"/>
      <c r="J15" s="53"/>
      <c r="K15" s="54" t="s">
        <v>22</v>
      </c>
      <c r="L15" s="53"/>
      <c r="M15" s="45"/>
      <c r="N15" s="55" t="s">
        <v>30</v>
      </c>
      <c r="O15" s="49"/>
      <c r="P15" s="48"/>
      <c r="Q15" s="49"/>
      <c r="R15" s="29" t="s">
        <v>100</v>
      </c>
      <c r="S15" s="29"/>
      <c r="T15" s="29"/>
      <c r="U15" s="29"/>
      <c r="V15" s="29"/>
      <c r="W15" s="29"/>
      <c r="X15" s="29"/>
      <c r="Y15" s="29"/>
      <c r="Z15" s="29"/>
      <c r="AA15" s="27"/>
      <c r="AB15" s="32"/>
      <c r="AC15" s="58">
        <v>5</v>
      </c>
      <c r="AD15" s="202" t="str">
        <f>VLOOKUP(5,'Dummy Table'!A4:B8,2,FALSE)</f>
        <v>Namibia</v>
      </c>
      <c r="AE15" s="202"/>
      <c r="AF15" s="202"/>
      <c r="AG15" s="58">
        <f>SUM(AH15:AJ15)</f>
        <v>0</v>
      </c>
      <c r="AH15" s="58">
        <f>VLOOKUP(AD15,'Dummy Table'!B4:C29,2,FALSE)</f>
        <v>0</v>
      </c>
      <c r="AI15" s="58">
        <f>VLOOKUP(AD15,'Dummy Table'!B4:D29,3,FALSE)</f>
        <v>0</v>
      </c>
      <c r="AJ15" s="58">
        <f>VLOOKUP(AD15,'Dummy Table'!B4:E29,4,FALSE)</f>
        <v>0</v>
      </c>
      <c r="AK15" s="58">
        <f>VLOOKUP(AD15,'Dummy Table'!B4:F29,5,FALSE)</f>
        <v>0</v>
      </c>
      <c r="AL15" s="58">
        <f>VLOOKUP(AD15,'Dummy Table'!B4:G29,6,FALSE)</f>
        <v>0</v>
      </c>
      <c r="AM15" s="58">
        <f t="shared" si="0"/>
        <v>0</v>
      </c>
      <c r="AN15" s="58">
        <f>VLOOKUP(AD15,'Dummy Table'!B4:I29,8,FALSE)</f>
        <v>0</v>
      </c>
      <c r="AO15" s="58">
        <f>VLOOKUP(AD15,'Dummy Table'!B4:J29,9,FALSE)</f>
        <v>0</v>
      </c>
      <c r="AP15" s="58">
        <f>VLOOKUP(AD15,'Dummy Table'!B4:M29,12,FALSE)+VLOOKUP(AD15,'Dummy Table'!B4:N29,13,FALSE)</f>
        <v>0</v>
      </c>
      <c r="AQ15" s="58">
        <f>VLOOKUP(AD15,'Dummy Table'!B4:O29,14,FALSE)</f>
        <v>0</v>
      </c>
      <c r="AR15" s="45"/>
      <c r="AS15" s="45"/>
      <c r="AT15" s="19" t="s">
        <v>30</v>
      </c>
      <c r="AU15" s="19" t="s">
        <v>103</v>
      </c>
      <c r="DJ15" s="20"/>
      <c r="DK15" s="44"/>
      <c r="DL15" s="21"/>
      <c r="DM15" s="20"/>
    </row>
    <row r="16" spans="1:117" s="19" customFormat="1" ht="18" customHeight="1" x14ac:dyDescent="0.45">
      <c r="A16" s="45"/>
      <c r="B16" s="45"/>
      <c r="C16" s="25"/>
      <c r="D16" s="48">
        <v>5</v>
      </c>
      <c r="E16" s="49" t="s">
        <v>17</v>
      </c>
      <c r="F16" s="50">
        <v>45178</v>
      </c>
      <c r="G16" s="51">
        <v>0.83333333333333337</v>
      </c>
      <c r="H16" s="52" t="s">
        <v>4</v>
      </c>
      <c r="I16" s="45"/>
      <c r="J16" s="53"/>
      <c r="K16" s="54" t="s">
        <v>22</v>
      </c>
      <c r="L16" s="53"/>
      <c r="M16" s="45"/>
      <c r="N16" s="55" t="s">
        <v>3</v>
      </c>
      <c r="O16" s="49"/>
      <c r="P16" s="48"/>
      <c r="Q16" s="49"/>
      <c r="R16" s="29" t="s">
        <v>103</v>
      </c>
      <c r="S16" s="29"/>
      <c r="T16" s="29"/>
      <c r="U16" s="29"/>
      <c r="V16" s="29"/>
      <c r="W16" s="29"/>
      <c r="X16" s="29"/>
      <c r="Y16" s="29"/>
      <c r="Z16" s="29"/>
      <c r="AA16" s="27"/>
      <c r="AB16" s="32"/>
      <c r="AN16" s="45"/>
      <c r="AO16" s="45"/>
      <c r="AP16" s="59"/>
      <c r="AQ16" s="60"/>
      <c r="AR16" s="45"/>
      <c r="AS16" s="45"/>
      <c r="AT16" s="19" t="s">
        <v>31</v>
      </c>
      <c r="AU16" s="19" t="s">
        <v>104</v>
      </c>
      <c r="DJ16" s="20"/>
      <c r="DK16" s="44"/>
      <c r="DL16" s="21"/>
      <c r="DM16" s="20"/>
    </row>
    <row r="17" spans="1:117" s="19" customFormat="1" ht="18" customHeight="1" x14ac:dyDescent="0.45">
      <c r="A17" s="45"/>
      <c r="B17" s="45"/>
      <c r="C17" s="25"/>
      <c r="D17" s="48">
        <v>6</v>
      </c>
      <c r="E17" s="49" t="s">
        <v>17</v>
      </c>
      <c r="F17" s="50">
        <v>45179</v>
      </c>
      <c r="G17" s="51">
        <v>0.5</v>
      </c>
      <c r="H17" s="52" t="s">
        <v>6</v>
      </c>
      <c r="I17" s="45"/>
      <c r="J17" s="53"/>
      <c r="K17" s="54" t="s">
        <v>22</v>
      </c>
      <c r="L17" s="53"/>
      <c r="M17" s="45"/>
      <c r="N17" s="55" t="s">
        <v>98</v>
      </c>
      <c r="O17" s="49"/>
      <c r="P17" s="48"/>
      <c r="Q17" s="49"/>
      <c r="R17" s="29" t="s">
        <v>104</v>
      </c>
      <c r="S17" s="29"/>
      <c r="T17" s="29"/>
      <c r="U17" s="29"/>
      <c r="V17" s="29"/>
      <c r="W17" s="29"/>
      <c r="X17" s="29"/>
      <c r="Y17" s="29"/>
      <c r="Z17" s="29"/>
      <c r="AA17" s="27"/>
      <c r="AB17" s="32"/>
      <c r="AC17" s="61" t="s">
        <v>44</v>
      </c>
      <c r="AD17" s="62"/>
      <c r="AE17" s="63"/>
      <c r="AF17" s="63"/>
      <c r="AG17" s="64" t="s">
        <v>0</v>
      </c>
      <c r="AH17" s="64" t="s">
        <v>16</v>
      </c>
      <c r="AI17" s="64" t="s">
        <v>17</v>
      </c>
      <c r="AJ17" s="64" t="s">
        <v>18</v>
      </c>
      <c r="AK17" s="64" t="s">
        <v>62</v>
      </c>
      <c r="AL17" s="64" t="s">
        <v>63</v>
      </c>
      <c r="AM17" s="64" t="s">
        <v>64</v>
      </c>
      <c r="AN17" s="64" t="s">
        <v>41</v>
      </c>
      <c r="AO17" s="64" t="s">
        <v>40</v>
      </c>
      <c r="AP17" s="64" t="s">
        <v>42</v>
      </c>
      <c r="AQ17" s="64" t="s">
        <v>39</v>
      </c>
      <c r="AR17" s="45"/>
      <c r="AS17" s="45"/>
      <c r="AT17" s="19" t="s">
        <v>14</v>
      </c>
      <c r="AU17" s="19" t="s">
        <v>102</v>
      </c>
      <c r="DJ17" s="20"/>
      <c r="DK17" s="44"/>
      <c r="DL17" s="21"/>
      <c r="DM17" s="20"/>
    </row>
    <row r="18" spans="1:117" s="19" customFormat="1" ht="18" customHeight="1" x14ac:dyDescent="0.45">
      <c r="A18" s="45"/>
      <c r="B18" s="45"/>
      <c r="C18" s="25"/>
      <c r="D18" s="48">
        <v>7</v>
      </c>
      <c r="E18" s="49" t="s">
        <v>7</v>
      </c>
      <c r="F18" s="50">
        <v>45179</v>
      </c>
      <c r="G18" s="51">
        <v>0.69791666666666663</v>
      </c>
      <c r="H18" s="52" t="s">
        <v>33</v>
      </c>
      <c r="I18" s="45"/>
      <c r="J18" s="53"/>
      <c r="K18" s="54" t="s">
        <v>22</v>
      </c>
      <c r="L18" s="53"/>
      <c r="M18" s="45"/>
      <c r="N18" s="55" t="s">
        <v>37</v>
      </c>
      <c r="O18" s="49"/>
      <c r="P18" s="48"/>
      <c r="Q18" s="49"/>
      <c r="R18" s="29" t="s">
        <v>103</v>
      </c>
      <c r="S18" s="29"/>
      <c r="T18" s="29"/>
      <c r="U18" s="29"/>
      <c r="V18" s="29"/>
      <c r="W18" s="29"/>
      <c r="X18" s="29"/>
      <c r="Y18" s="29"/>
      <c r="Z18" s="29"/>
      <c r="AA18" s="27"/>
      <c r="AB18" s="32"/>
      <c r="AC18" s="47">
        <v>1</v>
      </c>
      <c r="AD18" s="203" t="str">
        <f>VLOOKUP(1,'Dummy Table'!A11:B15,2,FALSE)</f>
        <v>Ireland</v>
      </c>
      <c r="AE18" s="203"/>
      <c r="AF18" s="203"/>
      <c r="AG18" s="47">
        <f t="shared" ref="AG18:AG22" si="1">SUM(AH18:AJ18)</f>
        <v>0</v>
      </c>
      <c r="AH18" s="47">
        <f>VLOOKUP(AD18,'Dummy Table'!B4:C29,2,FALSE)</f>
        <v>0</v>
      </c>
      <c r="AI18" s="47">
        <f>VLOOKUP(AD18,'Dummy Table'!B4:D29,3,FALSE)</f>
        <v>0</v>
      </c>
      <c r="AJ18" s="47">
        <f>VLOOKUP(AD18,'Dummy Table'!B4:E29,4,FALSE)</f>
        <v>0</v>
      </c>
      <c r="AK18" s="47">
        <f>VLOOKUP(AD18,'Dummy Table'!B4:F29,5,FALSE)</f>
        <v>0</v>
      </c>
      <c r="AL18" s="47">
        <f>VLOOKUP(AD18,'Dummy Table'!B4:G29,6,FALSE)</f>
        <v>0</v>
      </c>
      <c r="AM18" s="47">
        <f>AK18-AL18</f>
        <v>0</v>
      </c>
      <c r="AN18" s="47">
        <f>VLOOKUP(AD18,'Dummy Table'!B4:I29,8,FALSE)</f>
        <v>0</v>
      </c>
      <c r="AO18" s="47">
        <f>VLOOKUP(AD18,'Dummy Table'!B4:J29,9,FALSE)</f>
        <v>0</v>
      </c>
      <c r="AP18" s="47">
        <f>VLOOKUP(AD18,'Dummy Table'!B4:M29,12,FALSE)+VLOOKUP(AD18,'Dummy Table'!B4:N29,13,FALSE)</f>
        <v>0</v>
      </c>
      <c r="AQ18" s="47">
        <f>VLOOKUP(AD18,'Dummy Table'!B4:O29,14,FALSE)</f>
        <v>0</v>
      </c>
      <c r="AR18" s="45"/>
      <c r="AS18" s="45"/>
      <c r="AT18" s="19" t="s">
        <v>6</v>
      </c>
      <c r="DJ18" s="20"/>
      <c r="DK18" s="65"/>
      <c r="DL18" s="21"/>
      <c r="DM18" s="20"/>
    </row>
    <row r="19" spans="1:117" s="19" customFormat="1" ht="18" customHeight="1" x14ac:dyDescent="0.45">
      <c r="A19" s="45"/>
      <c r="B19" s="45"/>
      <c r="C19" s="25"/>
      <c r="D19" s="48">
        <v>8</v>
      </c>
      <c r="E19" s="49" t="s">
        <v>8</v>
      </c>
      <c r="F19" s="50">
        <v>45179</v>
      </c>
      <c r="G19" s="51">
        <v>0.83333333333333337</v>
      </c>
      <c r="H19" s="52" t="s">
        <v>35</v>
      </c>
      <c r="I19" s="45"/>
      <c r="J19" s="53"/>
      <c r="K19" s="54" t="s">
        <v>22</v>
      </c>
      <c r="L19" s="53"/>
      <c r="M19" s="45"/>
      <c r="N19" s="55" t="s">
        <v>25</v>
      </c>
      <c r="O19" s="49"/>
      <c r="P19" s="48"/>
      <c r="Q19" s="49"/>
      <c r="R19" s="29" t="s">
        <v>102</v>
      </c>
      <c r="S19" s="29"/>
      <c r="T19" s="29"/>
      <c r="U19" s="29"/>
      <c r="V19" s="29"/>
      <c r="W19" s="29"/>
      <c r="X19" s="29"/>
      <c r="Y19" s="29"/>
      <c r="Z19" s="29"/>
      <c r="AA19" s="27"/>
      <c r="AB19" s="32"/>
      <c r="AC19" s="56">
        <v>2</v>
      </c>
      <c r="AD19" s="168" t="str">
        <f>VLOOKUP(2,'Dummy Table'!A11:B15,2,FALSE)</f>
        <v>South Africa</v>
      </c>
      <c r="AE19" s="168"/>
      <c r="AF19" s="168"/>
      <c r="AG19" s="56">
        <f t="shared" si="1"/>
        <v>0</v>
      </c>
      <c r="AH19" s="56">
        <f>VLOOKUP(AD19,'Dummy Table'!B4:C29,2,FALSE)</f>
        <v>0</v>
      </c>
      <c r="AI19" s="56">
        <f>VLOOKUP(AD19,'Dummy Table'!B4:D29,3,FALSE)</f>
        <v>0</v>
      </c>
      <c r="AJ19" s="56">
        <f>VLOOKUP(AD19,'Dummy Table'!B4:E29,4,FALSE)</f>
        <v>0</v>
      </c>
      <c r="AK19" s="56">
        <f>VLOOKUP(AD19,'Dummy Table'!B4:F29,5,FALSE)</f>
        <v>0</v>
      </c>
      <c r="AL19" s="56">
        <f>VLOOKUP(AD19,'Dummy Table'!B4:G29,6,FALSE)</f>
        <v>0</v>
      </c>
      <c r="AM19" s="56">
        <f t="shared" ref="AM19:AM22" si="2">AK19-AL19</f>
        <v>0</v>
      </c>
      <c r="AN19" s="56">
        <f>VLOOKUP(AD19,'Dummy Table'!B4:I29,8,FALSE)</f>
        <v>0</v>
      </c>
      <c r="AO19" s="56">
        <f>VLOOKUP(AD19,'Dummy Table'!B4:J29,9,FALSE)</f>
        <v>0</v>
      </c>
      <c r="AP19" s="56">
        <f>VLOOKUP(AD19,'Dummy Table'!B4:M29,12,FALSE)+VLOOKUP(AD19,'Dummy Table'!B4:N29,13,FALSE)</f>
        <v>0</v>
      </c>
      <c r="AQ19" s="56">
        <f>VLOOKUP(AD19,'Dummy Table'!B4:O29,14,FALSE)</f>
        <v>0</v>
      </c>
      <c r="AR19" s="45"/>
      <c r="AS19" s="45"/>
      <c r="AT19" s="19" t="s">
        <v>38</v>
      </c>
      <c r="DJ19" s="20"/>
      <c r="DK19" s="44"/>
      <c r="DL19" s="21"/>
      <c r="DM19" s="20"/>
    </row>
    <row r="20" spans="1:117" s="19" customFormat="1" ht="18" customHeight="1" x14ac:dyDescent="0.45">
      <c r="A20" s="45"/>
      <c r="B20" s="45"/>
      <c r="C20" s="25"/>
      <c r="D20" s="48">
        <v>9</v>
      </c>
      <c r="E20" s="49" t="s">
        <v>19</v>
      </c>
      <c r="F20" s="50">
        <v>45183</v>
      </c>
      <c r="G20" s="51">
        <v>0.83333333333333337</v>
      </c>
      <c r="H20" s="52" t="s">
        <v>15</v>
      </c>
      <c r="I20" s="45"/>
      <c r="J20" s="53"/>
      <c r="K20" s="54" t="s">
        <v>22</v>
      </c>
      <c r="L20" s="53"/>
      <c r="M20" s="45"/>
      <c r="N20" s="55" t="s">
        <v>2</v>
      </c>
      <c r="O20" s="49"/>
      <c r="P20" s="48"/>
      <c r="Q20" s="49"/>
      <c r="R20" s="29" t="s">
        <v>105</v>
      </c>
      <c r="S20" s="29"/>
      <c r="T20" s="29"/>
      <c r="U20" s="29"/>
      <c r="V20" s="29"/>
      <c r="W20" s="29"/>
      <c r="X20" s="29"/>
      <c r="Y20" s="29"/>
      <c r="Z20" s="29"/>
      <c r="AA20" s="27"/>
      <c r="AB20" s="66"/>
      <c r="AC20" s="57">
        <v>3</v>
      </c>
      <c r="AD20" s="169" t="str">
        <f>VLOOKUP(3,'Dummy Table'!A11:B15,2,FALSE)</f>
        <v>Scotland</v>
      </c>
      <c r="AE20" s="169"/>
      <c r="AF20" s="169"/>
      <c r="AG20" s="57">
        <f t="shared" si="1"/>
        <v>0</v>
      </c>
      <c r="AH20" s="57">
        <f>VLOOKUP(AD20,'Dummy Table'!B4:C29,2,FALSE)</f>
        <v>0</v>
      </c>
      <c r="AI20" s="57">
        <f>VLOOKUP(AD20,'Dummy Table'!B4:D29,3,FALSE)</f>
        <v>0</v>
      </c>
      <c r="AJ20" s="57">
        <f>VLOOKUP(AD20,'Dummy Table'!B4:E29,4,FALSE)</f>
        <v>0</v>
      </c>
      <c r="AK20" s="57">
        <f>VLOOKUP(AD20,'Dummy Table'!B4:F29,5,FALSE)</f>
        <v>0</v>
      </c>
      <c r="AL20" s="57">
        <f>VLOOKUP(AD20,'Dummy Table'!B4:G29,6,FALSE)</f>
        <v>0</v>
      </c>
      <c r="AM20" s="57">
        <f t="shared" si="2"/>
        <v>0</v>
      </c>
      <c r="AN20" s="57">
        <f>VLOOKUP(AD20,'Dummy Table'!B4:I29,8,FALSE)</f>
        <v>0</v>
      </c>
      <c r="AO20" s="57">
        <f>VLOOKUP(AD20,'Dummy Table'!B4:J29,9,FALSE)</f>
        <v>0</v>
      </c>
      <c r="AP20" s="57">
        <f>VLOOKUP(AD20,'Dummy Table'!B4:M29,12,FALSE)+VLOOKUP(AD20,'Dummy Table'!B4:N29,13,FALSE)</f>
        <v>0</v>
      </c>
      <c r="AQ20" s="57">
        <f>VLOOKUP(AD20,'Dummy Table'!B4:O29,14,FALSE)</f>
        <v>0</v>
      </c>
      <c r="AR20" s="45"/>
      <c r="AS20" s="45"/>
      <c r="AT20" s="19" t="s">
        <v>36</v>
      </c>
      <c r="DJ20" s="20"/>
      <c r="DK20" s="44"/>
      <c r="DL20" s="21"/>
      <c r="DM20" s="20"/>
    </row>
    <row r="21" spans="1:117" s="19" customFormat="1" ht="18" customHeight="1" x14ac:dyDescent="0.45">
      <c r="A21" s="45"/>
      <c r="B21" s="45"/>
      <c r="C21" s="25"/>
      <c r="D21" s="48">
        <v>10</v>
      </c>
      <c r="E21" s="49" t="s">
        <v>19</v>
      </c>
      <c r="F21" s="50">
        <v>45184</v>
      </c>
      <c r="G21" s="51">
        <v>0.83333333333333337</v>
      </c>
      <c r="H21" s="52" t="s">
        <v>36</v>
      </c>
      <c r="I21" s="45"/>
      <c r="J21" s="53"/>
      <c r="K21" s="54" t="s">
        <v>22</v>
      </c>
      <c r="L21" s="53"/>
      <c r="M21" s="45"/>
      <c r="N21" s="55" t="s">
        <v>38</v>
      </c>
      <c r="O21" s="49"/>
      <c r="P21" s="48"/>
      <c r="Q21" s="49"/>
      <c r="R21" s="29" t="s">
        <v>104</v>
      </c>
      <c r="S21" s="29"/>
      <c r="T21" s="29"/>
      <c r="U21" s="29"/>
      <c r="V21" s="29"/>
      <c r="W21" s="29"/>
      <c r="X21" s="29"/>
      <c r="Y21" s="29"/>
      <c r="Z21" s="29"/>
      <c r="AA21" s="27"/>
      <c r="AB21" s="32"/>
      <c r="AC21" s="58">
        <v>4</v>
      </c>
      <c r="AD21" s="202" t="str">
        <f>VLOOKUP(4,'Dummy Table'!A11:B15,2,FALSE)</f>
        <v>Tonga</v>
      </c>
      <c r="AE21" s="202"/>
      <c r="AF21" s="202"/>
      <c r="AG21" s="58">
        <f t="shared" si="1"/>
        <v>0</v>
      </c>
      <c r="AH21" s="58">
        <f>VLOOKUP(AD21,'Dummy Table'!B4:C29,2,FALSE)</f>
        <v>0</v>
      </c>
      <c r="AI21" s="58">
        <f>VLOOKUP(AD21,'Dummy Table'!B4:D29,3,FALSE)</f>
        <v>0</v>
      </c>
      <c r="AJ21" s="58">
        <f>VLOOKUP(AD21,'Dummy Table'!B4:E29,4,FALSE)</f>
        <v>0</v>
      </c>
      <c r="AK21" s="58">
        <f>VLOOKUP(AD21,'Dummy Table'!B4:F29,5,FALSE)</f>
        <v>0</v>
      </c>
      <c r="AL21" s="58">
        <f>VLOOKUP(AD21,'Dummy Table'!B4:G29,6,FALSE)</f>
        <v>0</v>
      </c>
      <c r="AM21" s="58">
        <f t="shared" si="2"/>
        <v>0</v>
      </c>
      <c r="AN21" s="58">
        <f>VLOOKUP(AD21,'Dummy Table'!B4:I29,8,FALSE)</f>
        <v>0</v>
      </c>
      <c r="AO21" s="58">
        <f>VLOOKUP(AD21,'Dummy Table'!B4:J29,9,FALSE)</f>
        <v>0</v>
      </c>
      <c r="AP21" s="58">
        <f>VLOOKUP(AD21,'Dummy Table'!B4:M29,12,FALSE)+VLOOKUP(AD21,'Dummy Table'!B4:N29,13,FALSE)</f>
        <v>0</v>
      </c>
      <c r="AQ21" s="58">
        <f>VLOOKUP(AD21,'Dummy Table'!B4:O29,14,FALSE)</f>
        <v>0</v>
      </c>
      <c r="AR21" s="45"/>
      <c r="AS21" s="45"/>
      <c r="AT21" s="19" t="s">
        <v>34</v>
      </c>
      <c r="DJ21" s="20"/>
      <c r="DK21" s="44"/>
      <c r="DL21" s="21"/>
      <c r="DM21" s="20"/>
    </row>
    <row r="22" spans="1:117" s="19" customFormat="1" ht="18" customHeight="1" x14ac:dyDescent="0.45">
      <c r="A22" s="45"/>
      <c r="B22" s="45"/>
      <c r="C22" s="25"/>
      <c r="D22" s="48">
        <v>11</v>
      </c>
      <c r="E22" s="49" t="s">
        <v>17</v>
      </c>
      <c r="F22" s="50">
        <v>45185</v>
      </c>
      <c r="G22" s="51">
        <v>0.58333333333333337</v>
      </c>
      <c r="H22" s="52" t="s">
        <v>34</v>
      </c>
      <c r="I22" s="45"/>
      <c r="J22" s="53"/>
      <c r="K22" s="54" t="s">
        <v>22</v>
      </c>
      <c r="L22" s="53"/>
      <c r="M22" s="45"/>
      <c r="N22" s="55" t="s">
        <v>98</v>
      </c>
      <c r="O22" s="49"/>
      <c r="P22" s="48"/>
      <c r="Q22" s="49"/>
      <c r="R22" s="29" t="s">
        <v>102</v>
      </c>
      <c r="S22" s="29"/>
      <c r="T22" s="29"/>
      <c r="U22" s="29"/>
      <c r="V22" s="29"/>
      <c r="W22" s="29"/>
      <c r="X22" s="29"/>
      <c r="Y22" s="29"/>
      <c r="Z22" s="29"/>
      <c r="AA22" s="27"/>
      <c r="AB22" s="32"/>
      <c r="AC22" s="58">
        <v>5</v>
      </c>
      <c r="AD22" s="202" t="str">
        <f>VLOOKUP(5,'Dummy Table'!A11:B15,2,FALSE)</f>
        <v>Romania</v>
      </c>
      <c r="AE22" s="202"/>
      <c r="AF22" s="202"/>
      <c r="AG22" s="58">
        <f t="shared" si="1"/>
        <v>0</v>
      </c>
      <c r="AH22" s="58">
        <f>VLOOKUP(AD22,'Dummy Table'!B4:C29,2,FALSE)</f>
        <v>0</v>
      </c>
      <c r="AI22" s="58">
        <f>VLOOKUP(AD22,'Dummy Table'!B4:D29,3,FALSE)</f>
        <v>0</v>
      </c>
      <c r="AJ22" s="58">
        <f>VLOOKUP(AD22,'Dummy Table'!B4:E29,4,FALSE)</f>
        <v>0</v>
      </c>
      <c r="AK22" s="58">
        <f>VLOOKUP(AD22,'Dummy Table'!B4:F29,5,FALSE)</f>
        <v>0</v>
      </c>
      <c r="AL22" s="58">
        <f>VLOOKUP(AD22,'Dummy Table'!B4:G29,6,FALSE)</f>
        <v>0</v>
      </c>
      <c r="AM22" s="58">
        <f t="shared" si="2"/>
        <v>0</v>
      </c>
      <c r="AN22" s="58">
        <f>VLOOKUP(AD22,'Dummy Table'!B4:I29,8,FALSE)</f>
        <v>0</v>
      </c>
      <c r="AO22" s="58">
        <f>VLOOKUP(AD22,'Dummy Table'!B4:J29,9,FALSE)</f>
        <v>0</v>
      </c>
      <c r="AP22" s="58">
        <f>VLOOKUP(AD22,'Dummy Table'!B4:M29,12,FALSE)+VLOOKUP(AD22,'Dummy Table'!B4:N29,13,FALSE)</f>
        <v>0</v>
      </c>
      <c r="AQ22" s="58">
        <f>VLOOKUP(AD22,'Dummy Table'!B4:O29,14,FALSE)</f>
        <v>0</v>
      </c>
      <c r="AR22" s="45"/>
      <c r="AS22" s="45"/>
      <c r="AT22" s="19" t="s">
        <v>37</v>
      </c>
      <c r="DJ22" s="20"/>
      <c r="DK22" s="44"/>
      <c r="DL22" s="21"/>
      <c r="DM22" s="20"/>
    </row>
    <row r="23" spans="1:117" s="19" customFormat="1" ht="18" customHeight="1" x14ac:dyDescent="0.45">
      <c r="A23" s="45"/>
      <c r="B23" s="45"/>
      <c r="C23" s="25"/>
      <c r="D23" s="48">
        <v>12</v>
      </c>
      <c r="E23" s="49" t="s">
        <v>8</v>
      </c>
      <c r="F23" s="50">
        <v>45185</v>
      </c>
      <c r="G23" s="51">
        <v>0.69791666666666663</v>
      </c>
      <c r="H23" s="52" t="s">
        <v>35</v>
      </c>
      <c r="I23" s="45"/>
      <c r="J23" s="53"/>
      <c r="K23" s="54" t="s">
        <v>22</v>
      </c>
      <c r="L23" s="53"/>
      <c r="M23" s="45"/>
      <c r="N23" s="55" t="s">
        <v>99</v>
      </c>
      <c r="O23" s="49"/>
      <c r="P23" s="48"/>
      <c r="Q23" s="49"/>
      <c r="R23" s="29" t="s">
        <v>106</v>
      </c>
      <c r="S23" s="29"/>
      <c r="T23" s="29"/>
      <c r="U23" s="29"/>
      <c r="V23" s="29"/>
      <c r="W23" s="29"/>
      <c r="X23" s="29"/>
      <c r="Y23" s="29"/>
      <c r="Z23" s="29"/>
      <c r="AA23" s="27"/>
      <c r="AB23" s="32"/>
      <c r="AN23" s="45"/>
      <c r="AO23" s="45"/>
      <c r="AP23" s="59"/>
      <c r="AQ23" s="60"/>
      <c r="AR23" s="45"/>
      <c r="AS23" s="45"/>
      <c r="AT23" s="19" t="s">
        <v>33</v>
      </c>
      <c r="DJ23" s="20"/>
      <c r="DK23" s="44"/>
      <c r="DL23" s="21"/>
      <c r="DM23" s="20"/>
    </row>
    <row r="24" spans="1:117" s="19" customFormat="1" ht="18" customHeight="1" x14ac:dyDescent="0.45">
      <c r="A24" s="45"/>
      <c r="B24" s="45"/>
      <c r="C24" s="25"/>
      <c r="D24" s="48">
        <v>13</v>
      </c>
      <c r="E24" s="49" t="s">
        <v>7</v>
      </c>
      <c r="F24" s="50">
        <v>45185</v>
      </c>
      <c r="G24" s="51">
        <v>0.83333333333333337</v>
      </c>
      <c r="H24" s="52" t="s">
        <v>31</v>
      </c>
      <c r="I24" s="45"/>
      <c r="J24" s="53"/>
      <c r="K24" s="54" t="s">
        <v>22</v>
      </c>
      <c r="L24" s="53"/>
      <c r="M24" s="45"/>
      <c r="N24" s="55" t="s">
        <v>29</v>
      </c>
      <c r="O24" s="49"/>
      <c r="P24" s="48"/>
      <c r="Q24" s="49"/>
      <c r="R24" s="29" t="s">
        <v>107</v>
      </c>
      <c r="S24" s="29"/>
      <c r="T24" s="29"/>
      <c r="U24" s="29"/>
      <c r="V24" s="29"/>
      <c r="W24" s="29"/>
      <c r="X24" s="29"/>
      <c r="Y24" s="29"/>
      <c r="Z24" s="29"/>
      <c r="AA24" s="27"/>
      <c r="AB24" s="32"/>
      <c r="AC24" s="67" t="s">
        <v>45</v>
      </c>
      <c r="AD24" s="68"/>
      <c r="AE24" s="69"/>
      <c r="AF24" s="69"/>
      <c r="AG24" s="70" t="s">
        <v>0</v>
      </c>
      <c r="AH24" s="70" t="s">
        <v>16</v>
      </c>
      <c r="AI24" s="70" t="s">
        <v>17</v>
      </c>
      <c r="AJ24" s="70" t="s">
        <v>18</v>
      </c>
      <c r="AK24" s="70" t="s">
        <v>62</v>
      </c>
      <c r="AL24" s="70" t="s">
        <v>63</v>
      </c>
      <c r="AM24" s="70" t="s">
        <v>64</v>
      </c>
      <c r="AN24" s="70" t="s">
        <v>41</v>
      </c>
      <c r="AO24" s="70" t="s">
        <v>40</v>
      </c>
      <c r="AP24" s="70" t="s">
        <v>42</v>
      </c>
      <c r="AQ24" s="70" t="s">
        <v>39</v>
      </c>
      <c r="AR24" s="45"/>
      <c r="AS24" s="45"/>
      <c r="AT24" s="19" t="s">
        <v>29</v>
      </c>
      <c r="DJ24" s="20"/>
      <c r="DK24" s="44"/>
      <c r="DL24" s="21"/>
      <c r="DM24" s="20"/>
    </row>
    <row r="25" spans="1:117" s="19" customFormat="1" ht="18" customHeight="1" x14ac:dyDescent="0.45">
      <c r="A25" s="45"/>
      <c r="B25" s="45"/>
      <c r="C25" s="25"/>
      <c r="D25" s="48">
        <v>14</v>
      </c>
      <c r="E25" s="49" t="s">
        <v>7</v>
      </c>
      <c r="F25" s="50">
        <v>45186</v>
      </c>
      <c r="G25" s="51">
        <v>0.58333333333333337</v>
      </c>
      <c r="H25" s="52" t="s">
        <v>33</v>
      </c>
      <c r="I25" s="45"/>
      <c r="J25" s="53"/>
      <c r="K25" s="54" t="s">
        <v>22</v>
      </c>
      <c r="L25" s="53"/>
      <c r="M25" s="45"/>
      <c r="N25" s="55" t="s">
        <v>97</v>
      </c>
      <c r="O25" s="49"/>
      <c r="P25" s="48"/>
      <c r="Q25" s="49"/>
      <c r="R25" s="29" t="s">
        <v>102</v>
      </c>
      <c r="S25" s="29"/>
      <c r="T25" s="29"/>
      <c r="U25" s="29"/>
      <c r="V25" s="29"/>
      <c r="W25" s="29"/>
      <c r="X25" s="29"/>
      <c r="Y25" s="29"/>
      <c r="Z25" s="29"/>
      <c r="AA25" s="27"/>
      <c r="AB25" s="32"/>
      <c r="AC25" s="47">
        <v>1</v>
      </c>
      <c r="AD25" s="203" t="str">
        <f>VLOOKUP(1,'Dummy Table'!A18:B22,2,FALSE)</f>
        <v>Fiji</v>
      </c>
      <c r="AE25" s="203"/>
      <c r="AF25" s="203"/>
      <c r="AG25" s="47">
        <f t="shared" ref="AG25:AG29" si="3">SUM(AH25:AJ25)</f>
        <v>0</v>
      </c>
      <c r="AH25" s="47">
        <f>VLOOKUP(AD25,'Dummy Table'!B4:C29,2,FALSE)</f>
        <v>0</v>
      </c>
      <c r="AI25" s="47">
        <f>VLOOKUP(AD25,'Dummy Table'!B4:D29,3,FALSE)</f>
        <v>0</v>
      </c>
      <c r="AJ25" s="47">
        <f>VLOOKUP(AD25,'Dummy Table'!B4:E29,4,FALSE)</f>
        <v>0</v>
      </c>
      <c r="AK25" s="47">
        <f>VLOOKUP(AD25,'Dummy Table'!B4:F29,5,FALSE)</f>
        <v>0</v>
      </c>
      <c r="AL25" s="47">
        <f>VLOOKUP(AD25,'Dummy Table'!B4:G29,6,FALSE)</f>
        <v>0</v>
      </c>
      <c r="AM25" s="47">
        <f>AK25-AL25</f>
        <v>0</v>
      </c>
      <c r="AN25" s="47">
        <f>VLOOKUP(AD25,'Dummy Table'!B4:I29,8,FALSE)</f>
        <v>0</v>
      </c>
      <c r="AO25" s="47">
        <f>VLOOKUP(AD25,'Dummy Table'!B4:J29,9,FALSE)</f>
        <v>0</v>
      </c>
      <c r="AP25" s="47">
        <f>VLOOKUP(AD25,'Dummy Table'!B4:M29,12,FALSE)+VLOOKUP(AD25,'Dummy Table'!B4:N29,13,FALSE)</f>
        <v>0</v>
      </c>
      <c r="AQ25" s="47">
        <f>VLOOKUP(AD25,'Dummy Table'!B4:O29,14,FALSE)</f>
        <v>0</v>
      </c>
      <c r="AR25" s="45"/>
      <c r="AS25" s="45"/>
      <c r="AT25" s="19" t="s">
        <v>81</v>
      </c>
      <c r="DJ25" s="20"/>
      <c r="DK25" s="44"/>
      <c r="DL25" s="21"/>
      <c r="DM25" s="20"/>
    </row>
    <row r="26" spans="1:117" s="19" customFormat="1" ht="18" customHeight="1" x14ac:dyDescent="0.45">
      <c r="A26" s="45"/>
      <c r="B26" s="45"/>
      <c r="C26" s="25"/>
      <c r="D26" s="48">
        <v>15</v>
      </c>
      <c r="E26" s="49" t="s">
        <v>8</v>
      </c>
      <c r="F26" s="50">
        <v>45186</v>
      </c>
      <c r="G26" s="51">
        <v>0.69791666666666663</v>
      </c>
      <c r="H26" s="52" t="s">
        <v>5</v>
      </c>
      <c r="I26" s="45"/>
      <c r="J26" s="53"/>
      <c r="K26" s="54" t="s">
        <v>22</v>
      </c>
      <c r="L26" s="53"/>
      <c r="M26" s="45"/>
      <c r="N26" s="55" t="s">
        <v>25</v>
      </c>
      <c r="O26" s="49"/>
      <c r="P26" s="48"/>
      <c r="Q26" s="49"/>
      <c r="R26" s="29" t="s">
        <v>101</v>
      </c>
      <c r="S26" s="29"/>
      <c r="T26" s="29"/>
      <c r="U26" s="29"/>
      <c r="V26" s="29"/>
      <c r="W26" s="29"/>
      <c r="X26" s="29"/>
      <c r="Y26" s="29"/>
      <c r="Z26" s="29"/>
      <c r="AA26" s="27"/>
      <c r="AB26" s="32"/>
      <c r="AC26" s="56">
        <v>2</v>
      </c>
      <c r="AD26" s="168" t="str">
        <f>VLOOKUP(2,'Dummy Table'!A18:B22,2,FALSE)</f>
        <v>Australia</v>
      </c>
      <c r="AE26" s="168"/>
      <c r="AF26" s="168"/>
      <c r="AG26" s="56">
        <f t="shared" si="3"/>
        <v>0</v>
      </c>
      <c r="AH26" s="56">
        <f>VLOOKUP(AD26,'Dummy Table'!B4:C29,2,FALSE)</f>
        <v>0</v>
      </c>
      <c r="AI26" s="56">
        <f>VLOOKUP(AD26,'Dummy Table'!B4:D29,3,FALSE)</f>
        <v>0</v>
      </c>
      <c r="AJ26" s="56">
        <f>VLOOKUP(AD26,'Dummy Table'!B4:E29,4,FALSE)</f>
        <v>0</v>
      </c>
      <c r="AK26" s="56">
        <f>VLOOKUP(AD26,'Dummy Table'!B4:F29,5,FALSE)</f>
        <v>0</v>
      </c>
      <c r="AL26" s="56">
        <f>VLOOKUP(AD26,'Dummy Table'!B4:G29,6,FALSE)</f>
        <v>0</v>
      </c>
      <c r="AM26" s="56">
        <f t="shared" ref="AM26:AM29" si="4">AK26-AL26</f>
        <v>0</v>
      </c>
      <c r="AN26" s="56">
        <f>VLOOKUP(AD26,'Dummy Table'!B4:I29,8,FALSE)</f>
        <v>0</v>
      </c>
      <c r="AO26" s="56">
        <f>VLOOKUP(AD26,'Dummy Table'!B4:J29,9,FALSE)</f>
        <v>0</v>
      </c>
      <c r="AP26" s="56">
        <f>VLOOKUP(AD26,'Dummy Table'!B4:M29,12,FALSE)+VLOOKUP(AD26,'Dummy Table'!B4:N29,13,FALSE)</f>
        <v>0</v>
      </c>
      <c r="AQ26" s="56">
        <f>VLOOKUP(AD26,'Dummy Table'!B4:O29,14,FALSE)</f>
        <v>0</v>
      </c>
      <c r="AR26" s="45"/>
      <c r="AS26" s="45"/>
      <c r="AT26" s="19" t="s">
        <v>2</v>
      </c>
      <c r="DJ26" s="20"/>
      <c r="DK26" s="44"/>
      <c r="DL26" s="21"/>
      <c r="DM26" s="20"/>
    </row>
    <row r="27" spans="1:117" s="19" customFormat="1" ht="18" customHeight="1" x14ac:dyDescent="0.45">
      <c r="A27" s="45"/>
      <c r="B27" s="45"/>
      <c r="C27" s="25"/>
      <c r="D27" s="48">
        <v>16</v>
      </c>
      <c r="E27" s="49" t="s">
        <v>17</v>
      </c>
      <c r="F27" s="50">
        <v>45186</v>
      </c>
      <c r="G27" s="51">
        <v>0.83333333333333337</v>
      </c>
      <c r="H27" s="52" t="s">
        <v>4</v>
      </c>
      <c r="I27" s="45"/>
      <c r="J27" s="53"/>
      <c r="K27" s="54" t="s">
        <v>22</v>
      </c>
      <c r="L27" s="53"/>
      <c r="M27" s="45"/>
      <c r="N27" s="55" t="s">
        <v>6</v>
      </c>
      <c r="O27" s="49"/>
      <c r="P27" s="48"/>
      <c r="Q27" s="49"/>
      <c r="R27" s="29" t="s">
        <v>106</v>
      </c>
      <c r="S27" s="29"/>
      <c r="T27" s="29"/>
      <c r="U27" s="29"/>
      <c r="V27" s="29"/>
      <c r="W27" s="29"/>
      <c r="X27" s="29"/>
      <c r="Y27" s="29"/>
      <c r="Z27" s="29"/>
      <c r="AA27" s="27"/>
      <c r="AB27" s="32"/>
      <c r="AC27" s="57">
        <v>3</v>
      </c>
      <c r="AD27" s="169" t="str">
        <f>VLOOKUP(3,'Dummy Table'!A18:B22,2,FALSE)</f>
        <v>Wales</v>
      </c>
      <c r="AE27" s="169"/>
      <c r="AF27" s="169"/>
      <c r="AG27" s="57">
        <f t="shared" si="3"/>
        <v>0</v>
      </c>
      <c r="AH27" s="57">
        <f>VLOOKUP(AD27,'Dummy Table'!B4:C29,2,FALSE)</f>
        <v>0</v>
      </c>
      <c r="AI27" s="57">
        <f>VLOOKUP(AD27,'Dummy Table'!B4:D29,3,FALSE)</f>
        <v>0</v>
      </c>
      <c r="AJ27" s="57">
        <f>VLOOKUP(AD27,'Dummy Table'!B4:E29,4,FALSE)</f>
        <v>0</v>
      </c>
      <c r="AK27" s="57">
        <f>VLOOKUP(AD27,'Dummy Table'!B4:F29,5,FALSE)</f>
        <v>0</v>
      </c>
      <c r="AL27" s="57">
        <f>VLOOKUP(AD27,'Dummy Table'!B4:G29,6,FALSE)</f>
        <v>0</v>
      </c>
      <c r="AM27" s="57">
        <f t="shared" si="4"/>
        <v>0</v>
      </c>
      <c r="AN27" s="57">
        <f>VLOOKUP(AD27,'Dummy Table'!B4:I29,8,FALSE)</f>
        <v>0</v>
      </c>
      <c r="AO27" s="57">
        <f>VLOOKUP(AD27,'Dummy Table'!B4:J29,9,FALSE)</f>
        <v>0</v>
      </c>
      <c r="AP27" s="57">
        <f>VLOOKUP(AD27,'Dummy Table'!B4:M29,12,FALSE)+VLOOKUP(AD27,'Dummy Table'!B4:N29,13,FALSE)</f>
        <v>0</v>
      </c>
      <c r="AQ27" s="57">
        <f>VLOOKUP(AD27,'Dummy Table'!B4:O29,14,FALSE)</f>
        <v>0</v>
      </c>
      <c r="AR27" s="45"/>
      <c r="AS27" s="45"/>
      <c r="AT27" s="19" t="s">
        <v>35</v>
      </c>
      <c r="DJ27" s="20"/>
      <c r="DK27" s="44"/>
      <c r="DL27" s="21"/>
      <c r="DM27" s="20"/>
    </row>
    <row r="28" spans="1:117" s="19" customFormat="1" ht="18" customHeight="1" x14ac:dyDescent="0.45">
      <c r="A28" s="45"/>
      <c r="B28" s="45"/>
      <c r="C28" s="25"/>
      <c r="D28" s="48">
        <v>17</v>
      </c>
      <c r="E28" s="49" t="s">
        <v>19</v>
      </c>
      <c r="F28" s="50">
        <v>45189</v>
      </c>
      <c r="G28" s="51">
        <v>0.69791666666666663</v>
      </c>
      <c r="H28" s="52" t="s">
        <v>14</v>
      </c>
      <c r="I28" s="45"/>
      <c r="J28" s="53"/>
      <c r="K28" s="54" t="s">
        <v>22</v>
      </c>
      <c r="L28" s="53"/>
      <c r="M28" s="45"/>
      <c r="N28" s="55" t="s">
        <v>2</v>
      </c>
      <c r="O28" s="49"/>
      <c r="P28" s="48"/>
      <c r="Q28" s="49"/>
      <c r="R28" s="29" t="s">
        <v>106</v>
      </c>
      <c r="S28" s="29"/>
      <c r="T28" s="29"/>
      <c r="U28" s="29"/>
      <c r="V28" s="29"/>
      <c r="W28" s="29"/>
      <c r="X28" s="29"/>
      <c r="Y28" s="29"/>
      <c r="Z28" s="29"/>
      <c r="AA28" s="27"/>
      <c r="AB28" s="32"/>
      <c r="AC28" s="58">
        <v>4</v>
      </c>
      <c r="AD28" s="202" t="str">
        <f>VLOOKUP(4,'Dummy Table'!A18:B22,2,FALSE)</f>
        <v>Georgia</v>
      </c>
      <c r="AE28" s="202"/>
      <c r="AF28" s="202"/>
      <c r="AG28" s="58">
        <f t="shared" si="3"/>
        <v>0</v>
      </c>
      <c r="AH28" s="58">
        <f>VLOOKUP(AD28,'Dummy Table'!B4:C29,2,FALSE)</f>
        <v>0</v>
      </c>
      <c r="AI28" s="58">
        <f>VLOOKUP(AD28,'Dummy Table'!B4:D29,3,FALSE)</f>
        <v>0</v>
      </c>
      <c r="AJ28" s="58">
        <f>VLOOKUP(AD28,'Dummy Table'!B4:E29,4,FALSE)</f>
        <v>0</v>
      </c>
      <c r="AK28" s="58">
        <f>VLOOKUP(AD28,'Dummy Table'!B4:F29,5,FALSE)</f>
        <v>0</v>
      </c>
      <c r="AL28" s="58">
        <f>VLOOKUP(AD28,'Dummy Table'!B4:G29,6,FALSE)</f>
        <v>0</v>
      </c>
      <c r="AM28" s="58">
        <f t="shared" si="4"/>
        <v>0</v>
      </c>
      <c r="AN28" s="58">
        <f>VLOOKUP(AD28,'Dummy Table'!B4:I29,8,FALSE)</f>
        <v>0</v>
      </c>
      <c r="AO28" s="58">
        <f>VLOOKUP(AD28,'Dummy Table'!B4:J29,9,FALSE)</f>
        <v>0</v>
      </c>
      <c r="AP28" s="58">
        <f>VLOOKUP(AD28,'Dummy Table'!B4:M29,12,FALSE)+VLOOKUP(AD28,'Dummy Table'!B4:N29,13,FALSE)</f>
        <v>0</v>
      </c>
      <c r="AQ28" s="58">
        <f>VLOOKUP(AD28,'Dummy Table'!B4:O29,14,FALSE)</f>
        <v>0</v>
      </c>
      <c r="AR28" s="45"/>
      <c r="AS28" s="45"/>
      <c r="DJ28" s="20"/>
      <c r="DK28" s="44"/>
      <c r="DL28" s="21"/>
      <c r="DM28" s="20"/>
    </row>
    <row r="29" spans="1:117" s="19" customFormat="1" ht="18" customHeight="1" x14ac:dyDescent="0.45">
      <c r="A29" s="45"/>
      <c r="B29" s="45"/>
      <c r="C29" s="25"/>
      <c r="D29" s="48">
        <v>18</v>
      </c>
      <c r="E29" s="49" t="s">
        <v>19</v>
      </c>
      <c r="F29" s="50">
        <v>45190</v>
      </c>
      <c r="G29" s="51">
        <v>0.83333333333333337</v>
      </c>
      <c r="H29" s="52" t="s">
        <v>15</v>
      </c>
      <c r="I29" s="45"/>
      <c r="J29" s="53"/>
      <c r="K29" s="54" t="s">
        <v>22</v>
      </c>
      <c r="L29" s="53"/>
      <c r="M29" s="45"/>
      <c r="N29" s="55" t="s">
        <v>38</v>
      </c>
      <c r="O29" s="49"/>
      <c r="P29" s="48"/>
      <c r="Q29" s="49"/>
      <c r="R29" s="29" t="s">
        <v>103</v>
      </c>
      <c r="S29" s="29"/>
      <c r="T29" s="29"/>
      <c r="U29" s="29"/>
      <c r="V29" s="29"/>
      <c r="W29" s="29"/>
      <c r="X29" s="29"/>
      <c r="Y29" s="29"/>
      <c r="Z29" s="29"/>
      <c r="AA29" s="27"/>
      <c r="AB29" s="32"/>
      <c r="AC29" s="58">
        <v>5</v>
      </c>
      <c r="AD29" s="202" t="str">
        <f>VLOOKUP(5,'Dummy Table'!A18:B22,2,FALSE)</f>
        <v>Portugal</v>
      </c>
      <c r="AE29" s="202"/>
      <c r="AF29" s="202"/>
      <c r="AG29" s="58">
        <f t="shared" si="3"/>
        <v>0</v>
      </c>
      <c r="AH29" s="58">
        <f>VLOOKUP(AD29,'Dummy Table'!B4:C29,2,FALSE)</f>
        <v>0</v>
      </c>
      <c r="AI29" s="58">
        <f>VLOOKUP(AD29,'Dummy Table'!B4:D29,3,FALSE)</f>
        <v>0</v>
      </c>
      <c r="AJ29" s="58">
        <f>VLOOKUP(AD29,'Dummy Table'!B4:E29,4,FALSE)</f>
        <v>0</v>
      </c>
      <c r="AK29" s="58">
        <f>VLOOKUP(AD29,'Dummy Table'!B4:F29,5,FALSE)</f>
        <v>0</v>
      </c>
      <c r="AL29" s="58">
        <f>VLOOKUP(AD29,'Dummy Table'!B4:G29,6,FALSE)</f>
        <v>0</v>
      </c>
      <c r="AM29" s="58">
        <f t="shared" si="4"/>
        <v>0</v>
      </c>
      <c r="AN29" s="58">
        <f>VLOOKUP(AD29,'Dummy Table'!B4:I29,8,FALSE)</f>
        <v>0</v>
      </c>
      <c r="AO29" s="58">
        <f>VLOOKUP(AD29,'Dummy Table'!B4:J29,9,FALSE)</f>
        <v>0</v>
      </c>
      <c r="AP29" s="58">
        <f>VLOOKUP(AD29,'Dummy Table'!B4:M29,12,FALSE)+VLOOKUP(AD29,'Dummy Table'!B4:N29,13,FALSE)</f>
        <v>0</v>
      </c>
      <c r="AQ29" s="58">
        <f>VLOOKUP(AD29,'Dummy Table'!B4:O29,14,FALSE)</f>
        <v>0</v>
      </c>
      <c r="AR29" s="45"/>
      <c r="AS29" s="45"/>
      <c r="DJ29" s="20"/>
      <c r="DK29" s="44"/>
      <c r="DL29" s="21"/>
      <c r="DM29" s="20"/>
    </row>
    <row r="30" spans="1:117" s="19" customFormat="1" ht="18" customHeight="1" x14ac:dyDescent="0.45">
      <c r="A30" s="45"/>
      <c r="B30" s="45"/>
      <c r="C30" s="25"/>
      <c r="D30" s="48">
        <v>19</v>
      </c>
      <c r="E30" s="49" t="s">
        <v>17</v>
      </c>
      <c r="F30" s="50">
        <v>45191</v>
      </c>
      <c r="G30" s="51">
        <v>0.69791666666666663</v>
      </c>
      <c r="H30" s="52" t="s">
        <v>3</v>
      </c>
      <c r="I30" s="45"/>
      <c r="J30" s="53"/>
      <c r="K30" s="54" t="s">
        <v>22</v>
      </c>
      <c r="L30" s="53"/>
      <c r="M30" s="45"/>
      <c r="N30" s="55" t="s">
        <v>34</v>
      </c>
      <c r="O30" s="49"/>
      <c r="P30" s="48"/>
      <c r="Q30" s="49"/>
      <c r="R30" s="29" t="s">
        <v>101</v>
      </c>
      <c r="S30" s="29"/>
      <c r="T30" s="29"/>
      <c r="U30" s="29"/>
      <c r="V30" s="29"/>
      <c r="W30" s="29"/>
      <c r="X30" s="29"/>
      <c r="Y30" s="29"/>
      <c r="Z30" s="29"/>
      <c r="AA30" s="27"/>
      <c r="AB30" s="32"/>
      <c r="AN30" s="45"/>
      <c r="AO30" s="45"/>
      <c r="AP30" s="59"/>
      <c r="AQ30" s="60"/>
      <c r="AR30" s="45"/>
      <c r="AS30" s="45"/>
      <c r="DJ30" s="20"/>
      <c r="DK30" s="44"/>
      <c r="DL30" s="21"/>
      <c r="DM30" s="20"/>
    </row>
    <row r="31" spans="1:117" s="19" customFormat="1" ht="18" customHeight="1" x14ac:dyDescent="0.45">
      <c r="A31" s="45"/>
      <c r="B31" s="45"/>
      <c r="C31" s="25"/>
      <c r="D31" s="48">
        <v>20</v>
      </c>
      <c r="E31" s="49" t="s">
        <v>8</v>
      </c>
      <c r="F31" s="50">
        <v>45192</v>
      </c>
      <c r="G31" s="51">
        <v>0.54166666666666663</v>
      </c>
      <c r="H31" s="52" t="s">
        <v>30</v>
      </c>
      <c r="I31" s="45"/>
      <c r="J31" s="53"/>
      <c r="K31" s="54" t="s">
        <v>22</v>
      </c>
      <c r="L31" s="53"/>
      <c r="M31" s="45"/>
      <c r="N31" s="55" t="s">
        <v>99</v>
      </c>
      <c r="O31" s="49"/>
      <c r="P31" s="48"/>
      <c r="Q31" s="49"/>
      <c r="R31" s="29" t="s">
        <v>104</v>
      </c>
      <c r="S31" s="29"/>
      <c r="T31" s="29"/>
      <c r="U31" s="29"/>
      <c r="V31" s="29"/>
      <c r="W31" s="29"/>
      <c r="X31" s="29"/>
      <c r="Y31" s="29"/>
      <c r="Z31" s="29"/>
      <c r="AA31" s="27"/>
      <c r="AB31" s="32"/>
      <c r="AC31" s="71" t="s">
        <v>46</v>
      </c>
      <c r="AD31" s="72"/>
      <c r="AE31" s="73"/>
      <c r="AF31" s="73"/>
      <c r="AG31" s="74" t="s">
        <v>0</v>
      </c>
      <c r="AH31" s="74" t="s">
        <v>16</v>
      </c>
      <c r="AI31" s="74" t="s">
        <v>17</v>
      </c>
      <c r="AJ31" s="74" t="s">
        <v>18</v>
      </c>
      <c r="AK31" s="74" t="s">
        <v>62</v>
      </c>
      <c r="AL31" s="74" t="s">
        <v>63</v>
      </c>
      <c r="AM31" s="74" t="s">
        <v>64</v>
      </c>
      <c r="AN31" s="74" t="s">
        <v>41</v>
      </c>
      <c r="AO31" s="74" t="s">
        <v>40</v>
      </c>
      <c r="AP31" s="74" t="s">
        <v>42</v>
      </c>
      <c r="AQ31" s="74" t="s">
        <v>39</v>
      </c>
      <c r="AR31" s="45"/>
      <c r="AS31" s="45"/>
      <c r="DJ31" s="20"/>
      <c r="DK31" s="44"/>
      <c r="DL31" s="21"/>
      <c r="DM31" s="20"/>
    </row>
    <row r="32" spans="1:117" s="19" customFormat="1" ht="18" customHeight="1" x14ac:dyDescent="0.45">
      <c r="A32" s="45"/>
      <c r="B32" s="45"/>
      <c r="C32" s="25"/>
      <c r="D32" s="48">
        <v>21</v>
      </c>
      <c r="E32" s="49" t="s">
        <v>17</v>
      </c>
      <c r="F32" s="50">
        <v>45192</v>
      </c>
      <c r="G32" s="51">
        <v>0.69791666666666663</v>
      </c>
      <c r="H32" s="52" t="s">
        <v>4</v>
      </c>
      <c r="I32" s="45"/>
      <c r="J32" s="53"/>
      <c r="K32" s="54" t="s">
        <v>22</v>
      </c>
      <c r="L32" s="53"/>
      <c r="M32" s="45"/>
      <c r="N32" s="55" t="s">
        <v>98</v>
      </c>
      <c r="O32" s="49"/>
      <c r="P32" s="48"/>
      <c r="Q32" s="49"/>
      <c r="R32" s="29" t="s">
        <v>105</v>
      </c>
      <c r="S32" s="29"/>
      <c r="T32" s="29"/>
      <c r="U32" s="29"/>
      <c r="V32" s="29"/>
      <c r="W32" s="29"/>
      <c r="X32" s="29"/>
      <c r="Y32" s="29"/>
      <c r="Z32" s="29"/>
      <c r="AA32" s="27"/>
      <c r="AB32" s="32"/>
      <c r="AC32" s="47">
        <v>1</v>
      </c>
      <c r="AD32" s="203" t="str">
        <f>VLOOKUP(1,'Dummy Table'!A25:B29,2,FALSE)</f>
        <v>Argentina</v>
      </c>
      <c r="AE32" s="203"/>
      <c r="AF32" s="203"/>
      <c r="AG32" s="47">
        <f t="shared" ref="AG32:AG36" si="5">SUM(AH32:AJ32)</f>
        <v>0</v>
      </c>
      <c r="AH32" s="47">
        <f>VLOOKUP(AD32,'Dummy Table'!B4:C29,2,FALSE)</f>
        <v>0</v>
      </c>
      <c r="AI32" s="47">
        <f>VLOOKUP(AD32,'Dummy Table'!B4:D29,3,FALSE)</f>
        <v>0</v>
      </c>
      <c r="AJ32" s="47">
        <f>VLOOKUP(AD32,'Dummy Table'!B4:E29,4,FALSE)</f>
        <v>0</v>
      </c>
      <c r="AK32" s="47">
        <f>VLOOKUP(AD32,'Dummy Table'!B4:F29,5,FALSE)</f>
        <v>0</v>
      </c>
      <c r="AL32" s="47">
        <f>VLOOKUP(AD32,'Dummy Table'!B4:G29,6,FALSE)</f>
        <v>0</v>
      </c>
      <c r="AM32" s="47">
        <f>AK32-AL32</f>
        <v>0</v>
      </c>
      <c r="AN32" s="47">
        <f>VLOOKUP(AD32,'Dummy Table'!B4:I29,8,FALSE)</f>
        <v>0</v>
      </c>
      <c r="AO32" s="47">
        <f>VLOOKUP(AD32,'Dummy Table'!B4:J29,9,FALSE)</f>
        <v>0</v>
      </c>
      <c r="AP32" s="47">
        <f>VLOOKUP(AD32,'Dummy Table'!B4:M29,12,FALSE)+VLOOKUP(AD32,'Dummy Table'!B4:N29,13,FALSE)</f>
        <v>0</v>
      </c>
      <c r="AQ32" s="47">
        <f>VLOOKUP(AD32,'Dummy Table'!B4:O29,14,FALSE)</f>
        <v>0</v>
      </c>
      <c r="AR32" s="45"/>
      <c r="AS32" s="45"/>
      <c r="DJ32" s="20"/>
      <c r="DK32" s="44"/>
      <c r="DL32" s="21"/>
      <c r="DM32" s="20"/>
    </row>
    <row r="33" spans="1:117" s="19" customFormat="1" ht="18" customHeight="1" x14ac:dyDescent="0.45">
      <c r="A33" s="45"/>
      <c r="B33" s="45"/>
      <c r="C33" s="25"/>
      <c r="D33" s="48">
        <v>22</v>
      </c>
      <c r="E33" s="49" t="s">
        <v>7</v>
      </c>
      <c r="F33" s="50">
        <v>45192</v>
      </c>
      <c r="G33" s="51">
        <v>0.83333333333333337</v>
      </c>
      <c r="H33" s="52" t="s">
        <v>33</v>
      </c>
      <c r="I33" s="45"/>
      <c r="J33" s="53"/>
      <c r="K33" s="54" t="s">
        <v>22</v>
      </c>
      <c r="L33" s="53"/>
      <c r="M33" s="45"/>
      <c r="N33" s="55" t="s">
        <v>31</v>
      </c>
      <c r="O33" s="49"/>
      <c r="P33" s="48"/>
      <c r="Q33" s="49"/>
      <c r="R33" s="29" t="s">
        <v>100</v>
      </c>
      <c r="S33" s="29"/>
      <c r="T33" s="29"/>
      <c r="U33" s="29"/>
      <c r="V33" s="29"/>
      <c r="W33" s="29"/>
      <c r="X33" s="29"/>
      <c r="Y33" s="29"/>
      <c r="Z33" s="29"/>
      <c r="AA33" s="27"/>
      <c r="AB33" s="32"/>
      <c r="AC33" s="56">
        <v>2</v>
      </c>
      <c r="AD33" s="168" t="str">
        <f>VLOOKUP(2,'Dummy Table'!A25:B29,2,FALSE)</f>
        <v>England</v>
      </c>
      <c r="AE33" s="168"/>
      <c r="AF33" s="168"/>
      <c r="AG33" s="56">
        <f t="shared" si="5"/>
        <v>0</v>
      </c>
      <c r="AH33" s="56">
        <f>VLOOKUP(AD33,'Dummy Table'!B4:C29,2,FALSE)</f>
        <v>0</v>
      </c>
      <c r="AI33" s="56">
        <f>VLOOKUP(AD33,'Dummy Table'!B4:D29,3,FALSE)</f>
        <v>0</v>
      </c>
      <c r="AJ33" s="56">
        <f>VLOOKUP(AD33,'Dummy Table'!B4:E29,4,FALSE)</f>
        <v>0</v>
      </c>
      <c r="AK33" s="56">
        <f>VLOOKUP(AD33,'Dummy Table'!B4:F29,5,FALSE)</f>
        <v>0</v>
      </c>
      <c r="AL33" s="56">
        <f>VLOOKUP(AD33,'Dummy Table'!B4:G29,6,FALSE)</f>
        <v>0</v>
      </c>
      <c r="AM33" s="56">
        <f t="shared" ref="AM33:AM36" si="6">AK33-AL33</f>
        <v>0</v>
      </c>
      <c r="AN33" s="56">
        <f>VLOOKUP(AD33,'Dummy Table'!B4:I29,8,FALSE)</f>
        <v>0</v>
      </c>
      <c r="AO33" s="56">
        <f>VLOOKUP(AD33,'Dummy Table'!B4:J29,9,FALSE)</f>
        <v>0</v>
      </c>
      <c r="AP33" s="56">
        <f>VLOOKUP(AD33,'Dummy Table'!B4:M29,12,FALSE)+VLOOKUP(AD33,'Dummy Table'!B4:N29,13,FALSE)</f>
        <v>0</v>
      </c>
      <c r="AQ33" s="56">
        <f>VLOOKUP(AD33,'Dummy Table'!B4:O29,14,FALSE)</f>
        <v>0</v>
      </c>
      <c r="AR33" s="45"/>
      <c r="AS33" s="45"/>
      <c r="DJ33" s="20"/>
      <c r="DK33" s="44"/>
      <c r="DL33" s="21"/>
      <c r="DM33" s="20"/>
    </row>
    <row r="34" spans="1:117" s="19" customFormat="1" ht="18" customHeight="1" x14ac:dyDescent="0.45">
      <c r="A34" s="45"/>
      <c r="B34" s="45"/>
      <c r="C34" s="25"/>
      <c r="D34" s="48">
        <v>23</v>
      </c>
      <c r="E34" s="49" t="s">
        <v>7</v>
      </c>
      <c r="F34" s="50">
        <v>45193</v>
      </c>
      <c r="G34" s="51">
        <v>0.69791666666666663</v>
      </c>
      <c r="H34" s="52" t="s">
        <v>37</v>
      </c>
      <c r="I34" s="45"/>
      <c r="J34" s="53"/>
      <c r="K34" s="54" t="s">
        <v>22</v>
      </c>
      <c r="L34" s="53"/>
      <c r="M34" s="45"/>
      <c r="N34" s="55" t="s">
        <v>29</v>
      </c>
      <c r="O34" s="49"/>
      <c r="P34" s="48"/>
      <c r="Q34" s="49"/>
      <c r="R34" s="29" t="s">
        <v>106</v>
      </c>
      <c r="S34" s="29"/>
      <c r="T34" s="29"/>
      <c r="U34" s="29"/>
      <c r="V34" s="29"/>
      <c r="W34" s="29"/>
      <c r="X34" s="29"/>
      <c r="Y34" s="29"/>
      <c r="Z34" s="29"/>
      <c r="AA34" s="27"/>
      <c r="AB34" s="32"/>
      <c r="AC34" s="57">
        <v>3</v>
      </c>
      <c r="AD34" s="169" t="str">
        <f>VLOOKUP(3,'Dummy Table'!A25:B29,2,FALSE)</f>
        <v>Samoa</v>
      </c>
      <c r="AE34" s="169"/>
      <c r="AF34" s="169"/>
      <c r="AG34" s="57">
        <f t="shared" si="5"/>
        <v>0</v>
      </c>
      <c r="AH34" s="57">
        <f>VLOOKUP(AD34,'Dummy Table'!B4:C29,2,FALSE)</f>
        <v>0</v>
      </c>
      <c r="AI34" s="57">
        <f>VLOOKUP(AD34,'Dummy Table'!B4:D29,3,FALSE)</f>
        <v>0</v>
      </c>
      <c r="AJ34" s="57">
        <f>VLOOKUP(AD34,'Dummy Table'!B4:E29,4,FALSE)</f>
        <v>0</v>
      </c>
      <c r="AK34" s="57">
        <f>VLOOKUP(AD34,'Dummy Table'!B4:F29,5,FALSE)</f>
        <v>0</v>
      </c>
      <c r="AL34" s="57">
        <f>VLOOKUP(AD34,'Dummy Table'!B4:G29,6,FALSE)</f>
        <v>0</v>
      </c>
      <c r="AM34" s="57">
        <f t="shared" si="6"/>
        <v>0</v>
      </c>
      <c r="AN34" s="57">
        <f>VLOOKUP(AD34,'Dummy Table'!B4:I29,8,FALSE)</f>
        <v>0</v>
      </c>
      <c r="AO34" s="57">
        <f>VLOOKUP(AD34,'Dummy Table'!B4:J29,9,FALSE)</f>
        <v>0</v>
      </c>
      <c r="AP34" s="57">
        <f>VLOOKUP(AD34,'Dummy Table'!B4:M29,12,FALSE)+VLOOKUP(AD34,'Dummy Table'!B4:N29,13,FALSE)</f>
        <v>0</v>
      </c>
      <c r="AQ34" s="57">
        <f>VLOOKUP(AD34,'Dummy Table'!B4:O29,14,FALSE)</f>
        <v>0</v>
      </c>
      <c r="AR34" s="45"/>
      <c r="AS34" s="45"/>
      <c r="DJ34" s="20"/>
      <c r="DK34" s="44"/>
      <c r="DL34" s="21"/>
      <c r="DM34" s="20"/>
    </row>
    <row r="35" spans="1:117" s="19" customFormat="1" ht="18" customHeight="1" x14ac:dyDescent="0.45">
      <c r="A35" s="45"/>
      <c r="B35" s="45"/>
      <c r="C35" s="25"/>
      <c r="D35" s="48">
        <v>24</v>
      </c>
      <c r="E35" s="49" t="s">
        <v>8</v>
      </c>
      <c r="F35" s="50">
        <v>45193</v>
      </c>
      <c r="G35" s="51">
        <v>0.83333333333333337</v>
      </c>
      <c r="H35" s="52" t="s">
        <v>35</v>
      </c>
      <c r="I35" s="45"/>
      <c r="J35" s="53"/>
      <c r="K35" s="54" t="s">
        <v>22</v>
      </c>
      <c r="L35" s="53"/>
      <c r="M35" s="45"/>
      <c r="N35" s="55" t="s">
        <v>5</v>
      </c>
      <c r="O35" s="49"/>
      <c r="P35" s="48"/>
      <c r="Q35" s="49"/>
      <c r="R35" s="29" t="s">
        <v>108</v>
      </c>
      <c r="S35" s="29"/>
      <c r="T35" s="29"/>
      <c r="U35" s="29"/>
      <c r="V35" s="29"/>
      <c r="W35" s="29"/>
      <c r="X35" s="29"/>
      <c r="Y35" s="29"/>
      <c r="Z35" s="29"/>
      <c r="AA35" s="27"/>
      <c r="AB35" s="32"/>
      <c r="AC35" s="58">
        <v>4</v>
      </c>
      <c r="AD35" s="202" t="str">
        <f>VLOOKUP(4,'Dummy Table'!A25:B29,2,FALSE)</f>
        <v>Japan</v>
      </c>
      <c r="AE35" s="202"/>
      <c r="AF35" s="202"/>
      <c r="AG35" s="58">
        <f t="shared" si="5"/>
        <v>0</v>
      </c>
      <c r="AH35" s="58">
        <f>VLOOKUP(AD35,'Dummy Table'!B4:C29,2,FALSE)</f>
        <v>0</v>
      </c>
      <c r="AI35" s="58">
        <f>VLOOKUP(AD35,'Dummy Table'!B4:D29,3,FALSE)</f>
        <v>0</v>
      </c>
      <c r="AJ35" s="58">
        <f>VLOOKUP(AD35,'Dummy Table'!B4:E29,4,FALSE)</f>
        <v>0</v>
      </c>
      <c r="AK35" s="58">
        <f>VLOOKUP(AD35,'Dummy Table'!B4:F29,5,FALSE)</f>
        <v>0</v>
      </c>
      <c r="AL35" s="58">
        <f>VLOOKUP(AD35,'Dummy Table'!B4:G29,6,FALSE)</f>
        <v>0</v>
      </c>
      <c r="AM35" s="58">
        <f t="shared" si="6"/>
        <v>0</v>
      </c>
      <c r="AN35" s="58">
        <f>VLOOKUP(AD35,'Dummy Table'!B4:I29,8,FALSE)</f>
        <v>0</v>
      </c>
      <c r="AO35" s="58">
        <f>VLOOKUP(AD35,'Dummy Table'!B4:J29,9,FALSE)</f>
        <v>0</v>
      </c>
      <c r="AP35" s="58">
        <f>VLOOKUP(AD35,'Dummy Table'!B4:M29,12,FALSE)+VLOOKUP(AD35,'Dummy Table'!B4:N29,13,FALSE)</f>
        <v>0</v>
      </c>
      <c r="AQ35" s="58">
        <f>VLOOKUP(AD35,'Dummy Table'!B4:O29,14,FALSE)</f>
        <v>0</v>
      </c>
      <c r="AR35" s="45"/>
      <c r="AS35" s="45"/>
      <c r="DJ35" s="20"/>
      <c r="DK35" s="44"/>
      <c r="DL35" s="21"/>
      <c r="DM35" s="20"/>
    </row>
    <row r="36" spans="1:117" s="19" customFormat="1" ht="18" customHeight="1" x14ac:dyDescent="0.45">
      <c r="A36" s="45"/>
      <c r="B36" s="45"/>
      <c r="C36" s="25"/>
      <c r="D36" s="48">
        <v>25</v>
      </c>
      <c r="E36" s="49" t="s">
        <v>19</v>
      </c>
      <c r="F36" s="50">
        <v>45196</v>
      </c>
      <c r="G36" s="51">
        <v>0.69791666666666663</v>
      </c>
      <c r="H36" s="52" t="s">
        <v>2</v>
      </c>
      <c r="I36" s="45"/>
      <c r="J36" s="53"/>
      <c r="K36" s="54" t="s">
        <v>22</v>
      </c>
      <c r="L36" s="53"/>
      <c r="M36" s="45"/>
      <c r="N36" s="55" t="s">
        <v>38</v>
      </c>
      <c r="O36" s="49"/>
      <c r="P36" s="48"/>
      <c r="Q36" s="49"/>
      <c r="R36" s="29" t="s">
        <v>108</v>
      </c>
      <c r="S36" s="29"/>
      <c r="T36" s="29"/>
      <c r="U36" s="29"/>
      <c r="V36" s="29"/>
      <c r="W36" s="29"/>
      <c r="X36" s="29"/>
      <c r="Y36" s="29"/>
      <c r="Z36" s="29"/>
      <c r="AA36" s="27"/>
      <c r="AB36" s="32"/>
      <c r="AC36" s="58">
        <v>5</v>
      </c>
      <c r="AD36" s="202" t="str">
        <f>VLOOKUP(5,'Dummy Table'!A25:B29,2,FALSE)</f>
        <v>Chile</v>
      </c>
      <c r="AE36" s="202"/>
      <c r="AF36" s="202"/>
      <c r="AG36" s="58">
        <f t="shared" si="5"/>
        <v>0</v>
      </c>
      <c r="AH36" s="58">
        <f>VLOOKUP(AD36,'Dummy Table'!B4:C29,2,FALSE)</f>
        <v>0</v>
      </c>
      <c r="AI36" s="58">
        <f>VLOOKUP(AD36,'Dummy Table'!B4:D29,3,FALSE)</f>
        <v>0</v>
      </c>
      <c r="AJ36" s="58">
        <f>VLOOKUP(AD36,'Dummy Table'!B4:E29,4,FALSE)</f>
        <v>0</v>
      </c>
      <c r="AK36" s="58">
        <f>VLOOKUP(AD36,'Dummy Table'!B4:F29,5,FALSE)</f>
        <v>0</v>
      </c>
      <c r="AL36" s="58">
        <f>VLOOKUP(AD36,'Dummy Table'!B4:G29,6,FALSE)</f>
        <v>0</v>
      </c>
      <c r="AM36" s="58">
        <f t="shared" si="6"/>
        <v>0</v>
      </c>
      <c r="AN36" s="58">
        <f>VLOOKUP(AD36,'Dummy Table'!B4:I29,8,FALSE)</f>
        <v>0</v>
      </c>
      <c r="AO36" s="58">
        <f>VLOOKUP(AD36,'Dummy Table'!B4:J29,9,FALSE)</f>
        <v>0</v>
      </c>
      <c r="AP36" s="58">
        <f>VLOOKUP(AD36,'Dummy Table'!B4:M29,12,FALSE)+VLOOKUP(AD36,'Dummy Table'!B4:N29,13,FALSE)</f>
        <v>0</v>
      </c>
      <c r="AQ36" s="58">
        <f>VLOOKUP(AD36,'Dummy Table'!B4:O29,14,FALSE)</f>
        <v>0</v>
      </c>
      <c r="AR36" s="45"/>
      <c r="AS36" s="45"/>
      <c r="DJ36" s="20"/>
      <c r="DK36" s="44"/>
      <c r="DL36" s="21"/>
      <c r="DM36" s="20"/>
    </row>
    <row r="37" spans="1:117" s="19" customFormat="1" ht="18" customHeight="1" x14ac:dyDescent="0.45">
      <c r="A37" s="45"/>
      <c r="B37" s="45"/>
      <c r="C37" s="25"/>
      <c r="D37" s="48">
        <v>26</v>
      </c>
      <c r="E37" s="49" t="s">
        <v>17</v>
      </c>
      <c r="F37" s="50">
        <v>45197</v>
      </c>
      <c r="G37" s="51">
        <v>0.83333333333333337</v>
      </c>
      <c r="H37" s="52" t="s">
        <v>6</v>
      </c>
      <c r="I37" s="45"/>
      <c r="J37" s="53"/>
      <c r="K37" s="54" t="s">
        <v>22</v>
      </c>
      <c r="L37" s="53"/>
      <c r="M37" s="45"/>
      <c r="N37" s="55" t="s">
        <v>34</v>
      </c>
      <c r="O37" s="49"/>
      <c r="P37" s="48"/>
      <c r="Q37" s="49"/>
      <c r="R37" s="29" t="s">
        <v>104</v>
      </c>
      <c r="S37" s="29"/>
      <c r="T37" s="29"/>
      <c r="U37" s="29"/>
      <c r="V37" s="29"/>
      <c r="W37" s="29"/>
      <c r="X37" s="29"/>
      <c r="Y37" s="29"/>
      <c r="Z37" s="29"/>
      <c r="AA37" s="27"/>
      <c r="AB37" s="32"/>
      <c r="AM37" s="45"/>
      <c r="AN37" s="45"/>
      <c r="AO37" s="59"/>
      <c r="AP37" s="60" t="str">
        <f>IF(SUM('Dummy Table'!BP32:BP35)&gt;0,IF(ISNA(VLOOKUP(3,'Dummy Table'!BP32:BQ35,2,FALSE)),"",VLOOKUP(3,'Dummy Table'!BP32:BQ35,2,FALSE)),"")</f>
        <v/>
      </c>
      <c r="AQ37" s="75"/>
      <c r="AR37" s="45"/>
      <c r="AS37" s="45"/>
      <c r="DJ37" s="20"/>
      <c r="DK37" s="65"/>
      <c r="DL37" s="21"/>
      <c r="DM37" s="20"/>
    </row>
    <row r="38" spans="1:117" s="19" customFormat="1" ht="18" customHeight="1" x14ac:dyDescent="0.45">
      <c r="A38" s="45"/>
      <c r="B38" s="45"/>
      <c r="C38" s="25"/>
      <c r="D38" s="48">
        <v>27</v>
      </c>
      <c r="E38" s="49" t="s">
        <v>19</v>
      </c>
      <c r="F38" s="50">
        <v>45198</v>
      </c>
      <c r="G38" s="51">
        <v>0.83333333333333337</v>
      </c>
      <c r="H38" s="52" t="s">
        <v>36</v>
      </c>
      <c r="I38" s="45"/>
      <c r="J38" s="53"/>
      <c r="K38" s="54" t="s">
        <v>22</v>
      </c>
      <c r="L38" s="53"/>
      <c r="M38" s="45"/>
      <c r="N38" s="55" t="s">
        <v>14</v>
      </c>
      <c r="O38" s="49"/>
      <c r="P38" s="48"/>
      <c r="Q38" s="49"/>
      <c r="R38" s="29" t="s">
        <v>108</v>
      </c>
      <c r="S38" s="29"/>
      <c r="T38" s="29"/>
      <c r="U38" s="29"/>
      <c r="V38" s="29"/>
      <c r="W38" s="29"/>
      <c r="X38" s="29"/>
      <c r="Y38" s="29"/>
      <c r="Z38" s="29"/>
      <c r="AA38" s="27"/>
      <c r="AB38" s="32"/>
      <c r="AC38" s="76" t="s">
        <v>54</v>
      </c>
      <c r="AD38" s="76"/>
      <c r="AE38" s="76"/>
      <c r="AF38" s="76"/>
      <c r="AG38" s="76"/>
      <c r="AH38" s="76"/>
      <c r="AI38" s="76"/>
      <c r="AJ38" s="76"/>
      <c r="AK38" s="77"/>
      <c r="AL38" s="77"/>
      <c r="AM38" s="76"/>
      <c r="AN38" s="76"/>
      <c r="AO38" s="77"/>
      <c r="AP38" s="78" t="str">
        <f>IF(SUM('Dummy Table'!BP32:BP35)&gt;0,IF(ISNA(VLOOKUP(4,'Dummy Table'!BP32:BQ35,2,FALSE)),"",VLOOKUP(4,'Dummy Table'!BP32:BQ35,2,FALSE)),"")</f>
        <v/>
      </c>
      <c r="AQ38" s="75"/>
      <c r="AR38" s="45"/>
      <c r="AS38" s="45"/>
      <c r="DJ38" s="20"/>
      <c r="DK38" s="65"/>
      <c r="DL38" s="21"/>
      <c r="DM38" s="20"/>
    </row>
    <row r="39" spans="1:117" s="19" customFormat="1" ht="18" customHeight="1" x14ac:dyDescent="0.45">
      <c r="A39" s="45"/>
      <c r="B39" s="45"/>
      <c r="C39" s="25"/>
      <c r="D39" s="48">
        <v>28</v>
      </c>
      <c r="E39" s="49" t="s">
        <v>17</v>
      </c>
      <c r="F39" s="50">
        <v>45199</v>
      </c>
      <c r="G39" s="51">
        <v>0.58333333333333337</v>
      </c>
      <c r="H39" s="52" t="s">
        <v>3</v>
      </c>
      <c r="I39" s="45"/>
      <c r="J39" s="53"/>
      <c r="K39" s="54" t="s">
        <v>22</v>
      </c>
      <c r="L39" s="53"/>
      <c r="M39" s="45"/>
      <c r="N39" s="55" t="s">
        <v>98</v>
      </c>
      <c r="O39" s="49"/>
      <c r="P39" s="48"/>
      <c r="Q39" s="49"/>
      <c r="R39" s="29" t="s">
        <v>107</v>
      </c>
      <c r="S39" s="29"/>
      <c r="T39" s="29"/>
      <c r="U39" s="29"/>
      <c r="V39" s="29"/>
      <c r="W39" s="29"/>
      <c r="X39" s="29"/>
      <c r="Y39" s="29"/>
      <c r="Z39" s="29"/>
      <c r="AA39" s="27"/>
      <c r="AB39" s="32"/>
      <c r="AC39" s="79" t="s">
        <v>53</v>
      </c>
      <c r="AD39" s="79"/>
      <c r="AE39" s="79"/>
      <c r="AF39" s="79"/>
      <c r="AG39" s="79"/>
      <c r="AH39" s="79"/>
      <c r="AI39" s="79"/>
      <c r="AJ39" s="79"/>
      <c r="AK39" s="80"/>
      <c r="AL39" s="80"/>
      <c r="AM39" s="29"/>
      <c r="AN39" s="29"/>
      <c r="AO39" s="34"/>
      <c r="AP39" s="35"/>
      <c r="AQ39" s="75"/>
      <c r="AR39" s="45"/>
      <c r="AS39" s="45"/>
      <c r="DJ39" s="20"/>
      <c r="DK39" s="20"/>
      <c r="DL39" s="21"/>
      <c r="DM39" s="20"/>
    </row>
    <row r="40" spans="1:117" s="19" customFormat="1" ht="18" customHeight="1" x14ac:dyDescent="0.45">
      <c r="A40" s="45"/>
      <c r="B40" s="45"/>
      <c r="C40" s="25"/>
      <c r="D40" s="48">
        <v>29</v>
      </c>
      <c r="E40" s="49" t="s">
        <v>8</v>
      </c>
      <c r="F40" s="50">
        <v>45199</v>
      </c>
      <c r="G40" s="51">
        <v>0.69791666666666663</v>
      </c>
      <c r="H40" s="52" t="s">
        <v>25</v>
      </c>
      <c r="I40" s="45"/>
      <c r="J40" s="53"/>
      <c r="K40" s="54" t="s">
        <v>22</v>
      </c>
      <c r="L40" s="53"/>
      <c r="M40" s="45"/>
      <c r="N40" s="55" t="s">
        <v>30</v>
      </c>
      <c r="O40" s="49"/>
      <c r="P40" s="48"/>
      <c r="Q40" s="49"/>
      <c r="R40" s="29" t="s">
        <v>102</v>
      </c>
      <c r="S40" s="29"/>
      <c r="T40" s="29"/>
      <c r="U40" s="29"/>
      <c r="V40" s="29"/>
      <c r="W40" s="29"/>
      <c r="X40" s="29"/>
      <c r="Y40" s="29"/>
      <c r="Z40" s="29"/>
      <c r="AA40" s="27"/>
      <c r="AB40" s="32"/>
      <c r="AC40" s="81" t="s">
        <v>84</v>
      </c>
      <c r="AD40" s="81"/>
      <c r="AE40" s="81"/>
      <c r="AF40" s="81"/>
      <c r="AG40" s="82"/>
      <c r="AH40" s="82"/>
      <c r="AI40" s="82"/>
      <c r="AJ40" s="82"/>
      <c r="AK40" s="81"/>
      <c r="AL40" s="81"/>
      <c r="AM40" s="82"/>
      <c r="AN40" s="82"/>
      <c r="AO40" s="82"/>
      <c r="AP40" s="83"/>
      <c r="AQ40" s="75"/>
      <c r="AR40" s="45"/>
      <c r="AS40" s="45"/>
      <c r="DJ40" s="20"/>
      <c r="DK40" s="20"/>
      <c r="DL40" s="21"/>
      <c r="DM40" s="20"/>
    </row>
    <row r="41" spans="1:117" s="19" customFormat="1" ht="18" customHeight="1" x14ac:dyDescent="0.45">
      <c r="A41" s="45"/>
      <c r="B41" s="45"/>
      <c r="C41" s="25"/>
      <c r="D41" s="48">
        <v>30</v>
      </c>
      <c r="E41" s="49" t="s">
        <v>7</v>
      </c>
      <c r="F41" s="50">
        <v>45199</v>
      </c>
      <c r="G41" s="51">
        <v>0.83333333333333337</v>
      </c>
      <c r="H41" s="52" t="s">
        <v>37</v>
      </c>
      <c r="I41" s="45"/>
      <c r="J41" s="53"/>
      <c r="K41" s="54" t="s">
        <v>22</v>
      </c>
      <c r="L41" s="53"/>
      <c r="M41" s="45"/>
      <c r="N41" s="55" t="s">
        <v>97</v>
      </c>
      <c r="O41" s="49"/>
      <c r="P41" s="48"/>
      <c r="Q41" s="49"/>
      <c r="R41" s="29" t="s">
        <v>105</v>
      </c>
      <c r="S41" s="29"/>
      <c r="T41" s="29"/>
      <c r="U41" s="29"/>
      <c r="V41" s="29"/>
      <c r="W41" s="29"/>
      <c r="X41" s="29"/>
      <c r="Y41" s="29"/>
      <c r="Z41" s="29"/>
      <c r="AA41" s="27"/>
      <c r="AB41" s="32"/>
      <c r="AC41" s="84" t="s">
        <v>83</v>
      </c>
      <c r="AD41" s="84"/>
      <c r="AE41" s="84"/>
      <c r="AF41" s="84"/>
      <c r="AG41" s="85"/>
      <c r="AH41" s="85"/>
      <c r="AI41" s="85"/>
      <c r="AJ41" s="85"/>
      <c r="AK41" s="84"/>
      <c r="AL41" s="84"/>
      <c r="AM41" s="85"/>
      <c r="AN41" s="85"/>
      <c r="AO41" s="85"/>
      <c r="AP41" s="86"/>
      <c r="AQ41" s="75"/>
      <c r="AR41" s="45"/>
      <c r="AS41" s="45"/>
      <c r="DJ41" s="20"/>
      <c r="DK41" s="20"/>
      <c r="DL41" s="21"/>
      <c r="DM41" s="20"/>
    </row>
    <row r="42" spans="1:117" s="19" customFormat="1" ht="18" customHeight="1" x14ac:dyDescent="0.45">
      <c r="A42" s="45"/>
      <c r="B42" s="45"/>
      <c r="C42" s="25"/>
      <c r="D42" s="48">
        <v>31</v>
      </c>
      <c r="E42" s="49" t="s">
        <v>8</v>
      </c>
      <c r="F42" s="50">
        <v>45200</v>
      </c>
      <c r="G42" s="51">
        <v>0.69791666666666663</v>
      </c>
      <c r="H42" s="52" t="s">
        <v>5</v>
      </c>
      <c r="I42" s="45"/>
      <c r="J42" s="53"/>
      <c r="K42" s="54" t="s">
        <v>22</v>
      </c>
      <c r="L42" s="53"/>
      <c r="M42" s="45"/>
      <c r="N42" s="55" t="s">
        <v>99</v>
      </c>
      <c r="O42" s="49"/>
      <c r="P42" s="48"/>
      <c r="Q42" s="49"/>
      <c r="R42" s="29" t="s">
        <v>101</v>
      </c>
      <c r="S42" s="29"/>
      <c r="T42" s="29"/>
      <c r="U42" s="29"/>
      <c r="V42" s="29"/>
      <c r="W42" s="29"/>
      <c r="X42" s="29"/>
      <c r="Y42" s="29"/>
      <c r="Z42" s="29"/>
      <c r="AA42" s="27"/>
      <c r="AB42" s="32"/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M42" s="29"/>
      <c r="AN42" s="29"/>
      <c r="AO42" s="34"/>
      <c r="AP42" s="87"/>
      <c r="AQ42" s="75"/>
      <c r="AR42" s="45"/>
      <c r="AS42" s="45"/>
      <c r="DJ42" s="20"/>
      <c r="DK42" s="20"/>
      <c r="DL42" s="21"/>
      <c r="DM42" s="20"/>
    </row>
    <row r="43" spans="1:117" s="19" customFormat="1" ht="18" customHeight="1" x14ac:dyDescent="0.45">
      <c r="A43" s="45"/>
      <c r="B43" s="45"/>
      <c r="C43" s="25"/>
      <c r="D43" s="48">
        <v>32</v>
      </c>
      <c r="E43" s="49" t="s">
        <v>7</v>
      </c>
      <c r="F43" s="50">
        <v>45200</v>
      </c>
      <c r="G43" s="51">
        <v>0.83333333333333337</v>
      </c>
      <c r="H43" s="52" t="s">
        <v>33</v>
      </c>
      <c r="I43" s="45"/>
      <c r="J43" s="53"/>
      <c r="K43" s="54" t="s">
        <v>22</v>
      </c>
      <c r="L43" s="53"/>
      <c r="M43" s="45"/>
      <c r="N43" s="55" t="s">
        <v>29</v>
      </c>
      <c r="O43" s="49"/>
      <c r="P43" s="48"/>
      <c r="Q43" s="49"/>
      <c r="R43" s="29" t="s">
        <v>103</v>
      </c>
      <c r="S43" s="29"/>
      <c r="T43" s="29"/>
      <c r="U43" s="29"/>
      <c r="V43" s="29"/>
      <c r="W43" s="29"/>
      <c r="X43" s="29"/>
      <c r="Y43" s="29"/>
      <c r="Z43" s="29"/>
      <c r="AA43" s="27"/>
      <c r="AB43" s="32"/>
      <c r="AC43" s="76" t="s">
        <v>55</v>
      </c>
      <c r="AD43" s="76"/>
      <c r="AE43" s="76"/>
      <c r="AF43" s="76"/>
      <c r="AG43" s="77"/>
      <c r="AH43" s="76"/>
      <c r="AI43" s="76"/>
      <c r="AJ43" s="77"/>
      <c r="AK43" s="76"/>
      <c r="AL43" s="76"/>
      <c r="AM43" s="76"/>
      <c r="AN43" s="76"/>
      <c r="AO43" s="77"/>
      <c r="AP43" s="78"/>
      <c r="AQ43" s="75"/>
      <c r="AR43" s="45"/>
      <c r="AS43" s="45"/>
      <c r="DJ43" s="20"/>
      <c r="DK43" s="20"/>
      <c r="DL43" s="21"/>
      <c r="DM43" s="20"/>
    </row>
    <row r="44" spans="1:117" s="19" customFormat="1" ht="18" customHeight="1" x14ac:dyDescent="0.45">
      <c r="A44" s="45"/>
      <c r="B44" s="45"/>
      <c r="C44" s="25"/>
      <c r="D44" s="48">
        <v>33</v>
      </c>
      <c r="E44" s="49" t="s">
        <v>19</v>
      </c>
      <c r="F44" s="50">
        <v>45204</v>
      </c>
      <c r="G44" s="51">
        <v>0.83333333333333337</v>
      </c>
      <c r="H44" s="52" t="s">
        <v>36</v>
      </c>
      <c r="I44" s="45"/>
      <c r="J44" s="53"/>
      <c r="K44" s="54" t="s">
        <v>22</v>
      </c>
      <c r="L44" s="53"/>
      <c r="M44" s="45"/>
      <c r="N44" s="55" t="s">
        <v>2</v>
      </c>
      <c r="O44" s="49"/>
      <c r="P44" s="48"/>
      <c r="Q44" s="49"/>
      <c r="R44" s="29" t="s">
        <v>108</v>
      </c>
      <c r="S44" s="29"/>
      <c r="T44" s="29"/>
      <c r="U44" s="29"/>
      <c r="V44" s="29"/>
      <c r="W44" s="29"/>
      <c r="X44" s="29"/>
      <c r="Y44" s="29"/>
      <c r="Z44" s="29"/>
      <c r="AA44" s="27"/>
      <c r="AB44" s="32"/>
      <c r="AC44" s="88" t="s">
        <v>65</v>
      </c>
      <c r="AD44" s="34"/>
      <c r="AE44" s="80"/>
      <c r="AF44" s="80"/>
      <c r="AG44" s="80"/>
      <c r="AH44" s="80"/>
      <c r="AI44" s="89"/>
      <c r="AJ44" s="34"/>
      <c r="AK44" s="80"/>
      <c r="AL44" s="80"/>
      <c r="AM44" s="29"/>
      <c r="AN44" s="29"/>
      <c r="AO44" s="34"/>
      <c r="AP44" s="87"/>
      <c r="AQ44" s="75"/>
      <c r="AR44" s="45"/>
      <c r="AS44" s="45"/>
      <c r="DJ44" s="20"/>
      <c r="DK44" s="20"/>
      <c r="DL44" s="21"/>
      <c r="DM44" s="20"/>
    </row>
    <row r="45" spans="1:117" s="19" customFormat="1" ht="18" customHeight="1" x14ac:dyDescent="0.45">
      <c r="A45" s="45"/>
      <c r="B45" s="45"/>
      <c r="C45" s="25"/>
      <c r="D45" s="48">
        <v>34</v>
      </c>
      <c r="E45" s="49" t="s">
        <v>19</v>
      </c>
      <c r="F45" s="50">
        <v>45205</v>
      </c>
      <c r="G45" s="51">
        <v>0.83333333333333337</v>
      </c>
      <c r="H45" s="52" t="s">
        <v>15</v>
      </c>
      <c r="I45" s="45"/>
      <c r="J45" s="53"/>
      <c r="K45" s="54" t="s">
        <v>22</v>
      </c>
      <c r="L45" s="53"/>
      <c r="M45" s="45"/>
      <c r="N45" s="55" t="s">
        <v>14</v>
      </c>
      <c r="O45" s="49"/>
      <c r="P45" s="48"/>
      <c r="Q45" s="49"/>
      <c r="R45" s="29" t="s">
        <v>108</v>
      </c>
      <c r="S45" s="29"/>
      <c r="T45" s="29"/>
      <c r="U45" s="29"/>
      <c r="V45" s="29"/>
      <c r="W45" s="29"/>
      <c r="X45" s="29"/>
      <c r="Y45" s="29"/>
      <c r="Z45" s="29"/>
      <c r="AA45" s="27"/>
      <c r="AB45" s="32"/>
      <c r="AC45" s="88" t="s">
        <v>66</v>
      </c>
      <c r="AD45" s="34"/>
      <c r="AE45" s="80"/>
      <c r="AF45" s="80"/>
      <c r="AG45" s="80"/>
      <c r="AH45" s="80"/>
      <c r="AI45" s="89"/>
      <c r="AJ45" s="34"/>
      <c r="AK45" s="80"/>
      <c r="AL45" s="80"/>
      <c r="AM45" s="29"/>
      <c r="AN45" s="29"/>
      <c r="AO45" s="34"/>
      <c r="AP45" s="35"/>
      <c r="AQ45" s="75"/>
      <c r="AR45" s="45"/>
      <c r="AS45" s="45"/>
      <c r="DJ45" s="20"/>
      <c r="DK45" s="20"/>
      <c r="DL45" s="21"/>
      <c r="DM45" s="20"/>
    </row>
    <row r="46" spans="1:117" s="19" customFormat="1" ht="18" customHeight="1" x14ac:dyDescent="0.45">
      <c r="A46" s="45"/>
      <c r="B46" s="45"/>
      <c r="C46" s="25"/>
      <c r="D46" s="48">
        <v>35</v>
      </c>
      <c r="E46" s="49" t="s">
        <v>8</v>
      </c>
      <c r="F46" s="50">
        <v>45206</v>
      </c>
      <c r="G46" s="51">
        <v>0.58333333333333337</v>
      </c>
      <c r="H46" s="52" t="s">
        <v>35</v>
      </c>
      <c r="I46" s="45"/>
      <c r="J46" s="53"/>
      <c r="K46" s="54" t="s">
        <v>22</v>
      </c>
      <c r="L46" s="53"/>
      <c r="M46" s="45"/>
      <c r="N46" s="55" t="s">
        <v>30</v>
      </c>
      <c r="O46" s="49"/>
      <c r="P46" s="48"/>
      <c r="Q46" s="49"/>
      <c r="R46" s="29" t="s">
        <v>107</v>
      </c>
      <c r="S46" s="29"/>
      <c r="T46" s="29"/>
      <c r="U46" s="29"/>
      <c r="V46" s="29"/>
      <c r="W46" s="29"/>
      <c r="X46" s="29"/>
      <c r="Y46" s="29"/>
      <c r="Z46" s="29"/>
      <c r="AA46" s="27"/>
      <c r="AB46" s="32"/>
      <c r="AC46" s="88" t="s">
        <v>67</v>
      </c>
      <c r="AD46" s="34"/>
      <c r="AE46" s="80"/>
      <c r="AF46" s="80"/>
      <c r="AG46" s="80"/>
      <c r="AH46" s="80"/>
      <c r="AI46" s="89"/>
      <c r="AJ46" s="34"/>
      <c r="AK46" s="80"/>
      <c r="AL46" s="80"/>
      <c r="AM46" s="29"/>
      <c r="AN46" s="29"/>
      <c r="AO46" s="34"/>
      <c r="AP46" s="87"/>
      <c r="AQ46" s="75"/>
      <c r="AR46" s="45"/>
      <c r="AS46" s="45"/>
      <c r="DJ46" s="20"/>
      <c r="DK46" s="20"/>
      <c r="DL46" s="21"/>
      <c r="DM46" s="20"/>
    </row>
    <row r="47" spans="1:117" s="19" customFormat="1" ht="18" customHeight="1" x14ac:dyDescent="0.45">
      <c r="A47" s="45"/>
      <c r="B47" s="45"/>
      <c r="C47" s="25"/>
      <c r="D47" s="48">
        <v>36</v>
      </c>
      <c r="E47" s="49" t="s">
        <v>17</v>
      </c>
      <c r="F47" s="50">
        <v>45206</v>
      </c>
      <c r="G47" s="51">
        <v>0.69791666666666663</v>
      </c>
      <c r="H47" s="52" t="s">
        <v>4</v>
      </c>
      <c r="I47" s="45"/>
      <c r="J47" s="53"/>
      <c r="K47" s="54" t="s">
        <v>22</v>
      </c>
      <c r="L47" s="53"/>
      <c r="M47" s="45"/>
      <c r="N47" s="55" t="s">
        <v>34</v>
      </c>
      <c r="O47" s="49"/>
      <c r="P47" s="48"/>
      <c r="Q47" s="49"/>
      <c r="R47" s="29" t="s">
        <v>105</v>
      </c>
      <c r="S47" s="29"/>
      <c r="T47" s="29"/>
      <c r="U47" s="29"/>
      <c r="V47" s="29"/>
      <c r="W47" s="29"/>
      <c r="X47" s="29"/>
      <c r="Y47" s="29"/>
      <c r="Z47" s="29"/>
      <c r="AA47" s="27"/>
      <c r="AB47" s="32"/>
      <c r="AC47" s="90" t="s">
        <v>68</v>
      </c>
      <c r="AD47" s="34"/>
      <c r="AE47" s="80"/>
      <c r="AF47" s="80"/>
      <c r="AG47" s="80"/>
      <c r="AH47" s="80"/>
      <c r="AI47" s="89"/>
      <c r="AJ47" s="34"/>
      <c r="AK47" s="80"/>
      <c r="AL47" s="80"/>
      <c r="AM47" s="29"/>
      <c r="AN47" s="29"/>
      <c r="AO47" s="34"/>
      <c r="AP47" s="87"/>
      <c r="AQ47" s="75"/>
      <c r="AR47" s="45"/>
      <c r="AS47" s="45"/>
      <c r="DJ47" s="20"/>
      <c r="DK47" s="20"/>
      <c r="DL47" s="21"/>
      <c r="DM47" s="20"/>
    </row>
    <row r="48" spans="1:117" s="19" customFormat="1" ht="18" customHeight="1" x14ac:dyDescent="0.45">
      <c r="A48" s="45"/>
      <c r="B48" s="45"/>
      <c r="C48" s="25"/>
      <c r="D48" s="48">
        <v>37</v>
      </c>
      <c r="E48" s="49" t="s">
        <v>7</v>
      </c>
      <c r="F48" s="50">
        <v>45206</v>
      </c>
      <c r="G48" s="51">
        <v>0.83333333333333337</v>
      </c>
      <c r="H48" s="52" t="s">
        <v>31</v>
      </c>
      <c r="I48" s="45"/>
      <c r="J48" s="53"/>
      <c r="K48" s="54" t="s">
        <v>22</v>
      </c>
      <c r="L48" s="53"/>
      <c r="M48" s="45"/>
      <c r="N48" s="55" t="s">
        <v>37</v>
      </c>
      <c r="O48" s="49"/>
      <c r="P48" s="48"/>
      <c r="Q48" s="49"/>
      <c r="R48" s="29" t="s">
        <v>100</v>
      </c>
      <c r="S48" s="29"/>
      <c r="T48" s="29"/>
      <c r="U48" s="29"/>
      <c r="V48" s="29"/>
      <c r="W48" s="29"/>
      <c r="X48" s="29"/>
      <c r="Y48" s="29"/>
      <c r="Z48" s="29"/>
      <c r="AA48" s="27"/>
      <c r="AB48" s="32"/>
      <c r="AC48" s="89"/>
      <c r="AD48" s="34"/>
      <c r="AE48" s="80"/>
      <c r="AF48" s="80"/>
      <c r="AG48" s="80"/>
      <c r="AH48" s="80"/>
      <c r="AI48" s="89"/>
      <c r="AJ48" s="34"/>
      <c r="AK48" s="80"/>
      <c r="AL48" s="80"/>
      <c r="AM48" s="29"/>
      <c r="AN48" s="29"/>
      <c r="AO48" s="34"/>
      <c r="AP48" s="87"/>
      <c r="AQ48" s="75"/>
      <c r="AR48" s="45"/>
      <c r="AS48" s="45"/>
      <c r="DJ48" s="20"/>
      <c r="DK48" s="20"/>
      <c r="DL48" s="21"/>
      <c r="DM48" s="20"/>
    </row>
    <row r="49" spans="1:117" s="19" customFormat="1" ht="18" customHeight="1" x14ac:dyDescent="0.45">
      <c r="A49" s="45"/>
      <c r="B49" s="45"/>
      <c r="C49" s="25"/>
      <c r="D49" s="48">
        <v>38</v>
      </c>
      <c r="E49" s="49" t="s">
        <v>17</v>
      </c>
      <c r="F49" s="50">
        <v>45207</v>
      </c>
      <c r="G49" s="51">
        <v>0.5</v>
      </c>
      <c r="H49" s="52" t="s">
        <v>6</v>
      </c>
      <c r="I49" s="45"/>
      <c r="J49" s="53"/>
      <c r="K49" s="54" t="s">
        <v>22</v>
      </c>
      <c r="L49" s="53"/>
      <c r="M49" s="45"/>
      <c r="N49" s="55" t="s">
        <v>3</v>
      </c>
      <c r="O49" s="49"/>
      <c r="P49" s="48"/>
      <c r="Q49" s="49"/>
      <c r="R49" s="29" t="s">
        <v>107</v>
      </c>
      <c r="S49" s="29"/>
      <c r="T49" s="29"/>
      <c r="U49" s="29"/>
      <c r="V49" s="29"/>
      <c r="W49" s="29"/>
      <c r="X49" s="29"/>
      <c r="Y49" s="29"/>
      <c r="Z49" s="29"/>
      <c r="AA49" s="27"/>
      <c r="AB49" s="32"/>
      <c r="AC49" s="76" t="s">
        <v>69</v>
      </c>
      <c r="AD49" s="76"/>
      <c r="AE49" s="76"/>
      <c r="AF49" s="76"/>
      <c r="AG49" s="76"/>
      <c r="AH49" s="76"/>
      <c r="AI49" s="76"/>
      <c r="AJ49" s="76"/>
      <c r="AK49" s="76"/>
      <c r="AL49" s="76"/>
      <c r="AM49" s="76"/>
      <c r="AN49" s="76"/>
      <c r="AO49" s="77"/>
      <c r="AP49" s="78"/>
      <c r="AQ49" s="75"/>
      <c r="AR49" s="45"/>
      <c r="AS49" s="45"/>
      <c r="DJ49" s="20"/>
      <c r="DK49" s="20"/>
      <c r="DL49" s="21"/>
      <c r="DM49" s="20"/>
    </row>
    <row r="50" spans="1:117" s="19" customFormat="1" ht="18" customHeight="1" x14ac:dyDescent="0.45">
      <c r="A50" s="45"/>
      <c r="B50" s="45"/>
      <c r="C50" s="25"/>
      <c r="D50" s="48">
        <v>39</v>
      </c>
      <c r="E50" s="49" t="s">
        <v>7</v>
      </c>
      <c r="F50" s="50">
        <v>45207</v>
      </c>
      <c r="G50" s="51">
        <v>0.69791666666666663</v>
      </c>
      <c r="H50" s="52" t="s">
        <v>29</v>
      </c>
      <c r="I50" s="45"/>
      <c r="J50" s="53"/>
      <c r="K50" s="54" t="s">
        <v>22</v>
      </c>
      <c r="L50" s="53"/>
      <c r="M50" s="45"/>
      <c r="N50" s="55" t="s">
        <v>97</v>
      </c>
      <c r="O50" s="49"/>
      <c r="P50" s="48"/>
      <c r="Q50" s="49"/>
      <c r="R50" s="29" t="s">
        <v>105</v>
      </c>
      <c r="S50" s="29"/>
      <c r="T50" s="29"/>
      <c r="U50" s="29"/>
      <c r="V50" s="29"/>
      <c r="W50" s="29"/>
      <c r="X50" s="29"/>
      <c r="Y50" s="29"/>
      <c r="Z50" s="29"/>
      <c r="AA50" s="27"/>
      <c r="AB50" s="32"/>
      <c r="AC50" s="29" t="s">
        <v>56</v>
      </c>
      <c r="AD50" s="29"/>
      <c r="AE50" s="29"/>
      <c r="AF50" s="29"/>
      <c r="AG50" s="29"/>
      <c r="AH50" s="29"/>
      <c r="AI50" s="29"/>
      <c r="AJ50" s="29"/>
      <c r="AK50" s="29"/>
      <c r="AL50" s="34"/>
      <c r="AM50" s="29"/>
      <c r="AN50" s="29"/>
      <c r="AO50" s="34"/>
      <c r="AP50" s="35"/>
      <c r="AQ50" s="75"/>
      <c r="AR50" s="45"/>
      <c r="AS50" s="45"/>
      <c r="DJ50" s="20"/>
      <c r="DK50" s="20"/>
      <c r="DL50" s="21"/>
      <c r="DM50" s="20"/>
    </row>
    <row r="51" spans="1:117" s="19" customFormat="1" ht="18" customHeight="1" x14ac:dyDescent="0.45">
      <c r="A51" s="45"/>
      <c r="B51" s="45"/>
      <c r="C51" s="25"/>
      <c r="D51" s="48">
        <v>40</v>
      </c>
      <c r="E51" s="49" t="s">
        <v>8</v>
      </c>
      <c r="F51" s="50">
        <v>45207</v>
      </c>
      <c r="G51" s="51">
        <v>0.83333333333333337</v>
      </c>
      <c r="H51" s="52" t="s">
        <v>25</v>
      </c>
      <c r="I51" s="45"/>
      <c r="J51" s="53"/>
      <c r="K51" s="54" t="s">
        <v>22</v>
      </c>
      <c r="L51" s="53"/>
      <c r="M51" s="45"/>
      <c r="N51" s="55" t="s">
        <v>99</v>
      </c>
      <c r="O51" s="49"/>
      <c r="P51" s="48"/>
      <c r="Q51" s="49"/>
      <c r="R51" s="29" t="s">
        <v>104</v>
      </c>
      <c r="S51" s="29"/>
      <c r="T51" s="29"/>
      <c r="U51" s="29"/>
      <c r="V51" s="29"/>
      <c r="W51" s="29"/>
      <c r="X51" s="29"/>
      <c r="Y51" s="29"/>
      <c r="Z51" s="29"/>
      <c r="AA51" s="27"/>
      <c r="AB51" s="32"/>
      <c r="AC51" s="80" t="s">
        <v>57</v>
      </c>
      <c r="AD51" s="80"/>
      <c r="AE51" s="80"/>
      <c r="AF51" s="80"/>
      <c r="AG51" s="80"/>
      <c r="AH51" s="80"/>
      <c r="AI51" s="80"/>
      <c r="AJ51" s="80"/>
      <c r="AK51" s="80"/>
      <c r="AL51" s="80"/>
      <c r="AM51" s="29"/>
      <c r="AN51" s="29"/>
      <c r="AO51" s="34"/>
      <c r="AP51" s="35"/>
      <c r="AQ51" s="75"/>
      <c r="AR51" s="45"/>
      <c r="AS51" s="45"/>
      <c r="DJ51" s="20"/>
      <c r="DK51" s="20"/>
      <c r="DL51" s="21"/>
      <c r="DM51" s="20"/>
    </row>
    <row r="52" spans="1:117" s="19" customFormat="1" ht="18" customHeight="1" x14ac:dyDescent="0.45">
      <c r="A52" s="45"/>
      <c r="B52" s="45"/>
      <c r="C52" s="91"/>
      <c r="D52" s="92"/>
      <c r="E52" s="92"/>
      <c r="F52" s="93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4"/>
      <c r="V52" s="92"/>
      <c r="W52" s="92"/>
      <c r="X52" s="92"/>
      <c r="Y52" s="92"/>
      <c r="Z52" s="92"/>
      <c r="AA52" s="95"/>
      <c r="AC52" s="80" t="s">
        <v>58</v>
      </c>
      <c r="AD52" s="80"/>
      <c r="AE52" s="80"/>
      <c r="AF52" s="80"/>
      <c r="AG52" s="80"/>
      <c r="AH52" s="80"/>
      <c r="AI52" s="80"/>
      <c r="AJ52" s="80"/>
      <c r="AK52" s="80"/>
      <c r="AL52" s="80"/>
      <c r="AM52" s="87"/>
      <c r="AN52" s="96"/>
      <c r="AO52" s="36"/>
      <c r="AP52" s="29"/>
      <c r="AQ52" s="75"/>
      <c r="AR52" s="45"/>
      <c r="AS52" s="45"/>
      <c r="DJ52" s="20"/>
      <c r="DK52" s="20"/>
      <c r="DL52" s="21"/>
      <c r="DM52" s="20"/>
    </row>
    <row r="53" spans="1:117" s="19" customFormat="1" ht="18" customHeight="1" x14ac:dyDescent="0.45">
      <c r="A53" s="45"/>
      <c r="B53" s="45"/>
      <c r="C53" s="45"/>
      <c r="D53" s="45"/>
      <c r="E53" s="45"/>
      <c r="F53" s="46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80" t="s">
        <v>59</v>
      </c>
      <c r="AD53" s="80"/>
      <c r="AE53" s="80"/>
      <c r="AF53" s="80"/>
      <c r="AG53" s="80"/>
      <c r="AH53" s="80"/>
      <c r="AI53" s="80"/>
      <c r="AJ53" s="80"/>
      <c r="AK53" s="80"/>
      <c r="AL53" s="80"/>
      <c r="AM53" s="80"/>
      <c r="AN53" s="29"/>
      <c r="AO53" s="29"/>
      <c r="AP53" s="80"/>
      <c r="AQ53" s="45"/>
      <c r="AR53" s="45"/>
      <c r="AS53" s="45"/>
      <c r="DG53" s="20"/>
      <c r="DH53" s="20"/>
      <c r="DI53" s="21"/>
      <c r="DJ53" s="20"/>
    </row>
    <row r="54" spans="1:117" s="19" customFormat="1" ht="18" customHeight="1" x14ac:dyDescent="0.45">
      <c r="A54" s="45"/>
      <c r="B54" s="45"/>
      <c r="C54" s="199" t="s">
        <v>50</v>
      </c>
      <c r="D54" s="199"/>
      <c r="E54" s="199"/>
      <c r="F54" s="46"/>
      <c r="G54" s="185" t="s">
        <v>47</v>
      </c>
      <c r="H54" s="186"/>
      <c r="I54" s="186"/>
      <c r="J54" s="186"/>
      <c r="K54" s="29"/>
      <c r="L54" s="29"/>
      <c r="M54" s="185" t="s">
        <v>48</v>
      </c>
      <c r="N54" s="186"/>
      <c r="O54" s="186"/>
      <c r="P54" s="186"/>
      <c r="Q54" s="29"/>
      <c r="R54" s="185" t="s">
        <v>11</v>
      </c>
      <c r="S54" s="186"/>
      <c r="T54" s="186"/>
      <c r="U54" s="186"/>
      <c r="V54" s="186"/>
      <c r="W54" s="186"/>
      <c r="X54" s="186"/>
      <c r="Y54" s="186"/>
      <c r="Z54" s="186"/>
      <c r="AC54" s="80" t="s">
        <v>60</v>
      </c>
      <c r="AD54" s="80"/>
      <c r="AE54" s="80"/>
      <c r="AF54" s="80"/>
      <c r="AG54" s="80"/>
      <c r="AH54" s="80"/>
      <c r="AI54" s="80"/>
      <c r="AJ54" s="80"/>
      <c r="AK54" s="80"/>
      <c r="AL54" s="80"/>
      <c r="AM54" s="80"/>
      <c r="AN54" s="29"/>
      <c r="AO54" s="29"/>
      <c r="AP54" s="80"/>
      <c r="AQ54" s="45"/>
      <c r="AR54" s="45"/>
      <c r="AS54" s="45"/>
      <c r="DC54" s="20"/>
      <c r="DD54" s="20"/>
      <c r="DE54" s="21"/>
      <c r="DF54" s="20"/>
    </row>
    <row r="55" spans="1:117" s="19" customFormat="1" ht="18" customHeight="1" thickBot="1" x14ac:dyDescent="0.5">
      <c r="A55" s="45"/>
      <c r="B55" s="45"/>
      <c r="C55" s="199"/>
      <c r="D55" s="199"/>
      <c r="E55" s="199"/>
      <c r="F55" s="46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C55" s="80" t="s">
        <v>61</v>
      </c>
      <c r="AD55" s="80"/>
      <c r="AE55" s="80"/>
      <c r="AF55" s="80"/>
      <c r="AG55" s="80"/>
      <c r="AH55" s="80"/>
      <c r="AI55" s="80"/>
      <c r="AJ55" s="80"/>
      <c r="AK55" s="80"/>
      <c r="AL55" s="80"/>
      <c r="AM55" s="80"/>
      <c r="AN55" s="29"/>
      <c r="AO55" s="29"/>
      <c r="AP55" s="80"/>
      <c r="AQ55" s="45"/>
      <c r="AR55" s="45"/>
      <c r="AS55" s="45"/>
      <c r="DC55" s="20"/>
      <c r="DD55" s="20"/>
      <c r="DE55" s="21"/>
      <c r="DF55" s="20"/>
    </row>
    <row r="56" spans="1:117" s="19" customFormat="1" ht="18" customHeight="1" thickBot="1" x14ac:dyDescent="0.5">
      <c r="A56" s="45"/>
      <c r="B56" s="45"/>
      <c r="C56" s="199"/>
      <c r="D56" s="199"/>
      <c r="E56" s="199"/>
      <c r="F56" s="46"/>
      <c r="G56" s="97">
        <v>42</v>
      </c>
      <c r="H56" s="98">
        <v>45213.833333333336</v>
      </c>
      <c r="I56" s="45"/>
      <c r="J56" s="59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45"/>
      <c r="AR56" s="45"/>
      <c r="AS56" s="45"/>
      <c r="DC56" s="20"/>
      <c r="DD56" s="20"/>
      <c r="DE56" s="21"/>
      <c r="DF56" s="20"/>
    </row>
    <row r="57" spans="1:117" s="19" customFormat="1" ht="18" customHeight="1" x14ac:dyDescent="0.45">
      <c r="A57" s="45"/>
      <c r="B57" s="45"/>
      <c r="C57" s="199"/>
      <c r="D57" s="199"/>
      <c r="E57" s="199"/>
      <c r="F57" s="46"/>
      <c r="G57" s="99">
        <v>2</v>
      </c>
      <c r="H57" s="100" t="str">
        <f>IF(SUM(AG18:AG22)=20,AD18,"Winner Pool B")</f>
        <v>Winner Pool B</v>
      </c>
      <c r="I57" s="135"/>
      <c r="J57" s="101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C57" s="76" t="s">
        <v>70</v>
      </c>
      <c r="AD57" s="76"/>
      <c r="AE57" s="76"/>
      <c r="AF57" s="76"/>
      <c r="AG57" s="76"/>
      <c r="AH57" s="76"/>
      <c r="AI57" s="76"/>
      <c r="AJ57" s="76"/>
      <c r="AK57" s="76"/>
      <c r="AL57" s="76"/>
      <c r="AM57" s="76"/>
      <c r="AN57" s="76"/>
      <c r="AO57" s="76"/>
      <c r="AP57" s="76"/>
      <c r="AQ57" s="45"/>
      <c r="AR57" s="45"/>
      <c r="AS57" s="45"/>
      <c r="DC57" s="20"/>
      <c r="DD57" s="20"/>
      <c r="DE57" s="21"/>
      <c r="DF57" s="20"/>
    </row>
    <row r="58" spans="1:117" s="19" customFormat="1" ht="18" customHeight="1" thickBot="1" x14ac:dyDescent="0.5">
      <c r="A58" s="45"/>
      <c r="B58" s="45"/>
      <c r="C58" s="199"/>
      <c r="D58" s="199"/>
      <c r="E58" s="199"/>
      <c r="F58" s="46"/>
      <c r="G58" s="99">
        <v>1</v>
      </c>
      <c r="H58" s="102" t="str">
        <f>IF(SUM(AG11:AG15)=20,AD12,"Runner Up Pool A")</f>
        <v>Runner Up Pool A</v>
      </c>
      <c r="I58" s="135"/>
      <c r="J58" s="53"/>
      <c r="K58" s="103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5"/>
      <c r="AC58" s="80" t="s">
        <v>71</v>
      </c>
      <c r="AD58" s="80"/>
      <c r="AE58" s="80"/>
      <c r="AF58" s="80"/>
      <c r="AG58" s="80"/>
      <c r="AH58" s="80"/>
      <c r="AI58" s="80"/>
      <c r="AJ58" s="80"/>
      <c r="AK58" s="80"/>
      <c r="AL58" s="80"/>
      <c r="AM58" s="80"/>
      <c r="AN58" s="80"/>
      <c r="AO58" s="80"/>
      <c r="AP58" s="80"/>
      <c r="AQ58" s="45"/>
      <c r="AR58" s="45"/>
      <c r="AS58" s="45"/>
      <c r="DC58" s="20"/>
      <c r="DD58" s="20"/>
      <c r="DE58" s="21"/>
      <c r="DF58" s="20"/>
    </row>
    <row r="59" spans="1:117" s="19" customFormat="1" ht="18" customHeight="1" thickBot="1" x14ac:dyDescent="0.5">
      <c r="A59" s="45"/>
      <c r="B59" s="45"/>
      <c r="C59" s="199"/>
      <c r="D59" s="199"/>
      <c r="E59" s="199"/>
      <c r="F59" s="46"/>
      <c r="G59" s="45"/>
      <c r="H59" s="104" t="s">
        <v>100</v>
      </c>
      <c r="I59" s="29"/>
      <c r="J59" s="34"/>
      <c r="K59" s="103"/>
      <c r="L59" s="45"/>
      <c r="M59" s="105">
        <v>45</v>
      </c>
      <c r="N59" s="106">
        <v>43758.833333333336</v>
      </c>
      <c r="O59" s="45"/>
      <c r="P59" s="45"/>
      <c r="Q59" s="45"/>
      <c r="R59" s="45"/>
      <c r="S59"/>
      <c r="T59" s="45"/>
      <c r="U59" s="45"/>
      <c r="V59" s="45"/>
      <c r="W59" s="45"/>
      <c r="X59" s="45"/>
      <c r="Y59" s="45"/>
      <c r="Z59" s="45"/>
      <c r="AA59" s="45"/>
      <c r="AC59" s="201" t="s">
        <v>72</v>
      </c>
      <c r="AD59" s="201"/>
      <c r="AE59" s="201"/>
      <c r="AF59" s="201"/>
      <c r="AG59" s="201"/>
      <c r="AH59" s="201"/>
      <c r="AI59" s="201"/>
      <c r="AJ59" s="201"/>
      <c r="AK59" s="201"/>
      <c r="AL59" s="201"/>
      <c r="AM59" s="201"/>
      <c r="AN59" s="201"/>
      <c r="AO59" s="201"/>
      <c r="AP59" s="201"/>
      <c r="AQ59" s="45"/>
      <c r="AR59" s="45"/>
      <c r="AS59" s="45"/>
      <c r="DC59" s="20"/>
      <c r="DD59" s="20"/>
      <c r="DE59" s="21"/>
      <c r="DF59" s="20"/>
    </row>
    <row r="60" spans="1:117" s="19" customFormat="1" ht="18" customHeight="1" x14ac:dyDescent="0.45">
      <c r="A60" s="45"/>
      <c r="B60" s="45"/>
      <c r="C60" s="199"/>
      <c r="D60" s="199"/>
      <c r="E60" s="199"/>
      <c r="F60" s="46"/>
      <c r="G60" s="45"/>
      <c r="H60" s="107"/>
      <c r="I60" s="29"/>
      <c r="J60" s="34"/>
      <c r="K60" s="91"/>
      <c r="L60" s="92"/>
      <c r="M60" s="108" t="str">
        <f>IF(N60=H57,G57,IF(N60=H58,G58,""))</f>
        <v/>
      </c>
      <c r="N60" s="109" t="str">
        <f>IF(AND(I57&lt;&gt;"",I58&lt;&gt;""),IF(I57&gt;I58,H57,IF(I57=I58,IF(J57&gt;J58,H57,IF(J58&gt;J57,H58,"")),H58)),"Match 42 Winner")</f>
        <v>Match 42 Winner</v>
      </c>
      <c r="O60" s="135"/>
      <c r="P60" s="101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5"/>
      <c r="AC60" s="201"/>
      <c r="AD60" s="201"/>
      <c r="AE60" s="201"/>
      <c r="AF60" s="201"/>
      <c r="AG60" s="201"/>
      <c r="AH60" s="201"/>
      <c r="AI60" s="201"/>
      <c r="AJ60" s="201"/>
      <c r="AK60" s="201"/>
      <c r="AL60" s="201"/>
      <c r="AM60" s="201"/>
      <c r="AN60" s="201"/>
      <c r="AO60" s="201"/>
      <c r="AP60" s="201"/>
      <c r="AQ60" s="45"/>
      <c r="AR60" s="45"/>
      <c r="AS60" s="45"/>
      <c r="DC60" s="20"/>
      <c r="DD60" s="20"/>
      <c r="DE60" s="21"/>
      <c r="DF60" s="20"/>
    </row>
    <row r="61" spans="1:117" s="19" customFormat="1" ht="18" customHeight="1" thickBot="1" x14ac:dyDescent="0.5">
      <c r="A61" s="45"/>
      <c r="B61" s="45"/>
      <c r="C61" s="199"/>
      <c r="D61" s="199"/>
      <c r="E61" s="199"/>
      <c r="F61" s="46"/>
      <c r="G61" s="45"/>
      <c r="H61" s="107"/>
      <c r="I61" s="29"/>
      <c r="J61" s="34"/>
      <c r="K61" s="25"/>
      <c r="L61" s="110"/>
      <c r="M61" s="99" t="str">
        <f>IF(N61=H63,G63,IF(N61=H64,G64,""))</f>
        <v/>
      </c>
      <c r="N61" s="111" t="str">
        <f>IF(AND(I63&lt;&gt;"",I64&lt;&gt;""),IF(I63&gt;I64,H63,IF(I63=I64,IF(J63&gt;J64,H63,IF(J64&gt;J63,H64,"")),H64)),"Match 41 Winner")</f>
        <v>Match 41 Winner</v>
      </c>
      <c r="O61" s="135"/>
      <c r="P61" s="53"/>
      <c r="Q61" s="25"/>
      <c r="R61" s="45"/>
      <c r="S61" s="45"/>
      <c r="T61" s="45"/>
      <c r="U61" s="45"/>
      <c r="V61" s="45"/>
      <c r="W61" s="45"/>
      <c r="X61" s="45"/>
      <c r="Y61" s="45"/>
      <c r="Z61" s="45"/>
      <c r="AA61" s="45"/>
      <c r="AB61" s="45"/>
      <c r="AC61" s="29" t="s">
        <v>73</v>
      </c>
      <c r="AD61" s="29"/>
      <c r="AE61" s="29"/>
      <c r="AF61" s="29"/>
      <c r="AG61" s="29"/>
      <c r="AH61" s="34"/>
      <c r="AI61" s="112"/>
      <c r="AJ61" s="89"/>
      <c r="AK61" s="29"/>
      <c r="AL61" s="80"/>
      <c r="AM61" s="29"/>
      <c r="AN61" s="29"/>
      <c r="AO61" s="29"/>
      <c r="AP61" s="80"/>
      <c r="AQ61" s="45"/>
      <c r="AR61" s="45"/>
      <c r="AS61" s="45"/>
      <c r="DC61" s="20"/>
      <c r="DD61" s="20"/>
      <c r="DE61" s="21"/>
      <c r="DF61" s="20"/>
    </row>
    <row r="62" spans="1:117" s="19" customFormat="1" ht="18" customHeight="1" thickBot="1" x14ac:dyDescent="0.5">
      <c r="A62" s="45"/>
      <c r="B62" s="45"/>
      <c r="C62" s="199"/>
      <c r="D62" s="199"/>
      <c r="E62" s="199"/>
      <c r="F62" s="46"/>
      <c r="G62" s="113">
        <v>41</v>
      </c>
      <c r="H62" s="114">
        <v>45213.666666666664</v>
      </c>
      <c r="I62" s="29"/>
      <c r="J62" s="34"/>
      <c r="K62" s="25"/>
      <c r="L62" s="45"/>
      <c r="M62" s="45"/>
      <c r="N62" s="115" t="s">
        <v>100</v>
      </c>
      <c r="O62" s="29"/>
      <c r="P62" s="29"/>
      <c r="Q62" s="25"/>
      <c r="R62" s="45"/>
      <c r="S62" s="45"/>
      <c r="T62" s="45"/>
      <c r="U62" s="45"/>
      <c r="V62" s="45"/>
      <c r="W62" s="45"/>
      <c r="X62" s="45"/>
      <c r="Y62" s="45"/>
      <c r="Z62" s="45"/>
      <c r="AA62" s="45"/>
      <c r="AB62" s="45"/>
      <c r="AC62" s="29" t="s">
        <v>77</v>
      </c>
      <c r="AD62" s="29"/>
      <c r="AE62" s="29"/>
      <c r="AF62" s="29"/>
      <c r="AG62" s="29"/>
      <c r="AH62" s="34"/>
      <c r="AI62" s="112"/>
      <c r="AJ62" s="89"/>
      <c r="AK62" s="29"/>
      <c r="AL62" s="80"/>
      <c r="AM62" s="29"/>
      <c r="AN62" s="29"/>
      <c r="AO62" s="29"/>
      <c r="AP62" s="80"/>
      <c r="AQ62" s="45"/>
      <c r="AR62" s="45"/>
      <c r="AS62" s="45"/>
      <c r="DC62" s="20"/>
      <c r="DD62" s="20"/>
      <c r="DE62" s="21"/>
      <c r="DF62" s="20"/>
    </row>
    <row r="63" spans="1:117" s="19" customFormat="1" ht="18" customHeight="1" x14ac:dyDescent="0.45">
      <c r="A63" s="45"/>
      <c r="B63" s="45"/>
      <c r="C63" s="199"/>
      <c r="D63" s="199"/>
      <c r="E63" s="199"/>
      <c r="F63" s="46"/>
      <c r="G63" s="99">
        <v>3</v>
      </c>
      <c r="H63" s="116" t="str">
        <f>IF(SUM(AG25:AG29)=20,AD25,"Winner Pool C")</f>
        <v>Winner Pool C</v>
      </c>
      <c r="I63" s="135"/>
      <c r="J63" s="101"/>
      <c r="K63" s="25"/>
      <c r="L63" s="45"/>
      <c r="M63" s="45"/>
      <c r="N63" s="48"/>
      <c r="O63" s="29"/>
      <c r="P63" s="29"/>
      <c r="Q63" s="25"/>
      <c r="R63" s="45"/>
      <c r="S63" s="45"/>
      <c r="T63" s="45"/>
      <c r="U63" s="45"/>
      <c r="V63" s="45"/>
      <c r="W63" s="45"/>
      <c r="X63" s="45"/>
      <c r="Y63" s="45"/>
      <c r="Z63" s="45"/>
      <c r="AA63" s="45"/>
      <c r="AB63" s="45"/>
      <c r="AC63" s="29" t="s">
        <v>78</v>
      </c>
      <c r="AD63" s="29"/>
      <c r="AE63" s="29"/>
      <c r="AF63" s="29"/>
      <c r="AG63" s="29"/>
      <c r="AH63" s="34"/>
      <c r="AI63" s="112"/>
      <c r="AJ63" s="89"/>
      <c r="AK63" s="29"/>
      <c r="AL63" s="80"/>
      <c r="AM63" s="29"/>
      <c r="AN63" s="29"/>
      <c r="AO63" s="29"/>
      <c r="AP63" s="80"/>
      <c r="AQ63" s="45"/>
      <c r="AR63" s="45"/>
      <c r="AS63" s="45"/>
      <c r="DC63" s="20"/>
      <c r="DD63" s="20"/>
      <c r="DE63" s="21"/>
      <c r="DF63" s="20"/>
    </row>
    <row r="64" spans="1:117" s="19" customFormat="1" ht="18" customHeight="1" thickBot="1" x14ac:dyDescent="0.5">
      <c r="A64" s="45"/>
      <c r="B64" s="45"/>
      <c r="C64" s="199"/>
      <c r="D64" s="199"/>
      <c r="E64" s="199"/>
      <c r="F64" s="46"/>
      <c r="G64" s="99">
        <v>4</v>
      </c>
      <c r="H64" s="117" t="str">
        <f>IF(SUM(AG32:AG36)=20,AD33,"Runner Up Pool D")</f>
        <v>Runner Up Pool D</v>
      </c>
      <c r="I64" s="135"/>
      <c r="J64" s="53"/>
      <c r="K64" s="48"/>
      <c r="L64" s="45"/>
      <c r="M64" s="45"/>
      <c r="N64" s="48"/>
      <c r="O64" s="29"/>
      <c r="P64" s="29"/>
      <c r="Q64" s="25"/>
      <c r="R64" s="45"/>
      <c r="T64" s="45"/>
      <c r="U64" s="45"/>
      <c r="V64" s="45"/>
      <c r="W64" s="45"/>
      <c r="X64" s="45"/>
      <c r="Y64" s="45"/>
      <c r="Z64" s="45"/>
      <c r="AA64" s="45"/>
      <c r="AB64" s="45"/>
      <c r="AC64" s="29" t="s">
        <v>74</v>
      </c>
      <c r="AD64" s="29"/>
      <c r="AE64" s="29"/>
      <c r="AF64" s="29"/>
      <c r="AG64" s="29"/>
      <c r="AH64" s="34"/>
      <c r="AI64" s="112"/>
      <c r="AJ64" s="89"/>
      <c r="AK64" s="29"/>
      <c r="AL64" s="80"/>
      <c r="AM64" s="29"/>
      <c r="AN64" s="29"/>
      <c r="AO64" s="29"/>
      <c r="AP64" s="80"/>
      <c r="AQ64" s="45"/>
      <c r="AR64" s="45"/>
      <c r="AS64" s="45"/>
      <c r="DC64" s="20"/>
      <c r="DD64" s="20"/>
      <c r="DE64" s="21"/>
      <c r="DF64" s="20"/>
    </row>
    <row r="65" spans="1:110" s="19" customFormat="1" ht="18" customHeight="1" thickBot="1" x14ac:dyDescent="0.5">
      <c r="A65" s="45"/>
      <c r="B65" s="45"/>
      <c r="C65" s="199"/>
      <c r="D65" s="199"/>
      <c r="E65" s="199"/>
      <c r="F65" s="46"/>
      <c r="G65" s="45"/>
      <c r="H65" s="118" t="s">
        <v>103</v>
      </c>
      <c r="I65" s="29"/>
      <c r="J65" s="34"/>
      <c r="K65" s="48"/>
      <c r="L65" s="45"/>
      <c r="M65" s="45"/>
      <c r="N65" s="48"/>
      <c r="O65" s="29"/>
      <c r="P65" s="29"/>
      <c r="Q65" s="25"/>
      <c r="R65" s="105">
        <v>48</v>
      </c>
      <c r="S65" s="165">
        <v>45227.833333333336</v>
      </c>
      <c r="T65" s="165"/>
      <c r="U65" s="165"/>
      <c r="V65" s="165"/>
      <c r="W65" s="165"/>
      <c r="X65" s="166"/>
      <c r="Y65" s="45"/>
      <c r="Z65" s="45"/>
      <c r="AC65" s="80" t="s">
        <v>75</v>
      </c>
      <c r="AD65" s="80"/>
      <c r="AE65" s="80"/>
      <c r="AF65" s="80"/>
      <c r="AG65" s="80"/>
      <c r="AH65" s="80"/>
      <c r="AI65" s="80"/>
      <c r="AJ65" s="80"/>
      <c r="AK65" s="80"/>
      <c r="AL65" s="80"/>
      <c r="AM65" s="80"/>
      <c r="AN65" s="80"/>
      <c r="AO65" s="80"/>
      <c r="AP65" s="80"/>
      <c r="AR65" s="45"/>
      <c r="AS65" s="45"/>
      <c r="DC65" s="20"/>
      <c r="DD65" s="20"/>
      <c r="DE65" s="21"/>
      <c r="DF65" s="20"/>
    </row>
    <row r="66" spans="1:110" s="19" customFormat="1" ht="18" customHeight="1" x14ac:dyDescent="0.45">
      <c r="A66" s="45"/>
      <c r="B66" s="45"/>
      <c r="C66" s="199"/>
      <c r="D66" s="199"/>
      <c r="E66" s="199"/>
      <c r="F66" s="46"/>
      <c r="G66" s="45"/>
      <c r="H66" s="107"/>
      <c r="I66" s="34"/>
      <c r="J66" s="34"/>
      <c r="K66" s="48"/>
      <c r="L66" s="45"/>
      <c r="M66" s="45"/>
      <c r="N66" s="48"/>
      <c r="O66" s="29"/>
      <c r="P66" s="29"/>
      <c r="Q66" s="91"/>
      <c r="R66" s="108" t="str">
        <f>IF(N60=S66,M60,IF(N61=S66,M61,""))</f>
        <v/>
      </c>
      <c r="S66" s="187" t="str">
        <f>IF(AND(O60&lt;&gt;"",O61&lt;&gt;""),IF(O60&gt;O61,N60,IF(O60=O61,IF(P60&gt;P61,N60,IF(P61&gt;P60,N61,"")),N61)),"Match 45 Winner")</f>
        <v>Match 45 Winner</v>
      </c>
      <c r="T66" s="188"/>
      <c r="U66" s="188"/>
      <c r="V66" s="188"/>
      <c r="W66" s="188"/>
      <c r="X66" s="188"/>
      <c r="Y66" s="134"/>
      <c r="Z66" s="53"/>
      <c r="AC66" s="80" t="s">
        <v>76</v>
      </c>
      <c r="AD66" s="80"/>
      <c r="AE66" s="80"/>
      <c r="AF66" s="80"/>
      <c r="AG66" s="80"/>
      <c r="AH66" s="80"/>
      <c r="AI66" s="80"/>
      <c r="AJ66" s="80"/>
      <c r="AK66" s="80"/>
      <c r="AL66" s="80"/>
      <c r="AM66" s="80"/>
      <c r="AN66" s="80"/>
      <c r="AO66" s="80"/>
      <c r="AP66" s="80"/>
      <c r="AR66" s="45"/>
      <c r="AS66" s="45"/>
      <c r="DC66" s="20"/>
      <c r="DD66" s="20"/>
      <c r="DE66" s="21"/>
      <c r="DF66" s="20"/>
    </row>
    <row r="67" spans="1:110" s="19" customFormat="1" ht="18" customHeight="1" thickBot="1" x14ac:dyDescent="0.5">
      <c r="A67" s="45"/>
      <c r="B67" s="45"/>
      <c r="C67" s="199"/>
      <c r="D67" s="199"/>
      <c r="E67" s="199"/>
      <c r="F67" s="46"/>
      <c r="G67" s="45"/>
      <c r="H67" s="107"/>
      <c r="I67" s="34"/>
      <c r="J67" s="34"/>
      <c r="K67" s="48"/>
      <c r="L67" s="45"/>
      <c r="M67" s="45"/>
      <c r="N67" s="48"/>
      <c r="O67" s="29"/>
      <c r="P67" s="29"/>
      <c r="Q67" s="25"/>
      <c r="R67" s="119" t="str">
        <f>IF(S67=N72,M72,IF(S67=N73,M73,""))</f>
        <v/>
      </c>
      <c r="S67" s="187" t="str">
        <f>IF(AND(O72&lt;&gt;"",O73&lt;&gt;""),IF(O72&gt;O73,N72,IF(O72=O73,IF(P72&gt;P73,N72,IF(P73&gt;P72,N73,"")),N73)),"Match 46 Winner")</f>
        <v>Match 46 Winner</v>
      </c>
      <c r="T67" s="188"/>
      <c r="U67" s="188"/>
      <c r="V67" s="188"/>
      <c r="W67" s="188"/>
      <c r="X67" s="189"/>
      <c r="Y67" s="135"/>
      <c r="Z67" s="53"/>
      <c r="AR67" s="45"/>
      <c r="AS67" s="45"/>
      <c r="DC67" s="20"/>
      <c r="DD67" s="20"/>
      <c r="DE67" s="21"/>
      <c r="DF67" s="20"/>
    </row>
    <row r="68" spans="1:110" s="19" customFormat="1" ht="18" customHeight="1" thickBot="1" x14ac:dyDescent="0.5">
      <c r="A68" s="45"/>
      <c r="B68" s="45"/>
      <c r="C68" s="199"/>
      <c r="D68" s="199"/>
      <c r="E68" s="199"/>
      <c r="F68" s="46"/>
      <c r="G68" s="97">
        <v>43</v>
      </c>
      <c r="H68" s="98">
        <v>45214.666666666664</v>
      </c>
      <c r="I68" s="29"/>
      <c r="J68" s="34"/>
      <c r="K68" s="45"/>
      <c r="L68" s="45"/>
      <c r="M68" s="45"/>
      <c r="N68" s="45"/>
      <c r="O68" s="29"/>
      <c r="P68" s="29"/>
      <c r="Q68" s="25"/>
      <c r="R68" s="45"/>
      <c r="S68" s="190" t="s">
        <v>82</v>
      </c>
      <c r="T68" s="191"/>
      <c r="U68" s="191"/>
      <c r="V68" s="191"/>
      <c r="W68" s="191"/>
      <c r="X68" s="192"/>
      <c r="Y68" s="29"/>
      <c r="Z68" s="45"/>
      <c r="AA68" s="45"/>
      <c r="AB68" s="193" t="s">
        <v>52</v>
      </c>
      <c r="AC68" s="194"/>
      <c r="AD68" s="194"/>
      <c r="AE68" s="194"/>
      <c r="AF68" s="194"/>
      <c r="AG68" s="194"/>
      <c r="AH68" s="194"/>
      <c r="AI68" s="194"/>
      <c r="AJ68" s="194"/>
      <c r="AK68" s="194"/>
      <c r="AL68" s="194"/>
      <c r="AM68" s="194"/>
      <c r="AN68" s="194"/>
      <c r="AO68" s="194"/>
      <c r="AP68" s="194"/>
      <c r="AQ68" s="194"/>
      <c r="AR68" s="45"/>
      <c r="AS68" s="45"/>
      <c r="DC68" s="20"/>
      <c r="DD68" s="20"/>
      <c r="DE68" s="21"/>
      <c r="DF68" s="20"/>
    </row>
    <row r="69" spans="1:110" s="19" customFormat="1" ht="18" customHeight="1" x14ac:dyDescent="0.45">
      <c r="A69" s="45"/>
      <c r="B69" s="45"/>
      <c r="C69" s="199"/>
      <c r="D69" s="199"/>
      <c r="E69" s="199"/>
      <c r="F69" s="46"/>
      <c r="G69" s="99">
        <v>4</v>
      </c>
      <c r="H69" s="120" t="str">
        <f>IF(SUM(AG32:AG36)=20,AD32,"Winner Pool D")</f>
        <v>Winner Pool D</v>
      </c>
      <c r="I69" s="134"/>
      <c r="J69" s="101"/>
      <c r="K69" s="45"/>
      <c r="L69" s="45"/>
      <c r="M69" s="45"/>
      <c r="N69" s="45"/>
      <c r="O69" s="29"/>
      <c r="P69" s="29"/>
      <c r="Q69" s="25"/>
      <c r="R69" s="45"/>
      <c r="S69" s="45"/>
      <c r="T69" s="45"/>
      <c r="U69" s="45"/>
      <c r="V69" s="45"/>
      <c r="W69" s="45"/>
      <c r="X69" s="45"/>
      <c r="Y69" s="29"/>
      <c r="Z69" s="45"/>
      <c r="AA69" s="99"/>
      <c r="AB69" s="195"/>
      <c r="AC69" s="196"/>
      <c r="AD69" s="196"/>
      <c r="AE69" s="196"/>
      <c r="AF69" s="196"/>
      <c r="AG69" s="196"/>
      <c r="AH69" s="196"/>
      <c r="AI69" s="196"/>
      <c r="AJ69" s="196"/>
      <c r="AK69" s="196"/>
      <c r="AL69" s="196"/>
      <c r="AM69" s="196"/>
      <c r="AN69" s="196"/>
      <c r="AO69" s="196"/>
      <c r="AP69" s="196"/>
      <c r="AQ69" s="196"/>
      <c r="AR69" s="45"/>
      <c r="AS69" s="45"/>
      <c r="DC69" s="20"/>
      <c r="DD69" s="20"/>
      <c r="DE69" s="21"/>
      <c r="DF69" s="20"/>
    </row>
    <row r="70" spans="1:110" s="19" customFormat="1" ht="18" customHeight="1" thickBot="1" x14ac:dyDescent="0.5">
      <c r="A70" s="45"/>
      <c r="B70" s="45"/>
      <c r="C70" s="199"/>
      <c r="D70" s="199"/>
      <c r="E70" s="199"/>
      <c r="F70" s="46"/>
      <c r="G70" s="99">
        <v>3</v>
      </c>
      <c r="H70" s="121" t="str">
        <f>IF(SUM(AG25:AG29)=20,AD26,"Runner Up Pool C")</f>
        <v>Runner Up Pool C</v>
      </c>
      <c r="I70" s="134"/>
      <c r="J70" s="53"/>
      <c r="K70" s="25"/>
      <c r="L70" s="45"/>
      <c r="M70" s="45"/>
      <c r="N70" s="45"/>
      <c r="O70" s="29"/>
      <c r="P70" s="29"/>
      <c r="Q70" s="25"/>
      <c r="R70" s="45"/>
      <c r="S70" s="45"/>
      <c r="T70" s="45"/>
      <c r="U70" s="45"/>
      <c r="V70" s="45"/>
      <c r="W70" s="45"/>
      <c r="X70" s="45"/>
      <c r="Y70" s="29"/>
      <c r="Z70" s="45"/>
      <c r="AA70" s="99" t="str">
        <f>IF(AB70=S66,R66,IF(AB70=S67,R67,""))</f>
        <v/>
      </c>
      <c r="AB70" s="170" t="str">
        <f>UPPER(IF(AND(Y66&lt;&gt;"",Y67&lt;&gt;""),IF(Y66&gt;Y67,S66,IF(Y66=Y67,IF(Z66&gt;Z67,S66,IF(Z67&gt;Z66,S67,"")),S67)),"Match 48 Winner"))</f>
        <v>MATCH 48 WINNER</v>
      </c>
      <c r="AC70" s="171"/>
      <c r="AD70" s="171"/>
      <c r="AE70" s="171"/>
      <c r="AF70" s="171"/>
      <c r="AG70" s="171"/>
      <c r="AH70" s="171"/>
      <c r="AI70" s="171"/>
      <c r="AJ70" s="171"/>
      <c r="AK70" s="171"/>
      <c r="AL70" s="171"/>
      <c r="AM70" s="171"/>
      <c r="AN70" s="171"/>
      <c r="AO70" s="171"/>
      <c r="AP70" s="171"/>
      <c r="AQ70" s="172"/>
      <c r="AR70" s="45"/>
      <c r="AS70" s="45"/>
      <c r="DC70" s="20"/>
      <c r="DD70" s="20"/>
      <c r="DE70" s="21"/>
      <c r="DF70" s="20"/>
    </row>
    <row r="71" spans="1:110" s="19" customFormat="1" ht="18" customHeight="1" thickBot="1" x14ac:dyDescent="0.5">
      <c r="A71" s="45"/>
      <c r="B71" s="45"/>
      <c r="C71" s="199"/>
      <c r="D71" s="199"/>
      <c r="E71" s="199"/>
      <c r="F71" s="46"/>
      <c r="G71" s="45"/>
      <c r="H71" s="104" t="s">
        <v>103</v>
      </c>
      <c r="I71" s="29"/>
      <c r="J71" s="34"/>
      <c r="K71" s="25"/>
      <c r="L71" s="122"/>
      <c r="M71" s="105">
        <v>46</v>
      </c>
      <c r="N71" s="106">
        <v>45220.833333333336</v>
      </c>
      <c r="O71" s="29"/>
      <c r="P71" s="29"/>
      <c r="Q71" s="25"/>
      <c r="R71" s="185" t="s">
        <v>49</v>
      </c>
      <c r="S71" s="186"/>
      <c r="T71" s="186"/>
      <c r="U71" s="186"/>
      <c r="V71" s="186"/>
      <c r="W71" s="186"/>
      <c r="X71" s="186"/>
      <c r="Y71" s="186"/>
      <c r="Z71" s="45"/>
      <c r="AA71" s="99"/>
      <c r="AB71" s="173"/>
      <c r="AC71" s="174"/>
      <c r="AD71" s="174"/>
      <c r="AE71" s="174"/>
      <c r="AF71" s="174"/>
      <c r="AG71" s="174"/>
      <c r="AH71" s="174"/>
      <c r="AI71" s="174"/>
      <c r="AJ71" s="174"/>
      <c r="AK71" s="174"/>
      <c r="AL71" s="174"/>
      <c r="AM71" s="174"/>
      <c r="AN71" s="174"/>
      <c r="AO71" s="174"/>
      <c r="AP71" s="174"/>
      <c r="AQ71" s="175"/>
      <c r="AR71" s="45"/>
      <c r="AS71" s="45"/>
      <c r="DC71" s="20"/>
      <c r="DD71" s="20"/>
      <c r="DE71" s="21"/>
      <c r="DF71" s="20"/>
    </row>
    <row r="72" spans="1:110" s="19" customFormat="1" ht="18" customHeight="1" thickBot="1" x14ac:dyDescent="0.5">
      <c r="A72" s="45"/>
      <c r="B72" s="45"/>
      <c r="C72" s="199"/>
      <c r="D72" s="199"/>
      <c r="E72" s="199"/>
      <c r="F72" s="46"/>
      <c r="G72" s="45"/>
      <c r="H72" s="107"/>
      <c r="I72" s="29"/>
      <c r="J72" s="34"/>
      <c r="K72" s="123"/>
      <c r="L72" s="92"/>
      <c r="M72" s="108" t="str">
        <f>IF(N72=H69,G69,IF(N72=H70,G70,""))</f>
        <v/>
      </c>
      <c r="N72" s="109" t="str">
        <f>IF(AND(I69&lt;&gt;"",I70&lt;&gt;""),IF(I69&gt;I70,H69,IF(I69=I70,IF(J69&gt;J70,H69,IF(J70&gt;J69,H70,"")),H70)),"Match 43 Winner")</f>
        <v>Match 43 Winner</v>
      </c>
      <c r="O72" s="134"/>
      <c r="P72" s="101"/>
      <c r="Q72" s="25"/>
      <c r="Z72" s="45"/>
      <c r="AA72" s="99"/>
      <c r="AB72" s="176"/>
      <c r="AC72" s="177"/>
      <c r="AD72" s="177"/>
      <c r="AE72" s="177"/>
      <c r="AF72" s="177"/>
      <c r="AG72" s="177"/>
      <c r="AH72" s="177"/>
      <c r="AI72" s="177"/>
      <c r="AJ72" s="177"/>
      <c r="AK72" s="177"/>
      <c r="AL72" s="177"/>
      <c r="AM72" s="177"/>
      <c r="AN72" s="177"/>
      <c r="AO72" s="177"/>
      <c r="AP72" s="177"/>
      <c r="AQ72" s="178"/>
      <c r="AR72" s="45"/>
      <c r="AS72" s="45"/>
      <c r="DC72" s="20"/>
      <c r="DD72" s="20"/>
      <c r="DE72" s="21"/>
      <c r="DF72" s="20"/>
    </row>
    <row r="73" spans="1:110" s="19" customFormat="1" ht="18" customHeight="1" thickBot="1" x14ac:dyDescent="0.5">
      <c r="A73" s="45"/>
      <c r="B73" s="45"/>
      <c r="C73" s="199"/>
      <c r="D73" s="199"/>
      <c r="E73" s="199"/>
      <c r="F73" s="46"/>
      <c r="G73" s="45"/>
      <c r="H73" s="107"/>
      <c r="I73" s="29"/>
      <c r="J73" s="34"/>
      <c r="K73" s="103"/>
      <c r="L73" s="110"/>
      <c r="M73" s="99" t="str">
        <f>IF(N73=H75,G75,IF(N73=H76,G76,""))</f>
        <v/>
      </c>
      <c r="N73" s="111" t="str">
        <f>IF(AND(I75&lt;&gt;"",I76&lt;&gt;""),IF(I75&gt;I76,H75,IF(I75=I76,IF(J75&gt;J76,H75,IF(J76&gt;J75,H76,"")),H76)),"Match 44 Winner")</f>
        <v>Match 44 Winner</v>
      </c>
      <c r="O73" s="134"/>
      <c r="P73" s="53"/>
      <c r="Q73" s="45"/>
      <c r="R73" s="105">
        <v>47</v>
      </c>
      <c r="S73" s="165">
        <v>45226.833333333336</v>
      </c>
      <c r="T73" s="165"/>
      <c r="U73" s="165"/>
      <c r="V73" s="165"/>
      <c r="W73" s="165"/>
      <c r="X73" s="166"/>
      <c r="Y73" s="124"/>
      <c r="AA73" s="99" t="str">
        <f>IF(AB70=S66,R67,IF(AB70=S67,R66,""))</f>
        <v/>
      </c>
      <c r="AB73" s="183">
        <v>2</v>
      </c>
      <c r="AC73" s="179" t="str">
        <f>IF(AND(Y66&lt;&gt;"",Y67&lt;&gt;""),IF(Y66&lt;Y67,S66,IF(Y66=Y67,IF(Z66&lt;Z67,S66,IF(Z67&lt;Z66,S67,"")),S67)),"Match 48 Loser")</f>
        <v>Match 48 Loser</v>
      </c>
      <c r="AD73" s="179"/>
      <c r="AE73" s="179"/>
      <c r="AF73" s="179"/>
      <c r="AG73" s="179"/>
      <c r="AH73" s="179"/>
      <c r="AI73" s="179"/>
      <c r="AJ73" s="183">
        <v>3</v>
      </c>
      <c r="AK73" s="179" t="str">
        <f>IF(AND(Y74&lt;&gt;"",Y75&lt;&gt;""),IF(Y74&gt;Y75,S74,IF(Y74=Y75,IF(Z74&gt;Z75,S74,IF(Z75&gt;Z74,S75,"")),S75)),"Match 47 winner")</f>
        <v>Match 47 winner</v>
      </c>
      <c r="AL73" s="179"/>
      <c r="AM73" s="179"/>
      <c r="AN73" s="179"/>
      <c r="AO73" s="179"/>
      <c r="AP73" s="179"/>
      <c r="AQ73" s="181"/>
      <c r="AR73" s="45"/>
      <c r="AS73" s="45"/>
      <c r="DC73" s="20"/>
      <c r="DD73" s="20"/>
      <c r="DE73" s="21"/>
      <c r="DF73" s="20"/>
    </row>
    <row r="74" spans="1:110" s="19" customFormat="1" ht="18" customHeight="1" thickBot="1" x14ac:dyDescent="0.5">
      <c r="A74" s="45"/>
      <c r="B74" s="45"/>
      <c r="C74" s="199"/>
      <c r="D74" s="199"/>
      <c r="E74" s="199"/>
      <c r="F74" s="46"/>
      <c r="G74" s="113">
        <v>44</v>
      </c>
      <c r="H74" s="114">
        <v>45214.833333333336</v>
      </c>
      <c r="I74" s="29"/>
      <c r="J74" s="34"/>
      <c r="K74" s="25"/>
      <c r="L74" s="45"/>
      <c r="M74" s="45"/>
      <c r="N74" s="115" t="s">
        <v>100</v>
      </c>
      <c r="O74" s="29"/>
      <c r="P74" s="29"/>
      <c r="Q74" s="45"/>
      <c r="R74" s="99" t="str">
        <f>IF(N60=S66,M61,IF(N61=S66,M60,""))</f>
        <v/>
      </c>
      <c r="S74" s="167" t="str">
        <f>IF(AND(O60&lt;&gt;"",O61&lt;&gt;""),IF(O60&lt;O61,N60,IF(O60=O61,IF(P60&lt;P61,N60,IF(P61&lt;P60,N61,"")),N61)),"Match 45 Loser")</f>
        <v>Match 45 Loser</v>
      </c>
      <c r="T74" s="167"/>
      <c r="U74" s="167"/>
      <c r="V74" s="167"/>
      <c r="W74" s="167"/>
      <c r="X74" s="167"/>
      <c r="Y74" s="134"/>
      <c r="Z74" s="53"/>
      <c r="AA74" s="99" t="str">
        <f>IF(S74=AK73,R74,IF(S75=AK73,R75,""))</f>
        <v/>
      </c>
      <c r="AB74" s="184"/>
      <c r="AC74" s="180"/>
      <c r="AD74" s="180"/>
      <c r="AE74" s="180"/>
      <c r="AF74" s="180"/>
      <c r="AG74" s="180"/>
      <c r="AH74" s="180"/>
      <c r="AI74" s="180"/>
      <c r="AJ74" s="184"/>
      <c r="AK74" s="180"/>
      <c r="AL74" s="180"/>
      <c r="AM74" s="180"/>
      <c r="AN74" s="180"/>
      <c r="AO74" s="180"/>
      <c r="AP74" s="180"/>
      <c r="AQ74" s="182"/>
      <c r="AR74" s="45"/>
      <c r="AS74" s="45"/>
      <c r="DC74" s="20"/>
      <c r="DD74" s="20"/>
      <c r="DE74" s="21"/>
      <c r="DF74" s="20"/>
    </row>
    <row r="75" spans="1:110" s="19" customFormat="1" ht="18" customHeight="1" x14ac:dyDescent="0.45">
      <c r="A75" s="45"/>
      <c r="B75" s="45"/>
      <c r="C75" s="199"/>
      <c r="D75" s="199"/>
      <c r="E75" s="199"/>
      <c r="F75" s="46"/>
      <c r="G75" s="99">
        <v>1</v>
      </c>
      <c r="H75" s="125" t="str">
        <f>IF(SUM(AG11:AG15)=20,AD11,"Winner Pool A")</f>
        <v>Winner Pool A</v>
      </c>
      <c r="I75" s="134"/>
      <c r="J75" s="101"/>
      <c r="K75" s="25"/>
      <c r="L75" s="45"/>
      <c r="M75" s="45"/>
      <c r="N75" s="48"/>
      <c r="O75" s="29"/>
      <c r="P75" s="29"/>
      <c r="Q75" s="45"/>
      <c r="R75" s="99" t="str">
        <f>IF(S67=N72,M73,IF(S67=N73,M72,""))</f>
        <v/>
      </c>
      <c r="S75" s="167" t="str">
        <f>IF(AND(O72&lt;&gt;"",O73&lt;&gt;""),IF(O72&lt;O73,N72,IF(O72=O73,IF(P72&lt;P73,N72,IF(P73&lt;P72,N73,"")),N73)),"Match 46 Loser")</f>
        <v>Match 46 Loser</v>
      </c>
      <c r="T75" s="167"/>
      <c r="U75" s="167"/>
      <c r="V75" s="167"/>
      <c r="W75" s="167"/>
      <c r="X75" s="167"/>
      <c r="Y75" s="135"/>
      <c r="Z75" s="53"/>
      <c r="AR75" s="45"/>
      <c r="AS75" s="45"/>
      <c r="DC75" s="20"/>
      <c r="DD75" s="20"/>
      <c r="DE75" s="21"/>
      <c r="DF75" s="20"/>
    </row>
    <row r="76" spans="1:110" s="19" customFormat="1" ht="18" customHeight="1" x14ac:dyDescent="0.45">
      <c r="A76" s="45"/>
      <c r="B76" s="45"/>
      <c r="C76" s="199"/>
      <c r="D76" s="199"/>
      <c r="E76" s="199"/>
      <c r="F76" s="46"/>
      <c r="G76" s="99">
        <v>2</v>
      </c>
      <c r="H76" s="126" t="str">
        <f>IF(SUM(AG18:AG22)=20,AD19,"Runner Up Pool B")</f>
        <v>Runner Up Pool B</v>
      </c>
      <c r="I76" s="134"/>
      <c r="J76" s="53"/>
      <c r="K76" s="45"/>
      <c r="L76" s="45"/>
      <c r="M76" s="45"/>
      <c r="N76" s="48"/>
      <c r="O76" s="29"/>
      <c r="P76" s="29"/>
      <c r="Q76" s="45"/>
      <c r="R76" s="45"/>
      <c r="S76" s="197" t="s">
        <v>79</v>
      </c>
      <c r="T76" s="197"/>
      <c r="U76" s="197"/>
      <c r="V76" s="197"/>
      <c r="W76" s="197"/>
      <c r="X76" s="197"/>
      <c r="Y76" s="45"/>
      <c r="AR76" s="45"/>
      <c r="AS76" s="45"/>
      <c r="DC76" s="20"/>
      <c r="DD76" s="20"/>
      <c r="DE76" s="21"/>
      <c r="DF76" s="20"/>
    </row>
    <row r="77" spans="1:110" s="19" customFormat="1" ht="18" customHeight="1" thickBot="1" x14ac:dyDescent="0.5">
      <c r="A77" s="45"/>
      <c r="B77" s="45"/>
      <c r="C77" s="199"/>
      <c r="D77" s="199"/>
      <c r="E77" s="199"/>
      <c r="F77" s="46"/>
      <c r="G77" s="45"/>
      <c r="H77" s="127" t="s">
        <v>100</v>
      </c>
      <c r="I77" s="29"/>
      <c r="J77" s="34"/>
      <c r="K77" s="45"/>
      <c r="L77" s="45"/>
      <c r="M77" s="45"/>
      <c r="N77" s="48"/>
      <c r="O77" s="29"/>
      <c r="P77" s="29"/>
      <c r="Q77" s="45"/>
      <c r="Y77" s="29"/>
      <c r="Z77" s="45"/>
      <c r="AR77" s="45"/>
      <c r="AS77" s="45"/>
      <c r="DC77" s="20"/>
      <c r="DD77" s="20"/>
      <c r="DE77" s="21"/>
      <c r="DF77" s="20"/>
    </row>
    <row r="78" spans="1:110" s="19" customFormat="1" ht="18" customHeight="1" x14ac:dyDescent="0.45">
      <c r="A78" s="45"/>
      <c r="B78" s="45"/>
      <c r="C78" s="199"/>
      <c r="D78" s="199"/>
      <c r="E78" s="199"/>
      <c r="F78" s="46"/>
      <c r="G78" s="45"/>
      <c r="H78" s="107"/>
      <c r="I78" s="29"/>
      <c r="J78" s="34"/>
      <c r="K78" s="48"/>
      <c r="L78" s="45"/>
      <c r="M78" s="45"/>
      <c r="N78" s="45"/>
      <c r="O78" s="29"/>
      <c r="P78" s="29"/>
      <c r="Q78" s="45"/>
      <c r="Y78" s="29"/>
      <c r="Z78" s="45"/>
      <c r="AR78" s="45"/>
      <c r="AS78" s="45"/>
      <c r="DC78" s="20"/>
      <c r="DD78" s="20"/>
      <c r="DE78" s="21"/>
      <c r="DF78" s="20"/>
    </row>
    <row r="79" spans="1:110" s="19" customFormat="1" ht="18" customHeight="1" x14ac:dyDescent="0.45">
      <c r="A79" s="45"/>
      <c r="B79" s="45"/>
      <c r="C79" s="45"/>
      <c r="D79" s="45"/>
      <c r="E79" s="45"/>
      <c r="F79" s="46"/>
      <c r="G79" s="45"/>
      <c r="H79" s="128"/>
      <c r="I79" s="45"/>
      <c r="J79" s="45"/>
      <c r="K79" s="45"/>
      <c r="L79" s="45"/>
      <c r="M79" s="45"/>
      <c r="N79" s="45"/>
      <c r="O79" s="45"/>
      <c r="P79" s="45"/>
      <c r="Q79" s="45"/>
      <c r="V79" s="45"/>
      <c r="W79" s="45"/>
      <c r="X79" s="45"/>
      <c r="Y79" s="45"/>
      <c r="Z79" s="45"/>
      <c r="AA79" s="45"/>
      <c r="AB79" s="45"/>
      <c r="AC79" s="44"/>
      <c r="AD79" s="45"/>
      <c r="AG79" s="45"/>
      <c r="AH79" s="59"/>
      <c r="AI79" s="129"/>
      <c r="AJ79" s="130"/>
      <c r="AK79" s="131"/>
      <c r="AM79" s="45"/>
      <c r="AN79" s="45"/>
      <c r="AO79" s="45"/>
      <c r="AQ79" s="45"/>
      <c r="AR79" s="45"/>
      <c r="AS79" s="45"/>
      <c r="DC79" s="20"/>
      <c r="DD79" s="20"/>
      <c r="DE79" s="21"/>
      <c r="DF79" s="20"/>
    </row>
    <row r="80" spans="1:110" s="132" customFormat="1" ht="15" customHeight="1" x14ac:dyDescent="0.45">
      <c r="A80" s="59"/>
      <c r="B80" s="140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9"/>
      <c r="S80" s="59"/>
      <c r="T80" s="59"/>
      <c r="U80" s="59"/>
      <c r="V80" s="59"/>
      <c r="W80" s="59"/>
      <c r="X80" s="59"/>
      <c r="Y80" s="59"/>
      <c r="Z80" s="59"/>
      <c r="AA80" s="59"/>
      <c r="AB80" s="59"/>
      <c r="AC80" s="65"/>
      <c r="AD80" s="59"/>
      <c r="AE80" s="59"/>
      <c r="AF80" s="59"/>
      <c r="AG80" s="59"/>
      <c r="AH80" s="59"/>
      <c r="AI80" s="59"/>
      <c r="AJ80" s="59"/>
      <c r="AK80" s="59"/>
      <c r="AL80" s="59"/>
      <c r="AM80" s="59"/>
      <c r="AN80" s="59"/>
      <c r="AO80" s="59"/>
      <c r="AP80" s="59"/>
      <c r="AQ80" s="59"/>
      <c r="AR80" s="59"/>
      <c r="AS80" s="59"/>
      <c r="DC80" s="133"/>
      <c r="DD80" s="133"/>
      <c r="DE80" s="22"/>
      <c r="DF80" s="133"/>
    </row>
    <row r="81" spans="1:110" s="19" customFormat="1" ht="15" customHeight="1" x14ac:dyDescent="0.45">
      <c r="A81" s="45"/>
      <c r="B81" s="45"/>
      <c r="C81" s="45"/>
      <c r="D81" s="45"/>
      <c r="E81" s="45"/>
      <c r="F81" s="46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4"/>
      <c r="AD81" s="45"/>
      <c r="AE81" s="45"/>
      <c r="AF81" s="45"/>
      <c r="AG81" s="45"/>
      <c r="AH81" s="59"/>
      <c r="AI81" s="60"/>
      <c r="AJ81" s="96"/>
      <c r="AK81" s="75"/>
      <c r="AL81" s="45"/>
      <c r="AM81" s="45"/>
      <c r="AN81" s="45"/>
      <c r="AO81" s="45"/>
      <c r="AP81" s="45"/>
      <c r="AQ81" s="45"/>
      <c r="AS81" s="45"/>
      <c r="DC81" s="20"/>
      <c r="DD81" s="20"/>
      <c r="DE81" s="21"/>
      <c r="DF81" s="20"/>
    </row>
    <row r="82" spans="1:110" hidden="1" x14ac:dyDescent="0.45"/>
    <row r="83" spans="1:110" hidden="1" x14ac:dyDescent="0.45"/>
    <row r="84" spans="1:110" hidden="1" x14ac:dyDescent="0.45"/>
    <row r="85" spans="1:110" hidden="1" x14ac:dyDescent="0.45"/>
    <row r="86" spans="1:110" hidden="1" x14ac:dyDescent="0.45"/>
    <row r="87" spans="1:110" hidden="1" x14ac:dyDescent="0.45"/>
    <row r="88" spans="1:110" hidden="1" x14ac:dyDescent="0.45"/>
    <row r="89" spans="1:110" hidden="1" x14ac:dyDescent="0.45"/>
    <row r="90" spans="1:110" hidden="1" x14ac:dyDescent="0.45"/>
    <row r="91" spans="1:110" hidden="1" x14ac:dyDescent="0.45"/>
    <row r="92" spans="1:110" hidden="1" x14ac:dyDescent="0.45"/>
    <row r="93" spans="1:110" hidden="1" x14ac:dyDescent="0.45"/>
    <row r="94" spans="1:110" hidden="1" x14ac:dyDescent="0.45"/>
    <row r="95" spans="1:110" hidden="1" x14ac:dyDescent="0.45"/>
    <row r="96" spans="1:110" hidden="1" x14ac:dyDescent="0.45"/>
    <row r="97" hidden="1" x14ac:dyDescent="0.45"/>
    <row r="98" hidden="1" x14ac:dyDescent="0.45"/>
    <row r="99" hidden="1" x14ac:dyDescent="0.45"/>
    <row r="100" hidden="1" x14ac:dyDescent="0.45"/>
    <row r="101" hidden="1" x14ac:dyDescent="0.45"/>
    <row r="102" hidden="1" x14ac:dyDescent="0.45"/>
    <row r="103" hidden="1" x14ac:dyDescent="0.45"/>
    <row r="104" hidden="1" x14ac:dyDescent="0.45"/>
    <row r="105" hidden="1" x14ac:dyDescent="0.45"/>
    <row r="106" hidden="1" x14ac:dyDescent="0.45"/>
    <row r="107" hidden="1" x14ac:dyDescent="0.45"/>
    <row r="108" hidden="1" x14ac:dyDescent="0.45"/>
    <row r="109" hidden="1" x14ac:dyDescent="0.45"/>
    <row r="110" hidden="1" x14ac:dyDescent="0.45"/>
    <row r="111" hidden="1" x14ac:dyDescent="0.45"/>
    <row r="112" hidden="1" x14ac:dyDescent="0.45"/>
    <row r="113" hidden="1" x14ac:dyDescent="0.45"/>
    <row r="114" hidden="1" x14ac:dyDescent="0.45"/>
    <row r="115" hidden="1" x14ac:dyDescent="0.45"/>
    <row r="116" hidden="1" x14ac:dyDescent="0.45"/>
    <row r="117" hidden="1" x14ac:dyDescent="0.45"/>
    <row r="118" hidden="1" x14ac:dyDescent="0.45"/>
    <row r="119" hidden="1" x14ac:dyDescent="0.45"/>
    <row r="120" hidden="1" x14ac:dyDescent="0.45"/>
    <row r="121" hidden="1" x14ac:dyDescent="0.45"/>
    <row r="122" hidden="1" x14ac:dyDescent="0.45"/>
    <row r="123" hidden="1" x14ac:dyDescent="0.45"/>
    <row r="124" hidden="1" x14ac:dyDescent="0.45"/>
    <row r="125" hidden="1" x14ac:dyDescent="0.45"/>
    <row r="126" hidden="1" x14ac:dyDescent="0.45"/>
    <row r="127" hidden="1" x14ac:dyDescent="0.45"/>
    <row r="128" hidden="1" x14ac:dyDescent="0.45"/>
    <row r="129" hidden="1" x14ac:dyDescent="0.45"/>
    <row r="130" hidden="1" x14ac:dyDescent="0.45"/>
    <row r="131" hidden="1" x14ac:dyDescent="0.45"/>
    <row r="132" hidden="1" x14ac:dyDescent="0.45"/>
    <row r="133" hidden="1" x14ac:dyDescent="0.45"/>
    <row r="134" hidden="1" x14ac:dyDescent="0.45"/>
    <row r="135" hidden="1" x14ac:dyDescent="0.45"/>
    <row r="136" hidden="1" x14ac:dyDescent="0.45"/>
    <row r="137" hidden="1" x14ac:dyDescent="0.45"/>
    <row r="138" hidden="1" x14ac:dyDescent="0.45"/>
    <row r="139" hidden="1" x14ac:dyDescent="0.45"/>
    <row r="140" hidden="1" x14ac:dyDescent="0.45"/>
    <row r="141" hidden="1" x14ac:dyDescent="0.45"/>
    <row r="142" hidden="1" x14ac:dyDescent="0.45"/>
    <row r="143" hidden="1" x14ac:dyDescent="0.45"/>
    <row r="144" hidden="1" x14ac:dyDescent="0.45"/>
    <row r="145" hidden="1" x14ac:dyDescent="0.45"/>
    <row r="146" hidden="1" x14ac:dyDescent="0.45"/>
    <row r="147" hidden="1" x14ac:dyDescent="0.45"/>
    <row r="148" hidden="1" x14ac:dyDescent="0.45"/>
    <row r="149" hidden="1" x14ac:dyDescent="0.45"/>
    <row r="150" hidden="1" x14ac:dyDescent="0.45"/>
    <row r="151" hidden="1" x14ac:dyDescent="0.45"/>
    <row r="152" hidden="1" x14ac:dyDescent="0.45"/>
    <row r="153" hidden="1" x14ac:dyDescent="0.45"/>
    <row r="154" hidden="1" x14ac:dyDescent="0.45"/>
    <row r="155" hidden="1" x14ac:dyDescent="0.45"/>
    <row r="156" hidden="1" x14ac:dyDescent="0.45"/>
    <row r="157" hidden="1" x14ac:dyDescent="0.45"/>
    <row r="158" hidden="1" x14ac:dyDescent="0.45"/>
    <row r="159" hidden="1" x14ac:dyDescent="0.45"/>
    <row r="160" hidden="1" x14ac:dyDescent="0.45"/>
    <row r="161" hidden="1" x14ac:dyDescent="0.45"/>
    <row r="162" hidden="1" x14ac:dyDescent="0.45"/>
    <row r="163" hidden="1" x14ac:dyDescent="0.45"/>
    <row r="164" hidden="1" x14ac:dyDescent="0.45"/>
    <row r="165" hidden="1" x14ac:dyDescent="0.45"/>
    <row r="166" hidden="1" x14ac:dyDescent="0.45"/>
    <row r="167" hidden="1" x14ac:dyDescent="0.45"/>
    <row r="168" hidden="1" x14ac:dyDescent="0.45"/>
    <row r="169" x14ac:dyDescent="0.45"/>
  </sheetData>
  <sheetProtection password="CF63" sheet="1" objects="1" scenarios="1" formatColumns="0" formatRows="0" sort="0" autoFilter="0" pivotTables="0"/>
  <sortState ref="AT8:AT33">
    <sortCondition ref="AT8"/>
  </sortState>
  <mergeCells count="48">
    <mergeCell ref="J10:L10"/>
    <mergeCell ref="G54:J54"/>
    <mergeCell ref="M54:P54"/>
    <mergeCell ref="AC10:AF10"/>
    <mergeCell ref="R54:Z54"/>
    <mergeCell ref="AD18:AF18"/>
    <mergeCell ref="O10:Q10"/>
    <mergeCell ref="AD19:AF19"/>
    <mergeCell ref="AD20:AF20"/>
    <mergeCell ref="AD21:AF21"/>
    <mergeCell ref="AD25:AF25"/>
    <mergeCell ref="AD26:AF26"/>
    <mergeCell ref="AD11:AF11"/>
    <mergeCell ref="AD12:AF12"/>
    <mergeCell ref="AD13:AF13"/>
    <mergeCell ref="AD14:AF14"/>
    <mergeCell ref="S66:X66"/>
    <mergeCell ref="AB68:AQ69"/>
    <mergeCell ref="S76:X76"/>
    <mergeCell ref="S3:W3"/>
    <mergeCell ref="C54:E78"/>
    <mergeCell ref="C8:AA8"/>
    <mergeCell ref="AC8:AQ8"/>
    <mergeCell ref="AC59:AP60"/>
    <mergeCell ref="AD35:AF35"/>
    <mergeCell ref="AD15:AF15"/>
    <mergeCell ref="AD22:AF22"/>
    <mergeCell ref="AD29:AF29"/>
    <mergeCell ref="AD36:AF36"/>
    <mergeCell ref="AD27:AF27"/>
    <mergeCell ref="AD28:AF28"/>
    <mergeCell ref="AD32:AF32"/>
    <mergeCell ref="AC3:AQ3"/>
    <mergeCell ref="C6:AA6"/>
    <mergeCell ref="S73:X73"/>
    <mergeCell ref="S74:X74"/>
    <mergeCell ref="S75:X75"/>
    <mergeCell ref="AD33:AF33"/>
    <mergeCell ref="AD34:AF34"/>
    <mergeCell ref="AB70:AQ72"/>
    <mergeCell ref="AC73:AI74"/>
    <mergeCell ref="AK73:AQ74"/>
    <mergeCell ref="AB73:AB74"/>
    <mergeCell ref="AJ73:AJ74"/>
    <mergeCell ref="R71:Y71"/>
    <mergeCell ref="S67:X67"/>
    <mergeCell ref="S65:X65"/>
    <mergeCell ref="S68:X68"/>
  </mergeCells>
  <phoneticPr fontId="1" type="noConversion"/>
  <conditionalFormatting sqref="J12:J51 L12:L51 O12:O51 Q12:Q51">
    <cfRule type="expression" dxfId="64" priority="478">
      <formula>ISBLANK(J12)</formula>
    </cfRule>
  </conditionalFormatting>
  <conditionalFormatting sqref="AP37:AP38">
    <cfRule type="expression" dxfId="63" priority="488" stopIfTrue="1">
      <formula>AND(GroupE=12,$AP37&lt;&gt;"")</formula>
    </cfRule>
  </conditionalFormatting>
  <conditionalFormatting sqref="AP40">
    <cfRule type="expression" dxfId="62" priority="489" stopIfTrue="1">
      <formula>AND(GroupF=12,$AP41&lt;&gt;"")</formula>
    </cfRule>
  </conditionalFormatting>
  <conditionalFormatting sqref="AP41:AP44">
    <cfRule type="expression" dxfId="61" priority="490" stopIfTrue="1">
      <formula>AND(GroupF=12,$AP41&lt;&gt;"")</formula>
    </cfRule>
  </conditionalFormatting>
  <conditionalFormatting sqref="AP46">
    <cfRule type="expression" dxfId="60" priority="491" stopIfTrue="1">
      <formula>AND(GroupG=12,$AP47&lt;&gt;"")</formula>
    </cfRule>
  </conditionalFormatting>
  <conditionalFormatting sqref="AP47:AP49">
    <cfRule type="expression" dxfId="59" priority="492" stopIfTrue="1">
      <formula>AND(GroupG=12,$AP47&lt;&gt;"")</formula>
    </cfRule>
  </conditionalFormatting>
  <conditionalFormatting sqref="H12:H51">
    <cfRule type="expression" dxfId="58" priority="495">
      <formula>J12&gt;L12</formula>
    </cfRule>
    <cfRule type="expression" dxfId="57" priority="496">
      <formula>J12&lt;L12</formula>
    </cfRule>
  </conditionalFormatting>
  <conditionalFormatting sqref="N12:N51">
    <cfRule type="expression" dxfId="56" priority="617">
      <formula>L12&gt;J12</formula>
    </cfRule>
    <cfRule type="expression" dxfId="55" priority="618">
      <formula>L12&lt;J12</formula>
    </cfRule>
  </conditionalFormatting>
  <conditionalFormatting sqref="S66:X66">
    <cfRule type="expression" dxfId="54" priority="268">
      <formula>R66=4</formula>
    </cfRule>
    <cfRule type="expression" dxfId="53" priority="269">
      <formula>R66=3</formula>
    </cfRule>
    <cfRule type="expression" dxfId="52" priority="270">
      <formula>R66=2</formula>
    </cfRule>
    <cfRule type="expression" dxfId="51" priority="271">
      <formula>R66=1</formula>
    </cfRule>
  </conditionalFormatting>
  <conditionalFormatting sqref="N60">
    <cfRule type="expression" dxfId="50" priority="645">
      <formula>$M$60=2</formula>
    </cfRule>
    <cfRule type="expression" dxfId="49" priority="646">
      <formula>$M$60=1</formula>
    </cfRule>
  </conditionalFormatting>
  <conditionalFormatting sqref="N61">
    <cfRule type="expression" dxfId="48" priority="182">
      <formula>$M$61=4</formula>
    </cfRule>
    <cfRule type="expression" dxfId="47" priority="183">
      <formula>$M$61=3</formula>
    </cfRule>
  </conditionalFormatting>
  <conditionalFormatting sqref="AB70">
    <cfRule type="expression" dxfId="46" priority="659">
      <formula>$AA$70=4</formula>
    </cfRule>
    <cfRule type="expression" dxfId="45" priority="660">
      <formula>$AA$70=3</formula>
    </cfRule>
    <cfRule type="expression" dxfId="44" priority="661">
      <formula>$AA$70=2</formula>
    </cfRule>
    <cfRule type="expression" dxfId="43" priority="662">
      <formula>$AA$70=1</formula>
    </cfRule>
  </conditionalFormatting>
  <conditionalFormatting sqref="AB73:AC73">
    <cfRule type="expression" dxfId="42" priority="667">
      <formula>$AA$73=4</formula>
    </cfRule>
    <cfRule type="expression" dxfId="41" priority="668">
      <formula>$AA$73=3</formula>
    </cfRule>
    <cfRule type="expression" dxfId="40" priority="669">
      <formula>$AA$73=2</formula>
    </cfRule>
    <cfRule type="expression" dxfId="39" priority="670">
      <formula>$AA$73=1</formula>
    </cfRule>
  </conditionalFormatting>
  <conditionalFormatting sqref="AJ73:AK73">
    <cfRule type="expression" dxfId="38" priority="675">
      <formula>$AA$74=4</formula>
    </cfRule>
    <cfRule type="expression" dxfId="37" priority="676">
      <formula>$AA$74=3</formula>
    </cfRule>
    <cfRule type="expression" dxfId="36" priority="677">
      <formula>$AA$74=2</formula>
    </cfRule>
    <cfRule type="expression" dxfId="35" priority="678">
      <formula>$AA$74=1</formula>
    </cfRule>
  </conditionalFormatting>
  <conditionalFormatting sqref="N73">
    <cfRule type="expression" dxfId="34" priority="140">
      <formula>$M$73=1</formula>
    </cfRule>
    <cfRule type="expression" dxfId="33" priority="141">
      <formula>$M$73=2</formula>
    </cfRule>
  </conditionalFormatting>
  <conditionalFormatting sqref="N72">
    <cfRule type="expression" dxfId="32" priority="138">
      <formula>$M$72=4</formula>
    </cfRule>
    <cfRule type="expression" dxfId="31" priority="139">
      <formula>$M$72=3</formula>
    </cfRule>
  </conditionalFormatting>
  <conditionalFormatting sqref="S67:X67">
    <cfRule type="expression" dxfId="30" priority="131">
      <formula>R67=1</formula>
    </cfRule>
    <cfRule type="expression" dxfId="29" priority="132">
      <formula>R67=2</formula>
    </cfRule>
    <cfRule type="expression" dxfId="28" priority="133">
      <formula>R67=3</formula>
    </cfRule>
    <cfRule type="expression" dxfId="27" priority="134">
      <formula>R67=4</formula>
    </cfRule>
  </conditionalFormatting>
  <conditionalFormatting sqref="S75">
    <cfRule type="expression" dxfId="26" priority="732">
      <formula>$R75=4</formula>
    </cfRule>
    <cfRule type="expression" dxfId="25" priority="733">
      <formula>$R75=3</formula>
    </cfRule>
    <cfRule type="expression" dxfId="24" priority="734">
      <formula>$R75=2</formula>
    </cfRule>
    <cfRule type="expression" dxfId="23" priority="735">
      <formula>$R75=1</formula>
    </cfRule>
  </conditionalFormatting>
  <conditionalFormatting sqref="S74">
    <cfRule type="expression" dxfId="22" priority="17">
      <formula>$R74=4</formula>
    </cfRule>
    <cfRule type="expression" dxfId="21" priority="18">
      <formula>$R74=3</formula>
    </cfRule>
    <cfRule type="expression" dxfId="20" priority="19">
      <formula>$R74=2</formula>
    </cfRule>
    <cfRule type="expression" dxfId="19" priority="20">
      <formula>$R74=1</formula>
    </cfRule>
  </conditionalFormatting>
  <conditionalFormatting sqref="J57">
    <cfRule type="expression" dxfId="18" priority="16">
      <formula>AND(I57&lt;&gt;"",I58&lt;&gt;"",I57=I58)</formula>
    </cfRule>
  </conditionalFormatting>
  <conditionalFormatting sqref="J58">
    <cfRule type="expression" dxfId="17" priority="15">
      <formula>AND(I57&lt;&gt;"",I58&lt;&gt;"",I57=I58)</formula>
    </cfRule>
  </conditionalFormatting>
  <conditionalFormatting sqref="J63">
    <cfRule type="expression" dxfId="16" priority="14">
      <formula>AND(I63&lt;&gt;"",I64&lt;&gt;"",I63=I64)</formula>
    </cfRule>
  </conditionalFormatting>
  <conditionalFormatting sqref="J64">
    <cfRule type="expression" dxfId="15" priority="13">
      <formula>AND(I63&lt;&gt;"",I64&lt;&gt;"",I63=I64)</formula>
    </cfRule>
  </conditionalFormatting>
  <conditionalFormatting sqref="J69">
    <cfRule type="expression" dxfId="14" priority="12">
      <formula>AND(I69&lt;&gt;"",I70&lt;&gt;"",I69=I70)</formula>
    </cfRule>
  </conditionalFormatting>
  <conditionalFormatting sqref="J70">
    <cfRule type="expression" dxfId="13" priority="11">
      <formula>AND(I69&lt;&gt;"",I70&lt;&gt;"",I69=I70)</formula>
    </cfRule>
  </conditionalFormatting>
  <conditionalFormatting sqref="J75">
    <cfRule type="expression" dxfId="12" priority="10">
      <formula>AND(I75&lt;&gt;"",I76&lt;&gt;"",I75=I76)</formula>
    </cfRule>
  </conditionalFormatting>
  <conditionalFormatting sqref="J76">
    <cfRule type="expression" dxfId="11" priority="9">
      <formula>AND(I75&lt;&gt;"",I76&lt;&gt;"",I75=I76)</formula>
    </cfRule>
  </conditionalFormatting>
  <conditionalFormatting sqref="P60">
    <cfRule type="expression" dxfId="10" priority="8">
      <formula>AND(O60&lt;&gt;"",O61&lt;&gt;"",O60=O61)</formula>
    </cfRule>
  </conditionalFormatting>
  <conditionalFormatting sqref="P61">
    <cfRule type="expression" dxfId="9" priority="7">
      <formula>AND(O60&lt;&gt;"",O61&lt;&gt;"",O60=O61)</formula>
    </cfRule>
  </conditionalFormatting>
  <conditionalFormatting sqref="P72">
    <cfRule type="expression" dxfId="8" priority="6">
      <formula>AND(O72&lt;&gt;"",O73&lt;&gt;"",O72=O73)</formula>
    </cfRule>
  </conditionalFormatting>
  <conditionalFormatting sqref="P73">
    <cfRule type="expression" dxfId="7" priority="5">
      <formula>AND(O72&lt;&gt;"",O73&lt;&gt;"",O72=O73)</formula>
    </cfRule>
  </conditionalFormatting>
  <conditionalFormatting sqref="Z66">
    <cfRule type="expression" dxfId="6" priority="4">
      <formula>AND(Y66&lt;&gt;"",Y67&lt;&gt;"",Y66=Y67)</formula>
    </cfRule>
  </conditionalFormatting>
  <conditionalFormatting sqref="Z67">
    <cfRule type="expression" dxfId="5" priority="3">
      <formula>AND(Y66&lt;&gt;"",Y67&lt;&gt;"",Y66=Y67)</formula>
    </cfRule>
  </conditionalFormatting>
  <conditionalFormatting sqref="Z74">
    <cfRule type="expression" dxfId="4" priority="2">
      <formula>AND(Y74&lt;&gt;"",Y75&lt;&gt;"",Y74=Y75)</formula>
    </cfRule>
  </conditionalFormatting>
  <conditionalFormatting sqref="Z75">
    <cfRule type="expression" dxfId="3" priority="1">
      <formula>AND(Y74&lt;&gt;"",Y75&lt;&gt;"",Y74=Y75)</formula>
    </cfRule>
  </conditionalFormatting>
  <conditionalFormatting sqref="C12:AA51">
    <cfRule type="expression" dxfId="2" priority="754">
      <formula>$R12=$S$3</formula>
    </cfRule>
    <cfRule type="expression" dxfId="1" priority="755">
      <formula>OR($H12=$N$3,$N12=$N$3)</formula>
    </cfRule>
    <cfRule type="expression" dxfId="0" priority="756">
      <formula>$E12=$F$3</formula>
    </cfRule>
  </conditionalFormatting>
  <dataValidations count="3">
    <dataValidation type="list" allowBlank="1" showInputMessage="1" showErrorMessage="1" sqref="N3">
      <formula1>PoolTeam</formula1>
    </dataValidation>
    <dataValidation type="list" allowBlank="1" showInputMessage="1" showErrorMessage="1" sqref="F3">
      <formula1>"A,B,C,D"</formula1>
    </dataValidation>
    <dataValidation type="list" allowBlank="1" showInputMessage="1" showErrorMessage="1" sqref="S3">
      <formula1>Venues</formula1>
    </dataValidation>
  </dataValidations>
  <hyperlinks>
    <hyperlink ref="AC3:AQ3" location="About!A1" display="PURCHASE THE UNPROTECTED VERSION HERE"/>
  </hyperlinks>
  <printOptions horizontalCentered="1" verticalCentered="1"/>
  <pageMargins left="0.39" right="0.32" top="0.28999999999999998" bottom="0.39" header="0.21" footer="0.26"/>
  <pageSetup scale="4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G42"/>
  <sheetViews>
    <sheetView showGridLines="0" topLeftCell="EG1" workbookViewId="0">
      <selection activeCell="EL14" sqref="EL14"/>
    </sheetView>
  </sheetViews>
  <sheetFormatPr defaultColWidth="9.08984375" defaultRowHeight="16.5" x14ac:dyDescent="0.45"/>
  <cols>
    <col min="1" max="1" width="1.90625" style="147" hidden="1" customWidth="1"/>
    <col min="2" max="2" width="12.453125" style="147" hidden="1" customWidth="1"/>
    <col min="3" max="5" width="1.90625" style="147" hidden="1" customWidth="1"/>
    <col min="6" max="7" width="3" style="147" hidden="1" customWidth="1"/>
    <col min="8" max="8" width="5.1796875" style="147" hidden="1" customWidth="1"/>
    <col min="9" max="10" width="1.90625" style="147" hidden="1" customWidth="1"/>
    <col min="11" max="11" width="5.1796875" style="147" hidden="1" customWidth="1"/>
    <col min="12" max="12" width="3" style="147" hidden="1" customWidth="1"/>
    <col min="13" max="14" width="1.90625" style="147" hidden="1" customWidth="1"/>
    <col min="15" max="16" width="3" style="147" hidden="1" customWidth="1"/>
    <col min="17" max="17" width="1.90625" style="147" hidden="1" customWidth="1"/>
    <col min="18" max="18" width="2.6328125" style="147" hidden="1" customWidth="1"/>
    <col min="19" max="19" width="1.90625" style="147" hidden="1" customWidth="1"/>
    <col min="20" max="20" width="12.453125" style="147" hidden="1" customWidth="1"/>
    <col min="21" max="21" width="1.90625" style="147" hidden="1" customWidth="1"/>
    <col min="22" max="22" width="10.81640625" style="147" hidden="1" customWidth="1"/>
    <col min="23" max="23" width="7.81640625" style="147" hidden="1" customWidth="1"/>
    <col min="24" max="24" width="9.90625" style="147" hidden="1" customWidth="1"/>
    <col min="25" max="25" width="12.36328125" style="147" hidden="1" customWidth="1"/>
    <col min="26" max="26" width="5.90625" style="147" hidden="1" customWidth="1"/>
    <col min="27" max="27" width="13.81640625" style="147" hidden="1" customWidth="1"/>
    <col min="28" max="32" width="1.90625" style="147" hidden="1" customWidth="1"/>
    <col min="33" max="33" width="5.1796875" style="147" hidden="1" customWidth="1"/>
    <col min="34" max="35" width="1.90625" style="147" hidden="1" customWidth="1"/>
    <col min="36" max="36" width="5.1796875" style="147" hidden="1" customWidth="1"/>
    <col min="37" max="39" width="6.81640625" style="147" hidden="1" customWidth="1"/>
    <col min="40" max="42" width="1.90625" style="147" hidden="1" customWidth="1"/>
    <col min="43" max="43" width="2.36328125" style="147" hidden="1" customWidth="1"/>
    <col min="44" max="48" width="1.90625" style="147" hidden="1" customWidth="1"/>
    <col min="49" max="49" width="3.54296875" style="147" hidden="1" customWidth="1"/>
    <col min="50" max="50" width="6.1796875" style="147" hidden="1" customWidth="1"/>
    <col min="51" max="51" width="7.81640625" style="147" hidden="1" customWidth="1"/>
    <col min="52" max="56" width="1.90625" style="147" hidden="1" customWidth="1"/>
    <col min="57" max="57" width="5.1796875" style="147" hidden="1" customWidth="1"/>
    <col min="58" max="59" width="1.90625" style="147" hidden="1" customWidth="1"/>
    <col min="60" max="60" width="5.1796875" style="147" hidden="1" customWidth="1"/>
    <col min="61" max="62" width="1.90625" style="147" hidden="1" customWidth="1"/>
    <col min="63" max="63" width="3" style="147" hidden="1" customWidth="1"/>
    <col min="64" max="73" width="1.90625" style="147" hidden="1" customWidth="1"/>
    <col min="74" max="74" width="7.81640625" style="147" hidden="1" customWidth="1"/>
    <col min="75" max="75" width="13.90625" style="147" hidden="1" customWidth="1"/>
    <col min="76" max="80" width="1.90625" style="147" hidden="1" customWidth="1"/>
    <col min="81" max="81" width="5.1796875" style="147" hidden="1" customWidth="1"/>
    <col min="82" max="83" width="1.90625" style="147" hidden="1" customWidth="1"/>
    <col min="84" max="84" width="5.1796875" style="147" hidden="1" customWidth="1"/>
    <col min="85" max="87" width="6.81640625" style="147" hidden="1" customWidth="1"/>
    <col min="88" max="90" width="1.90625" style="147" hidden="1" customWidth="1"/>
    <col min="91" max="91" width="2.1796875" style="147" hidden="1" customWidth="1"/>
    <col min="92" max="96" width="1.90625" style="147" hidden="1" customWidth="1"/>
    <col min="97" max="98" width="3.54296875" style="147" hidden="1" customWidth="1"/>
    <col min="99" max="99" width="12.36328125" style="147" hidden="1" customWidth="1"/>
    <col min="100" max="104" width="1.90625" style="147" hidden="1" customWidth="1"/>
    <col min="105" max="105" width="5.1796875" style="147" hidden="1" customWidth="1"/>
    <col min="106" max="107" width="1.90625" style="147" hidden="1" customWidth="1"/>
    <col min="108" max="108" width="5.1796875" style="147" hidden="1" customWidth="1"/>
    <col min="109" max="121" width="1.90625" style="147" hidden="1" customWidth="1"/>
    <col min="122" max="122" width="12.36328125" style="147" hidden="1" customWidth="1"/>
    <col min="123" max="123" width="12.453125" style="147" hidden="1" customWidth="1"/>
    <col min="124" max="124" width="1.90625" style="147" hidden="1" customWidth="1"/>
    <col min="125" max="125" width="3" style="147" hidden="1" customWidth="1"/>
    <col min="126" max="126" width="12.453125" style="147" hidden="1" customWidth="1"/>
    <col min="127" max="128" width="3" style="147" hidden="1" customWidth="1"/>
    <col min="129" max="129" width="12.453125" style="147" hidden="1" customWidth="1"/>
    <col min="130" max="135" width="1.90625" style="147" hidden="1" customWidth="1"/>
    <col min="136" max="136" width="2.7265625" style="147" hidden="1" customWidth="1"/>
    <col min="137" max="137" width="2.7265625" style="161" bestFit="1" customWidth="1"/>
    <col min="138" max="16384" width="9.08984375" style="161"/>
  </cols>
  <sheetData>
    <row r="3" spans="1:137" x14ac:dyDescent="0.45">
      <c r="DU3" s="147">
        <v>1</v>
      </c>
      <c r="DV3" s="147" t="str">
        <f>Tournament!H12</f>
        <v>France</v>
      </c>
      <c r="DW3" s="147">
        <f>IF(AND(Tournament!J12&lt;&gt;"",Tournament!L12&lt;&gt;""),Tournament!J12,0)</f>
        <v>0</v>
      </c>
      <c r="DX3" s="147">
        <f>IF(AND(Tournament!L12&lt;&gt;"",Tournament!J12&lt;&gt;""),Tournament!L12,0)</f>
        <v>0</v>
      </c>
      <c r="DY3" s="147" t="str">
        <f>Tournament!N12</f>
        <v>New Zealand</v>
      </c>
      <c r="DZ3" s="147">
        <f>IF(Tournament!O12&lt;&gt;"",Tournament!O12,0)</f>
        <v>0</v>
      </c>
      <c r="EA3" s="147">
        <f>IF(Tournament!Q12&lt;&gt;"",Tournament!Q12,0)</f>
        <v>0</v>
      </c>
      <c r="EB3" s="147">
        <f>IF(DW3&lt;&gt;"",IF(Tournament!O12&gt;3,1,0),0)</f>
        <v>0</v>
      </c>
      <c r="EC3" s="147">
        <f>IF(DX3&lt;&gt;"",IF(Tournament!Q12&gt;3,1,0),0)</f>
        <v>0</v>
      </c>
      <c r="ED3" s="147">
        <f>IFERROR(IF(AND(DW3&lt;&gt;"",DW3&lt;DX3,DX3-DW3&lt;8),1,0),0)</f>
        <v>0</v>
      </c>
      <c r="EE3" s="147">
        <f>IFERROR(IF(AND(DX3&lt;&gt;"",DX3&lt;DW3,DW3-DX3&lt;8),1,0),0)</f>
        <v>0</v>
      </c>
      <c r="EF3" s="147" t="str">
        <f>IF(AND(Tournament!J12&lt;&gt;"",Tournament!L12&lt;&gt;""),IF(DW3&gt;DX3,"W",IF(DW3=DX3,"D","L")),"")</f>
        <v/>
      </c>
      <c r="EG3" s="161" t="str">
        <f>IF(EF3&lt;&gt;"",IF(EF3="W","L",IF(EF3="L","W","D")),"")</f>
        <v/>
      </c>
    </row>
    <row r="4" spans="1:137" x14ac:dyDescent="0.45">
      <c r="A4" s="147">
        <f>VLOOKUP(B4,DS4:DT8,2,FALSE)</f>
        <v>1</v>
      </c>
      <c r="B4" s="147" t="s">
        <v>15</v>
      </c>
      <c r="C4" s="147">
        <f>COUNTIFS(DV3:DV42,B4,EF3:EF42,"W")+COUNTIFS(DY3:DY42,B4,EG3:EG42,"W")</f>
        <v>0</v>
      </c>
      <c r="D4" s="147">
        <f>COUNTIFS(DV3:DV42,B4,EF3:EF42,"D")+COUNTIFS(DY3:DY42,B4,EG3:EG42,"D")</f>
        <v>0</v>
      </c>
      <c r="E4" s="147">
        <f>COUNTIFS(DV3:DV42,B4,EF3:EF42,"L")+COUNTIFS(DY3:DY42,B4,EG3:EG42,"L")</f>
        <v>0</v>
      </c>
      <c r="F4" s="147">
        <f>SUMIF(DV3:DV60,B4,DW3:DW60)+SUMIF(DY3:DY60,B4,DX3:DX60)</f>
        <v>0</v>
      </c>
      <c r="G4" s="147">
        <f>SUMIF(DY3:DY60,B4,DW3:DW60)+SUMIF(DV3:DV60,B4,DX3:DX60)</f>
        <v>0</v>
      </c>
      <c r="H4" s="147">
        <f>F4-G4+1000</f>
        <v>1000</v>
      </c>
      <c r="I4" s="147">
        <f>SUMIF(Tournament!H12:H51,B4,Tournament!O12:O51)+SUMIF(Tournament!N12:N51,B4,Tournament!Q12:Q51)</f>
        <v>0</v>
      </c>
      <c r="J4" s="147">
        <f>SUMIF(Tournament!N12:N51,B4,Tournament!O12:O51)+SUMIF(Tournament!H12:H51,B4,Tournament!Q12:Q51)</f>
        <v>0</v>
      </c>
      <c r="K4" s="147">
        <f>I4-J4+1000</f>
        <v>1000</v>
      </c>
      <c r="L4" s="147">
        <f>C4*4+D4*2</f>
        <v>0</v>
      </c>
      <c r="M4" s="147">
        <f>SUMIF(DV:DV,B4,EB:EB)+SUMIF(DY:DY,B4,EC:EC)</f>
        <v>0</v>
      </c>
      <c r="N4" s="147">
        <f>SUMIF(DV:DV,B4,ED:ED)+SUMIF(DY:DY,B4,EE:EE)</f>
        <v>0</v>
      </c>
      <c r="O4" s="147">
        <f>N4+M4+L4</f>
        <v>0</v>
      </c>
      <c r="P4" s="147">
        <v>20</v>
      </c>
      <c r="Q4" s="147">
        <f>RANK(O4,O4:O8)</f>
        <v>1</v>
      </c>
      <c r="S4" s="147">
        <f>RANK(O4,O4:O8)+COUNTIF(O4:O4,O4)-1</f>
        <v>1</v>
      </c>
      <c r="T4" s="147" t="str">
        <f>INDEX(B4:B8,MATCH(1,S4:S8,0),0)</f>
        <v>France</v>
      </c>
      <c r="U4" s="147">
        <f>INDEX(Q4:Q8,MATCH(T4,B4:B8,0),0)</f>
        <v>1</v>
      </c>
      <c r="V4" s="147" t="str">
        <f>IF(U5=1,T4,"")</f>
        <v>France</v>
      </c>
      <c r="W4" s="147" t="str">
        <f>IF(U6=2,T5,"")</f>
        <v/>
      </c>
      <c r="X4" s="147" t="str">
        <f>IF(U7=3,T6,"")</f>
        <v/>
      </c>
      <c r="Y4" s="147" t="str">
        <f>IF(U8=4,T7,"")</f>
        <v/>
      </c>
      <c r="AA4" s="147" t="str">
        <f>IF(V4&lt;&gt;"",V4,"")</f>
        <v>France</v>
      </c>
      <c r="AB4" s="147">
        <f>SUMPRODUCT((DV3:DV42=AA4)*(DY3:DY42=AA5)*(EF3:EF42="W"))+SUMPRODUCT((DV3:DV42=AA4)*(DY3:DY42=AA6)*(EF3:EF42="W"))+SUMPRODUCT((DV3:DV42=AA4)*(DY3:DY42=AA7)*(EF3:EF42="W"))+SUMPRODUCT((DV3:DV42=AA4)*(DY3:DY42=AA8)*(EF3:EF42="W"))+SUMPRODUCT((DV3:DV42=AA5)*(DY3:DY42=AA4)*(EG3:EG42="W"))+SUMPRODUCT((DV3:DV42=AA6)*(DY3:DY42=AA4)*(EG3:EG42="W"))+SUMPRODUCT((DV3:DV42=AA7)*(DY3:DY42=AA4)*(EG3:EG42="W"))+SUMPRODUCT((DV3:DV42=AA8)*(DY3:DY42=AA4)*(EG3:EG42="W"))</f>
        <v>0</v>
      </c>
      <c r="AC4" s="147">
        <f>SUMPRODUCT((DV3:DV42=AA4)*(DY3:DY42=AA5)*(EF3:EF42="D"))+SUMPRODUCT((DV3:DV42=AA4)*(DY3:DY42=AA6)*(EF3:EF42="D"))+SUMPRODUCT((DV3:DV42=AA4)*(DY3:DY42=AA7)*(EF3:EF42="D"))+SUMPRODUCT((DV3:DV42=AA4)*(DY3:DY42=AA8)*(EF3:EF42="D"))+SUMPRODUCT((DV3:DV42=AA5)*(DY3:DY42=AA4)*(EF3:EF42="D"))+SUMPRODUCT((DV3:DV42=AA6)*(DY3:DY42=AA4)*(EF3:EF42="D"))+SUMPRODUCT((DV3:DV42=AA7)*(DY3:DY42=AA4)*(EF3:EF42="D"))+SUMPRODUCT((DV3:DV42=AA8)*(DY3:DY42=AA4)*(EF3:EF42="D"))</f>
        <v>0</v>
      </c>
      <c r="AD4" s="147">
        <f>SUMPRODUCT((DV3:DV42=AA4)*(DY3:DY42=AA5)*(EF3:EF42="L"))+SUMPRODUCT((DV3:DV42=AA4)*(DY3:DY42=AA6)*(EF3:EF42="L"))+SUMPRODUCT((DV3:DV42=AA4)*(DY3:DY42=AA7)*(EF3:EF42="L"))+SUMPRODUCT((DV3:DV42=AA4)*(DY3:DY42=AA8)*(EF3:EF42="L"))+SUMPRODUCT((DV3:DV42=AA5)*(DY3:DY42=AA4)*(EG3:EG42="L"))+SUMPRODUCT((DV3:DV42=AA6)*(DY3:DY42=AA4)*(EG3:EG42="L"))+SUMPRODUCT((DV3:DV42=AA7)*(DY3:DY42=AA4)*(EG3:EG42="L"))+SUMPRODUCT((DV3:DV42=AA8)*(DY3:DY42=AA4)*(EG3:EG42="L"))</f>
        <v>0</v>
      </c>
      <c r="AE4" s="147">
        <f>IF(AA4&lt;&gt;"",VLOOKUP(AA4,B4:F29,5,FALSE),0)</f>
        <v>0</v>
      </c>
      <c r="AF4" s="147">
        <f>IF(AA4&lt;&gt;"",VLOOKUP(AA4,B4:G29,6,FALSE),0)</f>
        <v>0</v>
      </c>
      <c r="AG4" s="147">
        <f>AE4-AF4+1000</f>
        <v>1000</v>
      </c>
      <c r="AH4" s="147">
        <f>IF(AA4&lt;&gt;"",VLOOKUP(AA4,B4:I29,8,FALSE),0)</f>
        <v>0</v>
      </c>
      <c r="AI4" s="147">
        <f>IF(AA4&lt;&gt;"",VLOOKUP(AA4,B4:J29,9,FALSE),0)</f>
        <v>0</v>
      </c>
      <c r="AJ4" s="147">
        <f>AH4-AI4+1000</f>
        <v>1000</v>
      </c>
      <c r="AK4" s="147">
        <f>IF(AA4&lt;&gt;"",VLOOKUP(AA4,B4:F8,5,FALSE),"")</f>
        <v>0</v>
      </c>
      <c r="AL4" s="147">
        <f>IF(AA4&lt;&gt;"",VLOOKUP(AA4,B4:I8,8,FALSE),"")</f>
        <v>0</v>
      </c>
      <c r="AM4" s="147">
        <f>IF(AA4&lt;&gt;"",VLOOKUP(AA4,B4:P8,15,FALSE),"")</f>
        <v>20</v>
      </c>
      <c r="AN4" s="147">
        <f>SUMPRODUCT((DV3:DV42=AA4)*(DY3:DY42=AA5)*EB3:EB42)+SUMPRODUCT((DV3:DV42=AA4)*(DY3:DY42=AA6)*EB3:EB42)+SUMPRODUCT((DV3:DV42=AA4)*(DY3:DY42=AA7)*EB3:EB42)+SUMPRODUCT((DV3:DV42=AA4)*(DY3:DY42=AA8)*EB3:EB42)+SUMPRODUCT((DV3:DV42=AA5)*(DY3:DY42=AA4)*EC3:EC42)+SUMPRODUCT((DV3:DV42=AA6)*(DY3:DY42=AA4)*EC3:EC42)+SUMPRODUCT((DV3:DV42=AA7)*(DY3:DY42=AA4)*EC3:EC42)+SUMPRODUCT((DV3:DV42=AA8)*(DY3:DY42=AA4)*EC3:EC42)</f>
        <v>0</v>
      </c>
      <c r="AO4" s="147">
        <f>SUMPRODUCT((DV3:DV42=AA4)*(DY3:DY42=AA5)*ED3:ED42)+SUMPRODUCT((DV3:DV42=AA4)*(DY3:DY42=AA6)*ED3:ED42)+SUMPRODUCT((DV3:DV42=AA4)*(DY3:DY42=AA7)*ED3:ED42)+SUMPRODUCT((DV3:DV42=AA4)*(DY3:DY42=AA8)*ED3:ED42)+SUMPRODUCT((DV3:DV42=AA5)*(DY3:DY42=AA4)*EE3:EE42)+SUMPRODUCT((DV3:DV42=AA6)*(DY3:DY42=AA4)*EE3:EE42)+SUMPRODUCT((DV3:DV42=AA7)*(DY3:DY42=AA4)*EE3:EE42)+SUMPRODUCT((DV3:DV42=AA8)*(DY3:DY42=AA4)*EE3:EE42)</f>
        <v>0</v>
      </c>
      <c r="AP4" s="147">
        <f>AB4*4+AC4*2+AN4+AO4</f>
        <v>0</v>
      </c>
      <c r="AQ4" s="147">
        <f>IF(AA4&lt;&gt;"",RANK(AP4,AP4:AP8),"")</f>
        <v>1</v>
      </c>
      <c r="AR4" s="147">
        <f>SUMPRODUCT((AP4:AP8=AP4)*(AG4:AG8&gt;AG4))</f>
        <v>0</v>
      </c>
      <c r="AS4" s="147">
        <f>SUMPRODUCT((AP4:AP8=AP4)*(AG4:AG8=AG4)*(AJ4:AJ8&gt;AJ4))</f>
        <v>0</v>
      </c>
      <c r="AT4" s="147">
        <f>SUMPRODUCT((AP4:AP8=AP4)*(AG4:AG8=AG4)*(AJ4:AJ8=AJ4)*(AK4:AK8&gt;AK4))</f>
        <v>0</v>
      </c>
      <c r="AU4" s="147">
        <f>SUMPRODUCT((AP4:AP8=AP4)*(AG4:AG8=AG4)*(AJ4:AJ8=AJ4)*(AK4:AK8=AK4)*(AL4:AL8&gt;AL4))</f>
        <v>0</v>
      </c>
      <c r="AV4" s="147">
        <f>SUMPRODUCT((AP4:AP8=AP4)*(AG4:AG8=AG4)*(AJ4:AJ8=AJ4)*(AK4:AK8=AK4)*(AL4:AL8=AL4)*(AM4:AM8&gt;AM4))</f>
        <v>0</v>
      </c>
      <c r="AW4" s="147">
        <f>IF(AA4&lt;&gt;"",SUM(AQ4:AV4),"")</f>
        <v>1</v>
      </c>
      <c r="AX4" s="147" t="str">
        <f>IF(AA4&lt;&gt;"",INDEX(AA4:AA8,MATCH(1,AW4:AW8,0),0),"")</f>
        <v>France</v>
      </c>
      <c r="DS4" s="147" t="str">
        <f>IF(AX4&lt;&gt;"",AX4,T4)</f>
        <v>France</v>
      </c>
      <c r="DT4" s="147">
        <v>1</v>
      </c>
      <c r="DU4" s="147">
        <v>2</v>
      </c>
      <c r="DV4" s="147" t="str">
        <f>Tournament!H13</f>
        <v>Italy</v>
      </c>
      <c r="DW4" s="147">
        <f>IF(AND(Tournament!J13&lt;&gt;"",Tournament!L13&lt;&gt;""),Tournament!J13,0)</f>
        <v>0</v>
      </c>
      <c r="DX4" s="147">
        <f>IF(AND(Tournament!L13&lt;&gt;"",Tournament!J13&lt;&gt;""),Tournament!L13,0)</f>
        <v>0</v>
      </c>
      <c r="DY4" s="147" t="str">
        <f>Tournament!N13</f>
        <v>Namibia</v>
      </c>
      <c r="DZ4" s="147">
        <f>IF(Tournament!O13&lt;&gt;"",Tournament!O13,0)</f>
        <v>0</v>
      </c>
      <c r="EA4" s="147">
        <f>IF(Tournament!Q13&lt;&gt;"",Tournament!Q13,0)</f>
        <v>0</v>
      </c>
      <c r="EB4" s="147">
        <f>IF(DW4&lt;&gt;"",IF(Tournament!O13&gt;3,1,0),0)</f>
        <v>0</v>
      </c>
      <c r="EC4" s="147">
        <f>IF(DX4&lt;&gt;"",IF(Tournament!Q13&gt;3,1,0),0)</f>
        <v>0</v>
      </c>
      <c r="ED4" s="147">
        <f t="shared" ref="ED4:ED42" si="0">IFERROR(IF(AND(DW4&lt;&gt;"",DW4&lt;DX4,DX4-DW4&lt;8),1,0),0)</f>
        <v>0</v>
      </c>
      <c r="EE4" s="147">
        <f t="shared" ref="EE4:EE42" si="1">IFERROR(IF(AND(DX4&lt;&gt;"",DX4&lt;DW4,DW4-DX4&lt;8),1,0),0)</f>
        <v>0</v>
      </c>
      <c r="EF4" s="147" t="str">
        <f>IF(AND(Tournament!J13&lt;&gt;"",Tournament!L13&lt;&gt;""),IF(DW4&gt;DX4,"W",IF(DW4=DX4,"D","L")),"")</f>
        <v/>
      </c>
      <c r="EG4" s="161" t="str">
        <f t="shared" ref="EG4:EG42" si="2">IF(EF4&lt;&gt;"",IF(EF4="W","L",IF(EF4="L","W","D")),"")</f>
        <v/>
      </c>
    </row>
    <row r="5" spans="1:137" x14ac:dyDescent="0.45">
      <c r="A5" s="147">
        <f>VLOOKUP(B5,DS4:DT8,2,FALSE)</f>
        <v>3</v>
      </c>
      <c r="B5" s="147" t="s">
        <v>14</v>
      </c>
      <c r="C5" s="147">
        <f>COUNTIFS(DV3:DV42,B5,EF3:EF42,"W")+COUNTIFS(DY3:DY42,B5,EG3:EG42,"W")</f>
        <v>0</v>
      </c>
      <c r="D5" s="147">
        <f>COUNTIFS(DV3:DV42,B5,EF3:EF42,"D")+COUNTIFS(DY3:DY42,B5,EG3:EG42,"D")</f>
        <v>0</v>
      </c>
      <c r="E5" s="147">
        <f>COUNTIFS(DV3:DV42,B5,EF3:EF42,"L")+COUNTIFS(DY3:DY42,B5,EG3:EG42,"L")</f>
        <v>0</v>
      </c>
      <c r="F5" s="147">
        <f>SUMIF(DV3:DV60,B5,DW3:DW60)+SUMIF(DY3:DY60,B5,DX3:DX60)</f>
        <v>0</v>
      </c>
      <c r="G5" s="147">
        <f>SUMIF(DY3:DY60,B5,DW3:DW60)+SUMIF(DV3:DV60,B5,DX3:DX60)</f>
        <v>0</v>
      </c>
      <c r="H5" s="147">
        <f t="shared" ref="H5:H8" si="3">F5-G5+1000</f>
        <v>1000</v>
      </c>
      <c r="I5" s="147">
        <f>SUMIF(Tournament!H12:H51,B5,Tournament!O12:O51)+SUMIF(Tournament!N12:N51,B5,Tournament!Q12:Q51)</f>
        <v>0</v>
      </c>
      <c r="J5" s="147">
        <f>SUMIF(Tournament!N12:N51,B5,Tournament!O12:O51)+SUMIF(Tournament!H12:H51,B5,Tournament!Q12:Q51)</f>
        <v>0</v>
      </c>
      <c r="K5" s="147">
        <f t="shared" ref="K5:K8" si="4">I5-J5+1000</f>
        <v>1000</v>
      </c>
      <c r="L5" s="147">
        <f t="shared" ref="L5:L8" si="5">C5*4+D5*2</f>
        <v>0</v>
      </c>
      <c r="M5" s="147">
        <f>SUMIF(DV:DV,B5,EB:EB)+SUMIF(DY:DY,B5,EC:EC)</f>
        <v>0</v>
      </c>
      <c r="N5" s="147">
        <f>SUMIF(DV:DV,B5,ED:ED)+SUMIF(DY:DY,B5,EE:EE)</f>
        <v>0</v>
      </c>
      <c r="O5" s="147">
        <f t="shared" ref="O5:O8" si="6">N5+M5+L5</f>
        <v>0</v>
      </c>
      <c r="P5" s="147">
        <v>10</v>
      </c>
      <c r="Q5" s="147">
        <f>RANK(O5,O4:O8)</f>
        <v>1</v>
      </c>
      <c r="S5" s="147">
        <f>RANK(O5,O4:O8)+COUNTIF(O4:O5,O5)-1</f>
        <v>2</v>
      </c>
      <c r="T5" s="147" t="str">
        <f>INDEX(B4:B8,MATCH(2,S4:S8,0),0)</f>
        <v>Italy</v>
      </c>
      <c r="U5" s="147">
        <f>INDEX(Q4:Q8,MATCH(T5,B4:B8,0),0)</f>
        <v>1</v>
      </c>
      <c r="V5" s="147" t="str">
        <f>IF(V4&lt;&gt;"",T5,"")</f>
        <v>Italy</v>
      </c>
      <c r="W5" s="147" t="str">
        <f>IF(W4&lt;&gt;"",T6,"")</f>
        <v/>
      </c>
      <c r="X5" s="147" t="str">
        <f>IF(X4&lt;&gt;"",T7,"")</f>
        <v/>
      </c>
      <c r="Y5" s="147" t="str">
        <f>IF(Y4&lt;&gt;"",T8,"")</f>
        <v/>
      </c>
      <c r="AA5" s="147" t="str">
        <f t="shared" ref="AA5:AA8" si="7">IF(V5&lt;&gt;"",V5,"")</f>
        <v>Italy</v>
      </c>
      <c r="AB5" s="147">
        <f>SUMPRODUCT((DV3:DV42=AA5)*(DY3:DY42=AA6)*(EF3:EF42="W"))+SUMPRODUCT((DV3:DV42=AA5)*(DY3:DY42=AA7)*(EF3:EF42="W"))+SUMPRODUCT((DV3:DV42=AA5)*(DY3:DY42=AA8)*(EF3:EF42="W"))+SUMPRODUCT((DV3:DV42=AA5)*(DY3:DY42=AA4)*(EF3:EF42="W"))+SUMPRODUCT((DV3:DV42=AA6)*(DY3:DY42=AA5)*(EG3:EG42="W"))+SUMPRODUCT((DV3:DV42=AA7)*(DY3:DY42=AA5)*(EG3:EG42="W"))+SUMPRODUCT((DV3:DV42=AA8)*(DY3:DY42=AA5)*(EG3:EG42="W"))+SUMPRODUCT((DV3:DV42=AA4)*(DY3:DY42=AA5)*(EG3:EG42="W"))</f>
        <v>0</v>
      </c>
      <c r="AC5" s="147">
        <f>SUMPRODUCT((DV3:DV42=AA5)*(DY3:DY42=AA6)*(EF3:EF42="D"))+SUMPRODUCT((DV3:DV42=AA5)*(DY3:DY42=AA7)*(EF3:EF42="D"))+SUMPRODUCT((DV3:DV42=AA5)*(DY3:DY42=AA8)*(EF3:EF42="D"))+SUMPRODUCT((DV3:DV42=AA5)*(DY3:DY42=AA4)*(EF3:EF42="D"))+SUMPRODUCT((DV3:DV42=AA6)*(DY3:DY42=AA5)*(EF3:EF42="D"))+SUMPRODUCT((DV3:DV42=AA7)*(DY3:DY42=AA5)*(EF3:EF42="D"))+SUMPRODUCT((DV3:DV42=AA8)*(DY3:DY42=AA5)*(EF3:EF42="D"))+SUMPRODUCT((DV3:DV42=AA4)*(DY3:DY42=AA5)*(EF3:EF42="D"))</f>
        <v>0</v>
      </c>
      <c r="AD5" s="147">
        <f>SUMPRODUCT((DV3:DV42=AA5)*(DY3:DY42=AA6)*(EF3:EF42="L"))+SUMPRODUCT((DV3:DV42=AA5)*(DY3:DY42=AA7)*(EF3:EF42="L"))+SUMPRODUCT((DV3:DV42=AA5)*(DY3:DY42=AA8)*(EF3:EF42="L"))+SUMPRODUCT((DV3:DV42=AA5)*(DY3:DY42=AA4)*(EF3:EF42="L"))+SUMPRODUCT((DV3:DV42=AA6)*(DY3:DY42=AA5)*(EG3:EG42="L"))+SUMPRODUCT((DV3:DV42=AA7)*(DY3:DY42=AA5)*(EG3:EG42="L"))+SUMPRODUCT((DV3:DV42=AA8)*(DY3:DY42=AA5)*(EG3:EG42="L"))+SUMPRODUCT((DV3:DV42=AA4)*(DY3:DY42=AA5)*(EG3:EG42="L"))</f>
        <v>0</v>
      </c>
      <c r="AE5" s="147">
        <f>IF(AA5&lt;&gt;"",VLOOKUP(AA5,B4:F29,5,FALSE),0)</f>
        <v>0</v>
      </c>
      <c r="AF5" s="147">
        <f>IF(AA5&lt;&gt;"",VLOOKUP(AA5,B4:G29,6,FALSE),0)</f>
        <v>0</v>
      </c>
      <c r="AG5" s="147">
        <f>AE5-AF5+1000</f>
        <v>1000</v>
      </c>
      <c r="AH5" s="147">
        <f>IF(AA5&lt;&gt;"",VLOOKUP(AA5,B4:I29,8,FALSE),0)</f>
        <v>0</v>
      </c>
      <c r="AI5" s="147">
        <f>IF(AA5&lt;&gt;"",VLOOKUP(AA5,B4:J29,9,FALSE),0)</f>
        <v>0</v>
      </c>
      <c r="AJ5" s="147">
        <f>AH5-AI5+1000</f>
        <v>1000</v>
      </c>
      <c r="AK5" s="147">
        <f>IF(AA5&lt;&gt;"",VLOOKUP(AA5,B4:F8,5,FALSE),"")</f>
        <v>0</v>
      </c>
      <c r="AL5" s="147">
        <f>IF(AA5&lt;&gt;"",VLOOKUP(AA5,B4:I8,8,FALSE),"")</f>
        <v>0</v>
      </c>
      <c r="AM5" s="147">
        <f>IF(AA5&lt;&gt;"",VLOOKUP(AA5,B4:P8,15,FALSE),"")</f>
        <v>10</v>
      </c>
      <c r="AN5" s="147">
        <f>SUMPRODUCT((DV3:DV42=AA5)*(DY3:DY42=AA6)*EB3:EB42)+SUMPRODUCT((DV3:DV42=AA5)*(DY3:DY42=AA7)*EB3:EB42)+SUMPRODUCT((DV3:DV42=AA5)*(DY3:DY42=AA8)*EB3:EB42)+SUMPRODUCT((DV3:DV42=AA5)*(DY3:DY42=AA4)*EB3:EB42)+SUMPRODUCT((DV3:DV42=AA6)*(DY3:DY42=AA5)*EC3:EC42)+SUMPRODUCT((DV3:DV42=AA7)*(DY3:DY42=AA5)*EC3:EC42)+SUMPRODUCT((DV3:DV42=AA8)*(DY3:DY42=AA5)*EC3:EC42)+SUMPRODUCT((DV3:DV42=AA4)*(DY3:DY42=AA5)*EC3:EC42)</f>
        <v>0</v>
      </c>
      <c r="AO5" s="147">
        <f>SUMPRODUCT((DV3:DV42=AA5)*(DY3:DY42=AA6)*ED3:ED42)+SUMPRODUCT((DV3:DV42=AA5)*(DY3:DY42=AA7)*ED3:ED42)+SUMPRODUCT((DV3:DV42=AA5)*(DY3:DY42=AA8)*ED3:ED42)+SUMPRODUCT((DV3:DV42=AA5)*(DY3:DY42=AA4)*ED3:ED42)+SUMPRODUCT((DV3:DV42=AA6)*(DY3:DY42=AA5)*EE3:EE42)+SUMPRODUCT((DV3:DV42=AA7)*(DY3:DY42=AA5)*EE3:EE42)+SUMPRODUCT((DV3:DV42=AA8)*(DY3:DY42=AA5)*EE3:EE42)+SUMPRODUCT((DV3:DV42=AA4)*(DY3:DY42=AA5)*EE3:EE42)</f>
        <v>0</v>
      </c>
      <c r="AP5" s="147">
        <f>AB5*4+AC5*2+AN5+AO5</f>
        <v>0</v>
      </c>
      <c r="AQ5" s="147">
        <f>IF(AA5&lt;&gt;"",RANK(AP5,AP4:AP8),"")</f>
        <v>1</v>
      </c>
      <c r="AR5" s="147">
        <f>SUMPRODUCT((AP4:AP8=AP5)*(AG4:AG8&gt;AG5))</f>
        <v>0</v>
      </c>
      <c r="AS5" s="147">
        <f>SUMPRODUCT((AP4:AP8=AP5)*(AG4:AG8=AG5)*(AJ4:AJ8&gt;AJ5))</f>
        <v>0</v>
      </c>
      <c r="AT5" s="147">
        <f>SUMPRODUCT((AP4:AP8=AP5)*(AG4:AG8=AG5)*(AJ4:AJ8=AJ5)*(AK4:AK8&gt;AK5))</f>
        <v>0</v>
      </c>
      <c r="AU5" s="147">
        <f>SUMPRODUCT((AP4:AP8=AP5)*(AG4:AG8=AG5)*(AJ4:AJ8=AJ5)*(AK4:AK8=AK5)*(AL4:AL8&gt;AL5))</f>
        <v>0</v>
      </c>
      <c r="AV5" s="147">
        <f>SUMPRODUCT((AP4:AP8=AP5)*(AG4:AG8=AG5)*(AJ4:AJ8=AJ5)*(AK4:AK8=AK5)*(AL4:AL8=AL5)*(AM4:AM8&gt;AM5))</f>
        <v>2</v>
      </c>
      <c r="AW5" s="147">
        <f t="shared" ref="AW5:AW8" si="8">IF(AA5&lt;&gt;"",SUM(AQ5:AV5),"")</f>
        <v>3</v>
      </c>
      <c r="AX5" s="147" t="str">
        <f>IF(AA5&lt;&gt;"",INDEX(AA4:AA8,MATCH(2,AW4:AW8,0),0),"")</f>
        <v>New Zealand</v>
      </c>
      <c r="AY5" s="147" t="str">
        <f>IF(W4&lt;&gt;"",W4,"")</f>
        <v/>
      </c>
      <c r="AZ5" s="147">
        <f>SUMPRODUCT((DV3:DV42=AY5)*(DY3:DY42=AY6)*(EF3:EF42="W"))+SUMPRODUCT((DV3:DV42=AY5)*(DY3:DY42=AY7)*(EF3:EF42="W"))+SUMPRODUCT((DV3:DV42=AY5)*(DY3:DY42=AY8)*(EF3:EF42="W"))+SUMPRODUCT((DV3:DV42=AY6)*(DY3:DY42=AY5)*(EG3:EG42="W"))+SUMPRODUCT((DV3:DV42=AY7)*(DY3:DY42=AY5)*(EG3:EG42="W"))+SUMPRODUCT((DV3:DV42=AY8)*(DY3:DY42=AY5)*(EG3:EG42="W"))</f>
        <v>0</v>
      </c>
      <c r="BA5" s="147">
        <f>SUMPRODUCT((DV3:DV42=AY5)*(DY3:DY42=AY6)*(EF3:EF42="D"))+SUMPRODUCT((DV3:DV42=AY5)*(DY3:DY42=AY7)*(EF3:EF42="D"))+SUMPRODUCT((DV3:DV42=AY5)*(DY3:DY42=AY8)*(EF3:EF42="D"))+SUMPRODUCT((DV3:DV42=AY6)*(DY3:DY42=AY5)*(EF3:EF42="D"))+SUMPRODUCT((DV3:DV42=AY7)*(DY3:DY42=AY5)*(EF3:EF42="D"))+SUMPRODUCT((DV3:DV42=AY8)*(DY3:DY42=AY5)*(EF3:EF42="D"))</f>
        <v>0</v>
      </c>
      <c r="BB5" s="147">
        <f>SUMPRODUCT((DV3:DV42=AY5)*(DY3:DY42=AY6)*(EF3:EF42="L"))+SUMPRODUCT((DV3:DV42=AY5)*(DY3:DY42=AY7)*(EF3:EF42="L"))+SUMPRODUCT((DV3:DV42=AY5)*(DY3:DY42=AY8)*(EF3:EF42="L"))+SUMPRODUCT((DV3:DV42=AY6)*(DY3:DY42=AY5)*(EG3:EG42="L"))+SUMPRODUCT((DV3:DV42=AY7)*(DY3:DY42=AY5)*(EG3:EG42="L"))+SUMPRODUCT((DV3:DV42=AY8)*(DY3:DY42=AY5)*(EG3:EG42="L"))</f>
        <v>0</v>
      </c>
      <c r="BC5" s="147">
        <f>IF(AY5&lt;&gt;"",VLOOKUP(AY5,B4:F29,5,FALSE),0)</f>
        <v>0</v>
      </c>
      <c r="BD5" s="147">
        <f>IF(AY5&lt;&gt;"",VLOOKUP(AY5,B4:G29,6,FALSE),0)</f>
        <v>0</v>
      </c>
      <c r="BE5" s="147">
        <f>BC5-BD5+1000</f>
        <v>1000</v>
      </c>
      <c r="BF5" s="147">
        <f>IF(AY5&lt;&gt;"",VLOOKUP(AY5,B4:I29,8,FALSE),0)</f>
        <v>0</v>
      </c>
      <c r="BG5" s="147">
        <f>IF(AY5&lt;&gt;"",VLOOKUP(AY5,B4:J29,9,FALSE),0)</f>
        <v>0</v>
      </c>
      <c r="BH5" s="147">
        <f>BF5-BG5+1000</f>
        <v>1000</v>
      </c>
      <c r="BI5" s="147" t="str">
        <f>IF(AY5&lt;&gt;"",VLOOKUP(AY5,B4:F8,5,FALSE),"")</f>
        <v/>
      </c>
      <c r="BJ5" s="147" t="str">
        <f>IF(AY5&lt;&gt;"",VLOOKUP(AY5,B4:I8,8,FALSE),"")</f>
        <v/>
      </c>
      <c r="BK5" s="147" t="str">
        <f>IF(AY5&lt;&gt;"",VLOOKUP(AY5,B4:P8,15,FALSE),"")</f>
        <v/>
      </c>
      <c r="BL5" s="147">
        <f>SUMPRODUCT((DV3:DV42=AY5)*(DY3:DY42=AY6)*EB3:EB42)+SUMPRODUCT((DV3:DV42=AY5)*(DY3:DY42=AY7)*EB3:EB42)+SUMPRODUCT((DV3:DV42=AY5)*(DY3:DY42=AY8)*EB3:EB42)+SUMPRODUCT((DV3:DV42=AY6)*(DY3:DY42=AY5)*EC3:EC42)+SUMPRODUCT((DV3:DV42=AY7)*(DY3:DY42=AY5)*EC3:EC42)+SUMPRODUCT((DV3:DV42=AY8)*(DY3:DY42=AY5)*EC3:EC42)</f>
        <v>0</v>
      </c>
      <c r="BM5" s="147">
        <f>SUMPRODUCT((DV3:DV42=AY5)*(DY3:DY42=AY6)*ED3:ED42)+SUMPRODUCT((DV3:DV42=AY5)*(DY3:DY42=AY7)*ED3:ED42)+SUMPRODUCT((DV3:DV42=AY5)*(DY3:DY42=AY8)*ED3:ED42)+SUMPRODUCT((DV3:DV42=AY6)*(DY3:DY42=AY5)*EE3:EE42)+SUMPRODUCT((DV3:DV42=AY7)*(DY3:DY42=AY5)*EE3:EE42)+SUMPRODUCT((DV3:DV42=AY8)*(DY3:DY42=AY5)*EE3:EE42)</f>
        <v>0</v>
      </c>
      <c r="BN5" s="147">
        <f>AZ5*4+BA5*2+BL5+BM5</f>
        <v>0</v>
      </c>
      <c r="BO5" s="147" t="str">
        <f>IF(AY5&lt;&gt;"",RANK(BN5,BN5:BN8),"")</f>
        <v/>
      </c>
      <c r="BP5" s="147">
        <f>SUMPRODUCT((BN5:BN8=BN5)*(BE5:BE8&gt;BE5))</f>
        <v>0</v>
      </c>
      <c r="BQ5" s="147">
        <f>SUMPRODUCT((BN5:BN8=BN5)*(BE5:BE8=BE5)*(BH5:BH8&gt;BH5))</f>
        <v>0</v>
      </c>
      <c r="BR5" s="147">
        <f>SUMPRODUCT((BN4:BN8=BN5)*(BE4:BE8=BE5)*(BH4:BH8=BH5)*(BI4:BI8&gt;BI5))</f>
        <v>0</v>
      </c>
      <c r="BS5" s="147">
        <f>SUMPRODUCT((BN4:BN8=BN5)*(BE4:BE8=BE5)*(BH4:BH8=BH5)*(BI4:BI8=BI5)*(BJ4:BJ8&gt;BJ5))</f>
        <v>0</v>
      </c>
      <c r="BT5" s="147">
        <f>SUMPRODUCT((BN4:BN8=BN5)*(BE4:BE8=BE5)*(BH4:BH8=BH5)*(BI4:BI8=BI5)*(BJ4:BJ8=BJ5)*(BK4:BK8&gt;BK5))</f>
        <v>0</v>
      </c>
      <c r="BU5" s="147" t="str">
        <f>IF(AY5&lt;&gt;"",SUM(BO5:BT5)+1,"")</f>
        <v/>
      </c>
      <c r="BV5" s="147" t="str">
        <f>IF(AY5&lt;&gt;"",INDEX(AY5:AY8,MATCH(2,BU5:BU8,0),0),"")</f>
        <v/>
      </c>
      <c r="DS5" s="147" t="str">
        <f>IF(BV5&lt;&gt;"",BV5,IF(AX5&lt;&gt;"",AX5,T5))</f>
        <v>New Zealand</v>
      </c>
      <c r="DT5" s="147">
        <v>2</v>
      </c>
      <c r="DU5" s="147">
        <v>3</v>
      </c>
      <c r="DV5" s="147" t="str">
        <f>Tournament!H14</f>
        <v>Ireland</v>
      </c>
      <c r="DW5" s="147">
        <f>IF(AND(Tournament!J14&lt;&gt;"",Tournament!L14&lt;&gt;""),Tournament!J14,0)</f>
        <v>0</v>
      </c>
      <c r="DX5" s="147">
        <f>IF(AND(Tournament!L14&lt;&gt;"",Tournament!J14&lt;&gt;""),Tournament!L14,0)</f>
        <v>0</v>
      </c>
      <c r="DY5" s="147" t="str">
        <f>Tournament!N14</f>
        <v>Romania</v>
      </c>
      <c r="DZ5" s="147">
        <f>IF(Tournament!O14&lt;&gt;"",Tournament!O14,0)</f>
        <v>0</v>
      </c>
      <c r="EA5" s="147">
        <f>IF(Tournament!Q14&lt;&gt;"",Tournament!Q14,0)</f>
        <v>0</v>
      </c>
      <c r="EB5" s="147">
        <f>IF(DW5&lt;&gt;"",IF(Tournament!O14&gt;3,1,0),0)</f>
        <v>0</v>
      </c>
      <c r="EC5" s="147">
        <f>IF(DX5&lt;&gt;"",IF(Tournament!Q14&gt;3,1,0),0)</f>
        <v>0</v>
      </c>
      <c r="ED5" s="147">
        <f t="shared" si="0"/>
        <v>0</v>
      </c>
      <c r="EE5" s="147">
        <f t="shared" si="1"/>
        <v>0</v>
      </c>
      <c r="EF5" s="147" t="str">
        <f>IF(AND(Tournament!J14&lt;&gt;"",Tournament!L14&lt;&gt;""),IF(DW5&gt;DX5,"W",IF(DW5=DX5,"D","L")),"")</f>
        <v/>
      </c>
      <c r="EG5" s="161" t="str">
        <f t="shared" si="2"/>
        <v/>
      </c>
    </row>
    <row r="6" spans="1:137" x14ac:dyDescent="0.45">
      <c r="A6" s="147">
        <f>VLOOKUP(B6,DS4:DT8,2,FALSE)</f>
        <v>5</v>
      </c>
      <c r="B6" s="147" t="s">
        <v>38</v>
      </c>
      <c r="C6" s="147">
        <f>COUNTIFS(DV3:DV42,B6,EF3:EF42,"W")+COUNTIFS(DY3:DY42,B6,EG3:EG42,"W")</f>
        <v>0</v>
      </c>
      <c r="D6" s="147">
        <f>COUNTIFS(DV3:DV42,B6,EF3:EF42,"D")+COUNTIFS(DY3:DY42,B6,EG3:EG42,"D")</f>
        <v>0</v>
      </c>
      <c r="E6" s="147">
        <f>COUNTIFS(DV3:DV42,B6,EF3:EF42,"L")+COUNTIFS(DY3:DY42,B6,EG3:EG42,"L")</f>
        <v>0</v>
      </c>
      <c r="F6" s="147">
        <f>SUMIF(DV3:DV60,B6,DW3:DW60)+SUMIF(DY3:DY60,B6,DX3:DX60)</f>
        <v>0</v>
      </c>
      <c r="G6" s="147">
        <f>SUMIF(DY3:DY60,B6,DW3:DW60)+SUMIF(DV3:DV60,B6,DX3:DX60)</f>
        <v>0</v>
      </c>
      <c r="H6" s="147">
        <f t="shared" si="3"/>
        <v>1000</v>
      </c>
      <c r="I6" s="147">
        <f>SUMIF(Tournament!H12:H51,B6,Tournament!O12:O51)+SUMIF(Tournament!N12:N51,B6,Tournament!Q12:Q51)</f>
        <v>0</v>
      </c>
      <c r="J6" s="147">
        <f>SUMIF(Tournament!N12:N51,B6,Tournament!O12:O51)+SUMIF(Tournament!H12:H51,B6,Tournament!Q12:Q51)</f>
        <v>0</v>
      </c>
      <c r="K6" s="147">
        <f t="shared" si="4"/>
        <v>1000</v>
      </c>
      <c r="L6" s="147">
        <f t="shared" si="5"/>
        <v>0</v>
      </c>
      <c r="M6" s="147">
        <f>SUMIF(DV:DV,B6,EB:EB)+SUMIF(DY:DY,B6,EC:EC)</f>
        <v>0</v>
      </c>
      <c r="N6" s="147">
        <f>SUMIF(DV:DV,B6,ED:ED)+SUMIF(DY:DY,B6,EE:EE)</f>
        <v>0</v>
      </c>
      <c r="O6" s="147">
        <f t="shared" si="6"/>
        <v>0</v>
      </c>
      <c r="P6" s="147">
        <v>2</v>
      </c>
      <c r="Q6" s="147">
        <f>RANK(O6,O4:O8)</f>
        <v>1</v>
      </c>
      <c r="S6" s="147">
        <f>RANK(O6,O4:O8)+COUNTIF(O4:O6,O6)-1</f>
        <v>3</v>
      </c>
      <c r="T6" s="147" t="str">
        <f>INDEX(B4:B8,MATCH(3,S4:S8,0),0)</f>
        <v>Namibia</v>
      </c>
      <c r="U6" s="147">
        <f>INDEX(Q4:Q8,MATCH(T6,B4:B8,0),0)</f>
        <v>1</v>
      </c>
      <c r="V6" s="147" t="str">
        <f>IF(AND(V5&lt;&gt;"",U6=1),T6,"")</f>
        <v>Namibia</v>
      </c>
      <c r="W6" s="147" t="str">
        <f>IF(AND(W5&lt;&gt;"",U7=2),T7,"")</f>
        <v/>
      </c>
      <c r="X6" s="147" t="str">
        <f>IF(AND(X5&lt;&gt;"",U8=3),T8,"")</f>
        <v/>
      </c>
      <c r="AA6" s="147" t="str">
        <f t="shared" si="7"/>
        <v>Namibia</v>
      </c>
      <c r="AB6" s="147">
        <f>SUMPRODUCT((DV3:DV42=AA6)*(DY3:DY42=AA7)*(EF3:EF42="W"))+SUMPRODUCT((DV3:DV42=AA6)*(DY3:DY42=AA8)*(EF3:EF42="W"))+SUMPRODUCT((DV3:DV42=AA6)*(DY3:DY42=AA4)*(EF3:EF42="W"))+SUMPRODUCT((DV3:DV42=AA6)*(DY3:DY42=AA5)*(EF3:EF42="W"))+SUMPRODUCT((DV3:DV42=AA7)*(DY3:DY42=AA6)*(EG3:EG42="W"))+SUMPRODUCT((DV3:DV42=AA8)*(DY3:DY42=AA6)*(EG3:EG42="W"))+SUMPRODUCT((DV3:DV42=AA4)*(DY3:DY42=AA6)*(EG3:EG42="W"))+SUMPRODUCT((DV3:DV42=AA5)*(DY3:DY42=AA6)*(EG3:EG42="W"))</f>
        <v>0</v>
      </c>
      <c r="AC6" s="147">
        <f>SUMPRODUCT((DV3:DV42=AA6)*(DY3:DY42=AA7)*(EF3:EF42="D"))+SUMPRODUCT((DV3:DV42=AA6)*(DY3:DY42=AA8)*(EF3:EF42="D"))+SUMPRODUCT((DV3:DV42=AA6)*(DY3:DY42=AA4)*(EF3:EF42="D"))+SUMPRODUCT((DV3:DV42=AA6)*(DY3:DY42=AA5)*(EF3:EF42="D"))+SUMPRODUCT((DV3:DV42=AA7)*(DY3:DY42=AA6)*(EF3:EF42="D"))+SUMPRODUCT((DV3:DV42=AA8)*(DY3:DY42=AA6)*(EF3:EF42="D"))+SUMPRODUCT((DV3:DV42=AA4)*(DY3:DY42=AA6)*(EF3:EF42="D"))+SUMPRODUCT((DV3:DV42=AA5)*(DY3:DY42=AA6)*(EF3:EF42="D"))</f>
        <v>0</v>
      </c>
      <c r="AD6" s="147">
        <f>SUMPRODUCT((DV3:DV42=AA6)*(DY3:DY42=AA7)*(EF3:EF42="L"))+SUMPRODUCT((DV3:DV42=AA6)*(DY3:DY42=AA8)*(EF3:EF42="L"))+SUMPRODUCT((DV3:DV42=AA6)*(DY3:DY42=AA4)*(EF3:EF42="L"))+SUMPRODUCT((DV3:DV42=AA6)*(DY3:DY42=AA5)*(EF3:EF42="L"))+SUMPRODUCT((DV3:DV42=AA7)*(DY3:DY42=AA6)*(EG3:EG42="L"))+SUMPRODUCT((DV3:DV42=AA8)*(DY3:DY42=AA6)*(EG3:EG42="L"))+SUMPRODUCT((DV3:DV42=AA4)*(DY3:DY42=AA6)*(EG3:EG42="L"))+SUMPRODUCT((DV3:DV42=AA5)*(DY3:DY42=AA6)*(EG3:EG42="L"))</f>
        <v>0</v>
      </c>
      <c r="AE6" s="147">
        <f>IF(AA6&lt;&gt;"",VLOOKUP(AA6,B4:F29,5,FALSE),0)</f>
        <v>0</v>
      </c>
      <c r="AF6" s="147">
        <f>IF(AA6&lt;&gt;"",VLOOKUP(AA6,B4:G29,6,FALSE),0)</f>
        <v>0</v>
      </c>
      <c r="AG6" s="147">
        <f>AE6-AF6+1000</f>
        <v>1000</v>
      </c>
      <c r="AH6" s="147">
        <f>IF(AA6&lt;&gt;"",VLOOKUP(AA6,B4:I29,8,FALSE),0)</f>
        <v>0</v>
      </c>
      <c r="AI6" s="147">
        <f>IF(AA6&lt;&gt;"",VLOOKUP(AA6,B4:J29,9,FALSE),0)</f>
        <v>0</v>
      </c>
      <c r="AJ6" s="147">
        <f>AH6-AI6+1000</f>
        <v>1000</v>
      </c>
      <c r="AK6" s="147">
        <f>IF(AA6&lt;&gt;"",VLOOKUP(AA6,B4:F8,5,FALSE),"")</f>
        <v>0</v>
      </c>
      <c r="AL6" s="147">
        <f>IF(AA6&lt;&gt;"",VLOOKUP(AA6,B4:I8,8,FALSE),"")</f>
        <v>0</v>
      </c>
      <c r="AM6" s="147">
        <f>IF(AA6&lt;&gt;"",VLOOKUP(AA6,B4:P8,15,FALSE),"")</f>
        <v>2</v>
      </c>
      <c r="AN6" s="147">
        <f>SUMPRODUCT((DV3:DV42=AA6)*(DY3:DY42=AA7)*EB3:EB42)+SUMPRODUCT((DV3:DV42=AA6)*(DY3:DY42=AA8)*EB3:EB42)+SUMPRODUCT((DV3:DV42=AA6)*(DY3:DY42=AA4)*EB3:EB42)+SUMPRODUCT((DV3:DV42=AA6)*(DY3:DY42=AA5)*EB3:EB42)+SUMPRODUCT((DV3:DV42=AA7)*(DY3:DY42=AA6)*EC3:EC42)+SUMPRODUCT((DV3:DV42=AA8)*(DY3:DY42=AA6)*EC3:EC42)+SUMPRODUCT((DV3:DV42=AA4)*(DY3:DY42=AA6)*EC3:EC42)+SUMPRODUCT((DV3:DV42=AA5)*(DY3:DY42=AA6)*EC3:EC42)</f>
        <v>0</v>
      </c>
      <c r="AO6" s="147">
        <f>SUMPRODUCT((DV3:DV42=AA6)*(DY3:DY42=AA7)*ED3:ED42)+SUMPRODUCT((DV3:DV42=AA6)*(DY3:DY42=AA8)*ED3:ED42)+SUMPRODUCT((DV3:DV42=AA6)*(DY3:DY42=AA4)*ED3:ED42)+SUMPRODUCT((DV3:DV42=AA6)*(DY3:DY42=AA5)*ED3:ED42)+SUMPRODUCT((DV3:DV42=AA7)*(DY3:DY42=AA6)*EE3:EE42)+SUMPRODUCT((DV3:DV42=AA8)*(DY3:DY42=AA6)*EE3:EE42)+SUMPRODUCT((DV3:DV42=AA4)*(DY3:DY42=AA6)*EE3:EE42)+SUMPRODUCT((DV3:DV42=AA5)*(DY3:DY42=AA6)*EE3:EE42)</f>
        <v>0</v>
      </c>
      <c r="AP6" s="147">
        <f>AB6*4+AC6*2+AN6+AO6</f>
        <v>0</v>
      </c>
      <c r="AQ6" s="147">
        <f>IF(AA6&lt;&gt;"",RANK(AP6,AP4:AP8),"")</f>
        <v>1</v>
      </c>
      <c r="AR6" s="147">
        <f>SUMPRODUCT((AP4:AP8=AP6)*(AG4:AG8&gt;AG6))</f>
        <v>0</v>
      </c>
      <c r="AS6" s="147">
        <f>SUMPRODUCT((AP4:AP8=AP6)*(AG4:AG8=AG6)*(AJ4:AJ8&gt;AJ6))</f>
        <v>0</v>
      </c>
      <c r="AT6" s="147">
        <f>SUMPRODUCT((AP4:AP8=AP6)*(AG4:AG8=AG6)*(AJ4:AJ8=AJ6)*(AK4:AK8&gt;AK6))</f>
        <v>0</v>
      </c>
      <c r="AU6" s="147">
        <f>SUMPRODUCT((AP4:AP8=AP6)*(AG4:AG8=AG6)*(AJ4:AJ8=AJ6)*(AK4:AK8=AK6)*(AL4:AL8&gt;AL6))</f>
        <v>0</v>
      </c>
      <c r="AV6" s="147">
        <f>SUMPRODUCT((AP4:AP8=AP6)*(AG4:AG8=AG6)*(AJ4:AJ8=AJ6)*(AK4:AK8=AK6)*(AL4:AL8=AL6)*(AM4:AM8&gt;AM6))</f>
        <v>4</v>
      </c>
      <c r="AW6" s="147">
        <f t="shared" si="8"/>
        <v>5</v>
      </c>
      <c r="AX6" s="147" t="str">
        <f>IF(AA6&lt;&gt;"",INDEX(AA4:AA8,MATCH(3,AW4:AW8,0),0),"")</f>
        <v>Italy</v>
      </c>
      <c r="AY6" s="147" t="str">
        <f>IF(W5&lt;&gt;"",W5,"")</f>
        <v/>
      </c>
      <c r="AZ6" s="147">
        <f>SUMPRODUCT((DV3:DV42=AY6)*(DY3:DY42=AY7)*(EF3:EF42="W"))+SUMPRODUCT((DV3:DV42=AY6)*(DY3:DY42=AY8)*(EF3:EF42="W"))+SUMPRODUCT((DV3:DV42=AY6)*(DY3:DY42=AY5)*(EF3:EF42="W"))+SUMPRODUCT((DV3:DV42=AY7)*(DY3:DY42=AY6)*(EG3:EG42="W"))+SUMPRODUCT((DV3:DV42=AY8)*(DY3:DY42=AY6)*(EG3:EG42="W"))+SUMPRODUCT((DV3:DV42=AY5)*(DY3:DY42=AY6)*(EG3:EG42="W"))</f>
        <v>0</v>
      </c>
      <c r="BA6" s="147">
        <f>SUMPRODUCT((DV3:DV42=AY6)*(DY3:DY42=AY7)*(EF3:EF42="D"))+SUMPRODUCT((DV3:DV42=AY6)*(DY3:DY42=AY8)*(EF3:EF42="D"))+SUMPRODUCT((DV3:DV42=AY6)*(DY3:DY42=AY5)*(EF3:EF42="D"))+SUMPRODUCT((DV3:DV42=AY7)*(DY3:DY42=AY6)*(EF3:EF42="D"))+SUMPRODUCT((DV3:DV42=AY8)*(DY3:DY42=AY6)*(EF3:EF42="D"))+SUMPRODUCT((DV3:DV42=AY5)*(DY3:DY42=AY6)*(EF3:EF42="D"))</f>
        <v>0</v>
      </c>
      <c r="BB6" s="147">
        <f>SUMPRODUCT((DV3:DV42=AY6)*(DY3:DY42=AY7)*(EF3:EF42="L"))+SUMPRODUCT((DV3:DV42=AY6)*(DY3:DY42=AY8)*(EF3:EF42="L"))+SUMPRODUCT((DV3:DV42=AY6)*(DY3:DY42=AY5)*(EF3:EF42="L"))+SUMPRODUCT((DV3:DV42=AY7)*(DY3:DY42=AY6)*(EG3:EG42="L"))+SUMPRODUCT((DV3:DV42=AY8)*(DY3:DY42=AY6)*(EG3:EG42="L"))+SUMPRODUCT((DV3:DV42=AY5)*(DY3:DY42=AY6)*(EG3:EG42="L"))</f>
        <v>0</v>
      </c>
      <c r="BC6" s="147">
        <f>IF(AY6&lt;&gt;"",VLOOKUP(AY6,B4:F29,5,FALSE),0)</f>
        <v>0</v>
      </c>
      <c r="BD6" s="147">
        <f>IF(AY6&lt;&gt;"",VLOOKUP(AY6,B4:G29,6,FALSE),0)</f>
        <v>0</v>
      </c>
      <c r="BE6" s="147">
        <f>BC6-BD6+1000</f>
        <v>1000</v>
      </c>
      <c r="BF6" s="147">
        <f>IF(AY6&lt;&gt;"",VLOOKUP(AY6,B4:I29,8,FALSE),0)</f>
        <v>0</v>
      </c>
      <c r="BG6" s="147">
        <f>IF(AY6&lt;&gt;"",VLOOKUP(AY6,B4:J29,9,FALSE),0)</f>
        <v>0</v>
      </c>
      <c r="BH6" s="147">
        <f t="shared" ref="BH6" si="9">BF6-BG6+1000</f>
        <v>1000</v>
      </c>
      <c r="BI6" s="147" t="str">
        <f>IF(AY6&lt;&gt;"",VLOOKUP(AY6,B4:F8,5,FALSE),"")</f>
        <v/>
      </c>
      <c r="BJ6" s="147" t="str">
        <f>IF(AY6&lt;&gt;"",VLOOKUP(AY6,B4:I8,8,FALSE),"")</f>
        <v/>
      </c>
      <c r="BK6" s="147" t="str">
        <f>IF(AY6&lt;&gt;"",VLOOKUP(AY6,B4:P8,15,FALSE),"")</f>
        <v/>
      </c>
      <c r="BL6" s="147">
        <f>SUMPRODUCT((DV3:DV42=AY6)*(DY3:DY42=AY7)*EB3:EB42)+SUMPRODUCT((DV3:DV42=AY6)*(DY3:DY42=AY8)*EB3:EB42)+SUMPRODUCT((DV3:DV42=AY6)*(DY3:DY42=AY5)*EB3:EB42)+SUMPRODUCT((DV3:DV42=AY7)*(DY3:DY42=AY6)*EC3:EC42)+SUMPRODUCT((DV3:DV42=AY8)*(DY3:DY42=AY6)*EC3:EC42)+SUMPRODUCT((DV3:DV42=AY5)*(DY3:DY42=AY6)*EC3:EC42)</f>
        <v>0</v>
      </c>
      <c r="BM6" s="147">
        <f>SUMPRODUCT((DV3:DV42=AY6)*(DY3:DY42=AY7)*ED3:ED42)+SUMPRODUCT((DV3:DV42=AY6)*(DY3:DY42=AY8)*ED3:ED42)+SUMPRODUCT((DV3:DV42=AY6)*(DY3:DY42=AY5)*ED3:ED42)+SUMPRODUCT((DV3:DV42=AY7)*(DY3:DY42=AY6)*EE3:EE42)+SUMPRODUCT((DV3:DV42=AY8)*(DY3:DY42=AY6)*EE3:EE42)+SUMPRODUCT((DV3:DV42=AY5)*(DY3:DY42=AY6)*EE3:EE42)</f>
        <v>0</v>
      </c>
      <c r="BN6" s="147">
        <f>AZ6*4+BA6*2+BL6+BM6</f>
        <v>0</v>
      </c>
      <c r="BO6" s="147" t="str">
        <f>IF(AY6&lt;&gt;"",RANK(BN6,BN5:BN8),"")</f>
        <v/>
      </c>
      <c r="BP6" s="147">
        <f>SUMPRODUCT((BN5:BN8=BN6)*(BE5:BE8&gt;BE6))</f>
        <v>0</v>
      </c>
      <c r="BQ6" s="147">
        <f>SUMPRODUCT((BN5:BN8=BN6)*(BE5:BE8=BE6)*(BH5:BH8&gt;BH6))</f>
        <v>0</v>
      </c>
      <c r="BR6" s="147">
        <f>SUMPRODUCT((BN4:BN8=BN6)*(BE4:BE8=BE6)*(BH4:BH8=BH6)*(BI4:BI8&gt;BI6))</f>
        <v>0</v>
      </c>
      <c r="BS6" s="147">
        <f>SUMPRODUCT((BN4:BN8=BN6)*(BE4:BE8=BE6)*(BH4:BH8=BH6)*(BI4:BI8=BI6)*(BJ4:BJ8&gt;BJ6))</f>
        <v>0</v>
      </c>
      <c r="BT6" s="147">
        <f>SUMPRODUCT((BN4:BN8=BN6)*(BE4:BE8=BE6)*(BH4:BH8=BH6)*(BI4:BI8=BI6)*(BJ4:BJ8=BJ6)*(BK4:BK8&gt;BK6))</f>
        <v>0</v>
      </c>
      <c r="BU6" s="147" t="str">
        <f t="shared" ref="BU6:BU8" si="10">IF(AY6&lt;&gt;"",SUM(BO6:BT6)+1,"")</f>
        <v/>
      </c>
      <c r="BV6" s="147" t="str">
        <f>IF(AY6&lt;&gt;"",INDEX(AY5:AY8,MATCH(3,BU5:BU8,0),0),"")</f>
        <v/>
      </c>
      <c r="BW6" s="147" t="str">
        <f>IF(X4&lt;&gt;"",X4,"")</f>
        <v/>
      </c>
      <c r="BX6" s="147">
        <f>SUMPRODUCT((DV3:DV42=BW6)*(DY3:DY42=BW7)*(EF3:EF42="W"))+SUMPRODUCT((DV3:DV42=BW6)*(DY3:DY42=BW8)*(EF3:EF42="W"))+SUMPRODUCT((DV3:DV42=BW6)*(DY3:DY42=BW9)*(EF3:EF42="W"))+SUMPRODUCT((DV3:DV42=BW7)*(DY3:DY42=BW6)*(EG3:EG42="W"))+SUMPRODUCT((DV3:DV42=BW8)*(DY3:DY42=BW6)*(EG3:EG42="W"))+SUMPRODUCT((DV3:DV42=BW9)*(DY3:DY42=BW6)*(EG3:EG42="W"))</f>
        <v>0</v>
      </c>
      <c r="BY6" s="147">
        <f>SUMPRODUCT((DV3:DV42=BW6)*(DY3:DY42=BW7)*(EF3:EF42="D"))+SUMPRODUCT((DV3:DV42=BW6)*(DY3:DY42=BW8)*(EF3:EF42="D"))+SUMPRODUCT((DV3:DV42=BW6)*(DY3:DY42=BW9)*(EF3:EF42="D"))+SUMPRODUCT((DV3:DV42=BW7)*(DY3:DY42=BW6)*(EF3:EF42="D"))+SUMPRODUCT((DV3:DV42=BW8)*(DY3:DY42=BW6)*(EF3:EF42="D"))+SUMPRODUCT((DV3:DV42=BW9)*(DY3:DY42=BW6)*(EF3:EF42="D"))</f>
        <v>0</v>
      </c>
      <c r="BZ6" s="147">
        <f>SUMPRODUCT((DV3:DV42=BW6)*(DY3:DY42=BW7)*(EF3:EF42="L"))+SUMPRODUCT((DV3:DV42=BW6)*(DY3:DY42=BW8)*(EF3:EF42="L"))+SUMPRODUCT((DV3:DV42=BW6)*(DY3:DY42=BW9)*(EF3:EF42="L"))+SUMPRODUCT((DV3:DV42=BW7)*(DY3:DY42=BW6)*(EG3:EG42="L"))+SUMPRODUCT((DV3:DV42=BW8)*(DY3:DY42=BW6)*(EG3:EG42="L"))+SUMPRODUCT((DV3:DV42=BW9)*(DY3:DY42=BW6)*(EG3:EG42="L"))</f>
        <v>0</v>
      </c>
      <c r="CA6" s="147">
        <f>IF(BW6&lt;&gt;"",VLOOKUP(BW6,B4:F29,5,FALSE),0)</f>
        <v>0</v>
      </c>
      <c r="CB6" s="147">
        <f>IF(BW6&lt;&gt;"",VLOOKUP(BW6,B4:G29,6,FALSE),0)</f>
        <v>0</v>
      </c>
      <c r="CC6" s="147">
        <f>CA6-CB6+1000</f>
        <v>1000</v>
      </c>
      <c r="CD6" s="147">
        <f>IF(BW6&lt;&gt;"",VLOOKUP(BW6,B4:I29,8,FALSE),0)</f>
        <v>0</v>
      </c>
      <c r="CE6" s="147">
        <f>IF(BW6&lt;&gt;"",VLOOKUP(BW6,B4:J29,9,FALSE),0)</f>
        <v>0</v>
      </c>
      <c r="CF6" s="147">
        <f>CD6-CE6+1000</f>
        <v>1000</v>
      </c>
      <c r="CG6" s="147" t="str">
        <f>IF(BW6&lt;&gt;"",VLOOKUP(BW6,B4:F8,5,FALSE),"")</f>
        <v/>
      </c>
      <c r="CH6" s="147" t="str">
        <f>IF(BW6&lt;&gt;"",VLOOKUP(BW6,B4:I8,8,FALSE),"")</f>
        <v/>
      </c>
      <c r="CI6" s="147" t="str">
        <f>IF(BW6&lt;&gt;"",VLOOKUP(BW6,B4:P8,15,FALSE),"")</f>
        <v/>
      </c>
      <c r="CJ6" s="147">
        <f>SUMPRODUCT((DV3:DV42=BW6)*(DY3:DY42=BW7)*EB3:EB42)+SUMPRODUCT((DV3:DV42=BW6)*(DY3:DY42=BW8)*EB3:EB42)+SUMPRODUCT((DV3:DV42=BW6)*(DY3:DY42=BW9)*EB3:EB42)+SUMPRODUCT((DV3:DV42=BW7)*(DY3:DY42=BW6)*EC3:EC42)+SUMPRODUCT((DV3:DV42=BW8)*(DY3:DY42=BW6)*EC3:EC42)+SUMPRODUCT((DV3:DV42=BW9)*(DY3:DY42=BW6)*EC3:EC42)</f>
        <v>0</v>
      </c>
      <c r="CK6" s="147">
        <f>SUMPRODUCT((DV3:DV42=BW6)*(DY3:DY42=BW7)*ED3:ED42)+SUMPRODUCT((DV3:DV42=BW6)*(DY3:DY42=BW8)*ED3:ED42)+SUMPRODUCT((DV3:DV42=BW6)*(DY3:DY42=BW9)*ED3:ED42)+SUMPRODUCT((DV3:DV42=BW7)*(DY3:DY42=BW6)*EE3:EE42)+SUMPRODUCT((DV3:DV42=BW8)*(DY3:DY42=BW6)*EE3:EE42)+SUMPRODUCT((DV3:DV42=BW9)*(DY3:DY42=BW6)*EE3:EE42)</f>
        <v>0</v>
      </c>
      <c r="CL6" s="147">
        <f>BX6*4+BY6*2+CJ6+CK6</f>
        <v>0</v>
      </c>
      <c r="CM6" s="147" t="str">
        <f>IF(BW6&lt;&gt;"",RANK(CL6,CL6:CL9),"")</f>
        <v/>
      </c>
      <c r="CN6" s="147">
        <f>SUMPRODUCT((CL6:CL9=CL6)*(CC6:CC9&gt;CC6))</f>
        <v>0</v>
      </c>
      <c r="CO6" s="147">
        <f>SUMPRODUCT((CL6:CL9=CL6)*(CC6:CC9=CC6)*(CF6:CF9&gt;CF6))</f>
        <v>0</v>
      </c>
      <c r="CP6" s="147">
        <f>SUMPRODUCT((CL4:CL8=CL6)*(CC4:CC8=CC6)*(CF4:CF8=CF6)*(CG4:CG8&gt;CG6))</f>
        <v>0</v>
      </c>
      <c r="CQ6" s="147">
        <f>SUMPRODUCT((CL4:CL8=CL6)*(CC4:CC8=CC6)*(CF4:CF8=CF6)*(CG4:CG8=CG6)*(CH4:CH8&gt;CH6))</f>
        <v>0</v>
      </c>
      <c r="CR6" s="147">
        <f>SUMPRODUCT((CL4:CL8=CL6)*(CC4:CC8=CC6)*(CF4:CF8=CF6)*(CG4:CG8=CG6)*(CH4:CH8=CH6)*(CI4:CI8&gt;CI6))</f>
        <v>0</v>
      </c>
      <c r="CS6" s="147" t="str">
        <f>IF(BW6&lt;&gt;"",SUM(CM6:CR6)+2,"")</f>
        <v/>
      </c>
      <c r="CT6" s="147" t="str">
        <f>IF(BW6&lt;&gt;"",INDEX(BW6:BW8,MATCH(3,CS6:CS8,0),0),"")</f>
        <v/>
      </c>
      <c r="DS6" s="147" t="str">
        <f>IF(CT6&lt;&gt;"",CT6,IF(BV6&lt;&gt;"",BV6,IF(AX6&lt;&gt;"",AX6,T6)))</f>
        <v>Italy</v>
      </c>
      <c r="DT6" s="147">
        <v>3</v>
      </c>
      <c r="DU6" s="147">
        <v>4</v>
      </c>
      <c r="DV6" s="147" t="str">
        <f>Tournament!H15</f>
        <v>Australia</v>
      </c>
      <c r="DW6" s="147">
        <f>IF(AND(Tournament!J15&lt;&gt;"",Tournament!L15&lt;&gt;""),Tournament!J15,0)</f>
        <v>0</v>
      </c>
      <c r="DX6" s="147">
        <f>IF(AND(Tournament!L15&lt;&gt;"",Tournament!J15&lt;&gt;""),Tournament!L15,0)</f>
        <v>0</v>
      </c>
      <c r="DY6" s="147" t="str">
        <f>Tournament!N15</f>
        <v>Georgia</v>
      </c>
      <c r="DZ6" s="147">
        <f>IF(Tournament!O15&lt;&gt;"",Tournament!O15,0)</f>
        <v>0</v>
      </c>
      <c r="EA6" s="147">
        <f>IF(Tournament!Q15&lt;&gt;"",Tournament!Q15,0)</f>
        <v>0</v>
      </c>
      <c r="EB6" s="147">
        <f>IF(DW6&lt;&gt;"",IF(Tournament!O15&gt;3,1,0),0)</f>
        <v>0</v>
      </c>
      <c r="EC6" s="147">
        <f>IF(DX6&lt;&gt;"",IF(Tournament!Q15&gt;3,1,0),0)</f>
        <v>0</v>
      </c>
      <c r="ED6" s="147">
        <f t="shared" si="0"/>
        <v>0</v>
      </c>
      <c r="EE6" s="147">
        <f t="shared" si="1"/>
        <v>0</v>
      </c>
      <c r="EF6" s="147" t="str">
        <f>IF(AND(Tournament!J15&lt;&gt;"",Tournament!L15&lt;&gt;""),IF(DW6&gt;DX6,"W",IF(DW6=DX6,"D","L")),"")</f>
        <v/>
      </c>
      <c r="EG6" s="161" t="str">
        <f t="shared" si="2"/>
        <v/>
      </c>
    </row>
    <row r="7" spans="1:137" x14ac:dyDescent="0.45">
      <c r="A7" s="147">
        <f>VLOOKUP(B7,DS4:DT8,2,FALSE)</f>
        <v>2</v>
      </c>
      <c r="B7" s="147" t="s">
        <v>36</v>
      </c>
      <c r="C7" s="147">
        <f>COUNTIFS(DV3:DV42,B7,EF3:EF42,"W")+COUNTIFS(DY3:DY42,B7,EG3:EG42,"W")</f>
        <v>0</v>
      </c>
      <c r="D7" s="147">
        <f>COUNTIFS(DV3:DV42,B7,EF3:EF42,"D")+COUNTIFS(DY3:DY42,B7,EG3:EG42,"D")</f>
        <v>0</v>
      </c>
      <c r="E7" s="147">
        <f>COUNTIFS(DV3:DV42,B7,EF3:EF42,"L")+COUNTIFS(DY3:DY42,B7,EG3:EG42,"L")</f>
        <v>0</v>
      </c>
      <c r="F7" s="147">
        <f>SUMIF(DV3:DV60,B7,DW3:DW60)+SUMIF(DY3:DY60,B7,DX3:DX60)</f>
        <v>0</v>
      </c>
      <c r="G7" s="147">
        <f>SUMIF(DY3:DY60,B7,DW3:DW60)+SUMIF(DV3:DV60,B7,DX3:DX60)</f>
        <v>0</v>
      </c>
      <c r="H7" s="147">
        <f t="shared" si="3"/>
        <v>1000</v>
      </c>
      <c r="I7" s="147">
        <f>SUMIF(Tournament!H12:H51,B7,Tournament!O12:O51)+SUMIF(Tournament!N12:N51,B7,Tournament!Q12:Q51)</f>
        <v>0</v>
      </c>
      <c r="J7" s="147">
        <f>SUMIF(Tournament!N12:N51,B7,Tournament!O12:O51)+SUMIF(Tournament!H12:H51,B7,Tournament!Q12:Q51)</f>
        <v>0</v>
      </c>
      <c r="K7" s="147">
        <f t="shared" si="4"/>
        <v>1000</v>
      </c>
      <c r="L7" s="147">
        <f t="shared" si="5"/>
        <v>0</v>
      </c>
      <c r="M7" s="147">
        <f>SUMIF(DV:DV,B7,EB:EB)+SUMIF(DY:DY,B7,EC:EC)</f>
        <v>0</v>
      </c>
      <c r="N7" s="147">
        <f>SUMIF(DV:DV,B7,ED:ED)+SUMIF(DY:DY,B7,EE:EE)</f>
        <v>0</v>
      </c>
      <c r="O7" s="147">
        <f t="shared" si="6"/>
        <v>0</v>
      </c>
      <c r="P7" s="147">
        <v>19</v>
      </c>
      <c r="Q7" s="147">
        <f>RANK(O7,O4:O8)</f>
        <v>1</v>
      </c>
      <c r="S7" s="147">
        <f>RANK(O7,O4:O8)+COUNTIF(O4:O7,O7)-1</f>
        <v>4</v>
      </c>
      <c r="T7" s="147" t="str">
        <f>INDEX(B4:B8,MATCH(4,S4:S8,0),0)</f>
        <v>New Zealand</v>
      </c>
      <c r="U7" s="147">
        <f>INDEX(Q4:Q8,MATCH(T7,B4:B8,0),0)</f>
        <v>1</v>
      </c>
      <c r="V7" s="147" t="str">
        <f>IF(AND(V6&lt;&gt;"",U7=1),T7,"")</f>
        <v>New Zealand</v>
      </c>
      <c r="W7" s="147" t="str">
        <f>IF(AND(W6&lt;&gt;"",U8=2),T8,"")</f>
        <v/>
      </c>
      <c r="AA7" s="147" t="str">
        <f t="shared" si="7"/>
        <v>New Zealand</v>
      </c>
      <c r="AB7" s="147">
        <f>SUMPRODUCT((DV3:DV42=AA7)*(DY3:DY42=AA8)*(EF3:EF42="W"))+SUMPRODUCT((DV3:DV42=AA7)*(DY3:DY42=AA4)*(EF3:EF42="W"))+SUMPRODUCT((DV3:DV42=AA7)*(DY3:DY42=AA5)*(EF3:EF42="W"))+SUMPRODUCT((DV3:DV42=AA7)*(DY3:DY42=AA6)*(EF3:EF42="W"))+SUMPRODUCT((DV3:DV42=AA8)*(DY3:DY42=AA7)*(EG3:EG42="W"))+SUMPRODUCT((DV3:DV42=AA4)*(DY3:DY42=AA7)*(EG3:EG42="W"))+SUMPRODUCT((DV3:DV42=AA5)*(DY3:DY42=AA7)*(EG3:EG42="W"))+SUMPRODUCT((DV3:DV42=AA6)*(DY3:DY42=AA7)*(EG3:EG42="W"))</f>
        <v>0</v>
      </c>
      <c r="AC7" s="147">
        <f>SUMPRODUCT((DV3:DV42=AA7)*(DY3:DY42=AA8)*(EF3:EF42="D"))+SUMPRODUCT((DV3:DV42=AA7)*(DY3:DY42=AA4)*(EF3:EF42="D"))+SUMPRODUCT((DV3:DV42=AA7)*(DY3:DY42=AA5)*(EF3:EF42="D"))+SUMPRODUCT((DV3:DV42=AA7)*(DY3:DY42=AA6)*(EF3:EF42="D"))+SUMPRODUCT((DV3:DV42=AA8)*(DY3:DY42=AA7)*(EF3:EF42="D"))+SUMPRODUCT((DV3:DV42=AA4)*(DY3:DY42=AA7)*(EF3:EF42="D"))+SUMPRODUCT((DV3:DV42=AA5)*(DY3:DY42=AA7)*(EF3:EF42="D"))+SUMPRODUCT((DV3:DV42=AA6)*(DY3:DY42=AA7)*(EF3:EF42="D"))</f>
        <v>0</v>
      </c>
      <c r="AD7" s="147">
        <f>SUMPRODUCT((DV3:DV42=AA7)*(DY3:DY42=AA8)*(EF3:EF42="L"))+SUMPRODUCT((DV3:DV42=AA7)*(DY3:DY42=AA4)*(EF3:EF42="L"))+SUMPRODUCT((DV3:DV42=AA7)*(DY3:DY42=AA5)*(EF3:EF42="L"))+SUMPRODUCT((DV3:DV42=AA7)*(DY3:DY42=AA6)*(EF3:EF42="L"))+SUMPRODUCT((DV3:DV42=AA8)*(DY3:DY42=AA7)*(EG3:EG42="L"))+SUMPRODUCT((DV3:DV42=AA4)*(DY3:DY42=AA7)*(EG3:EG42="L"))+SUMPRODUCT((DV3:DV42=AA5)*(DY3:DY42=AA7)*(EG3:EG42="L"))+SUMPRODUCT((DV3:DV42=AA6)*(DY3:DY42=AA7)*(EG3:EG42="L"))</f>
        <v>0</v>
      </c>
      <c r="AE7" s="147">
        <f>IF(AA7&lt;&gt;"",VLOOKUP(AA7,B4:F29,5,FALSE),0)</f>
        <v>0</v>
      </c>
      <c r="AF7" s="147">
        <f>IF(AA7&lt;&gt;"",VLOOKUP(AA7,B4:G29,6,FALSE),0)</f>
        <v>0</v>
      </c>
      <c r="AG7" s="147">
        <f>AE7-AF7+1000</f>
        <v>1000</v>
      </c>
      <c r="AH7" s="147">
        <f>IF(AA7&lt;&gt;"",VLOOKUP(AA7,B4:I29,8,FALSE),0)</f>
        <v>0</v>
      </c>
      <c r="AI7" s="147">
        <f>IF(AA7&lt;&gt;"",VLOOKUP(AA7,B4:J29,9,FALSE),0)</f>
        <v>0</v>
      </c>
      <c r="AJ7" s="147">
        <f>AH7-AI7+1000</f>
        <v>1000</v>
      </c>
      <c r="AK7" s="147">
        <f>IF(AA7&lt;&gt;"",VLOOKUP(AA7,B4:F8,5,FALSE),"")</f>
        <v>0</v>
      </c>
      <c r="AL7" s="147">
        <f>IF(AA7&lt;&gt;"",VLOOKUP(AA7,B4:I8,8,FALSE),"")</f>
        <v>0</v>
      </c>
      <c r="AM7" s="147">
        <f>IF(AA7&lt;&gt;"",VLOOKUP(AA7,B4:P8,15,FALSE),"")</f>
        <v>19</v>
      </c>
      <c r="AN7" s="147">
        <f>SUMPRODUCT((DV3:DV42=AA7)*(DY3:DY42=AA8)*EB3:EB42)+SUMPRODUCT((DV3:DV42=AA7)*(DY3:DY42=AA4)*EB3:EB42)+SUMPRODUCT((DV3:DV42=AA7)*(DY3:DY42=AA5)*EB3:EB42)+SUMPRODUCT((DV3:DV42=AA7)*(DY3:DY42=AA6)*EB3:EB42)+SUMPRODUCT((DV3:DV42=AA8)*(DY3:DY42=AA7)*EC3:EC42)+SUMPRODUCT((DV3:DV42=AA4)*(DY3:DY42=AA7)*EC3:EC42)+SUMPRODUCT((DV3:DV42=AA5)*(DY3:DY42=AA7)*EC3:EC42)+SUMPRODUCT((DV3:DV42=AA6)*(DY3:DY42=AA7)*EC3:EC42)</f>
        <v>0</v>
      </c>
      <c r="AO7" s="147">
        <f>SUMPRODUCT((DV3:DV42=AA7)*(DY3:DY42=AA8)*ED3:ED42)+SUMPRODUCT((DV3:DV42=AA7)*(DY3:DY42=AA4)*ED3:ED42)+SUMPRODUCT((DV3:DV42=AA7)*(DY3:DY42=AA5)*ED3:ED42)+SUMPRODUCT((DV3:DV42=AA7)*(DY3:DY42=AA6)*ED3:ED42)+SUMPRODUCT((DV3:DV42=AA8)*(DY3:DY42=AA7)*EE3:EE42)+SUMPRODUCT((DV3:DV42=AA4)*(DY3:DY42=AA7)*EE3:EE42)+SUMPRODUCT((DV3:DV42=AA5)*(DY3:DY42=AA7)*EE3:EE42)+SUMPRODUCT((DV3:DV42=AA6)*(DY3:DY42=AA7)*EE3:EE42)</f>
        <v>0</v>
      </c>
      <c r="AP7" s="147">
        <f>AB7*4+AC7*2+AN7+AO7</f>
        <v>0</v>
      </c>
      <c r="AQ7" s="147">
        <f>IF(AA7&lt;&gt;"",RANK(AP7,AP4:AP8),"")</f>
        <v>1</v>
      </c>
      <c r="AR7" s="147">
        <f>SUMPRODUCT((AP4:AP8=AP7)*(AG4:AG8&gt;AG7))</f>
        <v>0</v>
      </c>
      <c r="AS7" s="147">
        <f>SUMPRODUCT((AP4:AP8=AP7)*(AG4:AG8=AG7)*(AJ4:AJ8&gt;AJ7))</f>
        <v>0</v>
      </c>
      <c r="AT7" s="147">
        <f>SUMPRODUCT((AP4:AP8=AP7)*(AG4:AG8=AG7)*(AJ4:AJ8=AJ7)*(AK4:AK8&gt;AK7))</f>
        <v>0</v>
      </c>
      <c r="AU7" s="147">
        <f>SUMPRODUCT((AP4:AP8=AP7)*(AG4:AG8=AG7)*(AJ4:AJ8=AJ7)*(AK4:AK8=AK7)*(AL4:AL8&gt;AL7))</f>
        <v>0</v>
      </c>
      <c r="AV7" s="147">
        <f>SUMPRODUCT((AP4:AP8=AP7)*(AG4:AG8=AG7)*(AJ4:AJ8=AJ7)*(AK4:AK8=AK7)*(AL4:AL8=AL7)*(AM4:AM8&gt;AM7))</f>
        <v>1</v>
      </c>
      <c r="AW7" s="147">
        <f t="shared" si="8"/>
        <v>2</v>
      </c>
      <c r="AX7" s="147" t="str">
        <f>IF(AA7&lt;&gt;"",INDEX(AA4:AA8,MATCH(4,AW4:AW8,0),0),"")</f>
        <v>Uruguay</v>
      </c>
      <c r="AY7" s="147" t="str">
        <f>IF(W6&lt;&gt;"",W6,"")</f>
        <v/>
      </c>
      <c r="AZ7" s="147" t="str">
        <f>IF(AY7&lt;&gt;"",SUMPRODUCT((DV3:DV42=AY7)*(DY3:DY42=AY8)*(EF3:EF42="W"))+SUMPRODUCT((DV3:DV42=AY7)*(DY3:DY42=AY5)*(EF3:EF42="W"))+SUMPRODUCT((DV3:DV42=AY7)*(DY3:DY42=AY6)*(EF3:EF42="W"))+SUMPRODUCT((DV3:DV42=AY8)*(DY3:DY42=AY7)*(EG3:EG42="W"))+SUMPRODUCT((DV3:DV42=AY5)*(DY3:DY42=AY7)*(EG3:EG42="W"))+SUMPRODUCT((DV3:DV42=AY6)*(DY3:DY42=AY7)*(EG3:EG42="W")),"")</f>
        <v/>
      </c>
      <c r="BA7" s="147" t="str">
        <f>IF(AY7&lt;&gt;"",SUMPRODUCT((DV3:DV42=AY7)*(DY3:DY42=AY8)*(EF3:EF42="D"))+SUMPRODUCT((DV3:DV42=AY7)*(DY3:DY42=AY5)*(EF3:EF42="D"))+SUMPRODUCT((DV3:DV42=AY7)*(DY3:DY42=AY6)*(EF3:EF42="D"))+SUMPRODUCT((DV3:DV42=AY8)*(DY3:DY42=AY7)*(EF3:EF42="D"))+SUMPRODUCT((DV3:DV42=AY5)*(DY3:DY42=AY7)*(EF3:EF42="D"))+SUMPRODUCT((DV3:DV42=AY6)*(DY3:DY42=AY7)*(EF3:EF42="D")),"")</f>
        <v/>
      </c>
      <c r="BB7" s="147" t="str">
        <f>IF(AY7&lt;&gt;"",SUMPRODUCT((DV3:DV42=AY7)*(DY3:DY42=AY8)*(EF3:EF42="L"))+SUMPRODUCT((DV3:DV42=AY7)*(DY3:DY42=AY5)*(EF3:EF42="L"))+SUMPRODUCT((DV3:DV42=AY7)*(DY3:DY42=AY6)*(EF3:EF42="L"))+SUMPRODUCT((DV3:DV42=AY8)*(DY3:DY42=AY7)*(EG3:EG42="L"))+SUMPRODUCT((DV3:DV42=AY5)*(DY3:DY42=AY7)*(EG3:EG42="L"))+SUMPRODUCT((DV3:DV42=AY6)*(DY3:DY42=AY7)*(EG3:EG42="L")),"")</f>
        <v/>
      </c>
      <c r="BC7" s="147">
        <f>IF(AY7&lt;&gt;"",VLOOKUP(AY7,B4:F29,5,FALSE),0)</f>
        <v>0</v>
      </c>
      <c r="BD7" s="147">
        <f>IF(AY7&lt;&gt;"",VLOOKUP(AY7,B4:G29,6,FALSE),0)</f>
        <v>0</v>
      </c>
      <c r="BE7" s="147">
        <f>BC7-BD7+1000</f>
        <v>1000</v>
      </c>
      <c r="BF7" s="147">
        <f>IF(AY7&lt;&gt;"",VLOOKUP(AY7,B4:I29,8,FALSE),0)</f>
        <v>0</v>
      </c>
      <c r="BG7" s="147">
        <f>IF(AY7&lt;&gt;"",VLOOKUP(AY7,B4:J29,9,FALSE),0)</f>
        <v>0</v>
      </c>
      <c r="BH7" s="147" t="str">
        <f>IF(AY7&lt;&gt;"",BF7-BG7+1000,"")</f>
        <v/>
      </c>
      <c r="BI7" s="147" t="str">
        <f>IF(AY7&lt;&gt;"",VLOOKUP(AY7,B4:F8,5,FALSE),"")</f>
        <v/>
      </c>
      <c r="BJ7" s="147" t="str">
        <f>IF(AY7&lt;&gt;"",VLOOKUP(AY7,B4:I8,8,FALSE),"")</f>
        <v/>
      </c>
      <c r="BK7" s="147" t="str">
        <f>IF(AY7&lt;&gt;"",VLOOKUP(AY7,B4:P8,15,FALSE),"")</f>
        <v/>
      </c>
      <c r="BL7" s="147" t="str">
        <f>IF(AY7&lt;&gt;"",SUMPRODUCT((DV3:DV42=AY7)*(DY3:DY42=AY8)*EB3:EB42)+SUMPRODUCT((DV3:DV42=AY7)*(DY3:DY42=AY5)*EB3:EB42)+SUMPRODUCT((DV3:DV42=AY7)*(DY3:DY42=AY6)*EB3:EB42)+SUMPRODUCT((DV3:DV42=AY8)*(DY3:DY42=AY7)*EC3:EC42)+SUMPRODUCT((DV3:DV42=AY5)*(DY3:DY42=AY7)*EC3:EC42)+SUMPRODUCT((DV3:DV42=AY6)*(DY3:DY42=AY7)*EC3:EC42),"")</f>
        <v/>
      </c>
      <c r="BM7" s="147" t="str">
        <f>IF(AY7&lt;&gt;"",SUMPRODUCT((DV3:DV42=AY7)*(DY3:DY42=AY8)*ED3:ED42)+SUMPRODUCT((DV3:DV42=AY7)*(DY3:DY42=AY5)*ED3:ED42)+SUMPRODUCT((DV3:DV42=AY7)*(DY3:DY42=AY6)*ED3:ED42)+SUMPRODUCT((DV3:DV42=AY8)*(DY3:DY42=AY7)*EE3:EE42)+SUMPRODUCT((DV3:DV42=AY5)*(DY3:DY42=AY7)*EE3:EE42)+SUMPRODUCT((DV3:DV42=AY6)*(DY3:DY42=AY7)*EE3:EE42),"")</f>
        <v/>
      </c>
      <c r="BN7" s="147" t="str">
        <f>IF(AY7&lt;&gt;"",AZ7*4+BA7*2+BL7+BM7,"")</f>
        <v/>
      </c>
      <c r="BO7" s="147" t="str">
        <f>IF(AY7&lt;&gt;"",RANK(BN7,BN5:BN8),"")</f>
        <v/>
      </c>
      <c r="BP7" s="147">
        <f>SUMPRODUCT((BN5:BN8=BN7)*(BE5:BE8&gt;BE7))</f>
        <v>0</v>
      </c>
      <c r="BQ7" s="147">
        <f>SUMPRODUCT((BN5:BN8=BN7)*(BE5:BE8=BE7)*(BH5:BH8&gt;BH7))</f>
        <v>0</v>
      </c>
      <c r="BR7" s="147">
        <f>SUMPRODUCT((BN4:BN8=BN7)*(BE4:BE8=BE7)*(BH4:BH8=BH7)*(BI4:BI8&gt;BI7))</f>
        <v>0</v>
      </c>
      <c r="BS7" s="147">
        <f>SUMPRODUCT((BN4:BN8=BN7)*(BE4:BE8=BE7)*(BH4:BH8=BH7)*(BI4:BI8=BI7)*(BJ4:BJ8&gt;BJ7))</f>
        <v>0</v>
      </c>
      <c r="BT7" s="147">
        <f>SUMPRODUCT((BN4:BN8=BN7)*(BE4:BE8=BE7)*(BH4:BH8=BH7)*(BI4:BI8=BI7)*(BJ4:BJ8=BJ7)*(BK4:BK8&gt;BK7))</f>
        <v>0</v>
      </c>
      <c r="BU7" s="147" t="str">
        <f t="shared" si="10"/>
        <v/>
      </c>
      <c r="BV7" s="147" t="str">
        <f>IF(AY7&lt;&gt;"",INDEX(AY5:AY8,MATCH(4,BU5:BU8,0),0),"")</f>
        <v/>
      </c>
      <c r="BW7" s="147" t="str">
        <f>IF(X5&lt;&gt;"",X5,"")</f>
        <v/>
      </c>
      <c r="BX7" s="147">
        <f>SUMPRODUCT((DV3:DV42=BW7)*(DY3:DY42=BW8)*(EF3:EF42="W"))+SUMPRODUCT((DV3:DV42=BW7)*(DY3:DY42=BW9)*(EF3:EF42="W"))+SUMPRODUCT((DV3:DV42=BW7)*(DY3:DY42=BW6)*(EF3:EF42="W"))+SUMPRODUCT((DV3:DV42=BW8)*(DY3:DY42=BW7)*(EG3:EG42="W"))+SUMPRODUCT((DV3:DV42=BW9)*(DY3:DY42=BW7)*(EG3:EG42="W"))+SUMPRODUCT((DV3:DV42=BW6)*(DY3:DY42=BW7)*(EG3:EG42="W"))</f>
        <v>0</v>
      </c>
      <c r="BY7" s="147">
        <f>SUMPRODUCT((DV3:DV42=BW7)*(DY3:DY42=BW8)*(EF3:EF42="D"))+SUMPRODUCT((DV3:DV42=BW7)*(DY3:DY42=BW9)*(EF3:EF42="D"))+SUMPRODUCT((DV3:DV42=BW7)*(DY3:DY42=BW6)*(EF3:EF42="D"))+SUMPRODUCT((DV3:DV42=BW8)*(DY3:DY42=BW7)*(EF3:EF42="D"))+SUMPRODUCT((DV3:DV42=BW9)*(DY3:DY42=BW7)*(EF3:EF42="D"))+SUMPRODUCT((DV3:DV42=BW6)*(DY3:DY42=BW7)*(EF3:EF42="D"))</f>
        <v>0</v>
      </c>
      <c r="BZ7" s="147">
        <f>SUMPRODUCT((DV3:DV42=BW7)*(DY3:DY42=BW8)*(EF3:EF42="L"))+SUMPRODUCT((DV3:DV42=BW7)*(DY3:DY42=BW9)*(EF3:EF42="L"))+SUMPRODUCT((DV3:DV42=BW7)*(DY3:DY42=BW6)*(EF3:EF42="L"))+SUMPRODUCT((DV3:DV42=BW8)*(DY3:DY42=BW7)*(EG3:EG42="L"))+SUMPRODUCT((DV3:DV42=BW9)*(DY3:DY42=BW7)*(EG3:EG42="L"))+SUMPRODUCT((DV3:DV42=BW6)*(DY3:DY42=BW7)*(EG3:EG42="L"))</f>
        <v>0</v>
      </c>
      <c r="CA7" s="147">
        <f>IF(BW7&lt;&gt;"",VLOOKUP(BW7,B4:F29,5,FALSE),0)</f>
        <v>0</v>
      </c>
      <c r="CB7" s="147">
        <f>IF(BW7&lt;&gt;"",VLOOKUP(BW7,B4:G29,6,FALSE),0)</f>
        <v>0</v>
      </c>
      <c r="CC7" s="147">
        <f>CA7-CB7+1000</f>
        <v>1000</v>
      </c>
      <c r="CD7" s="147">
        <f>IF(BW7&lt;&gt;"",VLOOKUP(BW7,B4:I29,8,FALSE),0)</f>
        <v>0</v>
      </c>
      <c r="CE7" s="147">
        <f>IF(BW7&lt;&gt;"",VLOOKUP(BW7,B4:J29,9,FALSE),0)</f>
        <v>0</v>
      </c>
      <c r="CF7" s="147">
        <f>CD7-CE7+1000</f>
        <v>1000</v>
      </c>
      <c r="CG7" s="147" t="str">
        <f>IF(BW7&lt;&gt;"",VLOOKUP(BW7,B4:F8,5,FALSE),"")</f>
        <v/>
      </c>
      <c r="CH7" s="147" t="str">
        <f>IF(BW7&lt;&gt;"",VLOOKUP(BW7,B4:I8,8,FALSE),"")</f>
        <v/>
      </c>
      <c r="CI7" s="147" t="str">
        <f>IF(BW7&lt;&gt;"",VLOOKUP(BW7,B4:P8,15,FALSE),"")</f>
        <v/>
      </c>
      <c r="CJ7" s="147">
        <f>SUMPRODUCT((DV3:DV42=BW7)*(DY3:DY42=BW8)*EB3:EB42)+SUMPRODUCT((DV3:DV42=BW7)*(DY3:DY42=BW9)*EB3:EB42)+SUMPRODUCT((DV3:DV42=BW7)*(DY3:DY42=BW6)*EB3:EB42)+SUMPRODUCT((DV3:DV42=BW8)*(DY3:DY42=BW7)*EC3:EC42)+SUMPRODUCT((DV3:DV42=BW9)*(DY3:DY42=BW7)*EC3:EC42)+SUMPRODUCT((DV3:DV42=BW6)*(DY3:DY42=BW7)*EC3:EC42)</f>
        <v>0</v>
      </c>
      <c r="CK7" s="147">
        <f>SUMPRODUCT((DV3:DV42=BW7)*(DY3:DY42=BW8)*ED3:ED42)+SUMPRODUCT((DV3:DV42=BW7)*(DY3:DY42=BW9)*ED3:ED42)+SUMPRODUCT((DV3:DV42=BW7)*(DY3:DY42=BW6)*ED3:ED42)+SUMPRODUCT((DV3:DV42=BW8)*(DY3:DY42=BW7)*EE3:EE42)+SUMPRODUCT((DV3:DV42=BW9)*(DY3:DY42=BW7)*EE3:EE42)+SUMPRODUCT((DV3:DV42=BW6)*(DY3:DY42=BW7)*EE3:EE42)</f>
        <v>0</v>
      </c>
      <c r="CL7" s="147">
        <f>BX7*4+BY7*2+CJ7+CK7</f>
        <v>0</v>
      </c>
      <c r="CM7" s="147" t="str">
        <f>IF(BW7&lt;&gt;"",RANK(CL7,CL6:CL9),"")</f>
        <v/>
      </c>
      <c r="CN7" s="147">
        <f>SUMPRODUCT((CL6:CL9=CL7)*(CC6:CC9&gt;CC7))</f>
        <v>0</v>
      </c>
      <c r="CO7" s="147">
        <f>SUMPRODUCT((CL6:CL9=CL7)*(CC6:CC9=CC7)*(CF6:CF9&gt;CF7))</f>
        <v>0</v>
      </c>
      <c r="CP7" s="147">
        <f>SUMPRODUCT((CL4:CL8=CL7)*(CC4:CC8=CC7)*(CF4:CF8=CF7)*(CG4:CG8&gt;CG7))</f>
        <v>0</v>
      </c>
      <c r="CQ7" s="147">
        <f>SUMPRODUCT((CL4:CL8=CL7)*(CC4:CC8=CC7)*(CF4:CF8=CF7)*(CG4:CG8=CG7)*(CH4:CH8&gt;CH7))</f>
        <v>0</v>
      </c>
      <c r="CR7" s="147">
        <f>SUMPRODUCT((CL4:CL8=CL7)*(CC4:CC8=CC7)*(CF4:CF8=CF7)*(CG4:CG8=CG7)*(CH4:CH8=CH7)*(CI4:CI8&gt;CI7))</f>
        <v>0</v>
      </c>
      <c r="CS7" s="147" t="str">
        <f t="shared" ref="CS7:CS8" si="11">IF(BW7&lt;&gt;"",SUM(CM7:CR7)+2,"")</f>
        <v/>
      </c>
      <c r="CT7" s="147" t="str">
        <f>IF(BW7&lt;&gt;"",INDEX(BW6:BW8,MATCH(4,CS6:CS8,0),0),"")</f>
        <v/>
      </c>
      <c r="CU7" s="147" t="str">
        <f>IF(Y4&lt;&gt;"",Y4,"")</f>
        <v/>
      </c>
      <c r="CV7" s="147">
        <f>SUMPRODUCT((DV3:DV42=CU7)*(DY3:DY42=CU8)*(EF3:EF42="W"))+SUMPRODUCT((DV3:DV42=CU7)*(DY3:DY42=CU9)*(EF3:EF42="W"))+SUMPRODUCT((DV3:DV42=CU7)*(DY3:DY42=CU10)*(EF3:EF42="W"))+SUMPRODUCT((DV3:DV42=CU8)*(DY3:DY42=CU7)*(EG3:EG42="W"))+SUMPRODUCT((DV3:DV42=CU9)*(DY3:DY42=CU7)*(EG3:EG42="W"))+SUMPRODUCT((DV3:DV42=CU10)*(DY3:DY42=CU7)*(EG3:EG42="W"))</f>
        <v>0</v>
      </c>
      <c r="CW7" s="147">
        <f>SUMPRODUCT((DV3:DV42=CU7)*(DY3:DY42=CU8)*(EF3:EF42="D"))+SUMPRODUCT((DV3:DV42=CU7)*(DY3:DY42=CU9)*(EF3:EF42="D"))+SUMPRODUCT((DV3:DV42=CU7)*(DY3:DY42=CU10)*(EF3:EF42="D"))+SUMPRODUCT((DV3:DV42=CU8)*(DY3:DY42=CU7)*(EF3:EF42="D"))+SUMPRODUCT((DV3:DV42=CU9)*(DY3:DY42=CU7)*(EF3:EF42="D"))+SUMPRODUCT((DV3:DV42=CU10)*(DY3:DY42=CU7)*(EF3:EF42="D"))</f>
        <v>0</v>
      </c>
      <c r="CX7" s="147">
        <f>SUMPRODUCT((DV3:DV42=CU7)*(DY3:DY42=CU8)*(EF3:EF42="L"))+SUMPRODUCT((DV3:DV42=CU7)*(DY3:DY42=CU9)*(EF3:EF42="L"))+SUMPRODUCT((DV3:DV42=CU7)*(DY3:DY42=CU10)*(EF3:EF42="L"))+SUMPRODUCT((DV3:DV42=CU8)*(DY3:DY42=CU7)*(EG3:EG42="L"))+SUMPRODUCT((DV3:DV42=CU9)*(DY3:DY42=CU7)*(EG3:EG42="L"))+SUMPRODUCT((DV3:DV42=CU10)*(DY3:DY42=CU7)*(EG3:EG42="L"))</f>
        <v>0</v>
      </c>
      <c r="CY7" s="147">
        <f>IF(CU7&lt;&gt;"",VLOOKUP(CU7,B4:F29,5,FALSE),0)</f>
        <v>0</v>
      </c>
      <c r="CZ7" s="147">
        <f>IF(CU7&lt;&gt;"",VLOOKUP(CU7,B4:G29,6,FALSE),0)</f>
        <v>0</v>
      </c>
      <c r="DA7" s="147">
        <f>CY7-CZ7+1000</f>
        <v>1000</v>
      </c>
      <c r="DB7" s="147">
        <f>IF(CU7&lt;&gt;"",VLOOKUP(CU7,B4:I29,8,FALSE),0)</f>
        <v>0</v>
      </c>
      <c r="DC7" s="147">
        <f>IF(CU7&lt;&gt;"",VLOOKUP(CU7,B4:J29,9,FALSE),0)</f>
        <v>0</v>
      </c>
      <c r="DD7" s="147">
        <f>DB7-DC7+1000</f>
        <v>1000</v>
      </c>
      <c r="DE7" s="147" t="str">
        <f>IF(CU7&lt;&gt;"",VLOOKUP(CU7,B4:F8,5,FALSE),"")</f>
        <v/>
      </c>
      <c r="DF7" s="147" t="str">
        <f>IF(CU7&lt;&gt;"",VLOOKUP(CU7,B4:I8,8,FALSE),"")</f>
        <v/>
      </c>
      <c r="DG7" s="147" t="str">
        <f>IF(CU7&lt;&gt;"",VLOOKUP(CU7,B4:P8,15,FALSE),"")</f>
        <v/>
      </c>
      <c r="DH7" s="147">
        <f>SUMPRODUCT((DV3:DV42=CU7)*(DY3:DY42=CU8)*EB3:EB42)+SUMPRODUCT((DV3:DV42=CU7)*(DY3:DY42=CU9)*EB3:EB42)+SUMPRODUCT((DV3:DV42=CU7)*(DY3:DY42=CU10)*EB3:EB42)+SUMPRODUCT((DV3:DV42=CU8)*(DY3:DY42=CU7)*EC3:EC42)+SUMPRODUCT((DV3:DV42=CU9)*(DY3:DY42=CU7)*EC3:EC42)+SUMPRODUCT((DV3:DV42=CU10)*(DY3:DY42=CU7)*EC3:EC42)</f>
        <v>0</v>
      </c>
      <c r="DI7" s="147">
        <f>SUMPRODUCT((DV3:DV42=CU7)*(DY3:DY42=CU8)*ED3:ED42)+SUMPRODUCT((DV3:DV42=CU7)*(DY3:DY42=CU9)*ED3:ED42)+SUMPRODUCT((DV3:DV42=CU7)*(DY3:DY42=CU10)*ED3:ED42)+SUMPRODUCT((DV3:DV42=CU8)*(DY3:DY42=CU7)*EE3:EE42)+SUMPRODUCT((DV3:DV42=CU9)*(DY3:DY42=CU7)*EE3:EE42)+SUMPRODUCT((DV3:DV42=CU10)*(DY3:DY42=CU7)*EE3:EE42)</f>
        <v>0</v>
      </c>
      <c r="DJ7" s="147">
        <f>CV7*4+CW7*2+DH7+DI7</f>
        <v>0</v>
      </c>
      <c r="DK7" s="147" t="str">
        <f>IF(CU7&lt;&gt;"",RANK(DJ7,DJ7:DJ10),"")</f>
        <v/>
      </c>
      <c r="DL7" s="147">
        <f>SUMPRODUCT((DJ7:DJ10=DJ7)*(DA7:DA10&gt;DA7))</f>
        <v>0</v>
      </c>
      <c r="DM7" s="147">
        <f>SUMPRODUCT((DJ7:DJ10=DJ7)*(DA7:DA10=DA7)*(DD7:DD10&gt;DD7))</f>
        <v>0</v>
      </c>
      <c r="DN7" s="147">
        <f>SUMPRODUCT((DJ4:DJ8=DJ7)*(DA4:DA8=DA7)*(DD4:DD8=DD7)*(DE4:DE8&gt;DE7))</f>
        <v>0</v>
      </c>
      <c r="DO7" s="147">
        <f>SUMPRODUCT((DJ4:DJ8=DJ7)*(DA4:DA8=DA7)*(DD4:DD8=DD7)*(DE4:DE8=DE7)*(DF4:DF8&gt;DF7))</f>
        <v>0</v>
      </c>
      <c r="DP7" s="147">
        <f>SUMPRODUCT((DJ4:DJ8=DJ7)*(DA4:DA8=DA7)*(DD4:DD8=DD7)*(DE4:DE8=DE7)*(DF4:DF8=DF7)*(DG4:DG8&gt;DG7))</f>
        <v>0</v>
      </c>
      <c r="DQ7" s="147" t="str">
        <f>IF(CU7&lt;&gt;"",SUM(DK7:DP7)+3,"")</f>
        <v/>
      </c>
      <c r="DR7" s="147" t="str">
        <f>IF(CU7&lt;&gt;"",IF(DQ7=4,CU7,CU8),"")</f>
        <v/>
      </c>
      <c r="DS7" s="147" t="str">
        <f>IF(DR7&lt;&gt;"",DR7,IF(CT7&lt;&gt;"",CT7,IF(BV7&lt;&gt;"",BV7,IF(AX7&lt;&gt;"",AX7,T7))))</f>
        <v>Uruguay</v>
      </c>
      <c r="DT7" s="147">
        <v>4</v>
      </c>
      <c r="DU7" s="147">
        <v>5</v>
      </c>
      <c r="DV7" s="147" t="str">
        <f>Tournament!H16</f>
        <v>England</v>
      </c>
      <c r="DW7" s="147">
        <f>IF(AND(Tournament!J16&lt;&gt;"",Tournament!L16&lt;&gt;""),Tournament!J16,0)</f>
        <v>0</v>
      </c>
      <c r="DX7" s="147">
        <f>IF(AND(Tournament!L16&lt;&gt;"",Tournament!J16&lt;&gt;""),Tournament!L16,0)</f>
        <v>0</v>
      </c>
      <c r="DY7" s="147" t="str">
        <f>Tournament!N16</f>
        <v>Argentina</v>
      </c>
      <c r="DZ7" s="147">
        <f>IF(Tournament!O16&lt;&gt;"",Tournament!O16,0)</f>
        <v>0</v>
      </c>
      <c r="EA7" s="147">
        <f>IF(Tournament!Q16&lt;&gt;"",Tournament!Q16,0)</f>
        <v>0</v>
      </c>
      <c r="EB7" s="147">
        <f>IF(DW7&lt;&gt;"",IF(Tournament!O16&gt;3,1,0),0)</f>
        <v>0</v>
      </c>
      <c r="EC7" s="147">
        <f>IF(DX7&lt;&gt;"",IF(Tournament!Q16&gt;3,1,0),0)</f>
        <v>0</v>
      </c>
      <c r="ED7" s="147">
        <f t="shared" si="0"/>
        <v>0</v>
      </c>
      <c r="EE7" s="147">
        <f t="shared" si="1"/>
        <v>0</v>
      </c>
      <c r="EF7" s="147" t="str">
        <f>IF(AND(Tournament!J16&lt;&gt;"",Tournament!L16&lt;&gt;""),IF(DW7&gt;DX7,"W",IF(DW7=DX7,"D","L")),"")</f>
        <v/>
      </c>
      <c r="EG7" s="161" t="str">
        <f t="shared" si="2"/>
        <v/>
      </c>
    </row>
    <row r="8" spans="1:137" x14ac:dyDescent="0.45">
      <c r="A8" s="147">
        <f>VLOOKUP(B8,DS4:DT8,2,FALSE)</f>
        <v>4</v>
      </c>
      <c r="B8" s="147" t="s">
        <v>2</v>
      </c>
      <c r="C8" s="147">
        <f>COUNTIFS(DV3:DV42,B8,EF3:EF42,"W")+COUNTIFS(DY3:DY42,B8,EG3:EG42,"W")</f>
        <v>0</v>
      </c>
      <c r="D8" s="147">
        <f>COUNTIFS(DV3:DV42,B8,EF3:EF42,"D")+COUNTIFS(DY3:DY42,B8,EG3:EG42,"D")</f>
        <v>0</v>
      </c>
      <c r="E8" s="147">
        <f>COUNTIFS(DV3:DV42,B8,EF3:EF42,"L")+COUNTIFS(DY3:DY42,B8,EG3:EG42,"L")</f>
        <v>0</v>
      </c>
      <c r="F8" s="147">
        <f>SUMIF(DV3:DV60,B8,DW3:DW60)+SUMIF(DY3:DY60,B8,DX3:DX60)</f>
        <v>0</v>
      </c>
      <c r="G8" s="147">
        <f>SUMIF(DY3:DY60,B8,DW3:DW60)+SUMIF(DV3:DV60,B8,DX3:DX60)</f>
        <v>0</v>
      </c>
      <c r="H8" s="147">
        <f t="shared" si="3"/>
        <v>1000</v>
      </c>
      <c r="I8" s="147">
        <f>SUMIF(Tournament!H12:H51,B8,Tournament!O12:O51)+SUMIF(Tournament!N12:N51,B8,Tournament!Q12:Q51)</f>
        <v>0</v>
      </c>
      <c r="J8" s="147">
        <f>SUMIF(Tournament!N12:N51,B8,Tournament!O12:O51)+SUMIF(Tournament!H12:H51,B8,Tournament!Q12:Q51)</f>
        <v>0</v>
      </c>
      <c r="K8" s="147">
        <f t="shared" si="4"/>
        <v>1000</v>
      </c>
      <c r="L8" s="147">
        <f t="shared" si="5"/>
        <v>0</v>
      </c>
      <c r="M8" s="147">
        <f>SUMIF(DV:DV,B8,EB:EB)+SUMIF(DY:DY,B8,EC:EC)</f>
        <v>0</v>
      </c>
      <c r="N8" s="147">
        <f>SUMIF(DV:DV,B8,ED:ED)+SUMIF(DY:DY,B8,EE:EE)</f>
        <v>0</v>
      </c>
      <c r="O8" s="147">
        <f t="shared" si="6"/>
        <v>0</v>
      </c>
      <c r="P8" s="147">
        <v>6</v>
      </c>
      <c r="Q8" s="147">
        <f>RANK(O8,O4:O8)</f>
        <v>1</v>
      </c>
      <c r="S8" s="147">
        <f>RANK(O8,O4:O8)+COUNTIF(O4:O8,O8)-1</f>
        <v>5</v>
      </c>
      <c r="T8" s="147" t="str">
        <f>INDEX(B4:B8,MATCH(5,S4:S8,0),0)</f>
        <v>Uruguay</v>
      </c>
      <c r="U8" s="147">
        <f>INDEX(Q4:Q8,MATCH(T8,B4:B8,0),0)</f>
        <v>1</v>
      </c>
      <c r="V8" s="147" t="str">
        <f>IF(AND(V7&lt;&gt;"",U8=1),T8,"")</f>
        <v>Uruguay</v>
      </c>
      <c r="AA8" s="147" t="str">
        <f t="shared" si="7"/>
        <v>Uruguay</v>
      </c>
      <c r="AB8" s="147">
        <f>SUMPRODUCT((DV3:DV42=AA8)*(DY3:DY42=AA4)*(EF3:EF42="W"))+SUMPRODUCT((DV3:DV42=AA8)*(DY3:DY42=AA5)*(EF3:EF42="W"))+SUMPRODUCT((DV3:DV42=AA8)*(DY3:DY42=AA6)*(EF3:EF42="W"))+SUMPRODUCT((DV3:DV42=AA8)*(DY3:DY42=AA7)*(EF3:EF42="W"))+SUMPRODUCT((DV3:DV42=AA4)*(DY3:DY42=AA8)*(EG3:EG42="W"))+SUMPRODUCT((DV3:DV42=AA5)*(DY3:DY42=AA8)*(EG3:EG42="W"))+SUMPRODUCT((DV3:DV42=AA6)*(DY3:DY42=AA8)*(EG3:EG42="W"))+SUMPRODUCT((DV3:DV42=AA7)*(DY3:DY42=AA8)*(EG3:EG42="W"))</f>
        <v>0</v>
      </c>
      <c r="AC8" s="147">
        <f>SUMPRODUCT((DV3:DV42=AA8)*(DY3:DY42=AA4)*(EF3:EF42="D"))+SUMPRODUCT((DV3:DV42=AA8)*(DY3:DY42=AA5)*(EF3:EF42="D"))+SUMPRODUCT((DV3:DV42=AA8)*(DY3:DY42=AA6)*(EF3:EF42="D"))+SUMPRODUCT((DV3:DV42=AA8)*(DY3:DY42=AA7)*(EF3:EF42="D"))+SUMPRODUCT((DV3:DV42=AA4)*(DY3:DY42=AA8)*(EF3:EF42="D"))+SUMPRODUCT((DV3:DV42=AA5)*(DY3:DY42=AA8)*(EF3:EF42="D"))+SUMPRODUCT((DV3:DV42=AA6)*(DY3:DY42=AA8)*(EF3:EF42="D"))+SUMPRODUCT((DV3:DV42=AA7)*(DY3:DY42=AA8)*(EF3:EF42="D"))</f>
        <v>0</v>
      </c>
      <c r="AD8" s="147">
        <f>SUMPRODUCT((DV3:DV42=AA8)*(DY3:DY42=AA4)*(EF3:EF42="L"))+SUMPRODUCT((DV3:DV42=AA8)*(DY3:DY42=AA5)*(EF3:EF42="L"))+SUMPRODUCT((DV3:DV42=AA8)*(DY3:DY42=AA6)*(EF3:EF42="L"))+SUMPRODUCT((DV3:DV42=AA8)*(DY3:DY42=AA7)*(EF3:EF42="L"))+SUMPRODUCT((DV3:DV42=AA4)*(DY3:DY42=AA8)*(EG3:EG42="L"))+SUMPRODUCT((DV3:DV42=AA5)*(DY3:DY42=AA8)*(EG3:EG42="L"))+SUMPRODUCT((DV3:DV42=AA6)*(DY3:DY42=AA8)*(EG3:EG42="L"))+SUMPRODUCT((DV3:DV42=AA7)*(DY3:DY42=AA8)*(EG3:EG42="L"))</f>
        <v>0</v>
      </c>
      <c r="AE8" s="147">
        <f>IF(AA8&lt;&gt;"",VLOOKUP(AA8,B4:F29,5,FALSE),0)</f>
        <v>0</v>
      </c>
      <c r="AF8" s="147">
        <f>IF(AA8&lt;&gt;"",VLOOKUP(AA8,B4:G29,6,FALSE),0)</f>
        <v>0</v>
      </c>
      <c r="AG8" s="147">
        <f>AE8-AF8+1000</f>
        <v>1000</v>
      </c>
      <c r="AH8" s="147">
        <f>IF(AA8&lt;&gt;"",VLOOKUP(AA8,B4:I29,8,FALSE),0)</f>
        <v>0</v>
      </c>
      <c r="AI8" s="147">
        <f>IF(AA8&lt;&gt;"",VLOOKUP(AA8,B4:J29,9,FALSE),0)</f>
        <v>0</v>
      </c>
      <c r="AJ8" s="147">
        <f>AH8-AI8+1000</f>
        <v>1000</v>
      </c>
      <c r="AK8" s="147">
        <f>IF(AA8&lt;&gt;"",VLOOKUP(AA8,B4:F8,5,FALSE),"")</f>
        <v>0</v>
      </c>
      <c r="AL8" s="147">
        <f>IF(AA8&lt;&gt;"",VLOOKUP(AA8,B4:I8,8,FALSE),"")</f>
        <v>0</v>
      </c>
      <c r="AM8" s="147">
        <f>IF(AA8&lt;&gt;"",VLOOKUP(AA8,B4:P8,15,FALSE),"")</f>
        <v>6</v>
      </c>
      <c r="AN8" s="147">
        <f>SUMPRODUCT((DV3:DV42=AA8)*(DY3:DY42=AA4)*EB3:EB42)+SUMPRODUCT((DV3:DV42=AA8)*(DY3:DY42=AA5)*EB3:EB42)+SUMPRODUCT((DV3:DV42=AA8)*(DY3:DY42=AA6)*EB3:EB42)+SUMPRODUCT((DV3:DV42=AA8)*(DY3:DY42=AA7)*EB3:EB42)+SUMPRODUCT((DV3:DV42=AA4)*(DY3:DY42=AA8)*EC3:EC42)+SUMPRODUCT((DV3:DV42=AA5)*(DY3:DY42=AA8)*EC3:EC42)+SUMPRODUCT((DV3:DV42=AA6)*(DY3:DY42=AA8)*EC3:EC42)+SUMPRODUCT((DV3:DV42=AA7)*(DY3:DY42=AA8)*EC3:EC42)</f>
        <v>0</v>
      </c>
      <c r="AO8" s="147">
        <f>SUMPRODUCT((DV3:DV42=AA8)*(DY3:DY42=AA4)*ED3:ED42)+SUMPRODUCT((DV3:DV42=AA8)*(DY3:DY42=AA5)*ED3:ED42)+SUMPRODUCT((DV3:DV42=AA8)*(DY3:DY42=AA6)*ED3:ED42)+SUMPRODUCT((DV3:DV42=AA8)*(DY3:DY42=AA7)*ED3:ED42)+SUMPRODUCT((DV3:DV42=AA4)*(DY3:DY42=AA8)*EE3:EE42)+SUMPRODUCT((DV3:DV42=AA5)*(DY3:DY42=AA8)*EE3:EE42)+SUMPRODUCT((DV3:DV42=AA6)*(DY3:DY42=AA8)*EE3:EE42)+SUMPRODUCT((DV3:DV42=AA7)*(DY3:DY42=AA8)*EE3:EE42)</f>
        <v>0</v>
      </c>
      <c r="AP8" s="147">
        <f>AB8*4+AC8*2+AN8+AO8</f>
        <v>0</v>
      </c>
      <c r="AQ8" s="147">
        <f>IF(AA8&lt;&gt;"",RANK(AP8,AP4:AP8),"")</f>
        <v>1</v>
      </c>
      <c r="AR8" s="147">
        <f>SUMPRODUCT((AP4:AP8=AP8)*(AG4:AG8&gt;AG8))</f>
        <v>0</v>
      </c>
      <c r="AS8" s="147">
        <f>SUMPRODUCT((AP4:AP8=AP8)*(AG4:AG8=AG8)*(AJ4:AJ8&gt;AJ8))</f>
        <v>0</v>
      </c>
      <c r="AT8" s="147">
        <f>SUMPRODUCT((AP4:AP8=AP8)*(AG4:AG8=AG8)*(AJ4:AJ8=AJ8)*(AK4:AK8&gt;AK8))</f>
        <v>0</v>
      </c>
      <c r="AU8" s="147">
        <f>SUMPRODUCT((AP4:AP8=AP8)*(AG4:AG8=AG8)*(AJ4:AJ8=AJ8)*(AK4:AK8=AK8)*(AL4:AL8&gt;AL8))</f>
        <v>0</v>
      </c>
      <c r="AV8" s="147">
        <f>SUMPRODUCT((AP4:AP8=AP8)*(AG4:AG8=AG8)*(AJ4:AJ8=AJ8)*(AK4:AK8=AK8)*(AL4:AL8=AL8)*(AM4:AM8&gt;AM8))</f>
        <v>3</v>
      </c>
      <c r="AW8" s="147">
        <f t="shared" si="8"/>
        <v>4</v>
      </c>
      <c r="AX8" s="147" t="str">
        <f>IF(AA8&lt;&gt;"",INDEX(AA4:AA8,MATCH(5,AW4:AW8,0),0),"")</f>
        <v>Namibia</v>
      </c>
      <c r="AY8" s="147" t="str">
        <f>IF(W7&lt;&gt;"",W7,"")</f>
        <v/>
      </c>
      <c r="AZ8" s="147" t="str">
        <f>IF(AY8&lt;&gt;"",SUMPRODUCT((DV3:DV42=AY8)*(DY3:DY42=AY5)*(EF3:EF42="W"))+SUMPRODUCT((DV3:DV42=AY8)*(DY3:DY42=AY6)*(EF3:EF42="W"))+SUMPRODUCT((DV3:DV42=AY8)*(DY3:DY42=AY7)*(EF3:EF42="W"))+SUMPRODUCT((DV3:DV42=AY5)*(DY3:DY42=AY8)*(EF3:EF42="W"))+SUMPRODUCT((DV3:DV42=AY6)*(DY3:DY42=AY8)*(EF3:EF42="W"))+SUMPRODUCT((DV3:DV42=AY7)*(DY3:DY42=AY8)*(EF3:EF42="W")),"")</f>
        <v/>
      </c>
      <c r="BA8" s="147" t="str">
        <f>IF(AY8&lt;&gt;"",SUMPRODUCT((DV3:DV42=AY8)*(DY3:DY42=AY5)*(EF3:EF42="D"))+SUMPRODUCT((DV3:DV42=AY8)*(DY3:DY42=AY6)*(EF3:EF42="D"))+SUMPRODUCT((DV3:DV42=AY8)*(DY3:DY42=AY7)*(EF3:EF42="D"))+SUMPRODUCT((DV3:DV42=AY5)*(DY3:DY42=AY8)*(EF3:EF42="D"))+SUMPRODUCT((DV3:DV42=AY6)*(DY3:DY42=AY8)*(EF3:EF42="D"))+SUMPRODUCT((DV3:DV42=AY7)*(DY3:DY42=AY8)*(EF3:EF42="D")),"")</f>
        <v/>
      </c>
      <c r="BB8" s="147" t="str">
        <f>IF(AY8&lt;&gt;"",SUMPRODUCT((DV3:DV42=AY8)*(DY3:DY42=AY5)*(EF3:EF42="L"))+SUMPRODUCT((DV3:DV42=AY8)*(DY3:DY42=AY6)*(EF3:EF42="L"))+SUMPRODUCT((DV3:DV42=AY8)*(DY3:DY42=AY7)*(EF3:EF42="L"))+SUMPRODUCT((DV3:DV42=AY5)*(DY3:DY42=AY8)*(EF3:EF42="L"))+SUMPRODUCT((DV3:DV42=AY6)*(DY3:DY42=AY8)*(EF3:EF42="L"))+SUMPRODUCT((DV3:DV42=AY7)*(DY3:DY42=AY8)*(EF3:EF42="L")),"")</f>
        <v/>
      </c>
      <c r="BC8" s="147">
        <f>IF(AY8&lt;&gt;"",VLOOKUP(AY8,B4:F29,5,FALSE),0)</f>
        <v>0</v>
      </c>
      <c r="BD8" s="147">
        <f>IF(AY8&lt;&gt;"",VLOOKUP(AY8,B4:G29,6,FALSE),0)</f>
        <v>0</v>
      </c>
      <c r="BE8" s="147">
        <f>BC8-BD8+1000</f>
        <v>1000</v>
      </c>
      <c r="BF8" s="147">
        <f>IF(AY8&lt;&gt;"",VLOOKUP(AY8,B4:I29,8,FALSE),0)</f>
        <v>0</v>
      </c>
      <c r="BG8" s="147">
        <f>IF(AY8&lt;&gt;"",VLOOKUP(AY8,B4:J29,9,FALSE),0)</f>
        <v>0</v>
      </c>
      <c r="BH8" s="147" t="str">
        <f>IF(AY8&lt;&gt;"",BF8-BG8+1000,"")</f>
        <v/>
      </c>
      <c r="BI8" s="147" t="str">
        <f>IF(AY8&lt;&gt;"",VLOOKUP(AY8,B4:F8,5,FALSE),"")</f>
        <v/>
      </c>
      <c r="BJ8" s="147" t="str">
        <f>IF(AY8&lt;&gt;"",VLOOKUP(AY8,B4:I8,8,FALSE),"")</f>
        <v/>
      </c>
      <c r="BK8" s="147" t="str">
        <f>IF(AY8&lt;&gt;"",VLOOKUP(AY8,B4:P8,15,FALSE),"")</f>
        <v/>
      </c>
      <c r="BL8" s="147" t="str">
        <f>IF(AY8&lt;&gt;"",SUMPRODUCT((DV3:DV42=AY8)*(DY3:DY42=AY5)*EB3:EB42)+SUMPRODUCT((DV3:DV42=AY8)*(DY3:DY42=AY6)*EB3:EB42)+SUMPRODUCT((DV3:DV42=AY8)*(DY3:DY42=AY7)*EB3:EB42)+SUMPRODUCT((DV3:DV42=AY5)*(DY3:DY42=AY8)*EC3:EC42)+SUMPRODUCT((DV3:DV42=AY6)*(DY3:DY42=AY8)*EC3:EC42)+SUMPRODUCT((DV3:DV42=AY7)*(DY3:DY42=AY8)*EC3:EC42),"")</f>
        <v/>
      </c>
      <c r="BM8" s="147" t="str">
        <f>IF(AY8&lt;&gt;"",SUMPRODUCT((DV3:DV42=AY8)*(DY3:DY42=AY5)*ED3:ED42)+SUMPRODUCT((DV3:DV42=AY8)*(DY3:DY42=AY6)*ED3:ED42)+SUMPRODUCT((DV3:DV42=AY8)*(DY3:DY42=AY7)*ED3:ED42)+SUMPRODUCT((DV3:DV42=AY5)*(DY3:DY42=AY8)*EE3:EE42)+SUMPRODUCT((DV3:DV42=AY6)*(DY3:DY42=AY8)*EE3:EE42)+SUMPRODUCT((DV3:DV42=AY7)*(DY3:DY42=AY8)*EE3:EE42),"")</f>
        <v/>
      </c>
      <c r="BN8" s="147" t="str">
        <f>IF(AY8&lt;&gt;"",AZ8*4+BA8*2+BL8+BM8,"")</f>
        <v/>
      </c>
      <c r="BO8" s="147" t="str">
        <f>IF(AY8&lt;&gt;"",RANK(BN8,BN5:BN8),"")</f>
        <v/>
      </c>
      <c r="BP8" s="147">
        <f>SUMPRODUCT((BN5:BN8=BN8)*(BE5:BE8&gt;BE8))</f>
        <v>0</v>
      </c>
      <c r="BQ8" s="147">
        <f>SUMPRODUCT((BN5:BN8=BN8)*(BE5:BE8=BE8)*(BH5:BH8&gt;BH8))</f>
        <v>0</v>
      </c>
      <c r="BR8" s="147">
        <f>SUMPRODUCT((BN4:BN8=BN8)*(BE4:BE8=BE8)*(BH4:BH8=BH8)*(BI4:BI8&gt;BI8))</f>
        <v>0</v>
      </c>
      <c r="BS8" s="147">
        <f>SUMPRODUCT((BN4:BN8=BN8)*(BE4:BE8=BE8)*(BH4:BH8=BH8)*(BI4:BI8=BI8)*(BJ4:BJ8&gt;BJ8))</f>
        <v>0</v>
      </c>
      <c r="BT8" s="147">
        <f>SUMPRODUCT((BN4:BN8=BN8)*(BE4:BE8=BE8)*(BH4:BH8=BH8)*(BI4:BI8=BI8)*(BJ4:BJ8=BJ8)*(BK4:BK8&gt;BK8))</f>
        <v>0</v>
      </c>
      <c r="BU8" s="147" t="str">
        <f t="shared" si="10"/>
        <v/>
      </c>
      <c r="BV8" s="147" t="str">
        <f>IF(AY8&lt;&gt;"",INDEX(AY5:AY8,MATCH(5,BU5:BU8,0),0),"")</f>
        <v/>
      </c>
      <c r="BW8" s="147" t="str">
        <f>IF(X6&lt;&gt;"",X6,"")</f>
        <v/>
      </c>
      <c r="BX8" s="147" t="str">
        <f>IF(BW8&lt;&gt;"",SUMPRODUCT((DV3:DV42=BW8)*(DY3:DY42=BW9)*(EF3:EF42="W"))+SUMPRODUCT((DV3:DV42=BW8)*(DY3:DY42=BW6)*(EF3:EF42="W"))+SUMPRODUCT((DV3:DV42=BW8)*(DY3:DY42=BW7)*(EF3:EF42="W"))+SUMPRODUCT((DV3:DV42=BW9)*(DY3:DY42=BW8)*(EG3:EG42="W"))+SUMPRODUCT((DV3:DV42=BW6)*(DY3:DY42=BW8)*(EG3:EG42="W"))+SUMPRODUCT((DV3:DV42=BW7)*(DY3:DY42=BW8)*(EG3:EG42="W")),"")</f>
        <v/>
      </c>
      <c r="BY8" s="147" t="str">
        <f>IF(BW8&lt;&gt;"",SUMPRODUCT((DV3:DV42=BW8)*(DY3:DY42=BW9)*(EF3:EF42="D"))+SUMPRODUCT((DV3:DV42=BW8)*(DY3:DY42=BW6)*(EF3:EF42="D"))+SUMPRODUCT((DV3:DV42=BW8)*(DY3:DY42=BW7)*(EF3:EF42="D"))+SUMPRODUCT((DV3:DV42=BW9)*(DY3:DY42=BW8)*(EF3:EF42="D"))+SUMPRODUCT((DV3:DV42=BW6)*(DY3:DY42=BW8)*(EF3:EF42="D"))+SUMPRODUCT((DV3:DV42=BW7)*(DY3:DY42=BW8)*(EF3:EF42="D")),"")</f>
        <v/>
      </c>
      <c r="BZ8" s="147" t="str">
        <f>IF(BW8&lt;&gt;"",SUMPRODUCT((DV3:DV42=BW8)*(DY3:DY42=BW9)*(EF3:EF42="L"))+SUMPRODUCT((DV3:DV42=BW8)*(DY3:DY42=BW6)*(EF3:EF42="L"))+SUMPRODUCT((DV3:DV42=BW8)*(DY3:DY42=BW7)*(EF3:EF42="L"))+SUMPRODUCT((DV3:DV42=BW9)*(DY3:DY42=BW8)*(EG3:EG42="L"))+SUMPRODUCT((DV3:DV42=BW6)*(DY3:DY42=BW8)*(EG3:EG42="L"))+SUMPRODUCT((DV3:DV42=BW7)*(DY3:DY42=BW8)*(EG3:EG42="L")),"")</f>
        <v/>
      </c>
      <c r="CA8" s="147">
        <f>IF(BW8&lt;&gt;"",VLOOKUP(BW8,B4:F29,5,FALSE),0)</f>
        <v>0</v>
      </c>
      <c r="CB8" s="147">
        <f>IF(BW8&lt;&gt;"",VLOOKUP(BW8,B4:G29,6,FALSE),0)</f>
        <v>0</v>
      </c>
      <c r="CC8" s="147">
        <f>CA8-CB8+1000</f>
        <v>1000</v>
      </c>
      <c r="CD8" s="147">
        <f>IF(BW8&lt;&gt;"",VLOOKUP(BW8,B4:I29,8,FALSE),0)</f>
        <v>0</v>
      </c>
      <c r="CE8" s="147">
        <f>IF(BW8&lt;&gt;"",VLOOKUP(BW8,B4:J29,9,FALSE),0)</f>
        <v>0</v>
      </c>
      <c r="CF8" s="147" t="str">
        <f>IF(BW8&lt;&gt;"",CD8-CE8+1000,"")</f>
        <v/>
      </c>
      <c r="CG8" s="147" t="str">
        <f>IF(BW8&lt;&gt;"",VLOOKUP(BW8,B4:F8,5,FALSE),"")</f>
        <v/>
      </c>
      <c r="CH8" s="147" t="str">
        <f>IF(BW8&lt;&gt;"",VLOOKUP(BW8,B4:I8,8,FALSE),"")</f>
        <v/>
      </c>
      <c r="CI8" s="147" t="str">
        <f>IF(BW8&lt;&gt;"",VLOOKUP(BW8,B4:P8,15,FALSE),"")</f>
        <v/>
      </c>
      <c r="CJ8" s="147" t="str">
        <f>IF(BW8&lt;&gt;"",SUMPRODUCT((DV3:DV42=BW8)*(DY3:DY42=BW9)*EB3:EB42)+SUMPRODUCT((DV3:DV42=BW8)*(DY3:DY42=BW6)*EB3:EB42)+SUMPRODUCT((DV3:DV42=BW8)*(DY3:DY42=BW7)*EB3:EB42)+SUMPRODUCT((DV3:DV42=BW9)*(DY3:DY42=BW8)*EC3:EC42)+SUMPRODUCT((DV3:DV42=BW6)*(DY3:DY42=BW8)*EC3:EC42)+SUMPRODUCT((DV3:DV42=BW7)*(DY3:DY42=BW8)*EC3:EC42),"")</f>
        <v/>
      </c>
      <c r="CK8" s="147" t="str">
        <f>IF(BW8&lt;&gt;"",SUMPRODUCT((DV3:DV42=BW8)*(DY3:DY42=BW9)*ED3:ED42)+SUMPRODUCT((DV3:DV42=BW8)*(DY3:DY42=BW6)*ED3:ED42)+SUMPRODUCT((DV3:DV42=BW8)*(DY3:DY42=BW7)*ED3:ED42)+SUMPRODUCT((DV3:DV42=BW9)*(DY3:DY42=BW8)*EE3:EE42)+SUMPRODUCT((DV3:DV42=BW6)*(DY3:DY42=BW8)*EE3:EE42)+SUMPRODUCT((DV3:DV42=BW7)*(DY3:DY42=BW8)*EE3:EE42),"")</f>
        <v/>
      </c>
      <c r="CL8" s="147" t="str">
        <f>IF(BW8&lt;&gt;"",BX8*4+BY8*2+CJ8+CK8,"")</f>
        <v/>
      </c>
      <c r="CM8" s="147" t="str">
        <f>IF(BW8&lt;&gt;"",RANK(CL8,CL6:CL9),"")</f>
        <v/>
      </c>
      <c r="CN8" s="147">
        <f>SUMPRODUCT((CL6:CL9=CL8)*(CC6:CC9&gt;CC8))</f>
        <v>0</v>
      </c>
      <c r="CO8" s="147">
        <f>SUMPRODUCT((CL6:CL9=CL8)*(CC6:CC9=CC8)*(CF6:CF9&gt;CF8))</f>
        <v>0</v>
      </c>
      <c r="CP8" s="147">
        <f>SUMPRODUCT((CL4:CL8=CL8)*(CC4:CC8=CC8)*(CF4:CF8=CF8)*(CG4:CG8&gt;CG8))</f>
        <v>0</v>
      </c>
      <c r="CQ8" s="147">
        <f>SUMPRODUCT((CL4:CL8=CL8)*(CC4:CC8=CC8)*(CF4:CF8=CF8)*(CG4:CG8=CG8)*(CH4:CH8&gt;CH8))</f>
        <v>0</v>
      </c>
      <c r="CR8" s="147">
        <f>SUMPRODUCT((CL4:CL8=CL8)*(CC4:CC8=CC8)*(CF4:CF8=CF8)*(CG4:CG8=CG8)*(CH4:CH8=CH8)*(CI4:CI8&gt;CI8))</f>
        <v>0</v>
      </c>
      <c r="CS8" s="147" t="str">
        <f t="shared" si="11"/>
        <v/>
      </c>
      <c r="CT8" s="147" t="str">
        <f>IF(BW8&lt;&gt;"",INDEX(BW6:BW8,MATCH(5,CS6:CS8,0),0),"")</f>
        <v/>
      </c>
      <c r="CU8" s="147" t="str">
        <f>IF(Y5&lt;&gt;"",Y5,"")</f>
        <v/>
      </c>
      <c r="CV8" s="147">
        <f>SUMPRODUCT((DV3:DV42=CU8)*(DY3:DY42=CU9)*(EF3:EF42="W"))+SUMPRODUCT((DV3:DV42=CU8)*(DY3:DY42=CU10)*(EF3:EF42="W"))+SUMPRODUCT((DV3:DV42=CU8)*(DY3:DY42=CU7)*(EF3:EF42="W"))+SUMPRODUCT((DV3:DV42=CU9)*(DY3:DY42=CU8)*(EG3:EG42="W"))+SUMPRODUCT((DV3:DV42=CU10)*(DY3:DY42=CU8)*(EG3:EG42="W"))+SUMPRODUCT((DV3:DV42=CU7)*(DY3:DY42=CU8)*(EG3:EG42="W"))</f>
        <v>0</v>
      </c>
      <c r="CW8" s="147">
        <f>SUMPRODUCT((DV3:DV42=CU8)*(DY3:DY42=CU9)*(EF3:EF42="D"))+SUMPRODUCT((DV3:DV42=CU8)*(DY3:DY42=CU10)*(EF3:EF42="D"))+SUMPRODUCT((DV3:DV42=CU8)*(DY3:DY42=CU7)*(EF3:EF42="D"))+SUMPRODUCT((DV3:DV42=CU9)*(DY3:DY42=CU8)*(EF3:EF42="D"))+SUMPRODUCT((DV3:DV42=CU10)*(DY3:DY42=CU8)*(EF3:EF42="D"))+SUMPRODUCT((DV3:DV42=CU7)*(DY3:DY42=CU8)*(EF3:EF42="D"))</f>
        <v>0</v>
      </c>
      <c r="CX8" s="147">
        <f>SUMPRODUCT((DV3:DV42=CU8)*(DY3:DY42=CU9)*(EF3:EF42="L"))+SUMPRODUCT((DV3:DV42=CU8)*(DY3:DY42=CU10)*(EF3:EF42="L"))+SUMPRODUCT((DV3:DV42=CU8)*(DY3:DY42=CU7)*(EF3:EF42="L"))+SUMPRODUCT((DV3:DV42=CU9)*(DY3:DY42=CU8)*(EG3:EG42="L"))+SUMPRODUCT((DV3:DV42=CU10)*(DY3:DY42=CU8)*(EG3:EG42="L"))+SUMPRODUCT((DV3:DV42=CU7)*(DY3:DY42=CU8)*(EG3:EG42="L"))</f>
        <v>0</v>
      </c>
      <c r="CY8" s="147">
        <f>IF(CU8&lt;&gt;"",VLOOKUP(CU8,B4:F29,5,FALSE),0)</f>
        <v>0</v>
      </c>
      <c r="CZ8" s="147">
        <f>IF(CU8&lt;&gt;"",VLOOKUP(CU8,B4:G29,6,FALSE),0)</f>
        <v>0</v>
      </c>
      <c r="DA8" s="147">
        <f>CY8-CZ8+1000</f>
        <v>1000</v>
      </c>
      <c r="DB8" s="147">
        <f>IF(CU8&lt;&gt;"",VLOOKUP(CU8,B4:I29,8,FALSE),0)</f>
        <v>0</v>
      </c>
      <c r="DC8" s="147">
        <f>IF(CU8&lt;&gt;"",VLOOKUP(CU8,B4:J29,9,FALSE),0)</f>
        <v>0</v>
      </c>
      <c r="DD8" s="147">
        <f t="shared" ref="DD8" si="12">DB8-DC8+1000</f>
        <v>1000</v>
      </c>
      <c r="DE8" s="147" t="str">
        <f>IF(CU8&lt;&gt;"",VLOOKUP(CU8,B4:F8,5,FALSE),"")</f>
        <v/>
      </c>
      <c r="DF8" s="147" t="str">
        <f>IF(CU8&lt;&gt;"",VLOOKUP(CU8,B4:I8,8,FALSE),"")</f>
        <v/>
      </c>
      <c r="DG8" s="147" t="str">
        <f>IF(CU8&lt;&gt;"",VLOOKUP(CU8,B4:P8,15,FALSE),"")</f>
        <v/>
      </c>
      <c r="DH8" s="147">
        <f>SUMPRODUCT((DV3:DV42=CU8)*(DY3:DY42=CU9)*EB3:EB42)+SUMPRODUCT((DV3:DV42=CU8)*(DY3:DY42=CU10)*EB3:EB42)+SUMPRODUCT((DV3:DV42=CU8)*(DY3:DY42=CU7)*EB3:EB42)+SUMPRODUCT((DV3:DV42=CU9)*(DY3:DY42=CU8)*EC3:EC42)+SUMPRODUCT((DV3:DV42=CU10)*(DY3:DY42=CU8)*EC3:EC42)+SUMPRODUCT((DV3:DV42=CU7)*(DY3:DY42=CU8)*EC3:EC42)</f>
        <v>0</v>
      </c>
      <c r="DI8" s="147">
        <f>SUMPRODUCT((DV3:DV42=CU8)*(DY3:DY42=CU9)*ED3:ED42)+SUMPRODUCT((DV3:DV42=CU8)*(DY3:DY42=CU10)*ED3:ED42)+SUMPRODUCT((DV3:DV42=CU8)*(DY3:DY42=CU7)*ED3:ED42)+SUMPRODUCT((DV3:DV42=CU9)*(DY3:DY42=CU8)*EE3:EE42)+SUMPRODUCT((DV3:DV42=CU10)*(DY3:DY42=CU8)*EE3:EE42)+SUMPRODUCT((DV3:DV42=CU7)*(DY3:DY42=CU8)*EE3:EE42)</f>
        <v>0</v>
      </c>
      <c r="DJ8" s="147">
        <f t="shared" ref="DJ8" si="13">CV8*4+CW8*2+DH8+DI8</f>
        <v>0</v>
      </c>
      <c r="DK8" s="147" t="str">
        <f>IF(CU8&lt;&gt;"",RANK(DJ8,DJ7:DJ10),"")</f>
        <v/>
      </c>
      <c r="DL8" s="147">
        <f>SUMPRODUCT((DJ7:DJ10=DJ8)*(DA7:DA10&gt;DA8))</f>
        <v>0</v>
      </c>
      <c r="DM8" s="147">
        <f>SUMPRODUCT((DJ7:DJ10=DJ8)*(DA7:DA10=DA8)*(DD7:DD10&gt;DD8))</f>
        <v>0</v>
      </c>
      <c r="DN8" s="147">
        <f>SUMPRODUCT((DJ4:DJ8=DJ8)*(DA4:DA8=DA8)*(DD4:DD8=DD8)*(DE4:DE8&gt;DE8))</f>
        <v>0</v>
      </c>
      <c r="DO8" s="147">
        <f>SUMPRODUCT((DJ4:DJ8=DJ8)*(DA4:DA8=DA8)*(DD4:DD8=DD8)*(DE4:DE8=DE8)*(DF4:DF8&gt;DF8))</f>
        <v>0</v>
      </c>
      <c r="DP8" s="147">
        <f>SUMPRODUCT((DJ4:DJ8=DJ8)*(DA4:DA8=DA8)*(DD4:DD8=DD8)*(DE4:DE8=DE8)*(DF4:DF8=DF8)*(DG4:DG8&gt;DG8))</f>
        <v>0</v>
      </c>
      <c r="DQ8" s="147" t="str">
        <f>IF(CU8&lt;&gt;"",SUM(DK8:DP8)+3,"")</f>
        <v/>
      </c>
      <c r="DR8" s="147" t="str">
        <f>IF(CU7&lt;&gt;"",IF(CU7=DR7,CU8,CU7),"")</f>
        <v/>
      </c>
      <c r="DS8" s="147" t="str">
        <f>IF(DR8&lt;&gt;"",DR8,IF(CT8&lt;&gt;"",CT8,IF(BV8&lt;&gt;"",BV8,IF(AX8&lt;&gt;"",AX8,T8))))</f>
        <v>Namibia</v>
      </c>
      <c r="DT8" s="147">
        <v>5</v>
      </c>
      <c r="DU8" s="147">
        <v>6</v>
      </c>
      <c r="DV8" s="147" t="str">
        <f>Tournament!H17</f>
        <v>Japan</v>
      </c>
      <c r="DW8" s="147">
        <f>IF(AND(Tournament!J17&lt;&gt;"",Tournament!L17&lt;&gt;""),Tournament!J17,0)</f>
        <v>0</v>
      </c>
      <c r="DX8" s="147">
        <f>IF(AND(Tournament!L17&lt;&gt;"",Tournament!J17&lt;&gt;""),Tournament!L17,0)</f>
        <v>0</v>
      </c>
      <c r="DY8" s="147" t="str">
        <f>Tournament!N17</f>
        <v>Chile</v>
      </c>
      <c r="DZ8" s="147">
        <f>IF(Tournament!O17&lt;&gt;"",Tournament!O17,0)</f>
        <v>0</v>
      </c>
      <c r="EA8" s="147">
        <f>IF(Tournament!Q17&lt;&gt;"",Tournament!Q17,0)</f>
        <v>0</v>
      </c>
      <c r="EB8" s="147">
        <f>IF(DW8&lt;&gt;"",IF(Tournament!O17&gt;3,1,0),0)</f>
        <v>0</v>
      </c>
      <c r="EC8" s="147">
        <f>IF(DX8&lt;&gt;"",IF(Tournament!Q17&gt;3,1,0),0)</f>
        <v>0</v>
      </c>
      <c r="ED8" s="147">
        <f t="shared" si="0"/>
        <v>0</v>
      </c>
      <c r="EE8" s="147">
        <f t="shared" si="1"/>
        <v>0</v>
      </c>
      <c r="EF8" s="147" t="str">
        <f>IF(AND(Tournament!J17&lt;&gt;"",Tournament!L17&lt;&gt;""),IF(DW8&gt;DX8,"W",IF(DW8=DX8,"D","L")),"")</f>
        <v/>
      </c>
      <c r="EG8" s="161" t="str">
        <f t="shared" si="2"/>
        <v/>
      </c>
    </row>
    <row r="9" spans="1:137" x14ac:dyDescent="0.45">
      <c r="DU9" s="147">
        <v>7</v>
      </c>
      <c r="DV9" s="147" t="str">
        <f>Tournament!H18</f>
        <v>South Africa</v>
      </c>
      <c r="DW9" s="147">
        <f>IF(AND(Tournament!J18&lt;&gt;"",Tournament!L18&lt;&gt;""),Tournament!J18,0)</f>
        <v>0</v>
      </c>
      <c r="DX9" s="147">
        <f>IF(AND(Tournament!L18&lt;&gt;"",Tournament!J18&lt;&gt;""),Tournament!L18,0)</f>
        <v>0</v>
      </c>
      <c r="DY9" s="147" t="str">
        <f>Tournament!N18</f>
        <v>Scotland</v>
      </c>
      <c r="DZ9" s="147">
        <f>IF(Tournament!O18&lt;&gt;"",Tournament!O18,0)</f>
        <v>0</v>
      </c>
      <c r="EA9" s="147">
        <f>IF(Tournament!Q18&lt;&gt;"",Tournament!Q18,0)</f>
        <v>0</v>
      </c>
      <c r="EB9" s="147">
        <f>IF(DW9&lt;&gt;"",IF(Tournament!O18&gt;3,1,0),0)</f>
        <v>0</v>
      </c>
      <c r="EC9" s="147">
        <f>IF(DX9&lt;&gt;"",IF(Tournament!Q18&gt;3,1,0),0)</f>
        <v>0</v>
      </c>
      <c r="ED9" s="147">
        <f t="shared" si="0"/>
        <v>0</v>
      </c>
      <c r="EE9" s="147">
        <f t="shared" si="1"/>
        <v>0</v>
      </c>
      <c r="EF9" s="147" t="str">
        <f>IF(AND(Tournament!J18&lt;&gt;"",Tournament!L18&lt;&gt;""),IF(DW9&gt;DX9,"W",IF(DW9=DX9,"D","L")),"")</f>
        <v/>
      </c>
      <c r="EG9" s="161" t="str">
        <f t="shared" si="2"/>
        <v/>
      </c>
    </row>
    <row r="10" spans="1:137" x14ac:dyDescent="0.45">
      <c r="DU10" s="147">
        <v>8</v>
      </c>
      <c r="DV10" s="147" t="str">
        <f>Tournament!H19</f>
        <v>Wales</v>
      </c>
      <c r="DW10" s="147">
        <f>IF(AND(Tournament!J19&lt;&gt;"",Tournament!L19&lt;&gt;""),Tournament!J19,0)</f>
        <v>0</v>
      </c>
      <c r="DX10" s="147">
        <f>IF(AND(Tournament!L19&lt;&gt;"",Tournament!J19&lt;&gt;""),Tournament!L19,0)</f>
        <v>0</v>
      </c>
      <c r="DY10" s="147" t="str">
        <f>Tournament!N19</f>
        <v>Fiji</v>
      </c>
      <c r="DZ10" s="147">
        <f>IF(Tournament!O19&lt;&gt;"",Tournament!O19,0)</f>
        <v>0</v>
      </c>
      <c r="EA10" s="147">
        <f>IF(Tournament!Q19&lt;&gt;"",Tournament!Q19,0)</f>
        <v>0</v>
      </c>
      <c r="EB10" s="147">
        <f>IF(DW10&lt;&gt;"",IF(Tournament!O19&gt;3,1,0),0)</f>
        <v>0</v>
      </c>
      <c r="EC10" s="147">
        <f>IF(DX10&lt;&gt;"",IF(Tournament!Q19&gt;3,1,0),0)</f>
        <v>0</v>
      </c>
      <c r="ED10" s="147">
        <f t="shared" si="0"/>
        <v>0</v>
      </c>
      <c r="EE10" s="147">
        <f t="shared" si="1"/>
        <v>0</v>
      </c>
      <c r="EF10" s="147" t="str">
        <f>IF(AND(Tournament!J19&lt;&gt;"",Tournament!L19&lt;&gt;""),IF(DW10&gt;DX10,"W",IF(DW10=DX10,"D","L")),"")</f>
        <v/>
      </c>
      <c r="EG10" s="161" t="str">
        <f t="shared" si="2"/>
        <v/>
      </c>
    </row>
    <row r="11" spans="1:137" x14ac:dyDescent="0.45">
      <c r="A11" s="147">
        <f>VLOOKUP(B11,DS11:DT15,2,FALSE)</f>
        <v>1</v>
      </c>
      <c r="B11" s="147" t="s">
        <v>31</v>
      </c>
      <c r="C11" s="147">
        <f>COUNTIFS(DV3:DV42,B11,EF3:EF42,"W")+COUNTIFS(DY3:DY42,B11,EG3:EG42,"W")</f>
        <v>0</v>
      </c>
      <c r="D11" s="147">
        <f>COUNTIFS(DV3:DV42,B11,EF3:EF42,"D")+COUNTIFS(DY3:DY42,B11,EG3:EG42,"D")</f>
        <v>0</v>
      </c>
      <c r="E11" s="147">
        <f>COUNTIFS(DV3:DV42,B11,EF3:EF42,"L")+COUNTIFS(DY3:DY42,B11,EG3:EG42,"L")</f>
        <v>0</v>
      </c>
      <c r="F11" s="147">
        <f>SUMIF(DV3:DV60,B11,DW3:DW60)+SUMIF(DY3:DY60,B11,DX3:DX60)</f>
        <v>0</v>
      </c>
      <c r="G11" s="147">
        <f>SUMIF(DY3:DY60,B11,DW3:DW60)+SUMIF(DV3:DV60,B11,DX3:DX60)</f>
        <v>0</v>
      </c>
      <c r="H11" s="147">
        <f t="shared" ref="H11:H15" si="14">F11-G11+1000</f>
        <v>1000</v>
      </c>
      <c r="I11" s="147">
        <f>SUMIF(Tournament!H12:H51,B11,Tournament!O12:O51)+SUMIF(Tournament!N12:N51,B11,Tournament!Q12:Q51)</f>
        <v>0</v>
      </c>
      <c r="J11" s="147">
        <f>SUMIF(Tournament!N12:N51,B11,Tournament!O12:O51)+SUMIF(Tournament!H12:H51,B11,Tournament!Q12:Q51)</f>
        <v>0</v>
      </c>
      <c r="K11" s="147">
        <f t="shared" ref="K11:K15" si="15">I11-J11+1000</f>
        <v>1000</v>
      </c>
      <c r="L11" s="147">
        <f t="shared" ref="L11:L15" si="16">C11*4+D11*2</f>
        <v>0</v>
      </c>
      <c r="M11" s="147">
        <f>SUMIF(DV:DV,B11,EB:EB)+SUMIF(DY:DY,B11,EC:EC)</f>
        <v>0</v>
      </c>
      <c r="N11" s="147">
        <f>SUMIF(DV:DV,B11,ED:ED)+SUMIF(DY:DY,B11,EE:EE)</f>
        <v>0</v>
      </c>
      <c r="O11" s="147">
        <f t="shared" ref="O11:O15" si="17">N11+M11+L11</f>
        <v>0</v>
      </c>
      <c r="P11" s="147">
        <v>22</v>
      </c>
      <c r="Q11" s="147">
        <f>RANK(O11,O11:O15)</f>
        <v>1</v>
      </c>
      <c r="S11" s="147">
        <f>RANK(O11,O11:O15)+COUNTIF(O11:O11,O11)-1</f>
        <v>1</v>
      </c>
      <c r="T11" s="147" t="str">
        <f>INDEX(B11:B15,MATCH(1,S11:S15,0),0)</f>
        <v>Ireland</v>
      </c>
      <c r="U11" s="147">
        <f>INDEX(Q11:Q15,MATCH(T11,B11:B15,0),0)</f>
        <v>1</v>
      </c>
      <c r="V11" s="147" t="str">
        <f>IF(U12=1,T11,"")</f>
        <v>Ireland</v>
      </c>
      <c r="W11" s="147" t="str">
        <f>IF(U13=2,T12,"")</f>
        <v/>
      </c>
      <c r="X11" s="147" t="str">
        <f>IF(U14=3,T13,"")</f>
        <v/>
      </c>
      <c r="Y11" s="147" t="str">
        <f>IF(U15=4,T14,"")</f>
        <v/>
      </c>
      <c r="AA11" s="147" t="str">
        <f>IF(V11&lt;&gt;"",V11,"")</f>
        <v>Ireland</v>
      </c>
      <c r="AB11" s="147">
        <f>SUMPRODUCT((DV3:DV42=AA11)*(DY3:DY42=AA12)*(EF3:EF42="W"))+SUMPRODUCT((DV3:DV42=AA11)*(DY3:DY42=AA13)*(EF3:EF42="W"))+SUMPRODUCT((DV3:DV42=AA11)*(DY3:DY42=AA14)*(EF3:EF42="W"))+SUMPRODUCT((DV3:DV42=AA11)*(DY3:DY42=AA15)*(EF3:EF42="W"))+SUMPRODUCT((DV3:DV42=AA12)*(DY3:DY42=AA11)*(EG3:EG42="W"))+SUMPRODUCT((DV3:DV42=AA13)*(DY3:DY42=AA11)*(EG3:EG42="W"))+SUMPRODUCT((DV3:DV42=AA14)*(DY3:DY42=AA11)*(EG3:EG42="W"))+SUMPRODUCT((DV3:DV42=AA15)*(DY3:DY42=AA11)*(EG3:EG42="W"))</f>
        <v>0</v>
      </c>
      <c r="AC11" s="147">
        <f>SUMPRODUCT((DV3:DV42=AA11)*(DY3:DY42=AA12)*(EF3:EF42="D"))+SUMPRODUCT((DV3:DV42=AA11)*(DY3:DY42=AA13)*(EF3:EF42="D"))+SUMPRODUCT((DV3:DV42=AA11)*(DY3:DY42=AA14)*(EF3:EF42="D"))+SUMPRODUCT((DV3:DV42=AA11)*(DY3:DY42=AA15)*(EF3:EF42="D"))+SUMPRODUCT((DV3:DV42=AA12)*(DY3:DY42=AA11)*(EF3:EF42="D"))+SUMPRODUCT((DV3:DV42=AA13)*(DY3:DY42=AA11)*(EF3:EF42="D"))+SUMPRODUCT((DV3:DV42=AA14)*(DY3:DY42=AA11)*(EF3:EF42="D"))+SUMPRODUCT((DV3:DV42=AA15)*(DY3:DY42=AA11)*(EF3:EF42="D"))</f>
        <v>0</v>
      </c>
      <c r="AD11" s="147">
        <f>SUMPRODUCT((DV3:DV42=AA11)*(DY3:DY42=AA12)*(EF3:EF42="L"))+SUMPRODUCT((DV3:DV42=AA11)*(DY3:DY42=AA13)*(EF3:EF42="L"))+SUMPRODUCT((DV3:DV42=AA11)*(DY3:DY42=AA14)*(EF3:EF42="L"))+SUMPRODUCT((DV3:DV42=AA11)*(DY3:DY42=AA15)*(EF3:EF42="L"))+SUMPRODUCT((DV3:DV42=AA12)*(DY3:DY42=AA11)*(EG3:EG42="L"))+SUMPRODUCT((DV3:DV42=AA13)*(DY3:DY42=AA11)*(EG3:EG42="L"))+SUMPRODUCT((DV3:DV42=AA14)*(DY3:DY42=AA11)*(EG3:EG42="L"))+SUMPRODUCT((DV3:DV42=AA15)*(DY3:DY42=AA11)*(EG3:EG42="L"))</f>
        <v>0</v>
      </c>
      <c r="AE11" s="147">
        <f>IF(AA11&lt;&gt;"",VLOOKUP(AA11,B4:F29,5,FALSE),0)</f>
        <v>0</v>
      </c>
      <c r="AF11" s="147">
        <f>IF(AA11&lt;&gt;"",VLOOKUP(AA11,B4:G29,6,FALSE),0)</f>
        <v>0</v>
      </c>
      <c r="AG11" s="147">
        <f>AE11-AF11+1000</f>
        <v>1000</v>
      </c>
      <c r="AH11" s="147">
        <f>IF(AA11&lt;&gt;"",VLOOKUP(AA11,B4:I29,8,FALSE),0)</f>
        <v>0</v>
      </c>
      <c r="AI11" s="147">
        <f>IF(AA11&lt;&gt;"",VLOOKUP(AA11,B4:J29,9,FALSE),0)</f>
        <v>0</v>
      </c>
      <c r="AJ11" s="147">
        <f>AH11-AI11+1000</f>
        <v>1000</v>
      </c>
      <c r="AK11" s="147">
        <f>IF(AA11&lt;&gt;"",VLOOKUP(AA11,B11:F15,5,FALSE),"")</f>
        <v>0</v>
      </c>
      <c r="AL11" s="147">
        <f>IF(AA11&lt;&gt;"",VLOOKUP(AA11,B11:I15,8,FALSE),"")</f>
        <v>0</v>
      </c>
      <c r="AM11" s="147">
        <f>IF(AA11&lt;&gt;"",VLOOKUP(AA11,B11:P15,15,FALSE),"")</f>
        <v>22</v>
      </c>
      <c r="AN11" s="147">
        <f>SUMPRODUCT((DV3:DV42=AA11)*(DY3:DY42=AA12)*EB3:EB42)+SUMPRODUCT((DV3:DV42=AA11)*(DY3:DY42=AA13)*EB3:EB42)+SUMPRODUCT((DV3:DV42=AA11)*(DY3:DY42=AA14)*EB3:EB42)+SUMPRODUCT((DV3:DV42=AA11)*(DY3:DY42=AA15)*EB3:EB42)+SUMPRODUCT((DV3:DV42=AA12)*(DY3:DY42=AA11)*EC3:EC42)+SUMPRODUCT((DV3:DV42=AA13)*(DY3:DY42=AA11)*EC3:EC42)+SUMPRODUCT((DV3:DV42=AA14)*(DY3:DY42=AA11)*EC3:EC42)+SUMPRODUCT((DV3:DV42=AA15)*(DY3:DY42=AA11)*EC3:EC42)</f>
        <v>0</v>
      </c>
      <c r="AO11" s="147">
        <f>SUMPRODUCT((DV3:DV42=AA11)*(DY3:DY42=AA12)*ED3:ED42)+SUMPRODUCT((DV3:DV42=AA11)*(DY3:DY42=AA13)*ED3:ED42)+SUMPRODUCT((DV3:DV42=AA11)*(DY3:DY42=AA14)*ED3:ED42)+SUMPRODUCT((DV3:DV42=AA11)*(DY3:DY42=AA15)*ED3:ED42)+SUMPRODUCT((DV3:DV42=AA12)*(DY3:DY42=AA11)*EE3:EE42)+SUMPRODUCT((DV3:DV42=AA13)*(DY3:DY42=AA11)*EE3:EE42)+SUMPRODUCT((DV3:DV42=AA14)*(DY3:DY42=AA11)*EE3:EE42)+SUMPRODUCT((DV3:DV42=AA15)*(DY3:DY42=AA11)*EE3:EE42)</f>
        <v>0</v>
      </c>
      <c r="AP11" s="147">
        <f>AB11*4+AC11*2+AN11+AO11</f>
        <v>0</v>
      </c>
      <c r="AQ11" s="147">
        <f>IF(AA11&lt;&gt;"",RANK(AP11,AP11:AP15),"")</f>
        <v>1</v>
      </c>
      <c r="AR11" s="147">
        <f>SUMPRODUCT((AP11:AP15=AP11)*(AG11:AG15&gt;AG11))</f>
        <v>0</v>
      </c>
      <c r="AS11" s="147">
        <f>SUMPRODUCT((AP11:AP15=AP11)*(AG11:AG15=AG11)*(AJ11:AJ15&gt;AJ11))</f>
        <v>0</v>
      </c>
      <c r="AT11" s="147">
        <f>SUMPRODUCT((AP11:AP15=AP11)*(AG11:AG15=AG11)*(AJ11:AJ15=AJ11)*(AK11:AK15&gt;AK11))</f>
        <v>0</v>
      </c>
      <c r="AU11" s="147">
        <f>SUMPRODUCT((AP11:AP15=AP11)*(AG11:AG15=AG11)*(AJ11:AJ15=AJ11)*(AK11:AK15=AK11)*(AL11:AL15&gt;AL11))</f>
        <v>0</v>
      </c>
      <c r="AV11" s="147">
        <f>SUMPRODUCT((AP11:AP15=AP11)*(AG11:AG15=AG11)*(AJ11:AJ15=AJ11)*(AK11:AK15=AK11)*(AL11:AL15=AL11)*(AM11:AM15&gt;AM11))</f>
        <v>0</v>
      </c>
      <c r="AW11" s="147">
        <f>IF(AA11&lt;&gt;"",SUM(AQ11:AV11),"")</f>
        <v>1</v>
      </c>
      <c r="AX11" s="147" t="str">
        <f>IF(AA11&lt;&gt;"",INDEX(AA11:AA15,MATCH(1,AW11:AW15,0),0),"")</f>
        <v>Ireland</v>
      </c>
      <c r="DS11" s="147" t="str">
        <f>IF(AX11&lt;&gt;"",AX11,T11)</f>
        <v>Ireland</v>
      </c>
      <c r="DT11" s="147">
        <v>1</v>
      </c>
      <c r="DU11" s="147">
        <v>9</v>
      </c>
      <c r="DV11" s="147" t="str">
        <f>Tournament!H20</f>
        <v>France</v>
      </c>
      <c r="DW11" s="147">
        <f>IF(AND(Tournament!J20&lt;&gt;"",Tournament!L20&lt;&gt;""),Tournament!J20,0)</f>
        <v>0</v>
      </c>
      <c r="DX11" s="147">
        <f>IF(AND(Tournament!L20&lt;&gt;"",Tournament!J20&lt;&gt;""),Tournament!L20,0)</f>
        <v>0</v>
      </c>
      <c r="DY11" s="147" t="str">
        <f>Tournament!N20</f>
        <v>Uruguay</v>
      </c>
      <c r="DZ11" s="147">
        <f>IF(Tournament!O20&lt;&gt;"",Tournament!O20,0)</f>
        <v>0</v>
      </c>
      <c r="EA11" s="147">
        <f>IF(Tournament!Q20&lt;&gt;"",Tournament!Q20,0)</f>
        <v>0</v>
      </c>
      <c r="EB11" s="147">
        <f>IF(DW11&lt;&gt;"",IF(Tournament!O20&gt;3,1,0),0)</f>
        <v>0</v>
      </c>
      <c r="EC11" s="147">
        <f>IF(DX11&lt;&gt;"",IF(Tournament!Q20&gt;3,1,0),0)</f>
        <v>0</v>
      </c>
      <c r="ED11" s="147">
        <f t="shared" si="0"/>
        <v>0</v>
      </c>
      <c r="EE11" s="147">
        <f t="shared" si="1"/>
        <v>0</v>
      </c>
      <c r="EF11" s="147" t="str">
        <f>IF(AND(Tournament!J20&lt;&gt;"",Tournament!L20&lt;&gt;""),IF(DW11&gt;DX11,"W",IF(DW11=DX11,"D","L")),"")</f>
        <v/>
      </c>
      <c r="EG11" s="161" t="str">
        <f t="shared" si="2"/>
        <v/>
      </c>
    </row>
    <row r="12" spans="1:137" x14ac:dyDescent="0.45">
      <c r="A12" s="147">
        <f>VLOOKUP(B12,DS11:DT15,2,FALSE)</f>
        <v>5</v>
      </c>
      <c r="B12" s="147" t="s">
        <v>97</v>
      </c>
      <c r="C12" s="147">
        <f>COUNTIFS(DV3:DV42,B12,EF3:EF42,"W")+COUNTIFS(DY3:DY42,B12,EG3:EG42,"W")</f>
        <v>0</v>
      </c>
      <c r="D12" s="147">
        <f>COUNTIFS(DV3:DV42,B12,EF3:EF42,"D")+COUNTIFS(DY3:DY42,B12,EG3:EG42,"D")</f>
        <v>0</v>
      </c>
      <c r="E12" s="147">
        <f>COUNTIFS(DV3:DV42,B12,EF3:EF42,"L")+COUNTIFS(DY3:DY42,B12,EG3:EG42,"L")</f>
        <v>0</v>
      </c>
      <c r="F12" s="147">
        <f>SUMIF(DV3:DV60,B12,DW3:DW60)+SUMIF(DY3:DY60,B12,DX3:DX60)</f>
        <v>0</v>
      </c>
      <c r="G12" s="147">
        <f>SUMIF(DY3:DY60,B12,DW3:DW60)+SUMIF(DV3:DV60,B12,DX3:DX60)</f>
        <v>0</v>
      </c>
      <c r="H12" s="147">
        <f t="shared" si="14"/>
        <v>1000</v>
      </c>
      <c r="I12" s="147">
        <f>SUMIF(Tournament!H12:H51,B12,Tournament!O12:O51)+SUMIF(Tournament!N12:N51,B12,Tournament!Q12:Q51)</f>
        <v>0</v>
      </c>
      <c r="J12" s="147">
        <f>SUMIF(Tournament!N12:N51,B12,Tournament!O12:O51)+SUMIF(Tournament!H12:H51,B12,Tournament!Q12:Q51)</f>
        <v>0</v>
      </c>
      <c r="K12" s="147">
        <f t="shared" si="15"/>
        <v>1000</v>
      </c>
      <c r="L12" s="147">
        <f t="shared" si="16"/>
        <v>0</v>
      </c>
      <c r="M12" s="147">
        <f>SUMIF(DV:DV,B12,EB:EB)+SUMIF(DY:DY,B12,EC:EC)</f>
        <v>0</v>
      </c>
      <c r="N12" s="147">
        <f>SUMIF(DV:DV,B12,ED:ED)+SUMIF(DY:DY,B12,EE:EE)</f>
        <v>0</v>
      </c>
      <c r="O12" s="147">
        <f t="shared" si="17"/>
        <v>0</v>
      </c>
      <c r="P12" s="147">
        <v>4</v>
      </c>
      <c r="Q12" s="147">
        <f>RANK(O12,O11:O15)</f>
        <v>1</v>
      </c>
      <c r="S12" s="147">
        <f>RANK(O12,O11:O15)+COUNTIF(O11:O12,O12)-1</f>
        <v>2</v>
      </c>
      <c r="T12" s="147" t="str">
        <f>INDEX(B11:B15,MATCH(2,S11:S15,0),0)</f>
        <v>Romania</v>
      </c>
      <c r="U12" s="147">
        <f>INDEX(Q11:Q15,MATCH(T12,B11:B15,0),0)</f>
        <v>1</v>
      </c>
      <c r="V12" s="147" t="str">
        <f>IF(V11&lt;&gt;"",T12,"")</f>
        <v>Romania</v>
      </c>
      <c r="W12" s="147" t="str">
        <f>IF(W11&lt;&gt;"",T13,"")</f>
        <v/>
      </c>
      <c r="X12" s="147" t="str">
        <f>IF(X11&lt;&gt;"",T14,"")</f>
        <v/>
      </c>
      <c r="Y12" s="147" t="str">
        <f>IF(Y11&lt;&gt;"",T15,"")</f>
        <v/>
      </c>
      <c r="AA12" s="147" t="str">
        <f t="shared" ref="AA12:AA15" si="18">IF(V12&lt;&gt;"",V12,"")</f>
        <v>Romania</v>
      </c>
      <c r="AB12" s="147">
        <f>SUMPRODUCT((DV3:DV42=AA12)*(DY3:DY42=AA13)*(EF3:EF42="W"))+SUMPRODUCT((DV3:DV42=AA12)*(DY3:DY42=AA14)*(EF3:EF42="W"))+SUMPRODUCT((DV3:DV42=AA12)*(DY3:DY42=AA15)*(EF3:EF42="W"))+SUMPRODUCT((DV3:DV42=AA12)*(DY3:DY42=AA11)*(EF3:EF42="W"))+SUMPRODUCT((DV3:DV42=AA13)*(DY3:DY42=AA12)*(EG3:EG42="W"))+SUMPRODUCT((DV3:DV42=AA14)*(DY3:DY42=AA12)*(EG3:EG42="W"))+SUMPRODUCT((DV3:DV42=AA15)*(DY3:DY42=AA12)*(EG3:EG42="W"))+SUMPRODUCT((DV3:DV42=AA11)*(DY3:DY42=AA12)*(EG3:EG42="W"))</f>
        <v>0</v>
      </c>
      <c r="AC12" s="147">
        <f>SUMPRODUCT((DV3:DV42=AA12)*(DY3:DY42=AA13)*(EF3:EF42="D"))+SUMPRODUCT((DV3:DV42=AA12)*(DY3:DY42=AA14)*(EF3:EF42="D"))+SUMPRODUCT((DV3:DV42=AA12)*(DY3:DY42=AA15)*(EF3:EF42="D"))+SUMPRODUCT((DV3:DV42=AA12)*(DY3:DY42=AA11)*(EF3:EF42="D"))+SUMPRODUCT((DV3:DV42=AA13)*(DY3:DY42=AA12)*(EF3:EF42="D"))+SUMPRODUCT((DV3:DV42=AA14)*(DY3:DY42=AA12)*(EF3:EF42="D"))+SUMPRODUCT((DV3:DV42=AA15)*(DY3:DY42=AA12)*(EF3:EF42="D"))+SUMPRODUCT((DV3:DV42=AA11)*(DY3:DY42=AA12)*(EF3:EF42="D"))</f>
        <v>0</v>
      </c>
      <c r="AD12" s="147">
        <f>SUMPRODUCT((DV3:DV42=AA12)*(DY3:DY42=AA13)*(EF3:EF42="L"))+SUMPRODUCT((DV3:DV42=AA12)*(DY3:DY42=AA14)*(EF3:EF42="L"))+SUMPRODUCT((DV3:DV42=AA12)*(DY3:DY42=AA15)*(EF3:EF42="L"))+SUMPRODUCT((DV3:DV42=AA12)*(DY3:DY42=AA11)*(EF3:EF42="L"))+SUMPRODUCT((DV3:DV42=AA13)*(DY3:DY42=AA12)*(EG3:EG42="L"))+SUMPRODUCT((DV3:DV42=AA14)*(DY3:DY42=AA12)*(EG3:EG42="L"))+SUMPRODUCT((DV3:DV42=AA15)*(DY3:DY42=AA12)*(EG3:EG42="L"))+SUMPRODUCT((DV3:DV42=AA11)*(DY3:DY42=AA12)*(EG3:EG42="L"))</f>
        <v>0</v>
      </c>
      <c r="AE12" s="147">
        <f>IF(AA12&lt;&gt;"",VLOOKUP(AA12,B4:F29,5,FALSE),0)</f>
        <v>0</v>
      </c>
      <c r="AF12" s="147">
        <f>IF(AA12&lt;&gt;"",VLOOKUP(AA12,B4:G29,6,FALSE),0)</f>
        <v>0</v>
      </c>
      <c r="AG12" s="147">
        <f>AE12-AF12+1000</f>
        <v>1000</v>
      </c>
      <c r="AH12" s="147">
        <f>IF(AA12&lt;&gt;"",VLOOKUP(AA12,B4:I29,8,FALSE),0)</f>
        <v>0</v>
      </c>
      <c r="AI12" s="147">
        <f>IF(AA12&lt;&gt;"",VLOOKUP(AA12,B4:J29,9,FALSE),0)</f>
        <v>0</v>
      </c>
      <c r="AJ12" s="147">
        <f t="shared" ref="AJ12" si="19">AH12-AI12+1000</f>
        <v>1000</v>
      </c>
      <c r="AK12" s="147">
        <f>IF(AA12&lt;&gt;"",VLOOKUP(AA12,B11:F15,5,FALSE),"")</f>
        <v>0</v>
      </c>
      <c r="AL12" s="147">
        <f>IF(AA12&lt;&gt;"",VLOOKUP(AA12,B11:I15,8,FALSE),"")</f>
        <v>0</v>
      </c>
      <c r="AM12" s="147">
        <f>IF(AA12&lt;&gt;"",VLOOKUP(AA12,B11:P15,15,FALSE),"")</f>
        <v>4</v>
      </c>
      <c r="AN12" s="147">
        <f>SUMPRODUCT((DV3:DV42=AA12)*(DY3:DY42=AA13)*EB3:EB42)+SUMPRODUCT((DV3:DV42=AA12)*(DY3:DY42=AA14)*EB3:EB42)+SUMPRODUCT((DV3:DV42=AA12)*(DY3:DY42=AA15)*EB3:EB42)+SUMPRODUCT((DV3:DV42=AA12)*(DY3:DY42=AA11)*EB3:EB42)+SUMPRODUCT((DV3:DV42=AA13)*(DY3:DY42=AA12)*EC3:EC42)+SUMPRODUCT((DV3:DV42=AA14)*(DY3:DY42=AA12)*EC3:EC42)+SUMPRODUCT((DV3:DV42=AA15)*(DY3:DY42=AA12)*EC3:EC42)+SUMPRODUCT((DV3:DV42=AA11)*(DY3:DY42=AA12)*EC3:EC42)</f>
        <v>0</v>
      </c>
      <c r="AO12" s="147">
        <f>SUMPRODUCT((DV3:DV42=AA12)*(DY3:DY42=AA13)*ED3:ED42)+SUMPRODUCT((DV3:DV42=AA12)*(DY3:DY42=AA14)*ED3:ED42)+SUMPRODUCT((DV3:DV42=AA12)*(DY3:DY42=AA15)*ED3:ED42)+SUMPRODUCT((DV3:DV42=AA12)*(DY3:DY42=AA11)*ED3:ED42)+SUMPRODUCT((DV3:DV42=AA13)*(DY3:DY42=AA12)*EE3:EE42)+SUMPRODUCT((DV3:DV42=AA14)*(DY3:DY42=AA12)*EE3:EE42)+SUMPRODUCT((DV3:DV42=AA15)*(DY3:DY42=AA12)*EE3:EE42)+SUMPRODUCT((DV3:DV42=AA11)*(DY3:DY42=AA12)*EE3:EE42)</f>
        <v>0</v>
      </c>
      <c r="AP12" s="147">
        <f t="shared" ref="AP12" si="20">AB12*4+AC12*2+AN12+AO12</f>
        <v>0</v>
      </c>
      <c r="AQ12" s="147">
        <f>IF(AA12&lt;&gt;"",RANK(AP12,AP11:AP15),"")</f>
        <v>1</v>
      </c>
      <c r="AR12" s="147">
        <f>SUMPRODUCT((AP11:AP15=AP12)*(AG11:AG15&gt;AG12))</f>
        <v>0</v>
      </c>
      <c r="AS12" s="147">
        <f>SUMPRODUCT((AP11:AP15=AP12)*(AG11:AG15=AG12)*(AJ11:AJ15&gt;AJ12))</f>
        <v>0</v>
      </c>
      <c r="AT12" s="147">
        <f>SUMPRODUCT((AP11:AP15=AP12)*(AG11:AG15=AG12)*(AJ11:AJ15=AJ12)*(AK11:AK15&gt;AK12))</f>
        <v>0</v>
      </c>
      <c r="AU12" s="147">
        <f>SUMPRODUCT((AP11:AP15=AP12)*(AG11:AG15=AG12)*(AJ11:AJ15=AJ12)*(AK11:AK15=AK12)*(AL11:AL15&gt;AL12))</f>
        <v>0</v>
      </c>
      <c r="AV12" s="147">
        <f>SUMPRODUCT((AP11:AP15=AP12)*(AG11:AG15=AG12)*(AJ11:AJ15=AJ12)*(AK11:AK15=AK12)*(AL11:AL15=AL12)*(AM11:AM15&gt;AM12))</f>
        <v>4</v>
      </c>
      <c r="AW12" s="147">
        <f t="shared" ref="AW12:AW15" si="21">IF(AA12&lt;&gt;"",SUM(AQ12:AV12),"")</f>
        <v>5</v>
      </c>
      <c r="AX12" s="147" t="str">
        <f>IF(AA12&lt;&gt;"",INDEX(AA11:AA15,MATCH(2,AW11:AW15,0),0),"")</f>
        <v>South Africa</v>
      </c>
      <c r="AY12" s="147" t="str">
        <f>IF(W11&lt;&gt;"",W11,"")</f>
        <v/>
      </c>
      <c r="AZ12" s="147">
        <f>SUMPRODUCT((DV3:DV42=AY12)*(DY3:DY42=AY13)*(EF3:EF42="W"))+SUMPRODUCT((DV3:DV42=AY12)*(DY3:DY42=AY14)*(EF3:EF42="W"))+SUMPRODUCT((DV3:DV42=AY12)*(DY3:DY42=AY15)*(EF3:EF42="W"))+SUMPRODUCT((DV3:DV42=AY13)*(DY3:DY42=AY12)*(EG3:EG42="W"))+SUMPRODUCT((DV3:DV42=AY14)*(DY3:DY42=AY12)*(EG3:EG42="W"))+SUMPRODUCT((DV3:DV42=AY15)*(DY3:DY42=AY12)*(EG3:EG42="W"))</f>
        <v>0</v>
      </c>
      <c r="BA12" s="147">
        <f>SUMPRODUCT((DV3:DV42=AY12)*(DY3:DY42=AY13)*(EF3:EF42="D"))+SUMPRODUCT((DV3:DV42=AY12)*(DY3:DY42=AY14)*(EF3:EF42="D"))+SUMPRODUCT((DV3:DV42=AY12)*(DY3:DY42=AY15)*(EF3:EF42="D"))+SUMPRODUCT((DV3:DV42=AY13)*(DY3:DY42=AY12)*(EF3:EF42="D"))+SUMPRODUCT((DV3:DV42=AY14)*(DY3:DY42=AY12)*(EF3:EF42="D"))+SUMPRODUCT((DV3:DV42=AY15)*(DY3:DY42=AY12)*(EF3:EF42="D"))</f>
        <v>0</v>
      </c>
      <c r="BB12" s="147">
        <f>SUMPRODUCT((DV3:DV42=AY12)*(DY3:DY42=AY13)*(EF3:EF42="L"))+SUMPRODUCT((DV3:DV42=AY12)*(DY3:DY42=AY14)*(EF3:EF42="L"))+SUMPRODUCT((DV3:DV42=AY12)*(DY3:DY42=AY15)*(EF3:EF42="L"))+SUMPRODUCT((DV3:DV42=AY13)*(DY3:DY42=AY12)*(EG3:EG42="L"))+SUMPRODUCT((DV3:DV42=AY14)*(DY3:DY42=AY12)*(EG3:EG42="L"))+SUMPRODUCT((DV3:DV42=AY15)*(DY3:DY42=AY12)*(EG3:EG42="L"))</f>
        <v>0</v>
      </c>
      <c r="BC12" s="147">
        <f>IF(AY12&lt;&gt;"",VLOOKUP(AY12,B4:F29,5,FALSE),0)</f>
        <v>0</v>
      </c>
      <c r="BD12" s="147">
        <f>IF(AY12&lt;&gt;"",VLOOKUP(AY12,B4:G29,6,FALSE),0)</f>
        <v>0</v>
      </c>
      <c r="BE12" s="147">
        <f>BC12-BD12+1000</f>
        <v>1000</v>
      </c>
      <c r="BF12" s="147">
        <f>IF(AY12&lt;&gt;"",VLOOKUP(AY12,B4:I29,8,FALSE),0)</f>
        <v>0</v>
      </c>
      <c r="BG12" s="147">
        <f>IF(AY12&lt;&gt;"",VLOOKUP(AY12,B4:J29,9,FALSE),0)</f>
        <v>0</v>
      </c>
      <c r="BH12" s="147">
        <f>BF12-BG12+1000</f>
        <v>1000</v>
      </c>
      <c r="BI12" s="147" t="str">
        <f>IF(AY12&lt;&gt;"",VLOOKUP(AY12,B11:F15,5,FALSE),"")</f>
        <v/>
      </c>
      <c r="BJ12" s="147" t="str">
        <f>IF(AY12&lt;&gt;"",VLOOKUP(AY12,B11:I15,8,FALSE),"")</f>
        <v/>
      </c>
      <c r="BK12" s="147" t="str">
        <f>IF(AY12&lt;&gt;"",VLOOKUP(AY12,B11:P15,15,FALSE),"")</f>
        <v/>
      </c>
      <c r="BL12" s="147">
        <f>SUMPRODUCT((DV3:DV42=AY12)*(DY3:DY42=AY13)*EB3:EB42)+SUMPRODUCT((DV3:DV42=AY12)*(DY3:DY42=AY14)*EB3:EB42)+SUMPRODUCT((DV3:DV42=AY12)*(DY3:DY42=AY15)*EB3:EB42)+SUMPRODUCT((DV3:DV42=AY13)*(DY3:DY42=AY12)*EC3:EC42)+SUMPRODUCT((DV3:DV42=AY14)*(DY3:DY42=AY12)*EC3:EC42)+SUMPRODUCT((DV3:DV42=AY15)*(DY3:DY42=AY12)*EC3:EC42)</f>
        <v>0</v>
      </c>
      <c r="BM12" s="147">
        <f>SUMPRODUCT((DV3:DV42=AY12)*(DY3:DY42=AY13)*ED3:ED42)+SUMPRODUCT((DV3:DV42=AY12)*(DY3:DY42=AY14)*ED3:ED42)+SUMPRODUCT((DV3:DV42=AY12)*(DY3:DY42=AY15)*ED3:ED42)+SUMPRODUCT((DV3:DV42=AY13)*(DY3:DY42=AY12)*EE3:EE42)+SUMPRODUCT((DV3:DV42=AY14)*(DY3:DY42=AY12)*EE3:EE42)+SUMPRODUCT((DV3:DV42=AY15)*(DY3:DY42=AY12)*EE3:EE42)</f>
        <v>0</v>
      </c>
      <c r="BN12" s="147">
        <f>AZ12*4+BA12*2+BL12+BM12</f>
        <v>0</v>
      </c>
      <c r="BO12" s="147" t="str">
        <f>IF(AY12&lt;&gt;"",RANK(BN12,BN12:BN15),"")</f>
        <v/>
      </c>
      <c r="BP12" s="147">
        <f>SUMPRODUCT((BN12:BN15=BN12)*(BE12:BE15&gt;BE12))</f>
        <v>0</v>
      </c>
      <c r="BQ12" s="147">
        <f>SUMPRODUCT((BN12:BN15=BN12)*(BE12:BE15=BE12)*(BH12:BH15&gt;BH12))</f>
        <v>0</v>
      </c>
      <c r="BR12" s="147">
        <f>SUMPRODUCT((BN11:BN15=BN12)*(BE11:BE15=BE12)*(BH11:BH15=BH12)*(BI11:BI15&gt;BI12))</f>
        <v>0</v>
      </c>
      <c r="BS12" s="147">
        <f>SUMPRODUCT((BN11:BN15=BN12)*(BE11:BE15=BE12)*(BH11:BH15=BH12)*(BI11:BI15=BI12)*(BJ11:BJ15&gt;BJ12))</f>
        <v>0</v>
      </c>
      <c r="BT12" s="147">
        <f>SUMPRODUCT((BN11:BN15=BN12)*(BE11:BE15=BE12)*(BH11:BH15=BH12)*(BI11:BI15=BI12)*(BJ11:BJ15=BJ12)*(BK11:BK15&gt;BK12))</f>
        <v>0</v>
      </c>
      <c r="BU12" s="147" t="str">
        <f t="shared" ref="BU12:BU15" si="22">IF(AY12&lt;&gt;"",SUM(BO12:BT12)+1,"")</f>
        <v/>
      </c>
      <c r="BV12" s="147" t="str">
        <f>IF(AY12&lt;&gt;"",INDEX(AY12:AY15,MATCH(2,BU12:BU15,0),0),"")</f>
        <v/>
      </c>
      <c r="DS12" s="147" t="str">
        <f>IF(BV12&lt;&gt;"",BV12,IF(AX12&lt;&gt;"",AX12,T12))</f>
        <v>South Africa</v>
      </c>
      <c r="DT12" s="147">
        <v>2</v>
      </c>
      <c r="DU12" s="147">
        <v>10</v>
      </c>
      <c r="DV12" s="147" t="str">
        <f>Tournament!H21</f>
        <v>New Zealand</v>
      </c>
      <c r="DW12" s="147">
        <f>IF(AND(Tournament!J21&lt;&gt;"",Tournament!L21&lt;&gt;""),Tournament!J21,0)</f>
        <v>0</v>
      </c>
      <c r="DX12" s="147">
        <f>IF(AND(Tournament!L21&lt;&gt;"",Tournament!J21&lt;&gt;""),Tournament!L21,0)</f>
        <v>0</v>
      </c>
      <c r="DY12" s="147" t="str">
        <f>Tournament!N21</f>
        <v>Namibia</v>
      </c>
      <c r="DZ12" s="147">
        <f>IF(Tournament!O21&lt;&gt;"",Tournament!O21,0)</f>
        <v>0</v>
      </c>
      <c r="EA12" s="147">
        <f>IF(Tournament!Q21&lt;&gt;"",Tournament!Q21,0)</f>
        <v>0</v>
      </c>
      <c r="EB12" s="147">
        <f>IF(DW12&lt;&gt;"",IF(Tournament!O21&gt;3,1,0),0)</f>
        <v>0</v>
      </c>
      <c r="EC12" s="147">
        <f>IF(DX12&lt;&gt;"",IF(Tournament!Q21&gt;3,1,0),0)</f>
        <v>0</v>
      </c>
      <c r="ED12" s="147">
        <f t="shared" si="0"/>
        <v>0</v>
      </c>
      <c r="EE12" s="147">
        <f t="shared" si="1"/>
        <v>0</v>
      </c>
      <c r="EF12" s="147" t="str">
        <f>IF(AND(Tournament!J21&lt;&gt;"",Tournament!L21&lt;&gt;""),IF(DW12&gt;DX12,"W",IF(DW12=DX12,"D","L")),"")</f>
        <v/>
      </c>
      <c r="EG12" s="161" t="str">
        <f t="shared" si="2"/>
        <v/>
      </c>
    </row>
    <row r="13" spans="1:137" x14ac:dyDescent="0.45">
      <c r="A13" s="147">
        <f>VLOOKUP(B13,DS11:DT15,2,FALSE)</f>
        <v>3</v>
      </c>
      <c r="B13" s="147" t="s">
        <v>37</v>
      </c>
      <c r="C13" s="147">
        <f>COUNTIFS(DV3:DV42,B13,EF3:EF42,"W")+COUNTIFS(DY3:DY42,B13,EG3:EG42,"W")</f>
        <v>0</v>
      </c>
      <c r="D13" s="147">
        <f>COUNTIFS(DV3:DV42,B13,EF3:EF42,"D")+COUNTIFS(DY3:DY42,B13,EG3:EG42,"D")</f>
        <v>0</v>
      </c>
      <c r="E13" s="147">
        <f>COUNTIFS(DV3:DV42,B13,EF3:EF42,"L")+COUNTIFS(DY3:DY42,B13,EG3:EG42,"L")</f>
        <v>0</v>
      </c>
      <c r="F13" s="147">
        <f>SUMIF(DV3:DV60,B13,DW3:DW60)+SUMIF(DY3:DY60,B13,DX3:DX60)</f>
        <v>0</v>
      </c>
      <c r="G13" s="147">
        <f>SUMIF(DY3:DY60,B13,DW3:DW60)+SUMIF(DV3:DV60,B13,DX3:DX60)</f>
        <v>0</v>
      </c>
      <c r="H13" s="147">
        <f t="shared" si="14"/>
        <v>1000</v>
      </c>
      <c r="I13" s="147">
        <f>SUMIF(Tournament!H12:H51,B13,Tournament!O12:O51)+SUMIF(Tournament!N12:N51,B13,Tournament!Q12:Q51)</f>
        <v>0</v>
      </c>
      <c r="J13" s="147">
        <f>SUMIF(Tournament!N12:N51,B13,Tournament!O12:O51)+SUMIF(Tournament!H12:H51,B13,Tournament!Q12:Q51)</f>
        <v>0</v>
      </c>
      <c r="K13" s="147">
        <f t="shared" si="15"/>
        <v>1000</v>
      </c>
      <c r="L13" s="147">
        <f t="shared" si="16"/>
        <v>0</v>
      </c>
      <c r="M13" s="147">
        <f>SUMIF(DV:DV,B13,EB:EB)+SUMIF(DY:DY,B13,EC:EC)</f>
        <v>0</v>
      </c>
      <c r="N13" s="147">
        <f>SUMIF(DV:DV,B13,ED:ED)+SUMIF(DY:DY,B13,EE:EE)</f>
        <v>0</v>
      </c>
      <c r="O13" s="147">
        <f t="shared" si="17"/>
        <v>0</v>
      </c>
      <c r="P13" s="147">
        <v>18</v>
      </c>
      <c r="Q13" s="147">
        <f>RANK(O13,O11:O15)</f>
        <v>1</v>
      </c>
      <c r="S13" s="147">
        <f>RANK(O13,O11:O15)+COUNTIF(O11:O13,O13)-1</f>
        <v>3</v>
      </c>
      <c r="T13" s="147" t="str">
        <f>INDEX(B11:B15,MATCH(3,S11:S15,0),0)</f>
        <v>Scotland</v>
      </c>
      <c r="U13" s="147">
        <f>INDEX(Q11:Q15,MATCH(T13,B11:B15,0),0)</f>
        <v>1</v>
      </c>
      <c r="V13" s="147" t="str">
        <f>IF(AND(V12&lt;&gt;"",U13=1),T13,"")</f>
        <v>Scotland</v>
      </c>
      <c r="W13" s="147" t="str">
        <f>IF(AND(W12&lt;&gt;"",U14=2),T14,"")</f>
        <v/>
      </c>
      <c r="X13" s="147" t="str">
        <f>IF(AND(X12&lt;&gt;"",U15=3),T15,"")</f>
        <v/>
      </c>
      <c r="AA13" s="147" t="str">
        <f t="shared" si="18"/>
        <v>Scotland</v>
      </c>
      <c r="AB13" s="147">
        <f>SUMPRODUCT((DV3:DV42=AA13)*(DY3:DY42=AA14)*(EF3:EF42="W"))+SUMPRODUCT((DV3:DV42=AA13)*(DY3:DY42=AA15)*(EF3:EF42="W"))+SUMPRODUCT((DV3:DV42=AA13)*(DY3:DY42=AA11)*(EF3:EF42="W"))+SUMPRODUCT((DV3:DV42=AA13)*(DY3:DY42=AA12)*(EF3:EF42="W"))+SUMPRODUCT((DV3:DV42=AA14)*(DY3:DY42=AA13)*(EG3:EG42="W"))+SUMPRODUCT((DV3:DV42=AA15)*(DY3:DY42=AA13)*(EG3:EG42="W"))+SUMPRODUCT((DV3:DV42=AA11)*(DY3:DY42=AA13)*(EG3:EG42="W"))+SUMPRODUCT((DV3:DV42=AA12)*(DY3:DY42=AA13)*(EG3:EG42="W"))</f>
        <v>0</v>
      </c>
      <c r="AC13" s="147">
        <f>SUMPRODUCT((DV3:DV42=AA13)*(DY3:DY42=AA14)*(EF3:EF42="D"))+SUMPRODUCT((DV3:DV42=AA13)*(DY3:DY42=AA15)*(EF3:EF42="D"))+SUMPRODUCT((DV3:DV42=AA13)*(DY3:DY42=AA11)*(EF3:EF42="D"))+SUMPRODUCT((DV3:DV42=AA13)*(DY3:DY42=AA12)*(EF3:EF42="D"))+SUMPRODUCT((DV3:DV42=AA14)*(DY3:DY42=AA13)*(EF3:EF42="D"))+SUMPRODUCT((DV3:DV42=AA15)*(DY3:DY42=AA13)*(EF3:EF42="D"))+SUMPRODUCT((DV3:DV42=AA11)*(DY3:DY42=AA13)*(EF3:EF42="D"))+SUMPRODUCT((DV3:DV42=AA12)*(DY3:DY42=AA13)*(EF3:EF42="D"))</f>
        <v>0</v>
      </c>
      <c r="AD13" s="147">
        <f>SUMPRODUCT((DV3:DV42=AA13)*(DY3:DY42=AA14)*(EF3:EF42="L"))+SUMPRODUCT((DV3:DV42=AA13)*(DY3:DY42=AA15)*(EF3:EF42="L"))+SUMPRODUCT((DV3:DV42=AA13)*(DY3:DY42=AA11)*(EF3:EF42="L"))+SUMPRODUCT((DV3:DV42=AA13)*(DY3:DY42=AA12)*(EF3:EF42="L"))+SUMPRODUCT((DV3:DV42=AA14)*(DY3:DY42=AA13)*(EG3:EG42="L"))+SUMPRODUCT((DV3:DV42=AA15)*(DY3:DY42=AA13)*(EG3:EG42="L"))+SUMPRODUCT((DV3:DV42=AA11)*(DY3:DY42=AA13)*(EG3:EG42="L"))+SUMPRODUCT((DV3:DV42=AA12)*(DY3:DY42=AA13)*(EG3:EG42="L"))</f>
        <v>0</v>
      </c>
      <c r="AE13" s="147">
        <f>IF(AA13&lt;&gt;"",VLOOKUP(AA13,B4:F29,5,FALSE),0)</f>
        <v>0</v>
      </c>
      <c r="AF13" s="147">
        <f>IF(AA13&lt;&gt;"",VLOOKUP(AA13,B4:G29,6,FALSE),0)</f>
        <v>0</v>
      </c>
      <c r="AG13" s="147">
        <f>AE13-AF13+1000</f>
        <v>1000</v>
      </c>
      <c r="AH13" s="147">
        <f>IF(AA13&lt;&gt;"",VLOOKUP(AA13,B4:I29,8,FALSE),0)</f>
        <v>0</v>
      </c>
      <c r="AI13" s="147">
        <f>IF(AA13&lt;&gt;"",VLOOKUP(AA13,B4:J29,9,FALSE),0)</f>
        <v>0</v>
      </c>
      <c r="AJ13" s="147">
        <f>IF(AA13&lt;&gt;"",AH13-AI13+1000,"")</f>
        <v>1000</v>
      </c>
      <c r="AK13" s="147">
        <f>IF(AA13&lt;&gt;"",VLOOKUP(AA13,B11:F15,5,FALSE),"")</f>
        <v>0</v>
      </c>
      <c r="AL13" s="147">
        <f>IF(AA13&lt;&gt;"",VLOOKUP(AA13,B11:I15,8,FALSE),"")</f>
        <v>0</v>
      </c>
      <c r="AM13" s="147">
        <f>IF(AA13&lt;&gt;"",VLOOKUP(AA13,B11:P15,15,FALSE),"")</f>
        <v>18</v>
      </c>
      <c r="AN13" s="147">
        <f>SUMPRODUCT((DV3:DV42=AA13)*(DY3:DY42=AA14)*EB3:EB42)+SUMPRODUCT((DV3:DV42=AA13)*(DY3:DY42=AA15)*EB3:EB42)+SUMPRODUCT((DV3:DV42=AA13)*(DY3:DY42=AA11)*EB3:EB42)+SUMPRODUCT((DV3:DV42=AA13)*(DY3:DY42=AA12)*EB3:EB42)+SUMPRODUCT((DV3:DV42=AA14)*(DY3:DY42=AA13)*EC3:EC42)+SUMPRODUCT((DV3:DV42=AA15)*(DY3:DY42=AA13)*EC3:EC42)+SUMPRODUCT((DV3:DV42=AA11)*(DY3:DY42=AA13)*EC3:EC42)+SUMPRODUCT((DV3:DV42=AA12)*(DY3:DY42=AA13)*EC3:EC42)</f>
        <v>0</v>
      </c>
      <c r="AO13" s="147">
        <f>SUMPRODUCT((DV3:DV42=AA13)*(DY3:DY42=AA14)*ED3:ED42)+SUMPRODUCT((DV3:DV42=AA13)*(DY3:DY42=AA15)*ED3:ED42)+SUMPRODUCT((DV3:DV42=AA13)*(DY3:DY42=AA11)*ED3:ED42)+SUMPRODUCT((DV3:DV42=AA13)*(DY3:DY42=AA12)*ED3:ED42)+SUMPRODUCT((DV3:DV42=AA14)*(DY3:DY42=AA13)*EE3:EE42)+SUMPRODUCT((DV3:DV42=AA15)*(DY3:DY42=AA13)*EE3:EE42)+SUMPRODUCT((DV3:DV42=AA11)*(DY3:DY42=AA13)*EE3:EE42)+SUMPRODUCT((DV3:DV42=AA12)*(DY3:DY42=AA13)*EE3:EE42)</f>
        <v>0</v>
      </c>
      <c r="AP13" s="147">
        <f>IF(AA13&lt;&gt;"",AB13*4+AC13*2+AN13+AO13,"")</f>
        <v>0</v>
      </c>
      <c r="AQ13" s="147">
        <f>IF(AA13&lt;&gt;"",RANK(AP13,AP11:AP15),"")</f>
        <v>1</v>
      </c>
      <c r="AR13" s="147">
        <f>SUMPRODUCT((AP11:AP15=AP13)*(AG11:AG15&gt;AG13))</f>
        <v>0</v>
      </c>
      <c r="AS13" s="147">
        <f>SUMPRODUCT((AP11:AP15=AP13)*(AG11:AG15=AG13)*(AJ11:AJ15&gt;AJ13))</f>
        <v>0</v>
      </c>
      <c r="AT13" s="147">
        <f>SUMPRODUCT((AP11:AP15=AP13)*(AG11:AG15=AG13)*(AJ11:AJ15=AJ13)*(AK11:AK15&gt;AK13))</f>
        <v>0</v>
      </c>
      <c r="AU13" s="147">
        <f>SUMPRODUCT((AP11:AP15=AP13)*(AG11:AG15=AG13)*(AJ11:AJ15=AJ13)*(AK11:AK15=AK13)*(AL11:AL15&gt;AL13))</f>
        <v>0</v>
      </c>
      <c r="AV13" s="147">
        <f>SUMPRODUCT((AP11:AP15=AP13)*(AG11:AG15=AG13)*(AJ11:AJ15=AJ13)*(AK11:AK15=AK13)*(AL11:AL15=AL13)*(AM11:AM15&gt;AM13))</f>
        <v>2</v>
      </c>
      <c r="AW13" s="147">
        <f t="shared" si="21"/>
        <v>3</v>
      </c>
      <c r="AX13" s="147" t="str">
        <f>IF(AA13&lt;&gt;"",INDEX(AA11:AA15,MATCH(3,AW11:AW15,0),0),"")</f>
        <v>Scotland</v>
      </c>
      <c r="AY13" s="147" t="str">
        <f>IF(W12&lt;&gt;"",W12,"")</f>
        <v/>
      </c>
      <c r="AZ13" s="147">
        <f>SUMPRODUCT((DV3:DV42=AY13)*(DY3:DY42=AY14)*(EF3:EF42="W"))+SUMPRODUCT((DV3:DV42=AY13)*(DY3:DY42=AY15)*(EF3:EF42="W"))+SUMPRODUCT((DV3:DV42=AY13)*(DY3:DY42=AY12)*(EF3:EF42="W"))+SUMPRODUCT((DV3:DV42=AY14)*(DY3:DY42=AY13)*(EG3:EG42="W"))+SUMPRODUCT((DV3:DV42=AY15)*(DY3:DY42=AY13)*(EG3:EG42="W"))+SUMPRODUCT((DV3:DV42=AY12)*(DY3:DY42=AY13)*(EG3:EG42="W"))</f>
        <v>0</v>
      </c>
      <c r="BA13" s="147">
        <f>SUMPRODUCT((DV3:DV42=AY13)*(DY3:DY42=AY14)*(EF3:EF42="D"))+SUMPRODUCT((DV3:DV42=AY13)*(DY3:DY42=AY15)*(EF3:EF42="D"))+SUMPRODUCT((DV3:DV42=AY13)*(DY3:DY42=AY12)*(EF3:EF42="D"))+SUMPRODUCT((DV3:DV42=AY14)*(DY3:DY42=AY13)*(EF3:EF42="D"))+SUMPRODUCT((DV3:DV42=AY15)*(DY3:DY42=AY13)*(EF3:EF42="D"))+SUMPRODUCT((DV3:DV42=AY12)*(DY3:DY42=AY13)*(EF3:EF42="D"))</f>
        <v>0</v>
      </c>
      <c r="BB13" s="147">
        <f>SUMPRODUCT((DV3:DV42=AY13)*(DY3:DY42=AY14)*(EF3:EF42="L"))+SUMPRODUCT((DV3:DV42=AY13)*(DY3:DY42=AY15)*(EF3:EF42="L"))+SUMPRODUCT((DV3:DV42=AY13)*(DY3:DY42=AY12)*(EF3:EF42="L"))+SUMPRODUCT((DV3:DV42=AY14)*(DY3:DY42=AY13)*(EG3:EG42="L"))+SUMPRODUCT((DV3:DV42=AY15)*(DY3:DY42=AY13)*(EG3:EG42="L"))+SUMPRODUCT((DV3:DV42=AY12)*(DY3:DY42=AY13)*(EG3:EG42="L"))</f>
        <v>0</v>
      </c>
      <c r="BC13" s="147">
        <f>IF(AY13&lt;&gt;"",VLOOKUP(AY13,B4:F29,5,FALSE),0)</f>
        <v>0</v>
      </c>
      <c r="BD13" s="147">
        <f>IF(AY13&lt;&gt;"",VLOOKUP(AY13,B4:G29,6,FALSE),0)</f>
        <v>0</v>
      </c>
      <c r="BE13" s="147">
        <f>BC13-BD13+1000</f>
        <v>1000</v>
      </c>
      <c r="BF13" s="147">
        <f>IF(AY13&lt;&gt;"",VLOOKUP(AY13,B4:I29,8,FALSE),0)</f>
        <v>0</v>
      </c>
      <c r="BG13" s="147">
        <f>IF(AY13&lt;&gt;"",VLOOKUP(AY13,B4:J29,9,FALSE),0)</f>
        <v>0</v>
      </c>
      <c r="BH13" s="147">
        <f t="shared" ref="BH13" si="23">BF13-BG13+1000</f>
        <v>1000</v>
      </c>
      <c r="BI13" s="147" t="str">
        <f>IF(AY13&lt;&gt;"",VLOOKUP(AY13,B11:F15,5,FALSE),"")</f>
        <v/>
      </c>
      <c r="BJ13" s="147" t="str">
        <f>IF(AY13&lt;&gt;"",VLOOKUP(AY13,B11:I15,8,FALSE),"")</f>
        <v/>
      </c>
      <c r="BK13" s="147" t="str">
        <f>IF(AY13&lt;&gt;"",VLOOKUP(AY13,B11:P15,15,FALSE),"")</f>
        <v/>
      </c>
      <c r="BL13" s="147">
        <f>SUMPRODUCT((DV3:DV42=AY13)*(DY3:DY42=AY14)*EB3:EB42)+SUMPRODUCT((DV3:DV42=AY13)*(DY3:DY42=AY15)*EB3:EB42)+SUMPRODUCT((DV3:DV42=AY13)*(DY3:DY42=AY12)*EB3:EB42)+SUMPRODUCT((DV3:DV42=AY14)*(DY3:DY42=AY13)*EC3:EC42)+SUMPRODUCT((DV3:DV42=AY15)*(DY3:DY42=AY13)*EC3:EC42)+SUMPRODUCT((DV3:DV42=AY12)*(DY3:DY42=AY13)*EC3:EC42)</f>
        <v>0</v>
      </c>
      <c r="BM13" s="147">
        <f>SUMPRODUCT((DV3:DV42=AY13)*(DY3:DY42=AY14)*ED3:ED42)+SUMPRODUCT((DV3:DV42=AY13)*(DY3:DY42=AY15)*ED3:ED42)+SUMPRODUCT((DV3:DV42=AY13)*(DY3:DY42=AY12)*ED3:ED42)+SUMPRODUCT((DV3:DV42=AY14)*(DY3:DY42=AY13)*EE3:EE42)+SUMPRODUCT((DV3:DV42=AY15)*(DY3:DY42=AY13)*EE3:EE42)+SUMPRODUCT((DV3:DV42=AY12)*(DY3:DY42=AY13)*EE3:EE42)</f>
        <v>0</v>
      </c>
      <c r="BN13" s="147">
        <f>AZ13*4+BA13*2+BL13+BM13</f>
        <v>0</v>
      </c>
      <c r="BO13" s="147" t="str">
        <f>IF(AY13&lt;&gt;"",RANK(BN13,BN12:BN15),"")</f>
        <v/>
      </c>
      <c r="BP13" s="147">
        <f>SUMPRODUCT((BN12:BN15=BN13)*(BE12:BE15&gt;BE13))</f>
        <v>0</v>
      </c>
      <c r="BQ13" s="147">
        <f>SUMPRODUCT((BN12:BN15=BN13)*(BE12:BE15=BE13)*(BH12:BH15&gt;BH13))</f>
        <v>0</v>
      </c>
      <c r="BR13" s="147">
        <f>SUMPRODUCT((BN11:BN15=BN13)*(BE11:BE15=BE13)*(BH11:BH15=BH13)*(BI11:BI15&gt;BI13))</f>
        <v>0</v>
      </c>
      <c r="BS13" s="147">
        <f>SUMPRODUCT((BN11:BN15=BN13)*(BE11:BE15=BE13)*(BH11:BH15=BH13)*(BI11:BI15=BI13)*(BJ11:BJ15&gt;BJ13))</f>
        <v>0</v>
      </c>
      <c r="BT13" s="147">
        <f>SUMPRODUCT((BN11:BN15=BN13)*(BE11:BE15=BE13)*(BH11:BH15=BH13)*(BI11:BI15=BI13)*(BJ11:BJ15=BJ13)*(BK11:BK15&gt;BK13))</f>
        <v>0</v>
      </c>
      <c r="BU13" s="147" t="str">
        <f t="shared" si="22"/>
        <v/>
      </c>
      <c r="BV13" s="147" t="str">
        <f>IF(AY13&lt;&gt;"",INDEX(AY12:AY15,MATCH(3,BU12:BU15,0),0),"")</f>
        <v/>
      </c>
      <c r="BW13" s="147" t="str">
        <f>IF(X11&lt;&gt;"",X11,"")</f>
        <v/>
      </c>
      <c r="BX13" s="147">
        <f>SUMPRODUCT((DV3:DV42=BW13)*(DY3:DY42=BW14)*(EF3:EF42="W"))+SUMPRODUCT((DV3:DV42=BW13)*(DY3:DY42=BW15)*(EF3:EF42="W"))+SUMPRODUCT((DV3:DV42=BW13)*(DY3:DY42=BW16)*(EF3:EF42="W"))+SUMPRODUCT((DV3:DV42=BW14)*(DY3:DY42=BW13)*(EG3:EG42="W"))+SUMPRODUCT((DV3:DV42=BW15)*(DY3:DY42=BW13)*(EG3:EG42="W"))+SUMPRODUCT((DV3:DV42=BW16)*(DY3:DY42=BW13)*(EG3:EG42="W"))</f>
        <v>0</v>
      </c>
      <c r="BY13" s="147">
        <f>SUMPRODUCT((DV3:DV42=BW13)*(DY3:DY42=BW14)*(EF3:EF42="D"))+SUMPRODUCT((DV3:DV42=BW13)*(DY3:DY42=BW15)*(EF3:EF42="D"))+SUMPRODUCT((DV3:DV42=BW13)*(DY3:DY42=BW16)*(EF3:EF42="D"))+SUMPRODUCT((DV3:DV42=BW14)*(DY3:DY42=BW13)*(EF3:EF42="D"))+SUMPRODUCT((DV3:DV42=BW15)*(DY3:DY42=BW13)*(EF3:EF42="D"))+SUMPRODUCT((DV3:DV42=BW16)*(DY3:DY42=BW13)*(EF3:EF42="D"))</f>
        <v>0</v>
      </c>
      <c r="BZ13" s="147">
        <f>SUMPRODUCT((DV3:DV42=BW13)*(DY3:DY42=BW14)*(EF3:EF42="L"))+SUMPRODUCT((DV3:DV42=BW13)*(DY3:DY42=BW15)*(EF3:EF42="L"))+SUMPRODUCT((DV3:DV42=BW13)*(DY3:DY42=BW16)*(EF3:EF42="L"))+SUMPRODUCT((DV3:DV42=BW14)*(DY3:DY42=BW13)*(EG3:EG42="L"))+SUMPRODUCT((DV3:DV42=BW15)*(DY3:DY42=BW13)*(EG3:EG42="L"))+SUMPRODUCT((DV3:DV42=BW16)*(DY3:DY42=BW13)*(EG3:EG42="L"))</f>
        <v>0</v>
      </c>
      <c r="CA13" s="147">
        <f>IF(BW13&lt;&gt;"",VLOOKUP(BW13,B4:F29,5,FALSE),0)</f>
        <v>0</v>
      </c>
      <c r="CB13" s="147">
        <f>IF(BW13&lt;&gt;"",VLOOKUP(BW13,B4:G29,6,FALSE),0)</f>
        <v>0</v>
      </c>
      <c r="CC13" s="147">
        <f>CA13-CB13+1000</f>
        <v>1000</v>
      </c>
      <c r="CD13" s="147">
        <f>IF(BW13&lt;&gt;"",VLOOKUP(BW13,B4:I29,8,FALSE),0)</f>
        <v>0</v>
      </c>
      <c r="CE13" s="147">
        <f>IF(BW13&lt;&gt;"",VLOOKUP(BW13,B4:J29,9,FALSE),0)</f>
        <v>0</v>
      </c>
      <c r="CF13" s="147">
        <f>CD13-CE13+1000</f>
        <v>1000</v>
      </c>
      <c r="CG13" s="147" t="str">
        <f>IF(BW13&lt;&gt;"",VLOOKUP(BW13,B11:F15,5,FALSE),"")</f>
        <v/>
      </c>
      <c r="CH13" s="147" t="str">
        <f>IF(BW13&lt;&gt;"",VLOOKUP(BW13,B11:I15,8,FALSE),"")</f>
        <v/>
      </c>
      <c r="CI13" s="147" t="str">
        <f>IF(BW13&lt;&gt;"",VLOOKUP(BW13,B11:P15,15,FALSE),"")</f>
        <v/>
      </c>
      <c r="CJ13" s="147">
        <f>SUMPRODUCT((DV3:DV42=BW13)*(DY3:DY42=BW14)*EB3:EB42)+SUMPRODUCT((DV3:DV42=BW13)*(DY3:DY42=BW15)*EB3:EB42)+SUMPRODUCT((DV3:DV42=BW13)*(DY3:DY42=BW16)*EB3:EB42)+SUMPRODUCT((DV3:DV42=BW14)*(DY3:DY42=BW13)*EC3:EC42)+SUMPRODUCT((DV3:DV42=BW15)*(DY3:DY42=BW13)*EC3:EC42)+SUMPRODUCT((DV3:DV42=BW16)*(DY3:DY42=BW13)*EC3:EC42)</f>
        <v>0</v>
      </c>
      <c r="CK13" s="147">
        <f>SUMPRODUCT((DV3:DV42=BW13)*(DY3:DY42=BW14)*ED3:ED42)+SUMPRODUCT((DV3:DV42=BW13)*(DY3:DY42=BW15)*ED3:ED42)+SUMPRODUCT((DV3:DV42=BW13)*(DY3:DY42=BW16)*ED3:ED42)+SUMPRODUCT((DV3:DV42=BW14)*(DY3:DY42=BW13)*EE3:EE42)+SUMPRODUCT((DV3:DV42=BW15)*(DY3:DY42=BW13)*EE3:EE42)+SUMPRODUCT((DV3:DV42=BW16)*(DY3:DY42=BW13)*EE3:EE42)</f>
        <v>0</v>
      </c>
      <c r="CL13" s="147">
        <f>BX13*4+BY13*2+CJ13+CK13</f>
        <v>0</v>
      </c>
      <c r="CM13" s="147" t="str">
        <f>IF(BW13&lt;&gt;"",RANK(CL13,CL13:CL16),"")</f>
        <v/>
      </c>
      <c r="CN13" s="147">
        <f>SUMPRODUCT((CL13:CL16=CL13)*(CC13:CC16&gt;CC13))</f>
        <v>0</v>
      </c>
      <c r="CO13" s="147">
        <f>SUMPRODUCT((CL13:CL16=CL13)*(CC13:CC16=CC13)*(CF13:CF16&gt;CF13))</f>
        <v>0</v>
      </c>
      <c r="CP13" s="147">
        <f>SUMPRODUCT((CL11:CL15=CL13)*(CC11:CC15=CC13)*(CF11:CF15=CF13)*(CG11:CG15&gt;CG13))</f>
        <v>0</v>
      </c>
      <c r="CQ13" s="147">
        <f>SUMPRODUCT((CL11:CL15=CL13)*(CC11:CC15=CC13)*(CF11:CF15=CF13)*(CG11:CG15=CG13)*(CH11:CH15&gt;CH13))</f>
        <v>0</v>
      </c>
      <c r="CR13" s="147">
        <f>SUMPRODUCT((CL11:CL15=CL13)*(CC11:CC15=CC13)*(CF11:CF15=CF13)*(CG11:CG15=CG13)*(CH11:CH15=CH13)*(CI11:CI15&gt;CI13))</f>
        <v>0</v>
      </c>
      <c r="CS13" s="147" t="str">
        <f t="shared" ref="CS13:CS15" si="24">IF(BW13&lt;&gt;"",SUM(CM13:CR13)+2,"")</f>
        <v/>
      </c>
      <c r="CT13" s="147" t="str">
        <f>IF(BW13&lt;&gt;"",INDEX(BW13:BW15,MATCH(3,CS13:CS15,0),0),"")</f>
        <v/>
      </c>
      <c r="DS13" s="147" t="str">
        <f>IF(CT13&lt;&gt;"",CT13,IF(BV13&lt;&gt;"",BV13,IF(AX13&lt;&gt;"",AX13,T13)))</f>
        <v>Scotland</v>
      </c>
      <c r="DT13" s="147">
        <v>3</v>
      </c>
      <c r="DU13" s="147">
        <v>11</v>
      </c>
      <c r="DV13" s="147" t="str">
        <f>Tournament!H22</f>
        <v>Samoa</v>
      </c>
      <c r="DW13" s="147">
        <f>IF(AND(Tournament!J22&lt;&gt;"",Tournament!L22&lt;&gt;""),Tournament!J22,0)</f>
        <v>0</v>
      </c>
      <c r="DX13" s="147">
        <f>IF(AND(Tournament!L22&lt;&gt;"",Tournament!J22&lt;&gt;""),Tournament!L22,0)</f>
        <v>0</v>
      </c>
      <c r="DY13" s="147" t="str">
        <f>Tournament!N22</f>
        <v>Chile</v>
      </c>
      <c r="DZ13" s="147">
        <f>IF(Tournament!O22&lt;&gt;"",Tournament!O22,0)</f>
        <v>0</v>
      </c>
      <c r="EA13" s="147">
        <f>IF(Tournament!Q22&lt;&gt;"",Tournament!Q22,0)</f>
        <v>0</v>
      </c>
      <c r="EB13" s="147">
        <f>IF(DW13&lt;&gt;"",IF(Tournament!O22&gt;3,1,0),0)</f>
        <v>0</v>
      </c>
      <c r="EC13" s="147">
        <f>IF(DX13&lt;&gt;"",IF(Tournament!Q22&gt;3,1,0),0)</f>
        <v>0</v>
      </c>
      <c r="ED13" s="147">
        <f t="shared" si="0"/>
        <v>0</v>
      </c>
      <c r="EE13" s="147">
        <f t="shared" si="1"/>
        <v>0</v>
      </c>
      <c r="EF13" s="147" t="str">
        <f>IF(AND(Tournament!J22&lt;&gt;"",Tournament!L22&lt;&gt;""),IF(DW13&gt;DX13,"W",IF(DW13=DX13,"D","L")),"")</f>
        <v/>
      </c>
      <c r="EG13" s="161" t="str">
        <f t="shared" si="2"/>
        <v/>
      </c>
    </row>
    <row r="14" spans="1:137" x14ac:dyDescent="0.45">
      <c r="A14" s="147">
        <f>VLOOKUP(B14,DS11:DT15,2,FALSE)</f>
        <v>2</v>
      </c>
      <c r="B14" s="147" t="s">
        <v>33</v>
      </c>
      <c r="C14" s="147">
        <f>COUNTIFS(DV3:DV42,B14,EF3:EF42,"W")+COUNTIFS(DY3:DY42,B14,EG3:EG42,"W")</f>
        <v>0</v>
      </c>
      <c r="D14" s="147">
        <f>COUNTIFS(DV3:DV42,B14,EF3:EF42,"D")+COUNTIFS(DY3:DY42,B14,EG3:EG42,"D")</f>
        <v>0</v>
      </c>
      <c r="E14" s="147">
        <f>COUNTIFS(DV3:DV42,B14,EF3:EF42,"L")+COUNTIFS(DY3:DY42,B14,EG3:EG42,"L")</f>
        <v>0</v>
      </c>
      <c r="F14" s="147">
        <f>SUMIF(DV3:DV60,B14,DW3:DW60)+SUMIF(DY3:DY60,B14,DX3:DX60)</f>
        <v>0</v>
      </c>
      <c r="G14" s="147">
        <f>SUMIF(DY3:DY60,B14,DW3:DW60)+SUMIF(DV3:DV60,B14,DX3:DX60)</f>
        <v>0</v>
      </c>
      <c r="H14" s="147">
        <f t="shared" si="14"/>
        <v>1000</v>
      </c>
      <c r="I14" s="147">
        <f>SUMIF(Tournament!H12:H51,B14,Tournament!O12:O51)+SUMIF(Tournament!N12:N51,B14,Tournament!Q12:Q51)</f>
        <v>0</v>
      </c>
      <c r="J14" s="147">
        <f>SUMIF(Tournament!N12:N51,B14,Tournament!O12:O51)+SUMIF(Tournament!H12:H51,B14,Tournament!Q12:Q51)</f>
        <v>0</v>
      </c>
      <c r="K14" s="147">
        <f t="shared" si="15"/>
        <v>1000</v>
      </c>
      <c r="L14" s="147">
        <f t="shared" si="16"/>
        <v>0</v>
      </c>
      <c r="M14" s="147">
        <f>SUMIF(DV:DV,B14,EB:EB)+SUMIF(DY:DY,B14,EC:EC)</f>
        <v>0</v>
      </c>
      <c r="N14" s="147">
        <f>SUMIF(DV:DV,B14,ED:ED)+SUMIF(DY:DY,B14,EE:EE)</f>
        <v>0</v>
      </c>
      <c r="O14" s="147">
        <f t="shared" si="17"/>
        <v>0</v>
      </c>
      <c r="P14" s="147">
        <v>21</v>
      </c>
      <c r="Q14" s="147">
        <f>RANK(O14,O11:O15)</f>
        <v>1</v>
      </c>
      <c r="S14" s="147">
        <f>RANK(O14,O11:O15)+COUNTIF(O11:O14,O14)-1</f>
        <v>4</v>
      </c>
      <c r="T14" s="147" t="str">
        <f>INDEX(B11:B15,MATCH(4,S11:S15,0),0)</f>
        <v>South Africa</v>
      </c>
      <c r="U14" s="147">
        <f>INDEX(Q11:Q15,MATCH(T14,B11:B15,0),0)</f>
        <v>1</v>
      </c>
      <c r="V14" s="147" t="str">
        <f>IF(AND(V13&lt;&gt;"",U14=1),T14,"")</f>
        <v>South Africa</v>
      </c>
      <c r="W14" s="147" t="str">
        <f>IF(AND(W13&lt;&gt;"",U15=2),T15,"")</f>
        <v/>
      </c>
      <c r="AA14" s="147" t="str">
        <f t="shared" si="18"/>
        <v>South Africa</v>
      </c>
      <c r="AB14" s="147">
        <f>SUMPRODUCT((DV3:DV42=AA14)*(DY3:DY42=AA15)*(EF3:EF42="W"))+SUMPRODUCT((DV3:DV42=AA14)*(DY3:DY42=AA11)*(EF3:EF42="W"))+SUMPRODUCT((DV3:DV42=AA14)*(DY3:DY42=AA12)*(EF3:EF42="W"))+SUMPRODUCT((DV3:DV42=AA14)*(DY3:DY42=AA13)*(EF3:EF42="W"))+SUMPRODUCT((DV3:DV42=AA15)*(DY3:DY42=AA14)*(EG3:EG42="W"))+SUMPRODUCT((DV3:DV42=AA11)*(DY3:DY42=AA14)*(EG3:EG42="W"))+SUMPRODUCT((DV3:DV42=AA12)*(DY3:DY42=AA14)*(EG3:EG42="W"))+SUMPRODUCT((DV3:DV42=AA13)*(DY3:DY42=AA14)*(EG3:EG42="W"))</f>
        <v>0</v>
      </c>
      <c r="AC14" s="147">
        <f>SUMPRODUCT((DV3:DV42=AA14)*(DY3:DY42=AA15)*(EF3:EF42="D"))+SUMPRODUCT((DV3:DV42=AA14)*(DY3:DY42=AA11)*(EF3:EF42="D"))+SUMPRODUCT((DV3:DV42=AA14)*(DY3:DY42=AA12)*(EF3:EF42="D"))+SUMPRODUCT((DV3:DV42=AA14)*(DY3:DY42=AA13)*(EF3:EF42="D"))+SUMPRODUCT((DV3:DV42=AA15)*(DY3:DY42=AA14)*(EF3:EF42="D"))+SUMPRODUCT((DV3:DV42=AA11)*(DY3:DY42=AA14)*(EF3:EF42="D"))+SUMPRODUCT((DV3:DV42=AA12)*(DY3:DY42=AA14)*(EF3:EF42="D"))+SUMPRODUCT((DV3:DV42=AA13)*(DY3:DY42=AA14)*(EF3:EF42="D"))</f>
        <v>0</v>
      </c>
      <c r="AD14" s="147">
        <f>SUMPRODUCT((DV3:DV42=AA14)*(DY3:DY42=AA15)*(EF3:EF42="L"))+SUMPRODUCT((DV3:DV42=AA14)*(DY3:DY42=AA11)*(EF3:EF42="L"))+SUMPRODUCT((DV3:DV42=AA14)*(DY3:DY42=AA12)*(EF3:EF42="L"))+SUMPRODUCT((DV3:DV42=AA14)*(DY3:DY42=AA13)*(EF3:EF42="L"))+SUMPRODUCT((DV3:DV42=AA15)*(DY3:DY42=AA14)*(EG3:EG42="L"))+SUMPRODUCT((DV3:DV42=AA11)*(DY3:DY42=AA14)*(EG3:EG42="L"))+SUMPRODUCT((DV3:DV42=AA12)*(DY3:DY42=AA14)*(EG3:EG42="L"))+SUMPRODUCT((DV3:DV42=AA13)*(DY3:DY42=AA14)*(EG3:EG42="L"))</f>
        <v>0</v>
      </c>
      <c r="AE14" s="147">
        <f>IF(AA14&lt;&gt;"",VLOOKUP(AA14,B4:F29,5,FALSE),0)</f>
        <v>0</v>
      </c>
      <c r="AF14" s="147">
        <f>IF(AA14&lt;&gt;"",VLOOKUP(AA14,B4:G29,6,FALSE),0)</f>
        <v>0</v>
      </c>
      <c r="AG14" s="147">
        <f>AE14-AF14+1000</f>
        <v>1000</v>
      </c>
      <c r="AH14" s="147">
        <f>IF(AA14&lt;&gt;"",VLOOKUP(AA14,B4:I29,8,FALSE),0)</f>
        <v>0</v>
      </c>
      <c r="AI14" s="147">
        <f>IF(AA14&lt;&gt;"",VLOOKUP(AA14,B4:J29,9,FALSE),0)</f>
        <v>0</v>
      </c>
      <c r="AJ14" s="147">
        <f>IF(AA14&lt;&gt;"",AH14-AI14+1000,"")</f>
        <v>1000</v>
      </c>
      <c r="AK14" s="147">
        <f>IF(AA14&lt;&gt;"",VLOOKUP(AA14,B11:F15,5,FALSE),"")</f>
        <v>0</v>
      </c>
      <c r="AL14" s="147">
        <f>IF(AA14&lt;&gt;"",VLOOKUP(AA14,B11:I15,8,FALSE),"")</f>
        <v>0</v>
      </c>
      <c r="AM14" s="147">
        <f>IF(AA14&lt;&gt;"",VLOOKUP(AA14,B11:P15,15,FALSE),"")</f>
        <v>21</v>
      </c>
      <c r="AN14" s="147">
        <f>SUMPRODUCT((DV3:DV42=AA14)*(DY3:DY42=AA15)*EB3:EB42)+SUMPRODUCT((DV3:DV42=AA14)*(DY3:DY42=AA11)*EB3:EB42)+SUMPRODUCT((DV3:DV42=AA14)*(DY3:DY42=AA12)*EB3:EB42)+SUMPRODUCT((DV3:DV42=AA14)*(DY3:DY42=AA13)*EB3:EB42)+SUMPRODUCT((DV3:DV42=AA15)*(DY3:DY42=AA14)*EC3:EC42)+SUMPRODUCT((DV3:DV42=AA11)*(DY3:DY42=AA14)*EC3:EC42)+SUMPRODUCT((DV3:DV42=AA12)*(DY3:DY42=AA14)*EC3:EC42)+SUMPRODUCT((DV3:DV42=AA13)*(DY3:DY42=AA14)*EC3:EC42)</f>
        <v>0</v>
      </c>
      <c r="AO14" s="147">
        <f>SUMPRODUCT((DV3:DV42=AA14)*(DY3:DY42=AA15)*ED3:ED42)+SUMPRODUCT((DV3:DV42=AA14)*(DY3:DY42=AA11)*ED3:ED42)+SUMPRODUCT((DV3:DV42=AA14)*(DY3:DY42=AA12)*ED3:ED42)+SUMPRODUCT((DV3:DV42=AA14)*(DY3:DY42=AA13)*ED3:ED42)+SUMPRODUCT((DV3:DV42=AA15)*(DY3:DY42=AA14)*EE3:EE42)+SUMPRODUCT((DV3:DV42=AA11)*(DY3:DY42=AA14)*EE3:EE42)+SUMPRODUCT((DV3:DV42=AA12)*(DY3:DY42=AA14)*EE3:EE42)+SUMPRODUCT((DV3:DV42=AA13)*(DY3:DY42=AA14)*EE3:EE42)</f>
        <v>0</v>
      </c>
      <c r="AP14" s="147">
        <f>IF(AA14&lt;&gt;"",AB14*4+AC14*2+AN14+AO14,"")</f>
        <v>0</v>
      </c>
      <c r="AQ14" s="147">
        <f>IF(AA14&lt;&gt;"",RANK(AP14,AP11:AP15),"")</f>
        <v>1</v>
      </c>
      <c r="AR14" s="147">
        <f>SUMPRODUCT((AP11:AP15=AP14)*(AG11:AG15&gt;AG14))</f>
        <v>0</v>
      </c>
      <c r="AS14" s="147">
        <f>SUMPRODUCT((AP11:AP15=AP14)*(AG11:AG15=AG14)*(AJ11:AJ15&gt;AJ14))</f>
        <v>0</v>
      </c>
      <c r="AT14" s="147">
        <f>SUMPRODUCT((AP11:AP15=AP14)*(AG11:AG15=AG14)*(AJ11:AJ15=AJ14)*(AK11:AK15&gt;AK14))</f>
        <v>0</v>
      </c>
      <c r="AU14" s="147">
        <f>SUMPRODUCT((AP11:AP15=AP14)*(AG11:AG15=AG14)*(AJ11:AJ15=AJ14)*(AK11:AK15=AK14)*(AL11:AL15&gt;AL14))</f>
        <v>0</v>
      </c>
      <c r="AV14" s="147">
        <f>SUMPRODUCT((AP11:AP15=AP14)*(AG11:AG15=AG14)*(AJ11:AJ15=AJ14)*(AK11:AK15=AK14)*(AL11:AL15=AL14)*(AM11:AM15&gt;AM14))</f>
        <v>1</v>
      </c>
      <c r="AW14" s="147">
        <f t="shared" si="21"/>
        <v>2</v>
      </c>
      <c r="AX14" s="147" t="str">
        <f>IF(AA14&lt;&gt;"",INDEX(AA11:AA15,MATCH(4,AW11:AW15,0),0),"")</f>
        <v>Tonga</v>
      </c>
      <c r="AY14" s="147" t="str">
        <f>IF(W13&lt;&gt;"",W13,"")</f>
        <v/>
      </c>
      <c r="AZ14" s="147" t="str">
        <f>IF(AY14&lt;&gt;"",SUMPRODUCT((DV3:DV42=AY14)*(DY3:DY42=AY15)*(EF3:EF42="W"))+SUMPRODUCT((DV3:DV42=AY14)*(DY3:DY42=AY12)*(EF3:EF42="W"))+SUMPRODUCT((DV3:DV42=AY14)*(DY3:DY42=AY13)*(EF3:EF42="W"))+SUMPRODUCT((DV3:DV42=AY15)*(DY3:DY42=AY14)*(EG3:EG42="W"))+SUMPRODUCT((DV3:DV42=AY12)*(DY3:DY42=AY14)*(EG3:EG42="W"))+SUMPRODUCT((DV3:DV42=AY13)*(DY3:DY42=AY14)*(EG3:EG42="W")),"")</f>
        <v/>
      </c>
      <c r="BA14" s="147" t="str">
        <f>IF(AY14&lt;&gt;"",SUMPRODUCT((DV3:DV42=AY14)*(DY3:DY42=AY15)*(EF3:EF42="D"))+SUMPRODUCT((DV3:DV42=AY14)*(DY3:DY42=AY12)*(EF3:EF42="D"))+SUMPRODUCT((DV3:DV42=AY14)*(DY3:DY42=AY13)*(EF3:EF42="D"))+SUMPRODUCT((DV3:DV42=AY15)*(DY3:DY42=AY14)*(EF3:EF42="D"))+SUMPRODUCT((DV3:DV42=AY12)*(DY3:DY42=AY14)*(EF3:EF42="D"))+SUMPRODUCT((DV3:DV42=AY13)*(DY3:DY42=AY14)*(EF3:EF42="D")),"")</f>
        <v/>
      </c>
      <c r="BB14" s="147" t="str">
        <f>IF(AY14&lt;&gt;"",SUMPRODUCT((DV3:DV42=AY14)*(DY3:DY42=AY15)*(EF3:EF42="L"))+SUMPRODUCT((DV3:DV42=AY14)*(DY3:DY42=AY12)*(EF3:EF42="L"))+SUMPRODUCT((DV3:DV42=AY14)*(DY3:DY42=AY13)*(EF3:EF42="L"))+SUMPRODUCT((DV3:DV42=AY15)*(DY3:DY42=AY14)*(EG3:EG42="L"))+SUMPRODUCT((DV3:DV42=AY12)*(DY3:DY42=AY14)*(EG3:EG42="L"))+SUMPRODUCT((DV3:DV42=AY13)*(DY3:DY42=AY14)*(EG3:EG42="L")),"")</f>
        <v/>
      </c>
      <c r="BC14" s="147">
        <f>IF(AY14&lt;&gt;"",VLOOKUP(AY14,B4:F29,5,FALSE),0)</f>
        <v>0</v>
      </c>
      <c r="BD14" s="147">
        <f>IF(AY14&lt;&gt;"",VLOOKUP(AY14,B4:G29,6,FALSE),0)</f>
        <v>0</v>
      </c>
      <c r="BE14" s="147">
        <f>BC14-BD14+1000</f>
        <v>1000</v>
      </c>
      <c r="BF14" s="147">
        <f>IF(AY14&lt;&gt;"",VLOOKUP(AY14,B4:I29,8,FALSE),0)</f>
        <v>0</v>
      </c>
      <c r="BG14" s="147">
        <f>IF(AY14&lt;&gt;"",VLOOKUP(AY14,B4:J29,9,FALSE),0)</f>
        <v>0</v>
      </c>
      <c r="BH14" s="147" t="str">
        <f>IF(AY14&lt;&gt;"",BF14-BG14+1000,"")</f>
        <v/>
      </c>
      <c r="BI14" s="147" t="str">
        <f>IF(AY14&lt;&gt;"",VLOOKUP(AY14,B11:F15,5,FALSE),"")</f>
        <v/>
      </c>
      <c r="BJ14" s="147" t="str">
        <f>IF(AY14&lt;&gt;"",VLOOKUP(AY14,B11:I15,8,FALSE),"")</f>
        <v/>
      </c>
      <c r="BK14" s="147" t="str">
        <f>IF(AY14&lt;&gt;"",VLOOKUP(AY14,B11:P15,15,FALSE),"")</f>
        <v/>
      </c>
      <c r="BL14" s="147" t="str">
        <f>IF(AY14&lt;&gt;"",SUMPRODUCT((DV3:DV42=AY14)*(DY3:DY42=AY15)*EB3:EB42)+SUMPRODUCT((DV3:DV42=AY14)*(DY3:DY42=AY12)*EB3:EB42)+SUMPRODUCT((DV3:DV42=AY14)*(DY3:DY42=AY13)*EB3:EB42)+SUMPRODUCT((DV3:DV42=AY15)*(DY3:DY42=AY14)*EC3:EC42)+SUMPRODUCT((DV3:DV42=AY12)*(DY3:DY42=AY14)*EC3:EC42)+SUMPRODUCT((DV3:DV42=AY13)*(DY3:DY42=AY14)*EC3:EC42),"")</f>
        <v/>
      </c>
      <c r="BM14" s="147" t="str">
        <f>IF(AY14&lt;&gt;"",SUMPRODUCT((DV3:DV42=AY14)*(DY3:DY42=AY15)*ED3:ED42)+SUMPRODUCT((DV3:DV42=AY14)*(DY3:DY42=AY12)*ED3:ED42)+SUMPRODUCT((DV3:DV42=AY14)*(DY3:DY42=AY13)*ED3:ED42)+SUMPRODUCT((DV3:DV42=AY15)*(DY3:DY42=AY14)*EE3:EE42)+SUMPRODUCT((DV3:DV42=AY12)*(DY3:DY42=AY14)*EE3:EE42)+SUMPRODUCT((DV3:DV42=AY13)*(DY3:DY42=AY14)*EE3:EE42),"")</f>
        <v/>
      </c>
      <c r="BN14" s="147" t="str">
        <f>IF(AY14&lt;&gt;"",AZ14*4+BA14*2+BL14+BM14,"")</f>
        <v/>
      </c>
      <c r="BO14" s="147" t="str">
        <f>IF(AY14&lt;&gt;"",RANK(BN14,BN12:BN15),"")</f>
        <v/>
      </c>
      <c r="BP14" s="147">
        <f>SUMPRODUCT((BN12:BN15=BN14)*(BE12:BE15&gt;BE14))</f>
        <v>0</v>
      </c>
      <c r="BQ14" s="147">
        <f>SUMPRODUCT((BN12:BN15=BN14)*(BE12:BE15=BE14)*(BH12:BH15&gt;BH14))</f>
        <v>0</v>
      </c>
      <c r="BR14" s="147">
        <f>SUMPRODUCT((BN11:BN15=BN14)*(BE11:BE15=BE14)*(BH11:BH15=BH14)*(BI11:BI15&gt;BI14))</f>
        <v>0</v>
      </c>
      <c r="BS14" s="147">
        <f>SUMPRODUCT((BN11:BN15=BN14)*(BE11:BE15=BE14)*(BH11:BH15=BH14)*(BI11:BI15=BI14)*(BJ11:BJ15&gt;BJ14))</f>
        <v>0</v>
      </c>
      <c r="BT14" s="147">
        <f>SUMPRODUCT((BN11:BN15=BN14)*(BE11:BE15=BE14)*(BH11:BH15=BH14)*(BI11:BI15=BI14)*(BJ11:BJ15=BJ14)*(BK11:BK15&gt;BK14))</f>
        <v>0</v>
      </c>
      <c r="BU14" s="147" t="str">
        <f t="shared" si="22"/>
        <v/>
      </c>
      <c r="BV14" s="147" t="str">
        <f>IF(AY14&lt;&gt;"",INDEX(AY12:AY15,MATCH(4,BU12:BU15,0),0),"")</f>
        <v/>
      </c>
      <c r="BW14" s="147" t="str">
        <f>IF(X12&lt;&gt;"",X12,"")</f>
        <v/>
      </c>
      <c r="BX14" s="147">
        <f>SUMPRODUCT((DV3:DV42=BW14)*(DY3:DY42=BW15)*(EF3:EF42="W"))+SUMPRODUCT((DV3:DV42=BW14)*(DY3:DY42=BW16)*(EF3:EF42="W"))+SUMPRODUCT((DV3:DV42=BW14)*(DY3:DY42=BW13)*(EF3:EF42="W"))+SUMPRODUCT((DV3:DV42=BW15)*(DY3:DY42=BW14)*(EG3:EG42="W"))+SUMPRODUCT((DV3:DV42=BW16)*(DY3:DY42=BW14)*(EG3:EG42="W"))+SUMPRODUCT((DV3:DV42=BW13)*(DY3:DY42=BW14)*(EG3:EG42="W"))</f>
        <v>0</v>
      </c>
      <c r="BY14" s="147">
        <f>SUMPRODUCT((DV3:DV42=BW14)*(DY3:DY42=BW15)*(EF3:EF42="D"))+SUMPRODUCT((DV3:DV42=BW14)*(DY3:DY42=BW16)*(EF3:EF42="D"))+SUMPRODUCT((DV3:DV42=BW14)*(DY3:DY42=BW13)*(EF3:EF42="D"))+SUMPRODUCT((DV3:DV42=BW15)*(DY3:DY42=BW14)*(EF3:EF42="D"))+SUMPRODUCT((DV3:DV42=BW16)*(DY3:DY42=BW14)*(EF3:EF42="D"))+SUMPRODUCT((DV3:DV42=BW13)*(DY3:DY42=BW14)*(EF3:EF42="D"))</f>
        <v>0</v>
      </c>
      <c r="BZ14" s="147">
        <f>SUMPRODUCT((DV3:DV42=BW14)*(DY3:DY42=BW15)*(EF3:EF42="L"))+SUMPRODUCT((DV3:DV42=BW14)*(DY3:DY42=BW16)*(EF3:EF42="L"))+SUMPRODUCT((DV3:DV42=BW14)*(DY3:DY42=BW13)*(EF3:EF42="L"))+SUMPRODUCT((DV3:DV42=BW15)*(DY3:DY42=BW14)*(EG3:EG42="L"))+SUMPRODUCT((DV3:DV42=BW16)*(DY3:DY42=BW14)*(EG3:EG42="L"))+SUMPRODUCT((DV3:DV42=BW13)*(DY3:DY42=BW14)*(EG3:EG42="L"))</f>
        <v>0</v>
      </c>
      <c r="CA14" s="147">
        <f>IF(BW14&lt;&gt;"",VLOOKUP(BW14,B4:F29,5,FALSE),0)</f>
        <v>0</v>
      </c>
      <c r="CB14" s="147">
        <f>IF(BW14&lt;&gt;"",VLOOKUP(BW14,B4:G29,6,FALSE),0)</f>
        <v>0</v>
      </c>
      <c r="CC14" s="147">
        <f>CA14-CB14+1000</f>
        <v>1000</v>
      </c>
      <c r="CD14" s="147">
        <f>IF(BW14&lt;&gt;"",VLOOKUP(BW14,B4:I29,8,FALSE),0)</f>
        <v>0</v>
      </c>
      <c r="CE14" s="147">
        <f>IF(BW14&lt;&gt;"",VLOOKUP(BW14,B4:J29,9,FALSE),0)</f>
        <v>0</v>
      </c>
      <c r="CF14" s="147">
        <f t="shared" ref="CF14" si="25">CD14-CE14+1000</f>
        <v>1000</v>
      </c>
      <c r="CG14" s="147" t="str">
        <f>IF(BW14&lt;&gt;"",VLOOKUP(BW14,B11:F15,5,FALSE),"")</f>
        <v/>
      </c>
      <c r="CH14" s="147" t="str">
        <f>IF(BW14&lt;&gt;"",VLOOKUP(BW14,B11:I15,8,FALSE),"")</f>
        <v/>
      </c>
      <c r="CI14" s="147" t="str">
        <f>IF(BW14&lt;&gt;"",VLOOKUP(BW14,B11:P15,15,FALSE),"")</f>
        <v/>
      </c>
      <c r="CJ14" s="147">
        <f>SUMPRODUCT((DV3:DV42=BW14)*(DY3:DY42=BW15)*EB3:EB42)+SUMPRODUCT((DV3:DV42=BW14)*(DY3:DY42=BW16)*EB3:EB42)+SUMPRODUCT((DV3:DV42=BW14)*(DY3:DY42=BW13)*EB3:EB42)+SUMPRODUCT((DV3:DV42=BW15)*(DY3:DY42=BW14)*EC3:EC42)+SUMPRODUCT((DV3:DV42=BW16)*(DY3:DY42=BW14)*EC3:EC42)+SUMPRODUCT((DV3:DV42=BW13)*(DY3:DY42=BW14)*EC3:EC42)</f>
        <v>0</v>
      </c>
      <c r="CK14" s="147">
        <f>SUMPRODUCT((DV3:DV42=BW14)*(DY3:DY42=BW15)*ED3:ED42)+SUMPRODUCT((DV3:DV42=BW14)*(DY3:DY42=BW16)*ED3:ED42)+SUMPRODUCT((DV3:DV42=BW14)*(DY3:DY42=BW13)*ED3:ED42)+SUMPRODUCT((DV3:DV42=BW15)*(DY3:DY42=BW14)*EE3:EE42)+SUMPRODUCT((DV3:DV42=BW16)*(DY3:DY42=BW14)*EE3:EE42)+SUMPRODUCT((DV3:DV42=BW13)*(DY3:DY42=BW14)*EE3:EE42)</f>
        <v>0</v>
      </c>
      <c r="CL14" s="147">
        <f t="shared" ref="CL14" si="26">BX14*4+BY14*2+CJ14+CK14</f>
        <v>0</v>
      </c>
      <c r="CM14" s="147" t="str">
        <f>IF(BW14&lt;&gt;"",RANK(CL14,CL13:CL16),"")</f>
        <v/>
      </c>
      <c r="CN14" s="147">
        <f>SUMPRODUCT((CL13:CL16=CL14)*(CC13:CC16&gt;CC14))</f>
        <v>0</v>
      </c>
      <c r="CO14" s="147">
        <f>SUMPRODUCT((CL13:CL16=CL14)*(CC13:CC16=CC14)*(CF13:CF16&gt;CF14))</f>
        <v>0</v>
      </c>
      <c r="CP14" s="147">
        <f>SUMPRODUCT((CL11:CL15=CL14)*(CC11:CC15=CC14)*(CF11:CF15=CF14)*(CG11:CG15&gt;CG14))</f>
        <v>0</v>
      </c>
      <c r="CQ14" s="147">
        <f>SUMPRODUCT((CL11:CL15=CL14)*(CC11:CC15=CC14)*(CF11:CF15=CF14)*(CG11:CG15=CG14)*(CH11:CH15&gt;CH14))</f>
        <v>0</v>
      </c>
      <c r="CR14" s="147">
        <f>SUMPRODUCT((CL11:CL15=CL14)*(CC11:CC15=CC14)*(CF11:CF15=CF14)*(CG11:CG15=CG14)*(CH11:CH15=CH14)*(CI11:CI15&gt;CI14))</f>
        <v>0</v>
      </c>
      <c r="CS14" s="147" t="str">
        <f t="shared" si="24"/>
        <v/>
      </c>
      <c r="CT14" s="147" t="str">
        <f>IF(BW14&lt;&gt;"",INDEX(BW13:BW15,MATCH(4,CS13:CS15,0),0),"")</f>
        <v/>
      </c>
      <c r="CU14" s="147" t="str">
        <f>IF(Y11&lt;&gt;"",Y11,"")</f>
        <v/>
      </c>
      <c r="CV14" s="147">
        <f>SUMPRODUCT((DV3:DV42=CU14)*(DY3:DY42=CU15)*(EF3:EF42="W"))+SUMPRODUCT((DV3:DV42=CU14)*(DY3:DY42=CU16)*(EF3:EF42="W"))+SUMPRODUCT((DV3:DV42=CU14)*(DY3:DY42=CU17)*(EF3:EF42="W"))+SUMPRODUCT((DV3:DV42=CU15)*(DY3:DY42=CU14)*(EG3:EG42="W"))+SUMPRODUCT((DV3:DV42=CU16)*(DY3:DY42=CU14)*(EG3:EG42="W"))+SUMPRODUCT((DV3:DV42=CU17)*(DY3:DY42=CU14)*(EG3:EG42="W"))</f>
        <v>0</v>
      </c>
      <c r="CW14" s="147">
        <f>SUMPRODUCT((DV3:DV42=CU14)*(DY3:DY42=CU15)*(EF3:EF42="D"))+SUMPRODUCT((DV3:DV42=CU14)*(DY3:DY42=CU16)*(EF3:EF42="D"))+SUMPRODUCT((DV3:DV42=CU14)*(DY3:DY42=CU17)*(EF3:EF42="D"))+SUMPRODUCT((DV3:DV42=CU15)*(DY3:DY42=CU14)*(EF3:EF42="D"))+SUMPRODUCT((DV3:DV42=CU16)*(DY3:DY42=CU14)*(EF3:EF42="D"))+SUMPRODUCT((DV3:DV42=CU17)*(DY3:DY42=CU14)*(EF3:EF42="D"))</f>
        <v>0</v>
      </c>
      <c r="CX14" s="147">
        <f>SUMPRODUCT((DV3:DV42=CU14)*(DY3:DY42=CU15)*(EF3:EF42="L"))+SUMPRODUCT((DV3:DV42=CU14)*(DY3:DY42=CU16)*(EF3:EF42="L"))+SUMPRODUCT((DV3:DV42=CU14)*(DY3:DY42=CU17)*(EF3:EF42="L"))+SUMPRODUCT((DV3:DV42=CU15)*(DY3:DY42=CU14)*(EG3:EG42="L"))+SUMPRODUCT((DV3:DV42=CU16)*(DY3:DY42=CU14)*(EG3:EG42="L"))+SUMPRODUCT((DV3:DV42=CU17)*(DY3:DY42=CU14)*(EG3:EG42="L"))</f>
        <v>0</v>
      </c>
      <c r="CY14" s="147">
        <f>IF(CU14&lt;&gt;"",VLOOKUP(CU14,B4:F29,5,FALSE),0)</f>
        <v>0</v>
      </c>
      <c r="CZ14" s="147">
        <f>IF(CU14&lt;&gt;"",VLOOKUP(CU14,B4:G29,6,FALSE),0)</f>
        <v>0</v>
      </c>
      <c r="DA14" s="147">
        <f>CY14-CZ14+1000</f>
        <v>1000</v>
      </c>
      <c r="DB14" s="147">
        <f>IF(CU14&lt;&gt;"",VLOOKUP(CU14,B4:I29,8,FALSE),0)</f>
        <v>0</v>
      </c>
      <c r="DC14" s="147">
        <f>IF(CU14&lt;&gt;"",VLOOKUP(CU14,B4:J29,9,FALSE),0)</f>
        <v>0</v>
      </c>
      <c r="DD14" s="147">
        <f>DB14-DC14+1000</f>
        <v>1000</v>
      </c>
      <c r="DE14" s="147" t="str">
        <f>IF(CU14&lt;&gt;"",VLOOKUP(CU14,B11:F15,5,FALSE),"")</f>
        <v/>
      </c>
      <c r="DF14" s="147" t="str">
        <f>IF(CU14&lt;&gt;"",VLOOKUP(CU14,B11:I15,8,FALSE),"")</f>
        <v/>
      </c>
      <c r="DG14" s="147" t="str">
        <f>IF(CU14&lt;&gt;"",VLOOKUP(CU14,B11:P15,15,FALSE),"")</f>
        <v/>
      </c>
      <c r="DH14" s="147">
        <f>SUMPRODUCT((DV3:DV42=CU14)*(DY3:DY42=CU15)*EB3:EB42)+SUMPRODUCT((DV3:DV42=CU14)*(DY3:DY42=CU16)*EB3:EB42)+SUMPRODUCT((DV3:DV42=CU14)*(DY3:DY42=CU17)*EB3:EB42)+SUMPRODUCT((DV3:DV42=CU15)*(DY3:DY42=CU14)*EC3:EC42)+SUMPRODUCT((DV3:DV42=CU16)*(DY3:DY42=CU14)*EC3:EC42)+SUMPRODUCT((DV3:DV42=CU17)*(DY3:DY42=CU14)*EC3:EC42)</f>
        <v>0</v>
      </c>
      <c r="DI14" s="147">
        <f>SUMPRODUCT((DV3:DV42=CU14)*(DY3:DY42=CU15)*ED3:ED42)+SUMPRODUCT((DV3:DV42=CU14)*(DY3:DY42=CU16)*ED3:ED42)+SUMPRODUCT((DV3:DV42=CU14)*(DY3:DY42=CU17)*ED3:ED42)+SUMPRODUCT((DV3:DV42=CU15)*(DY3:DY42=CU14)*EE3:EE42)+SUMPRODUCT((DV3:DV42=CU16)*(DY3:DY42=CU14)*EE3:EE42)+SUMPRODUCT((DV3:DV42=CU17)*(DY3:DY42=CU14)*EE3:EE42)</f>
        <v>0</v>
      </c>
      <c r="DJ14" s="147">
        <f>CV14*4+CW14*2+DH14+DI14</f>
        <v>0</v>
      </c>
      <c r="DK14" s="147" t="str">
        <f>IF(CU14&lt;&gt;"",RANK(DJ14,DJ14:DJ17),"")</f>
        <v/>
      </c>
      <c r="DL14" s="147">
        <f>SUMPRODUCT((DJ14:DJ17=DJ14)*(DA14:DA17&gt;DA14))</f>
        <v>0</v>
      </c>
      <c r="DM14" s="147">
        <f>SUMPRODUCT((DJ14:DJ17=DJ14)*(DA14:DA17=DA14)*(DD14:DD17&gt;DD14))</f>
        <v>0</v>
      </c>
      <c r="DN14" s="147">
        <f>SUMPRODUCT((DJ11:DJ15=DJ14)*(DA11:DA15=DA14)*(DD11:DD15=DD14)*(DE11:DE15&gt;DE14))</f>
        <v>0</v>
      </c>
      <c r="DO14" s="147">
        <f>SUMPRODUCT((DJ11:DJ15=DJ14)*(DA11:DA15=DA14)*(DD11:DD15=DD14)*(DE11:DE15=DE14)*(DF11:DF15&gt;DF14))</f>
        <v>0</v>
      </c>
      <c r="DP14" s="147">
        <f>SUMPRODUCT((DJ11:DJ15=DJ14)*(DA11:DA15=DA14)*(DD11:DD15=DD14)*(DE11:DE15=DE14)*(DF11:DF15=DF14)*(DG11:DG15&gt;DG14))</f>
        <v>0</v>
      </c>
      <c r="DQ14" s="147" t="str">
        <f t="shared" ref="DQ14:DQ15" si="27">IF(CU14&lt;&gt;"",SUM(DK14:DP14)+3,"")</f>
        <v/>
      </c>
      <c r="DR14" s="147" t="str">
        <f>IF(CU14&lt;&gt;"",IF(DQ14=4,CU14,CU15),"")</f>
        <v/>
      </c>
      <c r="DS14" s="147" t="str">
        <f>IF(DR14&lt;&gt;"",DR14,IF(CT14&lt;&gt;"",CT14,IF(BV14&lt;&gt;"",BV14,IF(AX14&lt;&gt;"",AX14,T14))))</f>
        <v>Tonga</v>
      </c>
      <c r="DT14" s="147">
        <v>4</v>
      </c>
      <c r="DU14" s="147">
        <v>12</v>
      </c>
      <c r="DV14" s="147" t="str">
        <f>Tournament!H23</f>
        <v>Wales</v>
      </c>
      <c r="DW14" s="147">
        <f>IF(AND(Tournament!J23&lt;&gt;"",Tournament!L23&lt;&gt;""),Tournament!J23,0)</f>
        <v>0</v>
      </c>
      <c r="DX14" s="147">
        <f>IF(AND(Tournament!L23&lt;&gt;"",Tournament!J23&lt;&gt;""),Tournament!L23,0)</f>
        <v>0</v>
      </c>
      <c r="DY14" s="147" t="str">
        <f>Tournament!N23</f>
        <v>Portugal</v>
      </c>
      <c r="DZ14" s="147">
        <f>IF(Tournament!O23&lt;&gt;"",Tournament!O23,0)</f>
        <v>0</v>
      </c>
      <c r="EA14" s="147">
        <f>IF(Tournament!Q23&lt;&gt;"",Tournament!Q23,0)</f>
        <v>0</v>
      </c>
      <c r="EB14" s="147">
        <f>IF(DW14&lt;&gt;"",IF(Tournament!O23&gt;3,1,0),0)</f>
        <v>0</v>
      </c>
      <c r="EC14" s="147">
        <f>IF(DX14&lt;&gt;"",IF(Tournament!Q23&gt;3,1,0),0)</f>
        <v>0</v>
      </c>
      <c r="ED14" s="147">
        <f t="shared" si="0"/>
        <v>0</v>
      </c>
      <c r="EE14" s="147">
        <f t="shared" si="1"/>
        <v>0</v>
      </c>
      <c r="EF14" s="147" t="str">
        <f>IF(AND(Tournament!J23&lt;&gt;"",Tournament!L23&lt;&gt;""),IF(DW14&gt;DX14,"W",IF(DW14=DX14,"D","L")),"")</f>
        <v/>
      </c>
      <c r="EG14" s="161" t="str">
        <f t="shared" si="2"/>
        <v/>
      </c>
    </row>
    <row r="15" spans="1:137" x14ac:dyDescent="0.45">
      <c r="A15" s="147">
        <f>VLOOKUP(B15,DS11:DT15,2,FALSE)</f>
        <v>4</v>
      </c>
      <c r="B15" s="147" t="s">
        <v>29</v>
      </c>
      <c r="C15" s="147">
        <f>COUNTIFS(DV3:DV42,B15,EF3:EF42,"W")+COUNTIFS(DY3:DY42,B15,EG3:EG42,"W")</f>
        <v>0</v>
      </c>
      <c r="D15" s="147">
        <f>COUNTIFS(DV3:DV42,B15,EF3:EF42,"D")+COUNTIFS(DY3:DY42,B15,EG3:EG42,"D")</f>
        <v>0</v>
      </c>
      <c r="E15" s="147">
        <f>COUNTIFS(DV3:DV42,B15,EF3:EF42,"L")+COUNTIFS(DY3:DY42,B15,EG3:EG42,"L")</f>
        <v>0</v>
      </c>
      <c r="F15" s="147">
        <f>SUMIF(DV3:DV60,B15,DW3:DW60)+SUMIF(DY3:DY60,B15,DX3:DX60)</f>
        <v>0</v>
      </c>
      <c r="G15" s="147">
        <f>SUMIF(DY3:DY60,B15,DW3:DW60)+SUMIF(DV3:DV60,B15,DX3:DX60)</f>
        <v>0</v>
      </c>
      <c r="H15" s="147">
        <f t="shared" si="14"/>
        <v>1000</v>
      </c>
      <c r="I15" s="147">
        <f>SUMIF(Tournament!H12:H51,B15,Tournament!O12:O51)+SUMIF(Tournament!N12:N51,B15,Tournament!Q12:Q51)</f>
        <v>0</v>
      </c>
      <c r="J15" s="147">
        <f>SUMIF(Tournament!N12:N51,B15,Tournament!O12:O51)+SUMIF(Tournament!H12:H51,B15,Tournament!Q12:Q51)</f>
        <v>0</v>
      </c>
      <c r="K15" s="147">
        <f t="shared" si="15"/>
        <v>1000</v>
      </c>
      <c r="L15" s="147">
        <f t="shared" si="16"/>
        <v>0</v>
      </c>
      <c r="M15" s="147">
        <f>SUMIF(DV:DV,B15,EB:EB)+SUMIF(DY:DY,B15,EC:EC)</f>
        <v>0</v>
      </c>
      <c r="N15" s="147">
        <f>SUMIF(DV:DV,B15,ED:ED)+SUMIF(DY:DY,B15,EE:EE)</f>
        <v>0</v>
      </c>
      <c r="O15" s="147">
        <f t="shared" si="17"/>
        <v>0</v>
      </c>
      <c r="P15" s="147">
        <v>8</v>
      </c>
      <c r="Q15" s="147">
        <f>RANK(O15,O11:O15)</f>
        <v>1</v>
      </c>
      <c r="S15" s="147">
        <f>RANK(O15,O11:O15)+COUNTIF(O11:O15,O15)-1</f>
        <v>5</v>
      </c>
      <c r="T15" s="147" t="str">
        <f>INDEX(B11:B15,MATCH(5,S11:S15,0),0)</f>
        <v>Tonga</v>
      </c>
      <c r="U15" s="147">
        <f>INDEX(Q11:Q15,MATCH(T15,B11:B15,0),0)</f>
        <v>1</v>
      </c>
      <c r="V15" s="147" t="str">
        <f>IF(AND(V14&lt;&gt;"",U15=1),T15,"")</f>
        <v>Tonga</v>
      </c>
      <c r="AA15" s="147" t="str">
        <f t="shared" si="18"/>
        <v>Tonga</v>
      </c>
      <c r="AB15" s="147">
        <f>SUMPRODUCT((DV3:DV42=AA15)*(DY3:DY42=AA11)*(EF3:EF42="W"))+SUMPRODUCT((DV3:DV42=AA15)*(DY3:DY42=AA12)*(EF3:EF42="W"))+SUMPRODUCT((DV3:DV42=AA15)*(DY3:DY42=AA13)*(EF3:EF42="W"))+SUMPRODUCT((DV3:DV42=AA15)*(DY3:DY42=AA14)*(EF3:EF42="W"))+SUMPRODUCT((DV3:DV42=AA11)*(DY3:DY42=AA15)*(EG3:EG42="W"))+SUMPRODUCT((DV3:DV42=AA12)*(DY3:DY42=AA15)*(EG3:EG42="W"))+SUMPRODUCT((DV3:DV42=AA13)*(DY3:DY42=AA15)*(EG3:EG42="W"))+SUMPRODUCT((DV3:DV42=AA14)*(DY3:DY42=AA15)*(EG3:EG42="W"))</f>
        <v>0</v>
      </c>
      <c r="AC15" s="147">
        <f>SUMPRODUCT((DV3:DV42=AA15)*(DY3:DY42=AA11)*(EF3:EF42="D"))+SUMPRODUCT((DV3:DV42=AA15)*(DY3:DY42=AA12)*(EF3:EF42="D"))+SUMPRODUCT((DV3:DV42=AA15)*(DY3:DY42=AA13)*(EF3:EF42="D"))+SUMPRODUCT((DV3:DV42=AA15)*(DY3:DY42=AA14)*(EF3:EF42="D"))+SUMPRODUCT((DV3:DV42=AA11)*(DY3:DY42=AA15)*(EF3:EF42="D"))+SUMPRODUCT((DV3:DV42=AA12)*(DY3:DY42=AA15)*(EF3:EF42="D"))+SUMPRODUCT((DV3:DV42=AA13)*(DY3:DY42=AA15)*(EF3:EF42="D"))+SUMPRODUCT((DV3:DV42=AA14)*(DY3:DY42=AA15)*(EF3:EF42="D"))</f>
        <v>0</v>
      </c>
      <c r="AD15" s="147">
        <f>SUMPRODUCT((DV3:DV42=AA15)*(DY3:DY42=AA11)*(EF3:EF42="L"))+SUMPRODUCT((DV3:DV42=AA15)*(DY3:DY42=AA12)*(EF3:EF42="L"))+SUMPRODUCT((DV3:DV42=AA15)*(DY3:DY42=AA13)*(EF3:EF42="L"))+SUMPRODUCT((DV3:DV42=AA15)*(DY3:DY42=AA14)*(EF3:EF42="L"))+SUMPRODUCT((DV3:DV42=AA11)*(DY3:DY42=AA15)*(EG3:EG42="L"))+SUMPRODUCT((DV3:DV42=AA12)*(DY3:DY42=AA15)*(EG3:EG42="L"))+SUMPRODUCT((DV3:DV42=AA13)*(DY3:DY42=AA15)*(EG3:EG42="L"))+SUMPRODUCT((DV3:DV42=AA14)*(DY3:DY42=AA15)*(EG3:EG42="L"))</f>
        <v>0</v>
      </c>
      <c r="AE15" s="147">
        <f>IF(AA15&lt;&gt;"",VLOOKUP(AA15,B4:F29,5,FALSE),0)</f>
        <v>0</v>
      </c>
      <c r="AF15" s="147">
        <f>IF(AA15&lt;&gt;"",VLOOKUP(AA15,B4:G29,6,FALSE),0)</f>
        <v>0</v>
      </c>
      <c r="AG15" s="147">
        <f>AE15-AF15+1000</f>
        <v>1000</v>
      </c>
      <c r="AH15" s="147">
        <f>IF(AA15&lt;&gt;"",VLOOKUP(AA15,B4:I29,8,FALSE),0)</f>
        <v>0</v>
      </c>
      <c r="AI15" s="147">
        <f>IF(AA15&lt;&gt;"",VLOOKUP(AA15,B4:J29,9,FALSE),0)</f>
        <v>0</v>
      </c>
      <c r="AJ15" s="147">
        <f>IF(AA15&lt;&gt;"",AH15-AI15+1000,"")</f>
        <v>1000</v>
      </c>
      <c r="AK15" s="147">
        <f>IF(AA15&lt;&gt;"",VLOOKUP(AA15,B11:F15,5,FALSE),"")</f>
        <v>0</v>
      </c>
      <c r="AL15" s="147">
        <f>IF(AA15&lt;&gt;"",VLOOKUP(AA15,B11:I15,8,FALSE),"")</f>
        <v>0</v>
      </c>
      <c r="AM15" s="147">
        <f>IF(AA15&lt;&gt;"",VLOOKUP(AA15,B11:P15,15,FALSE),"")</f>
        <v>8</v>
      </c>
      <c r="AN15" s="147">
        <f>SUMPRODUCT((DV3:DV42=AA15)*(DY3:DY42=AA11)*EB3:EB42)+SUMPRODUCT((DV3:DV42=AA15)*(DY3:DY42=AA12)*EB3:EB42)+SUMPRODUCT((DV3:DV42=AA15)*(DY3:DY42=AA13)*EB3:EB42)+SUMPRODUCT((DV3:DV42=AA15)*(DY3:DY42=AA14)*EB3:EB42)+SUMPRODUCT((DV3:DV42=AA11)*(DY3:DY42=AA15)*EC3:EC42)+SUMPRODUCT((DV3:DV42=AA12)*(DY3:DY42=AA15)*EC3:EC42)+SUMPRODUCT((DV3:DV42=AA13)*(DY3:DY42=AA15)*EC3:EC42)+SUMPRODUCT((DV3:DV42=AA14)*(DY3:DY42=AA15)*EC3:EC42)</f>
        <v>0</v>
      </c>
      <c r="AO15" s="147">
        <f>SUMPRODUCT((DV3:DV42=AA15)*(DY3:DY42=AA11)*ED3:ED42)+SUMPRODUCT((DV3:DV42=AA15)*(DY3:DY42=AA12)*ED3:ED42)+SUMPRODUCT((DV3:DV42=AA15)*(DY3:DY42=AA13)*ED3:ED42)+SUMPRODUCT((DV3:DV42=AA15)*(DY3:DY42=AA14)*ED3:ED42)+SUMPRODUCT((DV3:DV42=AA11)*(DY3:DY42=AA15)*EE3:EE42)+SUMPRODUCT((DV3:DV42=AA12)*(DY3:DY42=AA15)*EE3:EE42)+SUMPRODUCT((DV3:DV42=AA13)*(DY3:DY42=AA15)*EE3:EE42)+SUMPRODUCT((DV3:DV42=AA14)*(DY3:DY42=AA15)*EE3:EE42)</f>
        <v>0</v>
      </c>
      <c r="AP15" s="147">
        <f>IF(AA15&lt;&gt;"",AB15*4+AC15*2+AN15+AO15,"")</f>
        <v>0</v>
      </c>
      <c r="AQ15" s="147">
        <f>IF(AA15&lt;&gt;"",RANK(AP15,AP11:AP15),"")</f>
        <v>1</v>
      </c>
      <c r="AR15" s="147">
        <f>SUMPRODUCT((AP11:AP15=AP15)*(AG11:AG15&gt;AG15))</f>
        <v>0</v>
      </c>
      <c r="AS15" s="147">
        <f>SUMPRODUCT((AP11:AP15=AP15)*(AG11:AG15=AG15)*(AJ11:AJ15&gt;AJ15))</f>
        <v>0</v>
      </c>
      <c r="AT15" s="147">
        <f>SUMPRODUCT((AP11:AP15=AP15)*(AG11:AG15=AG15)*(AJ11:AJ15=AJ15)*(AK11:AK15&gt;AK15))</f>
        <v>0</v>
      </c>
      <c r="AU15" s="147">
        <f>SUMPRODUCT((AP11:AP15=AP15)*(AG11:AG15=AG15)*(AJ11:AJ15=AJ15)*(AK11:AK15=AK15)*(AL11:AL15&gt;AL15))</f>
        <v>0</v>
      </c>
      <c r="AV15" s="147">
        <f>SUMPRODUCT((AP11:AP15=AP15)*(AG11:AG15=AG15)*(AJ11:AJ15=AJ15)*(AK11:AK15=AK15)*(AL11:AL15=AL15)*(AM11:AM15&gt;AM15))</f>
        <v>3</v>
      </c>
      <c r="AW15" s="147">
        <f t="shared" si="21"/>
        <v>4</v>
      </c>
      <c r="AX15" s="147" t="str">
        <f>IF(AA15&lt;&gt;"",INDEX(AA11:AA15,MATCH(5,AW11:AW15,0),0),"")</f>
        <v>Romania</v>
      </c>
      <c r="AY15" s="147" t="str">
        <f>IF(W14&lt;&gt;"",W14,"")</f>
        <v/>
      </c>
      <c r="AZ15" s="147" t="str">
        <f>IF(AY15&lt;&gt;"",SUMPRODUCT((DV3:DV42=AY15)*(DY3:DY42=AY12)*(EF3:EF42="W"))+SUMPRODUCT((DV3:DV42=AY15)*(DY3:DY42=AY13)*(EF3:EF42="W"))+SUMPRODUCT((DV3:DV42=AY15)*(DY3:DY42=AY14)*(EF3:EF42="W"))+SUMPRODUCT((DV3:DV42=AY12)*(DY3:DY42=AY15)*(EF3:EF42="W"))+SUMPRODUCT((DV3:DV42=AY13)*(DY3:DY42=AY15)*(EF3:EF42="W"))+SUMPRODUCT((DV3:DV42=AY14)*(DY3:DY42=AY15)*(EF3:EF42="W")),"")</f>
        <v/>
      </c>
      <c r="BA15" s="147" t="str">
        <f>IF(AY15&lt;&gt;"",SUMPRODUCT((DV3:DV42=AY15)*(DY3:DY42=AY12)*(EF3:EF42="D"))+SUMPRODUCT((DV3:DV42=AY15)*(DY3:DY42=AY13)*(EF3:EF42="D"))+SUMPRODUCT((DV3:DV42=AY15)*(DY3:DY42=AY14)*(EF3:EF42="D"))+SUMPRODUCT((DV3:DV42=AY12)*(DY3:DY42=AY15)*(EF3:EF42="D"))+SUMPRODUCT((DV3:DV42=AY13)*(DY3:DY42=AY15)*(EF3:EF42="D"))+SUMPRODUCT((DV3:DV42=AY14)*(DY3:DY42=AY15)*(EF3:EF42="D")),"")</f>
        <v/>
      </c>
      <c r="BB15" s="147" t="str">
        <f>IF(AY15&lt;&gt;"",SUMPRODUCT((DV3:DV42=AY15)*(DY3:DY42=AY12)*(EF3:EF42="L"))+SUMPRODUCT((DV3:DV42=AY15)*(DY3:DY42=AY13)*(EF3:EF42="L"))+SUMPRODUCT((DV3:DV42=AY15)*(DY3:DY42=AY14)*(EF3:EF42="L"))+SUMPRODUCT((DV3:DV42=AY12)*(DY3:DY42=AY15)*(EF3:EF42="L"))+SUMPRODUCT((DV3:DV42=AY13)*(DY3:DY42=AY15)*(EF3:EF42="L"))+SUMPRODUCT((DV3:DV42=AY14)*(DY3:DY42=AY15)*(EF3:EF42="L")),"")</f>
        <v/>
      </c>
      <c r="BC15" s="147">
        <f>IF(AY15&lt;&gt;"",VLOOKUP(AY15,B4:F29,5,FALSE),0)</f>
        <v>0</v>
      </c>
      <c r="BD15" s="147">
        <f>IF(AY15&lt;&gt;"",VLOOKUP(AY15,B4:G29,6,FALSE),0)</f>
        <v>0</v>
      </c>
      <c r="BE15" s="147">
        <f>BC15-BD15+1000</f>
        <v>1000</v>
      </c>
      <c r="BF15" s="147">
        <f>IF(AY15&lt;&gt;"",VLOOKUP(AY15,B4:I29,8,FALSE),0)</f>
        <v>0</v>
      </c>
      <c r="BG15" s="147">
        <f>IF(AY15&lt;&gt;"",VLOOKUP(AY15,B4:J29,9,FALSE),0)</f>
        <v>0</v>
      </c>
      <c r="BH15" s="147" t="str">
        <f>IF(AY15&lt;&gt;"",BF15-BG15+1000,"")</f>
        <v/>
      </c>
      <c r="BI15" s="147" t="str">
        <f>IF(AY15&lt;&gt;"",VLOOKUP(AY15,B11:F15,5,FALSE),"")</f>
        <v/>
      </c>
      <c r="BJ15" s="147" t="str">
        <f>IF(AY15&lt;&gt;"",VLOOKUP(AY15,B11:I15,8,FALSE),"")</f>
        <v/>
      </c>
      <c r="BK15" s="147" t="str">
        <f>IF(AY15&lt;&gt;"",VLOOKUP(AY15,B11:P15,15,FALSE),"")</f>
        <v/>
      </c>
      <c r="BL15" s="147" t="str">
        <f>IF(AY15&lt;&gt;"",SUMPRODUCT((DV3:DV42=AY15)*(DY3:DY42=AY12)*EB3:EB42)+SUMPRODUCT((DV3:DV42=AY15)*(DY3:DY42=AY13)*EB3:EB42)+SUMPRODUCT((DV3:DV42=AY15)*(DY3:DY42=AY14)*EB3:EB42)+SUMPRODUCT((DV3:DV42=AY12)*(DY3:DY42=AY15)*EC3:EC42)+SUMPRODUCT((DV3:DV42=AY13)*(DY3:DY42=AY15)*EC3:EC42)+SUMPRODUCT((DV3:DV42=AY14)*(DY3:DY42=AY15)*EC3:EC42),"")</f>
        <v/>
      </c>
      <c r="BM15" s="147" t="str">
        <f>IF(AY15&lt;&gt;"",SUMPRODUCT((DV3:DV42=AY15)*(DY3:DY42=AY12)*ED3:ED42)+SUMPRODUCT((DV3:DV42=AY15)*(DY3:DY42=AY13)*ED3:ED42)+SUMPRODUCT((DV3:DV42=AY15)*(DY3:DY42=AY14)*ED3:ED42)+SUMPRODUCT((DV3:DV42=AY12)*(DY3:DY42=AY15)*EE3:EE42)+SUMPRODUCT((DV3:DV42=AY13)*(DY3:DY42=AY15)*EE3:EE42)+SUMPRODUCT((DV3:DV42=AY14)*(DY3:DY42=AY15)*EE3:EE42),"")</f>
        <v/>
      </c>
      <c r="BN15" s="147" t="str">
        <f>IF(AY15&lt;&gt;"",AZ15*4+BA15*2+BL15+BM15,"")</f>
        <v/>
      </c>
      <c r="BO15" s="147" t="str">
        <f>IF(AY15&lt;&gt;"",RANK(BN15,BN12:BN15),"")</f>
        <v/>
      </c>
      <c r="BP15" s="147">
        <f>SUMPRODUCT((BN12:BN15=BN15)*(BE12:BE15&gt;BE15))</f>
        <v>0</v>
      </c>
      <c r="BQ15" s="147">
        <f>SUMPRODUCT((BN12:BN15=BN15)*(BE12:BE15=BE15)*(BH12:BH15&gt;BH15))</f>
        <v>0</v>
      </c>
      <c r="BR15" s="147">
        <f>SUMPRODUCT((BN11:BN15=BN15)*(BE11:BE15=BE15)*(BH11:BH15=BH15)*(BI11:BI15&gt;BI15))</f>
        <v>0</v>
      </c>
      <c r="BS15" s="147">
        <f>SUMPRODUCT((BN11:BN15=BN15)*(BE11:BE15=BE15)*(BH11:BH15=BH15)*(BI11:BI15=BI15)*(BJ11:BJ15&gt;BJ15))</f>
        <v>0</v>
      </c>
      <c r="BT15" s="147">
        <f>SUMPRODUCT((BN11:BN15=BN15)*(BE11:BE15=BE15)*(BH11:BH15=BH15)*(BI11:BI15=BI15)*(BJ11:BJ15=BJ15)*(BK11:BK15&gt;BK15))</f>
        <v>0</v>
      </c>
      <c r="BU15" s="147" t="str">
        <f t="shared" si="22"/>
        <v/>
      </c>
      <c r="BV15" s="147" t="str">
        <f>IF(AY15&lt;&gt;"",INDEX(AY12:AY15,MATCH(5,BU12:BU15,0),0),"")</f>
        <v/>
      </c>
      <c r="BW15" s="147" t="str">
        <f>IF(X13&lt;&gt;"",X13,"")</f>
        <v/>
      </c>
      <c r="BX15" s="147" t="str">
        <f>IF(BW15&lt;&gt;"",SUMPRODUCT((DV3:DV42=BW15)*(DY3:DY42=BW16)*(EF3:EF42="W"))+SUMPRODUCT((DV3:DV42=BW15)*(DY3:DY42=BW13)*(EF3:EF42="W"))+SUMPRODUCT((DV3:DV42=BW15)*(DY3:DY42=BW14)*(EF3:EF42="W"))+SUMPRODUCT((DV3:DV42=BW16)*(DY3:DY42=BW15)*(EG3:EG42="W"))+SUMPRODUCT((DV3:DV42=BW13)*(DY3:DY42=BW15)*(EG3:EG42="W"))+SUMPRODUCT((DV3:DV42=BW14)*(DY3:DY42=BW15)*(EG3:EG42="W")),"")</f>
        <v/>
      </c>
      <c r="BY15" s="147" t="str">
        <f>IF(BW15&lt;&gt;"",SUMPRODUCT((DV3:DV42=BW15)*(DY3:DY42=BW16)*(EF3:EF42="D"))+SUMPRODUCT((DV3:DV42=BW15)*(DY3:DY42=BW13)*(EF3:EF42="D"))+SUMPRODUCT((DV3:DV42=BW15)*(DY3:DY42=BW14)*(EF3:EF42="D"))+SUMPRODUCT((DV3:DV42=BW16)*(DY3:DY42=BW15)*(EF3:EF42="D"))+SUMPRODUCT((DV3:DV42=BW13)*(DY3:DY42=BW15)*(EF3:EF42="D"))+SUMPRODUCT((DV3:DV42=BW14)*(DY3:DY42=BW15)*(EF3:EF42="D")),"")</f>
        <v/>
      </c>
      <c r="BZ15" s="147" t="str">
        <f>IF(BW15&lt;&gt;"",SUMPRODUCT((DV3:DV42=BW15)*(DY3:DY42=BW16)*(EF3:EF42="L"))+SUMPRODUCT((DV3:DV42=BW15)*(DY3:DY42=BW13)*(EF3:EF42="L"))+SUMPRODUCT((DV3:DV42=BW15)*(DY3:DY42=BW14)*(EF3:EF42="L"))+SUMPRODUCT((DV3:DV42=BW16)*(DY3:DY42=BW15)*(EG3:EG42="L"))+SUMPRODUCT((DV3:DV42=BW13)*(DY3:DY42=BW15)*(EG3:EG42="L"))+SUMPRODUCT((DV3:DV42=BW14)*(DY3:DY42=BW15)*(EG3:EG42="L")),"")</f>
        <v/>
      </c>
      <c r="CA15" s="147">
        <f>IF(BW15&lt;&gt;"",VLOOKUP(BW15,B4:F29,5,FALSE),0)</f>
        <v>0</v>
      </c>
      <c r="CB15" s="147">
        <f>IF(BW15&lt;&gt;"",VLOOKUP(BW15,B4:G29,6,FALSE),0)</f>
        <v>0</v>
      </c>
      <c r="CC15" s="147">
        <f>CA15-CB15+1000</f>
        <v>1000</v>
      </c>
      <c r="CD15" s="147">
        <f>IF(BW15&lt;&gt;"",VLOOKUP(BW15,B4:I29,8,FALSE),0)</f>
        <v>0</v>
      </c>
      <c r="CE15" s="147">
        <f>IF(BW15&lt;&gt;"",VLOOKUP(BW15,B4:J29,9,FALSE),0)</f>
        <v>0</v>
      </c>
      <c r="CF15" s="147" t="str">
        <f>IF(BW15&lt;&gt;"",CD15-CE15+1000,"")</f>
        <v/>
      </c>
      <c r="CG15" s="147" t="str">
        <f>IF(BW15&lt;&gt;"",VLOOKUP(BW15,B11:F15,5,FALSE),"")</f>
        <v/>
      </c>
      <c r="CH15" s="147" t="str">
        <f>IF(BW15&lt;&gt;"",VLOOKUP(BW15,B11:I15,8,FALSE),"")</f>
        <v/>
      </c>
      <c r="CI15" s="147" t="str">
        <f>IF(BW15&lt;&gt;"",VLOOKUP(BW15,B11:P15,15,FALSE),"")</f>
        <v/>
      </c>
      <c r="CJ15" s="147" t="str">
        <f>IF(BW15&lt;&gt;"",SUMPRODUCT((DV3:DV42=BW15)*(DY3:DY42=BW16)*EB3:EB42)+SUMPRODUCT((DV3:DV42=BW15)*(DY3:DY42=BW13)*EB3:EB42)+SUMPRODUCT((DV3:DV42=BW15)*(DY3:DY42=BW14)*EB3:EB42)+SUMPRODUCT((DV3:DV42=BW16)*(DY3:DY42=BW15)*EC3:EC42)+SUMPRODUCT((DV3:DV42=BW13)*(DY3:DY42=BW15)*EC3:EC42)+SUMPRODUCT((DV3:DV42=BW14)*(DY3:DY42=BW15)*EC3:EC42),"")</f>
        <v/>
      </c>
      <c r="CK15" s="147" t="str">
        <f>IF(BW15&lt;&gt;"",SUMPRODUCT((DV3:DV42=BW15)*(DY3:DY42=BW16)*ED3:ED42)+SUMPRODUCT((DV3:DV42=BW15)*(DY3:DY42=BW13)*ED3:ED42)+SUMPRODUCT((DV3:DV42=BW15)*(DY3:DY42=BW14)*ED3:ED42)+SUMPRODUCT((DV3:DV42=BW16)*(DY3:DY42=BW15)*EE3:EE42)+SUMPRODUCT((DV3:DV42=BW13)*(DY3:DY42=BW15)*EE3:EE42)+SUMPRODUCT((DV3:DV42=BW14)*(DY3:DY42=BW15)*EE3:EE42),"")</f>
        <v/>
      </c>
      <c r="CL15" s="147" t="str">
        <f>IF(BW15&lt;&gt;"",BX15*4+BY15*2+CJ15+CK15,"")</f>
        <v/>
      </c>
      <c r="CM15" s="147" t="str">
        <f>IF(BW15&lt;&gt;"",RANK(CL15,CL13:CL16),"")</f>
        <v/>
      </c>
      <c r="CN15" s="147">
        <f>SUMPRODUCT((CL13:CL16=CL15)*(CC13:CC16&gt;CC15))</f>
        <v>0</v>
      </c>
      <c r="CO15" s="147">
        <f>SUMPRODUCT((CL13:CL16=CL15)*(CC13:CC16=CC15)*(CF13:CF16&gt;CF15))</f>
        <v>0</v>
      </c>
      <c r="CP15" s="147">
        <f>SUMPRODUCT((CL11:CL15=CL15)*(CC11:CC15=CC15)*(CF11:CF15=CF15)*(CG11:CG15&gt;CG15))</f>
        <v>0</v>
      </c>
      <c r="CQ15" s="147">
        <f>SUMPRODUCT((CL11:CL15=CL15)*(CC11:CC15=CC15)*(CF11:CF15=CF15)*(CG11:CG15=CG15)*(CH11:CH15&gt;CH15))</f>
        <v>0</v>
      </c>
      <c r="CR15" s="147">
        <f>SUMPRODUCT((CL11:CL15=CL15)*(CC11:CC15=CC15)*(CF11:CF15=CF15)*(CG11:CG15=CG15)*(CH11:CH15=CH15)*(CI11:CI15&gt;CI15))</f>
        <v>0</v>
      </c>
      <c r="CS15" s="147" t="str">
        <f t="shared" si="24"/>
        <v/>
      </c>
      <c r="CT15" s="147" t="str">
        <f>IF(BW15&lt;&gt;"",INDEX(BW13:BW15,MATCH(5,CS13:CS15,0),0),"")</f>
        <v/>
      </c>
      <c r="CU15" s="147" t="str">
        <f>IF(Y12&lt;&gt;"",Y12,"")</f>
        <v/>
      </c>
      <c r="CV15" s="147">
        <f>SUMPRODUCT((DV3:DV42=CU15)*(DY3:DY42=CU16)*(EF3:EF42="W"))+SUMPRODUCT((DV3:DV42=CU15)*(DY3:DY42=CU17)*(EF3:EF42="W"))+SUMPRODUCT((DV3:DV42=CU15)*(DY3:DY42=CU14)*(EF3:EF42="W"))+SUMPRODUCT((DV3:DV42=CU16)*(DY3:DY42=CU15)*(EG3:EG42="W"))+SUMPRODUCT((DV3:DV42=CU17)*(DY3:DY42=CU15)*(EG3:EG42="W"))+SUMPRODUCT((DV3:DV42=CU14)*(DY3:DY42=CU15)*(EG3:EG42="W"))</f>
        <v>0</v>
      </c>
      <c r="CW15" s="147">
        <f>SUMPRODUCT((DV3:DV42=CU15)*(DY3:DY42=CU16)*(EF3:EF42="D"))+SUMPRODUCT((DV3:DV42=CU15)*(DY3:DY42=CU17)*(EF3:EF42="D"))+SUMPRODUCT((DV3:DV42=CU15)*(DY3:DY42=CU14)*(EF3:EF42="D"))+SUMPRODUCT((DV3:DV42=CU16)*(DY3:DY42=CU15)*(EF3:EF42="D"))+SUMPRODUCT((DV3:DV42=CU17)*(DY3:DY42=CU15)*(EF3:EF42="D"))+SUMPRODUCT((DV3:DV42=CU14)*(DY3:DY42=CU15)*(EF3:EF42="D"))</f>
        <v>0</v>
      </c>
      <c r="CX15" s="147">
        <f>SUMPRODUCT((DV3:DV42=CU15)*(DY3:DY42=CU16)*(EF3:EF42="L"))+SUMPRODUCT((DV3:DV42=CU15)*(DY3:DY42=CU17)*(EF3:EF42="L"))+SUMPRODUCT((DV3:DV42=CU15)*(DY3:DY42=CU14)*(EF3:EF42="L"))+SUMPRODUCT((DV3:DV42=CU16)*(DY3:DY42=CU15)*(EG3:EG42="L"))+SUMPRODUCT((DV3:DV42=CU17)*(DY3:DY42=CU15)*(EG3:EG42="L"))+SUMPRODUCT((DV3:DV42=CU14)*(DY3:DY42=CU15)*(EG3:EG42="L"))</f>
        <v>0</v>
      </c>
      <c r="CY15" s="147">
        <f>IF(CU15&lt;&gt;"",VLOOKUP(CU15,B4:F29,5,FALSE),0)</f>
        <v>0</v>
      </c>
      <c r="CZ15" s="147">
        <f>IF(CU15&lt;&gt;"",VLOOKUP(CU15,B4:G29,6,FALSE),0)</f>
        <v>0</v>
      </c>
      <c r="DA15" s="147">
        <f>CY15-CZ15+1000</f>
        <v>1000</v>
      </c>
      <c r="DB15" s="147">
        <f>IF(CU15&lt;&gt;"",VLOOKUP(CU15,B4:I29,8,FALSE),0)</f>
        <v>0</v>
      </c>
      <c r="DC15" s="147">
        <f>IF(CU15&lt;&gt;"",VLOOKUP(CU15,B4:J29,9,FALSE),0)</f>
        <v>0</v>
      </c>
      <c r="DD15" s="147">
        <f t="shared" ref="DD15" si="28">DB15-DC15+1000</f>
        <v>1000</v>
      </c>
      <c r="DE15" s="147" t="str">
        <f>IF(CU15&lt;&gt;"",VLOOKUP(CU15,B11:F15,5,FALSE),"")</f>
        <v/>
      </c>
      <c r="DF15" s="147" t="str">
        <f>IF(CU15&lt;&gt;"",VLOOKUP(CU15,B11:I15,8,FALSE),"")</f>
        <v/>
      </c>
      <c r="DG15" s="147" t="str">
        <f>IF(CU15&lt;&gt;"",VLOOKUP(CU15,B11:P15,15,FALSE),"")</f>
        <v/>
      </c>
      <c r="DH15" s="147">
        <f>SUMPRODUCT((DV3:DV42=CU15)*(DY3:DY42=CU16)*EB3:EB42)+SUMPRODUCT((DV3:DV42=CU15)*(DY3:DY42=CU17)*EB3:EB42)+SUMPRODUCT((DV3:DV42=CU15)*(DY3:DY42=CU14)*EB3:EB42)+SUMPRODUCT((DV3:DV42=CU16)*(DY3:DY42=CU15)*EC3:EC42)+SUMPRODUCT((DV3:DV42=CU17)*(DY3:DY42=CU15)*EC3:EC42)+SUMPRODUCT((DV3:DV42=CU14)*(DY3:DY42=CU15)*EC3:EC42)</f>
        <v>0</v>
      </c>
      <c r="DI15" s="147">
        <f>SUMPRODUCT((DV3:DV42=CU15)*(DY3:DY42=CU16)*ED3:ED42)+SUMPRODUCT((DV3:DV42=CU15)*(DY3:DY42=CU17)*ED3:ED42)+SUMPRODUCT((DV3:DV42=CU15)*(DY3:DY42=CU14)*ED3:ED42)+SUMPRODUCT((DV3:DV42=CU16)*(DY3:DY42=CU15)*EE3:EE42)+SUMPRODUCT((DV3:DV42=CU17)*(DY3:DY42=CU15)*EE3:EE42)+SUMPRODUCT((DV3:DV42=CU14)*(DY3:DY42=CU15)*EE3:EE42)</f>
        <v>0</v>
      </c>
      <c r="DJ15" s="147">
        <f t="shared" ref="DJ15" si="29">CV15*4+CW15*2+DH15+DI15</f>
        <v>0</v>
      </c>
      <c r="DK15" s="147" t="str">
        <f>IF(CU15&lt;&gt;"",RANK(DJ15,DJ14:DJ17),"")</f>
        <v/>
      </c>
      <c r="DL15" s="147">
        <f>SUMPRODUCT((DJ14:DJ17=DJ15)*(DA14:DA17&gt;DA15))</f>
        <v>0</v>
      </c>
      <c r="DM15" s="147">
        <f>SUMPRODUCT((DJ14:DJ17=DJ15)*(DA14:DA17=DA15)*(DD14:DD17&gt;DD15))</f>
        <v>0</v>
      </c>
      <c r="DN15" s="147">
        <f>SUMPRODUCT((DJ11:DJ15=DJ15)*(DA11:DA15=DA15)*(DD11:DD15=DD15)*(DE11:DE15&gt;DE15))</f>
        <v>0</v>
      </c>
      <c r="DO15" s="147">
        <f>SUMPRODUCT((DJ11:DJ15=DJ15)*(DA11:DA15=DA15)*(DD11:DD15=DD15)*(DE11:DE15=DE15)*(DF11:DF15&gt;DF15))</f>
        <v>0</v>
      </c>
      <c r="DP15" s="147">
        <f>SUMPRODUCT((DJ11:DJ15=DJ15)*(DA11:DA15=DA15)*(DD11:DD15=DD15)*(DE11:DE15=DE15)*(DF11:DF15=DF15)*(DG11:DG15&gt;DG15))</f>
        <v>0</v>
      </c>
      <c r="DQ15" s="147" t="str">
        <f t="shared" si="27"/>
        <v/>
      </c>
      <c r="DR15" s="147" t="str">
        <f>IF(CU14&lt;&gt;"",IF(CU14=DR14,CU15,CU14),"")</f>
        <v/>
      </c>
      <c r="DS15" s="147" t="str">
        <f>IF(DR15&lt;&gt;"",DR15,IF(CT15&lt;&gt;"",CT15,IF(BV15&lt;&gt;"",BV15,IF(AX15&lt;&gt;"",AX15,T15))))</f>
        <v>Romania</v>
      </c>
      <c r="DT15" s="147">
        <v>5</v>
      </c>
      <c r="DU15" s="147">
        <v>13</v>
      </c>
      <c r="DV15" s="147" t="str">
        <f>Tournament!H24</f>
        <v>Ireland</v>
      </c>
      <c r="DW15" s="147">
        <f>IF(AND(Tournament!J24&lt;&gt;"",Tournament!L24&lt;&gt;""),Tournament!J24,0)</f>
        <v>0</v>
      </c>
      <c r="DX15" s="147">
        <f>IF(AND(Tournament!L24&lt;&gt;"",Tournament!J24&lt;&gt;""),Tournament!L24,0)</f>
        <v>0</v>
      </c>
      <c r="DY15" s="147" t="str">
        <f>Tournament!N24</f>
        <v>Tonga</v>
      </c>
      <c r="DZ15" s="147">
        <f>IF(Tournament!O24&lt;&gt;"",Tournament!O24,0)</f>
        <v>0</v>
      </c>
      <c r="EA15" s="147">
        <f>IF(Tournament!Q24&lt;&gt;"",Tournament!Q24,0)</f>
        <v>0</v>
      </c>
      <c r="EB15" s="147">
        <f>IF(DW15&lt;&gt;"",IF(Tournament!O24&gt;3,1,0),0)</f>
        <v>0</v>
      </c>
      <c r="EC15" s="147">
        <f>IF(DX15&lt;&gt;"",IF(Tournament!Q24&gt;3,1,0),0)</f>
        <v>0</v>
      </c>
      <c r="ED15" s="147">
        <f t="shared" si="0"/>
        <v>0</v>
      </c>
      <c r="EE15" s="147">
        <f t="shared" si="1"/>
        <v>0</v>
      </c>
      <c r="EF15" s="147" t="str">
        <f>IF(AND(Tournament!J24&lt;&gt;"",Tournament!L24&lt;&gt;""),IF(DW15&gt;DX15,"W",IF(DW15=DX15,"D","L")),"")</f>
        <v/>
      </c>
      <c r="EG15" s="161" t="str">
        <f t="shared" si="2"/>
        <v/>
      </c>
    </row>
    <row r="16" spans="1:137" x14ac:dyDescent="0.45">
      <c r="DU16" s="147">
        <v>14</v>
      </c>
      <c r="DV16" s="147" t="str">
        <f>Tournament!H25</f>
        <v>South Africa</v>
      </c>
      <c r="DW16" s="147">
        <f>IF(AND(Tournament!J25&lt;&gt;"",Tournament!L25&lt;&gt;""),Tournament!J25,0)</f>
        <v>0</v>
      </c>
      <c r="DX16" s="147">
        <f>IF(AND(Tournament!L25&lt;&gt;"",Tournament!J25&lt;&gt;""),Tournament!L25,0)</f>
        <v>0</v>
      </c>
      <c r="DY16" s="147" t="str">
        <f>Tournament!N25</f>
        <v>Romania</v>
      </c>
      <c r="DZ16" s="147">
        <f>IF(Tournament!O25&lt;&gt;"",Tournament!O25,0)</f>
        <v>0</v>
      </c>
      <c r="EA16" s="147">
        <f>IF(Tournament!Q25&lt;&gt;"",Tournament!Q25,0)</f>
        <v>0</v>
      </c>
      <c r="EB16" s="147">
        <f>IF(DW16&lt;&gt;"",IF(Tournament!O25&gt;3,1,0),0)</f>
        <v>0</v>
      </c>
      <c r="EC16" s="147">
        <f>IF(DX16&lt;&gt;"",IF(Tournament!Q25&gt;3,1,0),0)</f>
        <v>0</v>
      </c>
      <c r="ED16" s="147">
        <f t="shared" si="0"/>
        <v>0</v>
      </c>
      <c r="EE16" s="147">
        <f t="shared" si="1"/>
        <v>0</v>
      </c>
      <c r="EF16" s="147" t="str">
        <f>IF(AND(Tournament!J25&lt;&gt;"",Tournament!L25&lt;&gt;""),IF(DW16&gt;DX16,"W",IF(DW16=DX16,"D","L")),"")</f>
        <v/>
      </c>
      <c r="EG16" s="161" t="str">
        <f t="shared" si="2"/>
        <v/>
      </c>
    </row>
    <row r="17" spans="1:137" x14ac:dyDescent="0.45">
      <c r="DU17" s="147">
        <v>15</v>
      </c>
      <c r="DV17" s="147" t="str">
        <f>Tournament!H26</f>
        <v>Australia</v>
      </c>
      <c r="DW17" s="147">
        <f>IF(AND(Tournament!J26&lt;&gt;"",Tournament!L26&lt;&gt;""),Tournament!J26,0)</f>
        <v>0</v>
      </c>
      <c r="DX17" s="147">
        <f>IF(AND(Tournament!L26&lt;&gt;"",Tournament!J26&lt;&gt;""),Tournament!L26,0)</f>
        <v>0</v>
      </c>
      <c r="DY17" s="147" t="str">
        <f>Tournament!N26</f>
        <v>Fiji</v>
      </c>
      <c r="DZ17" s="147">
        <f>IF(Tournament!O26&lt;&gt;"",Tournament!O26,0)</f>
        <v>0</v>
      </c>
      <c r="EA17" s="147">
        <f>IF(Tournament!Q26&lt;&gt;"",Tournament!Q26,0)</f>
        <v>0</v>
      </c>
      <c r="EB17" s="147">
        <f>IF(DW17&lt;&gt;"",IF(Tournament!O26&gt;3,1,0),0)</f>
        <v>0</v>
      </c>
      <c r="EC17" s="147">
        <f>IF(DX17&lt;&gt;"",IF(Tournament!Q26&gt;3,1,0),0)</f>
        <v>0</v>
      </c>
      <c r="ED17" s="147">
        <f t="shared" si="0"/>
        <v>0</v>
      </c>
      <c r="EE17" s="147">
        <f t="shared" si="1"/>
        <v>0</v>
      </c>
      <c r="EF17" s="147" t="str">
        <f>IF(AND(Tournament!J26&lt;&gt;"",Tournament!L26&lt;&gt;""),IF(DW17&gt;DX17,"W",IF(DW17=DX17,"D","L")),"")</f>
        <v/>
      </c>
      <c r="EG17" s="161" t="str">
        <f t="shared" si="2"/>
        <v/>
      </c>
    </row>
    <row r="18" spans="1:137" x14ac:dyDescent="0.45">
      <c r="A18" s="147">
        <f>VLOOKUP(B18,DS18:DT22,2,FALSE)</f>
        <v>2</v>
      </c>
      <c r="B18" s="147" t="s">
        <v>5</v>
      </c>
      <c r="C18" s="147">
        <f>COUNTIFS(DV3:DV42,B18,EF3:EF42,"W")+COUNTIFS(DY3:DY42,B18,EG3:EG42,"W")</f>
        <v>0</v>
      </c>
      <c r="D18" s="147">
        <f>COUNTIFS(DV3:DV42,B18,EF3:EF42,"D")+COUNTIFS(DY3:DY42,B18,EG3:EG42,"D")</f>
        <v>0</v>
      </c>
      <c r="E18" s="147">
        <f>COUNTIFS(DV3:DV42,B18,EF3:EF42,"L")+COUNTIFS(DY3:DY42,B18,EG3:EG42,"L")</f>
        <v>0</v>
      </c>
      <c r="F18" s="147">
        <f>SUMIF(DV3:DV60,B18,DW3:DW60)+SUMIF(DY3:DY60,B18,DX3:DX60)</f>
        <v>0</v>
      </c>
      <c r="G18" s="147">
        <f>SUMIF(DY3:DY60,B18,DW3:DW60)+SUMIF(DV3:DV60,B18,DX3:DX60)</f>
        <v>0</v>
      </c>
      <c r="H18" s="147">
        <f t="shared" ref="H18:H22" si="30">F18-G18+1000</f>
        <v>1000</v>
      </c>
      <c r="I18" s="147">
        <f>SUMIF(Tournament!H12:H51,B18,Tournament!O12:O51)+SUMIF(Tournament!N12:N51,B18,Tournament!Q12:Q51)</f>
        <v>0</v>
      </c>
      <c r="J18" s="147">
        <f>SUMIF(Tournament!N12:N51,B18,Tournament!O12:O51)+SUMIF(Tournament!H12:H51,B18,Tournament!Q12:Q51)</f>
        <v>0</v>
      </c>
      <c r="K18" s="147">
        <f t="shared" ref="K18:K22" si="31">I18-J18+1000</f>
        <v>1000</v>
      </c>
      <c r="L18" s="147">
        <f t="shared" ref="L18:L22" si="32">C18*4+D18*2</f>
        <v>0</v>
      </c>
      <c r="M18" s="147">
        <f>SUMIF(DV:DV,B18,EB:EB)+SUMIF(DY:DY,B18,EC:EC)</f>
        <v>0</v>
      </c>
      <c r="N18" s="147">
        <f>SUMIF(DV:DV,B18,ED:ED)+SUMIF(DY:DY,B18,EE:EE)</f>
        <v>0</v>
      </c>
      <c r="O18" s="147">
        <f t="shared" ref="O18:O22" si="33">N18+M18+L18</f>
        <v>0</v>
      </c>
      <c r="P18" s="147">
        <v>14</v>
      </c>
      <c r="Q18" s="147">
        <f>RANK(O18,O18:O22)</f>
        <v>1</v>
      </c>
      <c r="S18" s="147">
        <f>RANK(O18,O18:O22)+COUNTIF(O18:O18,O18)-1</f>
        <v>1</v>
      </c>
      <c r="T18" s="147" t="str">
        <f>INDEX(B18:B22,MATCH(1,S18:S22,0),0)</f>
        <v>Australia</v>
      </c>
      <c r="U18" s="147">
        <f>INDEX(Q18:Q22,MATCH(T18,B18:B22,0),0)</f>
        <v>1</v>
      </c>
      <c r="V18" s="147" t="str">
        <f>IF(U19=1,T18,"")</f>
        <v>Australia</v>
      </c>
      <c r="W18" s="147" t="str">
        <f>IF(U20=2,T19,"")</f>
        <v/>
      </c>
      <c r="X18" s="147" t="str">
        <f>IF(U21=3,T20,"")</f>
        <v/>
      </c>
      <c r="Y18" s="147" t="str">
        <f>IF(U22=4,T21,"")</f>
        <v/>
      </c>
      <c r="AA18" s="147" t="str">
        <f>IF(V18&lt;&gt;"",V18,"")</f>
        <v>Australia</v>
      </c>
      <c r="AB18" s="147">
        <f>SUMPRODUCT((DV3:DV42=AA18)*(DY3:DY42=AA19)*(EF3:EF42="W"))+SUMPRODUCT((DV3:DV42=AA18)*(DY3:DY42=AA20)*(EF3:EF42="W"))+SUMPRODUCT((DV3:DV42=AA18)*(DY3:DY42=AA21)*(EF3:EF42="W"))+SUMPRODUCT((DV3:DV42=AA18)*(DY3:DY42=AA22)*(EF3:EF42="W"))+SUMPRODUCT((DV3:DV42=AA19)*(DY3:DY42=AA18)*(EG3:EG42="W"))+SUMPRODUCT((DV3:DV42=AA20)*(DY3:DY42=AA18)*(EG3:EG42="W"))+SUMPRODUCT((DV3:DV42=AA21)*(DY3:DY42=AA18)*(EG3:EG42="W"))+SUMPRODUCT((DV3:DV42=AA22)*(DY3:DY42=AA18)*(EG3:EG42="W"))</f>
        <v>0</v>
      </c>
      <c r="AC18" s="147">
        <f>SUMPRODUCT((DV3:DV42=AA18)*(DY3:DY42=AA19)*(EF3:EF42="D"))+SUMPRODUCT((DV3:DV42=AA18)*(DY3:DY42=AA20)*(EF3:EF42="D"))+SUMPRODUCT((DV3:DV42=AA18)*(DY3:DY42=AA21)*(EF3:EF42="D"))+SUMPRODUCT((DV3:DV42=AA18)*(DY3:DY42=AA22)*(EF3:EF42="D"))+SUMPRODUCT((DV3:DV42=AA19)*(DY3:DY42=AA18)*(EF3:EF42="D"))+SUMPRODUCT((DV3:DV42=AA20)*(DY3:DY42=AA18)*(EF3:EF42="D"))+SUMPRODUCT((DV3:DV42=AA21)*(DY3:DY42=AA18)*(EF3:EF42="D"))+SUMPRODUCT((DV3:DV42=AA22)*(DY3:DY42=AA18)*(EF3:EF42="D"))</f>
        <v>0</v>
      </c>
      <c r="AD18" s="147">
        <f>SUMPRODUCT((DV3:DV42=AA18)*(DY3:DY42=AA19)*(EF3:EF42="L"))+SUMPRODUCT((DV3:DV42=AA18)*(DY3:DY42=AA20)*(EF3:EF42="L"))+SUMPRODUCT((DV3:DV42=AA18)*(DY3:DY42=AA21)*(EF3:EF42="L"))+SUMPRODUCT((DV3:DV42=AA18)*(DY3:DY42=AA22)*(EF3:EF42="L"))+SUMPRODUCT((DV3:DV42=AA19)*(DY3:DY42=AA18)*(EG3:EG42="L"))+SUMPRODUCT((DV3:DV42=AA20)*(DY3:DY42=AA18)*(EG3:EG42="L"))+SUMPRODUCT((DV3:DV42=AA21)*(DY3:DY42=AA18)*(EG3:EG42="L"))+SUMPRODUCT((DV3:DV42=AA22)*(DY3:DY42=AA18)*(EG3:EG42="L"))</f>
        <v>0</v>
      </c>
      <c r="AE18" s="147">
        <f>IF(AA18&lt;&gt;"",VLOOKUP(AA18,B4:F29,5,FALSE),0)</f>
        <v>0</v>
      </c>
      <c r="AF18" s="147">
        <f>IF(AA18&lt;&gt;"",VLOOKUP(AA18,B4:G29,6,FALSE),0)</f>
        <v>0</v>
      </c>
      <c r="AG18" s="147">
        <f>AE18-AF18+1000</f>
        <v>1000</v>
      </c>
      <c r="AH18" s="147">
        <f>IF(AA18&lt;&gt;"",VLOOKUP(AA18,B4:I29,8,FALSE),0)</f>
        <v>0</v>
      </c>
      <c r="AI18" s="147">
        <f>IF(AA18&lt;&gt;"",VLOOKUP(AA18,B4:J29,9,FALSE),0)</f>
        <v>0</v>
      </c>
      <c r="AJ18" s="147">
        <f>AH18-AI18+1000</f>
        <v>1000</v>
      </c>
      <c r="AK18" s="147">
        <f>IF(AA18&lt;&gt;"",VLOOKUP(AA18,B18:F22,5,FALSE),"")</f>
        <v>0</v>
      </c>
      <c r="AL18" s="147">
        <f>IF(AA18&lt;&gt;"",VLOOKUP(AA18,B18:I22,8,FALSE),"")</f>
        <v>0</v>
      </c>
      <c r="AM18" s="147">
        <f>IF(AA18&lt;&gt;"",VLOOKUP(AA18,B18:P22,15,FALSE),"")</f>
        <v>14</v>
      </c>
      <c r="AN18" s="147">
        <f>SUMPRODUCT((DV3:DV42=AA18)*(DY3:DY42=AA19)*EB3:EB42)+SUMPRODUCT((DV3:DV42=AA18)*(DY3:DY42=AA20)*EB3:EB42)+SUMPRODUCT((DV3:DV42=AA18)*(DY3:DY42=AA21)*EB3:EB42)+SUMPRODUCT((DV3:DV42=AA18)*(DY3:DY42=AA22)*EB3:EB42)+SUMPRODUCT((DV3:DV42=AA19)*(DY3:DY42=AA18)*EC3:EC42)+SUMPRODUCT((DV3:DV42=AA20)*(DY3:DY42=AA18)*EC3:EC42)+SUMPRODUCT((DV3:DV42=AA21)*(DY3:DY42=AA18)*EC3:EC42)+SUMPRODUCT((DV3:DV42=AA22)*(DY3:DY42=AA18)*EC3:EC42)</f>
        <v>0</v>
      </c>
      <c r="AO18" s="147">
        <f>SUMPRODUCT((DV3:DV42=AA18)*(DY3:DY42=AA19)*ED3:ED42)+SUMPRODUCT((DV3:DV42=AA18)*(DY3:DY42=AA20)*ED3:ED42)+SUMPRODUCT((DV3:DV42=AA18)*(DY3:DY42=AA21)*ED3:ED42)+SUMPRODUCT((DV3:DV42=AA18)*(DY3:DY42=AA22)*ED3:ED42)+SUMPRODUCT((DV3:DV42=AA19)*(DY3:DY42=AA18)*EE3:EE42)+SUMPRODUCT((DV3:DV42=AA20)*(DY3:DY42=AA18)*EE3:EE42)+SUMPRODUCT((DV3:DV42=AA21)*(DY3:DY42=AA18)*EE3:EE42)+SUMPRODUCT((DV3:DV42=AA22)*(DY3:DY42=AA18)*EE3:EE42)</f>
        <v>0</v>
      </c>
      <c r="AP18" s="147">
        <f>AB18*4+AC18*2+AN18+AO18</f>
        <v>0</v>
      </c>
      <c r="AQ18" s="147">
        <f>IF(AA18&lt;&gt;"",RANK(AP18,AP18:AP22),"")</f>
        <v>1</v>
      </c>
      <c r="AR18" s="147">
        <f>SUMPRODUCT((AP18:AP22=AP18)*(AG18:AG22&gt;AG18))</f>
        <v>0</v>
      </c>
      <c r="AS18" s="147">
        <f>SUMPRODUCT((AP18:AP22=AP18)*(AG18:AG22=AG18)*(AJ18:AJ22&gt;AJ18))</f>
        <v>0</v>
      </c>
      <c r="AT18" s="147">
        <f>SUMPRODUCT((AP18:AP22=AP18)*(AG18:AG22=AG18)*(AJ18:AJ22=AJ18)*(AK18:AK22&gt;AK18))</f>
        <v>0</v>
      </c>
      <c r="AU18" s="147">
        <f>SUMPRODUCT((AP18:AP22=AP18)*(AG18:AG22=AG18)*(AJ18:AJ22=AJ18)*(AK18:AK22=AK18)*(AL18:AL22&gt;AL18))</f>
        <v>0</v>
      </c>
      <c r="AV18" s="147">
        <f>SUMPRODUCT((AP18:AP22=AP18)*(AG18:AG22=AG18)*(AJ18:AJ22=AJ18)*(AK18:AK22=AK18)*(AL18:AL22=AL18)*(AM18:AM22&gt;AM18))</f>
        <v>1</v>
      </c>
      <c r="AW18" s="147">
        <f t="shared" ref="AW18" si="34">IF(AA18&lt;&gt;"",SUM(AQ18:AV18),"")</f>
        <v>2</v>
      </c>
      <c r="AX18" s="147" t="str">
        <f>IF(AA18&lt;&gt;"",INDEX(AA18:AA22,MATCH(1,AW18:AW22,0),0),"")</f>
        <v>Fiji</v>
      </c>
      <c r="DS18" s="147" t="str">
        <f>IF(AX18&lt;&gt;"",AX18,T18)</f>
        <v>Fiji</v>
      </c>
      <c r="DT18" s="147">
        <v>1</v>
      </c>
      <c r="DU18" s="147">
        <v>16</v>
      </c>
      <c r="DV18" s="147" t="str">
        <f>Tournament!H27</f>
        <v>England</v>
      </c>
      <c r="DW18" s="147">
        <f>IF(AND(Tournament!J27&lt;&gt;"",Tournament!L27&lt;&gt;""),Tournament!J27,0)</f>
        <v>0</v>
      </c>
      <c r="DX18" s="147">
        <f>IF(AND(Tournament!L27&lt;&gt;"",Tournament!J27&lt;&gt;""),Tournament!L27,0)</f>
        <v>0</v>
      </c>
      <c r="DY18" s="147" t="str">
        <f>Tournament!N27</f>
        <v>Japan</v>
      </c>
      <c r="DZ18" s="147">
        <f>IF(Tournament!O27&lt;&gt;"",Tournament!O27,0)</f>
        <v>0</v>
      </c>
      <c r="EA18" s="147">
        <f>IF(Tournament!Q27&lt;&gt;"",Tournament!Q27,0)</f>
        <v>0</v>
      </c>
      <c r="EB18" s="147">
        <f>IF(DW18&lt;&gt;"",IF(Tournament!O27&gt;3,1,0),0)</f>
        <v>0</v>
      </c>
      <c r="EC18" s="147">
        <f>IF(DX18&lt;&gt;"",IF(Tournament!Q27&gt;3,1,0),0)</f>
        <v>0</v>
      </c>
      <c r="ED18" s="147">
        <f t="shared" si="0"/>
        <v>0</v>
      </c>
      <c r="EE18" s="147">
        <f t="shared" si="1"/>
        <v>0</v>
      </c>
      <c r="EF18" s="147" t="str">
        <f>IF(AND(Tournament!J27&lt;&gt;"",Tournament!L27&lt;&gt;""),IF(DW18&gt;DX18,"W",IF(DW18=DX18,"D","L")),"")</f>
        <v/>
      </c>
      <c r="EG18" s="161" t="str">
        <f t="shared" si="2"/>
        <v/>
      </c>
    </row>
    <row r="19" spans="1:137" x14ac:dyDescent="0.45">
      <c r="A19" s="147">
        <f>VLOOKUP(B19,DS18:DT22,2,FALSE)</f>
        <v>1</v>
      </c>
      <c r="B19" s="147" t="s">
        <v>25</v>
      </c>
      <c r="C19" s="147">
        <f>COUNTIFS(DV3:DV42,B19,EF3:EF42,"W")+COUNTIFS(DY3:DY42,B19,EG3:EG42,"W")</f>
        <v>0</v>
      </c>
      <c r="D19" s="147">
        <f>COUNTIFS(DV3:DV42,B19,EF3:EF42,"D")+COUNTIFS(DY3:DY42,B19,EG3:EG42,"D")</f>
        <v>0</v>
      </c>
      <c r="E19" s="147">
        <f>COUNTIFS(DV3:DV42,B19,EF3:EF42,"L")+COUNTIFS(DY3:DY42,B19,EG3:EG42,"L")</f>
        <v>0</v>
      </c>
      <c r="F19" s="147">
        <f>SUMIF(DV3:DV60,B19,DW3:DW60)+SUMIF(DY3:DY60,B19,DX3:DX60)</f>
        <v>0</v>
      </c>
      <c r="G19" s="147">
        <f>SUMIF(DY3:DY60,B19,DW3:DW60)+SUMIF(DV3:DV60,B19,DX3:DX60)</f>
        <v>0</v>
      </c>
      <c r="H19" s="147">
        <f t="shared" si="30"/>
        <v>1000</v>
      </c>
      <c r="I19" s="147">
        <f>SUMIF(Tournament!H12:H51,B19,Tournament!O12:O51)+SUMIF(Tournament!N12:N51,B19,Tournament!Q12:Q51)</f>
        <v>0</v>
      </c>
      <c r="J19" s="147">
        <f>SUMIF(Tournament!N12:N51,B19,Tournament!O12:O51)+SUMIF(Tournament!H12:H51,B19,Tournament!Q12:Q51)</f>
        <v>0</v>
      </c>
      <c r="K19" s="147">
        <f t="shared" si="31"/>
        <v>1000</v>
      </c>
      <c r="L19" s="147">
        <f t="shared" si="32"/>
        <v>0</v>
      </c>
      <c r="M19" s="147">
        <f>SUMIF(DV:DV,B19,EB:EB)+SUMIF(DY:DY,B19,EC:EC)</f>
        <v>0</v>
      </c>
      <c r="N19" s="147">
        <f>SUMIF(DV:DV,B19,ED:ED)+SUMIF(DY:DY,B19,EE:EE)</f>
        <v>0</v>
      </c>
      <c r="O19" s="147">
        <f t="shared" si="33"/>
        <v>0</v>
      </c>
      <c r="P19" s="147">
        <v>16</v>
      </c>
      <c r="Q19" s="147">
        <f>RANK(O19,O18:O22)</f>
        <v>1</v>
      </c>
      <c r="S19" s="147">
        <f>RANK(O19,O18:O22)+COUNTIF(O18:O19,O19)-1</f>
        <v>2</v>
      </c>
      <c r="T19" s="147" t="str">
        <f>INDEX(B18:B22,MATCH(2,S18:S22,0),0)</f>
        <v>Fiji</v>
      </c>
      <c r="U19" s="147">
        <f>INDEX(Q18:Q22,MATCH(T19,B18:B22,0),0)</f>
        <v>1</v>
      </c>
      <c r="V19" s="147" t="str">
        <f>IF(V18&lt;&gt;"",T19,"")</f>
        <v>Fiji</v>
      </c>
      <c r="W19" s="147" t="str">
        <f>IF(W18&lt;&gt;"",T20,"")</f>
        <v/>
      </c>
      <c r="X19" s="147" t="str">
        <f>IF(X18&lt;&gt;"",T21,"")</f>
        <v/>
      </c>
      <c r="Y19" s="147" t="str">
        <f>IF(Y18&lt;&gt;"",T22,"")</f>
        <v/>
      </c>
      <c r="AA19" s="147" t="str">
        <f t="shared" ref="AA19:AA22" si="35">IF(V19&lt;&gt;"",V19,"")</f>
        <v>Fiji</v>
      </c>
      <c r="AB19" s="147">
        <f>SUMPRODUCT((DV3:DV42=AA19)*(DY3:DY42=AA20)*(EF3:EF42="W"))+SUMPRODUCT((DV3:DV42=AA19)*(DY3:DY42=AA21)*(EF3:EF42="W"))+SUMPRODUCT((DV3:DV42=AA19)*(DY3:DY42=AA22)*(EF3:EF42="W"))+SUMPRODUCT((DV3:DV42=AA19)*(DY3:DY42=AA18)*(EF3:EF42="W"))+SUMPRODUCT((DV3:DV42=AA20)*(DY3:DY42=AA19)*(EG3:EG42="W"))+SUMPRODUCT((DV3:DV42=AA21)*(DY3:DY42=AA19)*(EG3:EG42="W"))+SUMPRODUCT((DV3:DV42=AA22)*(DY3:DY42=AA19)*(EG3:EG42="W"))+SUMPRODUCT((DV3:DV42=AA18)*(DY3:DY42=AA19)*(EG3:EG42="W"))</f>
        <v>0</v>
      </c>
      <c r="AC19" s="147">
        <f>SUMPRODUCT((DV3:DV42=AA19)*(DY3:DY42=AA20)*(EF3:EF42="D"))+SUMPRODUCT((DV3:DV42=AA19)*(DY3:DY42=AA21)*(EF3:EF42="D"))+SUMPRODUCT((DV3:DV42=AA19)*(DY3:DY42=AA22)*(EF3:EF42="D"))+SUMPRODUCT((DV3:DV42=AA19)*(DY3:DY42=AA18)*(EF3:EF42="D"))+SUMPRODUCT((DV3:DV42=AA20)*(DY3:DY42=AA19)*(EF3:EF42="D"))+SUMPRODUCT((DV3:DV42=AA21)*(DY3:DY42=AA19)*(EF3:EF42="D"))+SUMPRODUCT((DV3:DV42=AA22)*(DY3:DY42=AA19)*(EF3:EF42="D"))+SUMPRODUCT((DV3:DV42=AA18)*(DY3:DY42=AA19)*(EF3:EF42="D"))</f>
        <v>0</v>
      </c>
      <c r="AD19" s="147">
        <f>SUMPRODUCT((DV3:DV42=AA19)*(DY3:DY42=AA20)*(EF3:EF42="L"))+SUMPRODUCT((DV3:DV42=AA19)*(DY3:DY42=AA21)*(EF3:EF42="L"))+SUMPRODUCT((DV3:DV42=AA19)*(DY3:DY42=AA22)*(EF3:EF42="L"))+SUMPRODUCT((DV3:DV42=AA19)*(DY3:DY42=AA18)*(EF3:EF42="L"))+SUMPRODUCT((DV3:DV42=AA20)*(DY3:DY42=AA19)*(EG3:EG42="L"))+SUMPRODUCT((DV3:DV42=AA21)*(DY3:DY42=AA19)*(EG3:EG42="L"))+SUMPRODUCT((DV3:DV42=AA22)*(DY3:DY42=AA19)*(EG3:EG42="L"))+SUMPRODUCT((DV3:DV42=AA18)*(DY3:DY42=AA19)*(EG3:EG42="L"))</f>
        <v>0</v>
      </c>
      <c r="AE19" s="147">
        <f>IF(AA19&lt;&gt;"",VLOOKUP(AA19,B4:F29,5,FALSE),0)</f>
        <v>0</v>
      </c>
      <c r="AF19" s="147">
        <f>IF(AA19&lt;&gt;"",VLOOKUP(AA19,B4:G29,6,FALSE),0)</f>
        <v>0</v>
      </c>
      <c r="AG19" s="147">
        <f>AE19-AF19+1000</f>
        <v>1000</v>
      </c>
      <c r="AH19" s="147">
        <f>IF(AA19&lt;&gt;"",VLOOKUP(AA19,B4:I29,8,FALSE),0)</f>
        <v>0</v>
      </c>
      <c r="AI19" s="147">
        <f>IF(AA19&lt;&gt;"",VLOOKUP(AA19,B4:J29,9,FALSE),0)</f>
        <v>0</v>
      </c>
      <c r="AJ19" s="147">
        <f t="shared" ref="AJ19" si="36">AH19-AI19+1000</f>
        <v>1000</v>
      </c>
      <c r="AK19" s="147">
        <f>IF(AA19&lt;&gt;"",VLOOKUP(AA19,B18:F22,5,FALSE),"")</f>
        <v>0</v>
      </c>
      <c r="AL19" s="147">
        <f>IF(AA19&lt;&gt;"",VLOOKUP(AA19,B18:I22,8,FALSE),"")</f>
        <v>0</v>
      </c>
      <c r="AM19" s="147">
        <f>IF(AA19&lt;&gt;"",VLOOKUP(AA19,B18:P22,15,FALSE),"")</f>
        <v>16</v>
      </c>
      <c r="AN19" s="147">
        <f>SUMPRODUCT((DV3:DV42=AA19)*(DY3:DY42=AA20)*EB3:EB42)+SUMPRODUCT((DV3:DV42=AA19)*(DY3:DY42=AA21)*EB3:EB42)+SUMPRODUCT((DV3:DV42=AA19)*(DY3:DY42=AA22)*EB3:EB42)+SUMPRODUCT((DV3:DV42=AA19)*(DY3:DY42=AA18)*EB3:EB42)+SUMPRODUCT((DV3:DV42=AA20)*(DY3:DY42=AA19)*EC3:EC42)+SUMPRODUCT((DV3:DV42=AA21)*(DY3:DY42=AA19)*EC3:EC42)+SUMPRODUCT((DV3:DV42=AA22)*(DY3:DY42=AA19)*EC3:EC42)+SUMPRODUCT((DV3:DV42=AA18)*(DY3:DY42=AA19)*EC3:EC42)</f>
        <v>0</v>
      </c>
      <c r="AO19" s="147">
        <f>SUMPRODUCT((DV3:DV42=AA19)*(DY3:DY42=AA20)*ED3:ED42)+SUMPRODUCT((DV3:DV42=AA19)*(DY3:DY42=AA21)*ED3:ED42)+SUMPRODUCT((DV3:DV42=AA19)*(DY3:DY42=AA22)*ED3:ED42)+SUMPRODUCT((DV3:DV42=AA19)*(DY3:DY42=AA18)*ED3:ED42)+SUMPRODUCT((DV3:DV42=AA20)*(DY3:DY42=AA19)*EE3:EE42)+SUMPRODUCT((DV3:DV42=AA21)*(DY3:DY42=AA19)*EE3:EE42)+SUMPRODUCT((DV3:DV42=AA22)*(DY3:DY42=AA19)*EE3:EE42)+SUMPRODUCT((DV3:DV42=AA18)*(DY3:DY42=AA19)*EE3:EE42)</f>
        <v>0</v>
      </c>
      <c r="AP19" s="147">
        <f t="shared" ref="AP19" si="37">AB19*4+AC19*2+AN19+AO19</f>
        <v>0</v>
      </c>
      <c r="AQ19" s="147">
        <f>IF(AA19&lt;&gt;"",RANK(AP19,AP18:AP22),"")</f>
        <v>1</v>
      </c>
      <c r="AR19" s="147">
        <f>SUMPRODUCT((AP18:AP22=AP19)*(AG18:AG22&gt;AG19))</f>
        <v>0</v>
      </c>
      <c r="AS19" s="147">
        <f>SUMPRODUCT((AP18:AP22=AP19)*(AG18:AG22=AG19)*(AJ18:AJ22&gt;AJ19))</f>
        <v>0</v>
      </c>
      <c r="AT19" s="147">
        <f>SUMPRODUCT((AP18:AP22=AP19)*(AG18:AG22=AG19)*(AJ18:AJ22=AJ19)*(AK18:AK22&gt;AK19))</f>
        <v>0</v>
      </c>
      <c r="AU19" s="147">
        <f>SUMPRODUCT((AP18:AP22=AP19)*(AG18:AG22=AG19)*(AJ18:AJ22=AJ19)*(AK18:AK22=AK19)*(AL18:AL22&gt;AL19))</f>
        <v>0</v>
      </c>
      <c r="AV19" s="147">
        <f>SUMPRODUCT((AP18:AP22=AP19)*(AG18:AG22=AG19)*(AJ18:AJ22=AJ19)*(AK18:AK22=AK19)*(AL18:AL22=AL19)*(AM18:AM22&gt;AM19))</f>
        <v>0</v>
      </c>
      <c r="AW19" s="147">
        <f t="shared" ref="AW19:AW22" si="38">IF(AA19&lt;&gt;"",SUM(AQ19:AV19),"")</f>
        <v>1</v>
      </c>
      <c r="AX19" s="147" t="str">
        <f>IF(AA19&lt;&gt;"",INDEX(AA18:AA22,MATCH(2,AW18:AW22,0),0),"")</f>
        <v>Australia</v>
      </c>
      <c r="AY19" s="147" t="str">
        <f>IF(W18&lt;&gt;"",W18,"")</f>
        <v/>
      </c>
      <c r="AZ19" s="147">
        <f>SUMPRODUCT((DV3:DV42=AY19)*(DY3:DY42=AY20)*(EF3:EF42="W"))+SUMPRODUCT((DV3:DV42=AY19)*(DY3:DY42=AY21)*(EF3:EF42="W"))+SUMPRODUCT((DV3:DV42=AY19)*(DY3:DY42=AY22)*(EF3:EF42="W"))+SUMPRODUCT((DV3:DV42=AY20)*(DY3:DY42=AY19)*(EG3:EG42="W"))+SUMPRODUCT((DV3:DV42=AY21)*(DY3:DY42=AY19)*(EG3:EG42="W"))+SUMPRODUCT((DV3:DV42=AY22)*(DY3:DY42=AY19)*(EG3:EG42="W"))</f>
        <v>0</v>
      </c>
      <c r="BA19" s="147">
        <f>SUMPRODUCT((DV3:DV42=AY19)*(DY3:DY42=AY20)*(EF3:EF42="D"))+SUMPRODUCT((DV3:DV42=AY19)*(DY3:DY42=AY21)*(EF3:EF42="D"))+SUMPRODUCT((DV3:DV42=AY19)*(DY3:DY42=AY22)*(EF3:EF42="D"))+SUMPRODUCT((DV3:DV42=AY20)*(DY3:DY42=AY19)*(EF3:EF42="D"))+SUMPRODUCT((DV3:DV42=AY21)*(DY3:DY42=AY19)*(EF3:EF42="D"))+SUMPRODUCT((DV3:DV42=AY22)*(DY3:DY42=AY19)*(EF3:EF42="D"))</f>
        <v>0</v>
      </c>
      <c r="BB19" s="147">
        <f>SUMPRODUCT((DV3:DV42=AY19)*(DY3:DY42=AY20)*(EF3:EF42="L"))+SUMPRODUCT((DV3:DV42=AY19)*(DY3:DY42=AY21)*(EF3:EF42="L"))+SUMPRODUCT((DV3:DV42=AY19)*(DY3:DY42=AY22)*(EF3:EF42="L"))+SUMPRODUCT((DV3:DV42=AY20)*(DY3:DY42=AY19)*(EG3:EG42="L"))+SUMPRODUCT((DV3:DV42=AY21)*(DY3:DY42=AY19)*(EG3:EG42="L"))+SUMPRODUCT((DV3:DV42=AY22)*(DY3:DY42=AY19)*(EG3:EG42="L"))</f>
        <v>0</v>
      </c>
      <c r="BC19" s="147">
        <f>IF(AY19&lt;&gt;"",VLOOKUP(AY19,B4:F29,5,FALSE),0)</f>
        <v>0</v>
      </c>
      <c r="BD19" s="147">
        <f>IF(AY19&lt;&gt;"",VLOOKUP(AY19,B4:G29,6,FALSE),0)</f>
        <v>0</v>
      </c>
      <c r="BE19" s="147">
        <f>BC19-BD19+1000</f>
        <v>1000</v>
      </c>
      <c r="BF19" s="147">
        <f>IF(AY19&lt;&gt;"",VLOOKUP(AY19,B4:I29,8,FALSE),0)</f>
        <v>0</v>
      </c>
      <c r="BG19" s="147">
        <f>IF(AY19&lt;&gt;"",VLOOKUP(AY19,B4:J29,9,FALSE),0)</f>
        <v>0</v>
      </c>
      <c r="BH19" s="147">
        <f>BF19-BG19+1000</f>
        <v>1000</v>
      </c>
      <c r="BI19" s="147" t="str">
        <f>IF(AY19&lt;&gt;"",VLOOKUP(AY19,B18:F22,5,FALSE),"")</f>
        <v/>
      </c>
      <c r="BJ19" s="147" t="str">
        <f>IF(AY19&lt;&gt;"",VLOOKUP(AY19,B18:I22,8,FALSE),"")</f>
        <v/>
      </c>
      <c r="BK19" s="147" t="str">
        <f>IF(AY19&lt;&gt;"",VLOOKUP(AY19,B18:P22,15,FALSE),"")</f>
        <v/>
      </c>
      <c r="BL19" s="147">
        <f>SUMPRODUCT((DV3:DV42=AY19)*(DY3:DY42=AY20)*EB3:EB42)+SUMPRODUCT((DV3:DV42=AY19)*(DY3:DY42=AY21)*EB3:EB42)+SUMPRODUCT((DV3:DV42=AY19)*(DY3:DY42=AY22)*EB3:EB42)+SUMPRODUCT((DV3:DV42=AY20)*(DY3:DY42=AY19)*EC3:EC42)+SUMPRODUCT((DV3:DV42=AY21)*(DY3:DY42=AY19)*EC3:EC42)+SUMPRODUCT((DV3:DV42=AY22)*(DY3:DY42=AY19)*EC3:EC42)</f>
        <v>0</v>
      </c>
      <c r="BM19" s="147">
        <f>SUMPRODUCT((DV3:DV42=AY19)*(DY3:DY42=AY20)*ED3:ED42)+SUMPRODUCT((DV3:DV42=AY19)*(DY3:DY42=AY21)*ED3:ED42)+SUMPRODUCT((DV3:DV42=AY19)*(DY3:DY42=AY22)*ED3:ED42)+SUMPRODUCT((DV3:DV42=AY20)*(DY3:DY42=AY19)*EE3:EE42)+SUMPRODUCT((DV3:DV42=AY21)*(DY3:DY42=AY19)*EE3:EE42)+SUMPRODUCT((DV3:DV42=AY22)*(DY3:DY42=AY19)*EE3:EE42)</f>
        <v>0</v>
      </c>
      <c r="BN19" s="147">
        <f>AZ19*4+BA19*2+BL19+BM19</f>
        <v>0</v>
      </c>
      <c r="BO19" s="147" t="str">
        <f>IF(AY19&lt;&gt;"",RANK(BN19,BN19:BN22),"")</f>
        <v/>
      </c>
      <c r="BP19" s="147">
        <f>SUMPRODUCT((BN19:BN22=BN19)*(BE19:BE22&gt;BE19))</f>
        <v>0</v>
      </c>
      <c r="BQ19" s="147">
        <f>SUMPRODUCT((BN19:BN22=BN19)*(BE19:BE22=BE19)*(BH19:BH22&gt;BH19))</f>
        <v>0</v>
      </c>
      <c r="BR19" s="147">
        <f>SUMPRODUCT((BN18:BN22=BN19)*(BE18:BE22=BE19)*(BH18:BH22=BH19)*(BI18:BI22&gt;BI19))</f>
        <v>0</v>
      </c>
      <c r="BS19" s="147">
        <f>SUMPRODUCT((BN18:BN22=BN19)*(BE18:BE22=BE19)*(BH18:BH22=BH19)*(BI18:BI22=BI19)*(BJ18:BJ22&gt;BJ19))</f>
        <v>0</v>
      </c>
      <c r="BT19" s="147">
        <f>SUMPRODUCT((BN18:BN22=BN19)*(BE18:BE22=BE19)*(BH18:BH22=BH19)*(BI18:BI22=BI19)*(BJ18:BJ22=BJ19)*(BK18:BK22&gt;BK19))</f>
        <v>0</v>
      </c>
      <c r="BU19" s="147" t="str">
        <f t="shared" ref="BU19:BU22" si="39">IF(AY19&lt;&gt;"",SUM(BO19:BT19)+1,"")</f>
        <v/>
      </c>
      <c r="BV19" s="147" t="str">
        <f>IF(AY19&lt;&gt;"",INDEX(AY19:AY22,MATCH(2,BU19:BU22,0),0),"")</f>
        <v/>
      </c>
      <c r="DS19" s="147" t="str">
        <f>IF(BV19&lt;&gt;"",BV19,IF(AX19&lt;&gt;"",AX19,T19))</f>
        <v>Australia</v>
      </c>
      <c r="DT19" s="147">
        <v>2</v>
      </c>
      <c r="DU19" s="147">
        <v>17</v>
      </c>
      <c r="DV19" s="147" t="str">
        <f>Tournament!H28</f>
        <v>Italy</v>
      </c>
      <c r="DW19" s="147">
        <f>IF(AND(Tournament!J28&lt;&gt;"",Tournament!L28&lt;&gt;""),Tournament!J28,0)</f>
        <v>0</v>
      </c>
      <c r="DX19" s="147">
        <f>IF(AND(Tournament!L28&lt;&gt;"",Tournament!J28&lt;&gt;""),Tournament!L28,0)</f>
        <v>0</v>
      </c>
      <c r="DY19" s="147" t="str">
        <f>Tournament!N28</f>
        <v>Uruguay</v>
      </c>
      <c r="DZ19" s="147">
        <f>IF(Tournament!O28&lt;&gt;"",Tournament!O28,0)</f>
        <v>0</v>
      </c>
      <c r="EA19" s="147">
        <f>IF(Tournament!Q28&lt;&gt;"",Tournament!Q28,0)</f>
        <v>0</v>
      </c>
      <c r="EB19" s="147">
        <f>IF(DW19&lt;&gt;"",IF(Tournament!O28&gt;3,1,0),0)</f>
        <v>0</v>
      </c>
      <c r="EC19" s="147">
        <f>IF(DX19&lt;&gt;"",IF(Tournament!Q28&gt;3,1,0),0)</f>
        <v>0</v>
      </c>
      <c r="ED19" s="147">
        <f t="shared" si="0"/>
        <v>0</v>
      </c>
      <c r="EE19" s="147">
        <f t="shared" si="1"/>
        <v>0</v>
      </c>
      <c r="EF19" s="147" t="str">
        <f>IF(AND(Tournament!J28&lt;&gt;"",Tournament!L28&lt;&gt;""),IF(DW19&gt;DX19,"W",IF(DW19=DX19,"D","L")),"")</f>
        <v/>
      </c>
      <c r="EG19" s="161" t="str">
        <f t="shared" si="2"/>
        <v/>
      </c>
    </row>
    <row r="20" spans="1:137" x14ac:dyDescent="0.45">
      <c r="A20" s="147">
        <f>VLOOKUP(B20,DS18:DT22,2,FALSE)</f>
        <v>4</v>
      </c>
      <c r="B20" s="147" t="s">
        <v>30</v>
      </c>
      <c r="C20" s="147">
        <f>COUNTIFS(DV3:DV42,B20,EF3:EF42,"W")+COUNTIFS(DY3:DY42,B20,EG3:EG42,"W")</f>
        <v>0</v>
      </c>
      <c r="D20" s="147">
        <f>COUNTIFS(DV3:DV42,B20,EF3:EF42,"D")+COUNTIFS(DY3:DY42,B20,EG3:EG42,"D")</f>
        <v>0</v>
      </c>
      <c r="E20" s="147">
        <f>COUNTIFS(DV3:DV42,B20,EF3:EF42,"L")+COUNTIFS(DY3:DY42,B20,EG3:EG42,"L")</f>
        <v>0</v>
      </c>
      <c r="F20" s="147">
        <f>SUMIF(DV3:DV60,B20,DW3:DW60)+SUMIF(DY3:DY60,B20,DX3:DX60)</f>
        <v>0</v>
      </c>
      <c r="G20" s="147">
        <f>SUMIF(DY3:DY60,B20,DW3:DW60)+SUMIF(DV3:DV60,B20,DX3:DX60)</f>
        <v>0</v>
      </c>
      <c r="H20" s="147">
        <f t="shared" si="30"/>
        <v>1000</v>
      </c>
      <c r="I20" s="147">
        <f>SUMIF(Tournament!H12:H51,B20,Tournament!O12:O51)+SUMIF(Tournament!N12:N51,B20,Tournament!Q12:Q51)</f>
        <v>0</v>
      </c>
      <c r="J20" s="147">
        <f>SUMIF(Tournament!N12:N51,B20,Tournament!O12:O51)+SUMIF(Tournament!H12:H51,B20,Tournament!Q12:Q51)</f>
        <v>0</v>
      </c>
      <c r="K20" s="147">
        <f t="shared" si="31"/>
        <v>1000</v>
      </c>
      <c r="L20" s="147">
        <f t="shared" si="32"/>
        <v>0</v>
      </c>
      <c r="M20" s="147">
        <f>SUMIF(DV:DV,B20,EB:EB)+SUMIF(DY:DY,B20,EC:EC)</f>
        <v>0</v>
      </c>
      <c r="N20" s="147">
        <f>SUMIF(DV:DV,B20,ED:ED)+SUMIF(DY:DY,B20,EE:EE)</f>
        <v>0</v>
      </c>
      <c r="O20" s="147">
        <f t="shared" si="33"/>
        <v>0</v>
      </c>
      <c r="P20" s="147">
        <v>12</v>
      </c>
      <c r="Q20" s="147">
        <f>RANK(O20,O18:O22)</f>
        <v>1</v>
      </c>
      <c r="S20" s="147">
        <f>RANK(O20,O18:O22)+COUNTIF(O18:O20,O20)-1</f>
        <v>3</v>
      </c>
      <c r="T20" s="147" t="str">
        <f>INDEX(B18:B22,MATCH(3,S18:S22,0),0)</f>
        <v>Georgia</v>
      </c>
      <c r="U20" s="147">
        <f>INDEX(Q18:Q22,MATCH(T20,B18:B22,0),0)</f>
        <v>1</v>
      </c>
      <c r="V20" s="147" t="str">
        <f>IF(AND(V19&lt;&gt;"",U20=1),T20,"")</f>
        <v>Georgia</v>
      </c>
      <c r="W20" s="147" t="str">
        <f>IF(AND(W19&lt;&gt;"",U21=2),T21,"")</f>
        <v/>
      </c>
      <c r="X20" s="147" t="str">
        <f>IF(AND(X19&lt;&gt;"",U22=3),T22,"")</f>
        <v/>
      </c>
      <c r="AA20" s="147" t="str">
        <f t="shared" si="35"/>
        <v>Georgia</v>
      </c>
      <c r="AB20" s="147">
        <f>SUMPRODUCT((DV3:DV42=AA20)*(DY3:DY42=AA21)*(EF3:EF42="W"))+SUMPRODUCT((DV3:DV42=AA20)*(DY3:DY42=AA22)*(EF3:EF42="W"))+SUMPRODUCT((DV3:DV42=AA20)*(DY3:DY42=AA18)*(EF3:EF42="W"))+SUMPRODUCT((DV3:DV42=AA20)*(DY3:DY42=AA19)*(EF3:EF42="W"))+SUMPRODUCT((DV3:DV42=AA21)*(DY3:DY42=AA20)*(EG3:EG42="W"))+SUMPRODUCT((DV3:DV42=AA22)*(DY3:DY42=AA20)*(EG3:EG42="W"))+SUMPRODUCT((DV3:DV42=AA18)*(DY3:DY42=AA20)*(EG3:EG42="W"))+SUMPRODUCT((DV3:DV42=AA19)*(DY3:DY42=AA20)*(EG3:EG42="W"))</f>
        <v>0</v>
      </c>
      <c r="AC20" s="147">
        <f>SUMPRODUCT((DV3:DV42=AA20)*(DY3:DY42=AA21)*(EF3:EF42="D"))+SUMPRODUCT((DV3:DV42=AA20)*(DY3:DY42=AA22)*(EF3:EF42="D"))+SUMPRODUCT((DV3:DV42=AA20)*(DY3:DY42=AA18)*(EF3:EF42="D"))+SUMPRODUCT((DV3:DV42=AA20)*(DY3:DY42=AA19)*(EF3:EF42="D"))+SUMPRODUCT((DV3:DV42=AA21)*(DY3:DY42=AA20)*(EF3:EF42="D"))+SUMPRODUCT((DV3:DV42=AA22)*(DY3:DY42=AA20)*(EF3:EF42="D"))+SUMPRODUCT((DV3:DV42=AA18)*(DY3:DY42=AA20)*(EF3:EF42="D"))+SUMPRODUCT((DV3:DV42=AA19)*(DY3:DY42=AA20)*(EF3:EF42="D"))</f>
        <v>0</v>
      </c>
      <c r="AD20" s="147">
        <f>SUMPRODUCT((DV3:DV42=AA20)*(DY3:DY42=AA21)*(EF3:EF42="L"))+SUMPRODUCT((DV3:DV42=AA20)*(DY3:DY42=AA22)*(EF3:EF42="L"))+SUMPRODUCT((DV3:DV42=AA20)*(DY3:DY42=AA18)*(EF3:EF42="L"))+SUMPRODUCT((DV3:DV42=AA20)*(DY3:DY42=AA19)*(EF3:EF42="L"))+SUMPRODUCT((DV3:DV42=AA21)*(DY3:DY42=AA20)*(EG3:EG42="L"))+SUMPRODUCT((DV3:DV42=AA22)*(DY3:DY42=AA20)*(EG3:EG42="L"))+SUMPRODUCT((DV3:DV42=AA18)*(DY3:DY42=AA20)*(EG3:EG42="L"))+SUMPRODUCT((DV3:DV42=AA19)*(DY3:DY42=AA20)*(EG3:EG42="L"))</f>
        <v>0</v>
      </c>
      <c r="AE20" s="147">
        <f>IF(AA20&lt;&gt;"",VLOOKUP(AA20,B4:F29,5,FALSE),0)</f>
        <v>0</v>
      </c>
      <c r="AF20" s="147">
        <f>IF(AA20&lt;&gt;"",VLOOKUP(AA20,B4:G29,6,FALSE),0)</f>
        <v>0</v>
      </c>
      <c r="AG20" s="147">
        <f>AE20-AF20+1000</f>
        <v>1000</v>
      </c>
      <c r="AH20" s="147">
        <f>IF(AA20&lt;&gt;"",VLOOKUP(AA20,B4:I29,8,FALSE),0)</f>
        <v>0</v>
      </c>
      <c r="AI20" s="147">
        <f>IF(AA20&lt;&gt;"",VLOOKUP(AA20,B4:J29,9,FALSE),0)</f>
        <v>0</v>
      </c>
      <c r="AJ20" s="147">
        <f>IF(AA20&lt;&gt;"",AH20-AI20+1000,"")</f>
        <v>1000</v>
      </c>
      <c r="AK20" s="147">
        <f>IF(AA20&lt;&gt;"",VLOOKUP(AA20,B18:F22,5,FALSE),"")</f>
        <v>0</v>
      </c>
      <c r="AL20" s="147">
        <f>IF(AA20&lt;&gt;"",VLOOKUP(AA20,B18:I22,8,FALSE),"")</f>
        <v>0</v>
      </c>
      <c r="AM20" s="147">
        <f>IF(AA20&lt;&gt;"",VLOOKUP(AA20,B18:P22,15,FALSE),"")</f>
        <v>12</v>
      </c>
      <c r="AN20" s="147">
        <f>SUMPRODUCT((DV3:DV42=AA20)*(DY3:DY42=AA21)*EB3:EB42)+SUMPRODUCT((DV3:DV42=AA20)*(DY3:DY42=AA22)*EB3:EB42)+SUMPRODUCT((DV3:DV42=AA20)*(DY3:DY42=AA18)*EB3:EB42)+SUMPRODUCT((DV3:DV42=AA20)*(DY3:DY42=AA19)*EB3:EB42)+SUMPRODUCT((DV3:DV42=AA21)*(DY3:DY42=AA20)*EC3:EC42)+SUMPRODUCT((DV3:DV42=AA22)*(DY3:DY42=AA20)*EC3:EC42)+SUMPRODUCT((DV3:DV42=AA18)*(DY3:DY42=AA20)*EC3:EC42)+SUMPRODUCT((DV3:DV42=AA19)*(DY3:DY42=AA20)*EC3:EC42)</f>
        <v>0</v>
      </c>
      <c r="AO20" s="147">
        <f>SUMPRODUCT((DV3:DV42=AA20)*(DY3:DY42=AA21)*ED3:ED42)+SUMPRODUCT((DV3:DV42=AA20)*(DY3:DY42=AA22)*ED3:ED42)+SUMPRODUCT((DV3:DV42=AA20)*(DY3:DY42=AA18)*ED3:ED42)+SUMPRODUCT((DV3:DV42=AA20)*(DY3:DY42=AA19)*ED3:ED42)+SUMPRODUCT((DV3:DV42=AA21)*(DY3:DY42=AA20)*EE3:EE42)+SUMPRODUCT((DV3:DV42=AA22)*(DY3:DY42=AA20)*EE3:EE42)+SUMPRODUCT((DV3:DV42=AA18)*(DY3:DY42=AA20)*EE3:EE42)+SUMPRODUCT((DV3:DV42=AA19)*(DY3:DY42=AA20)*EE3:EE42)</f>
        <v>0</v>
      </c>
      <c r="AP20" s="147">
        <f>IF(AA20&lt;&gt;"",AB20*4+AC20*2+AN20+AO20,"")</f>
        <v>0</v>
      </c>
      <c r="AQ20" s="147">
        <f>IF(AA20&lt;&gt;"",RANK(AP20,AP18:AP22),"")</f>
        <v>1</v>
      </c>
      <c r="AR20" s="147">
        <f>SUMPRODUCT((AP18:AP22=AP20)*(AG18:AG22&gt;AG20))</f>
        <v>0</v>
      </c>
      <c r="AS20" s="147">
        <f>SUMPRODUCT((AP18:AP22=AP20)*(AG18:AG22=AG20)*(AJ18:AJ22&gt;AJ20))</f>
        <v>0</v>
      </c>
      <c r="AT20" s="147">
        <f>SUMPRODUCT((AP18:AP22=AP20)*(AG18:AG22=AG20)*(AJ18:AJ22=AJ20)*(AK18:AK22&gt;AK20))</f>
        <v>0</v>
      </c>
      <c r="AU20" s="147">
        <f>SUMPRODUCT((AP18:AP22=AP20)*(AG18:AG22=AG20)*(AJ18:AJ22=AJ20)*(AK18:AK22=AK20)*(AL18:AL22&gt;AL20))</f>
        <v>0</v>
      </c>
      <c r="AV20" s="147">
        <f>SUMPRODUCT((AP18:AP22=AP20)*(AG18:AG22=AG20)*(AJ18:AJ22=AJ20)*(AK18:AK22=AK20)*(AL18:AL22=AL20)*(AM18:AM22&gt;AM20))</f>
        <v>3</v>
      </c>
      <c r="AW20" s="147">
        <f t="shared" si="38"/>
        <v>4</v>
      </c>
      <c r="AX20" s="147" t="str">
        <f>IF(AA20&lt;&gt;"",INDEX(AA18:AA22,MATCH(3,AW18:AW22,0),0),"")</f>
        <v>Wales</v>
      </c>
      <c r="AY20" s="147" t="str">
        <f>IF(W19&lt;&gt;"",W19,"")</f>
        <v/>
      </c>
      <c r="AZ20" s="147">
        <f>SUMPRODUCT((DV3:DV42=AY20)*(DY3:DY42=AY21)*(EF3:EF42="W"))+SUMPRODUCT((DV3:DV42=AY20)*(DY3:DY42=AY22)*(EF3:EF42="W"))+SUMPRODUCT((DV3:DV42=AY20)*(DY3:DY42=AY19)*(EF3:EF42="W"))+SUMPRODUCT((DV3:DV42=AY21)*(DY3:DY42=AY20)*(EG3:EG42="W"))+SUMPRODUCT((DV3:DV42=AY22)*(DY3:DY42=AY20)*(EG3:EG42="W"))+SUMPRODUCT((DV3:DV42=AY19)*(DY3:DY42=AY20)*(EG3:EG42="W"))</f>
        <v>0</v>
      </c>
      <c r="BA20" s="147">
        <f>SUMPRODUCT((DV3:DV42=AY20)*(DY3:DY42=AY21)*(EF3:EF42="D"))+SUMPRODUCT((DV3:DV42=AY20)*(DY3:DY42=AY22)*(EF3:EF42="D"))+SUMPRODUCT((DV3:DV42=AY20)*(DY3:DY42=AY19)*(EF3:EF42="D"))+SUMPRODUCT((DV3:DV42=AY21)*(DY3:DY42=AY20)*(EF3:EF42="D"))+SUMPRODUCT((DV3:DV42=AY22)*(DY3:DY42=AY20)*(EF3:EF42="D"))+SUMPRODUCT((DV3:DV42=AY19)*(DY3:DY42=AY20)*(EF3:EF42="D"))</f>
        <v>0</v>
      </c>
      <c r="BB20" s="147">
        <f>SUMPRODUCT((DV3:DV42=AY20)*(DY3:DY42=AY21)*(EF3:EF42="L"))+SUMPRODUCT((DV3:DV42=AY20)*(DY3:DY42=AY22)*(EF3:EF42="L"))+SUMPRODUCT((DV3:DV42=AY20)*(DY3:DY42=AY19)*(EF3:EF42="L"))+SUMPRODUCT((DV3:DV42=AY21)*(DY3:DY42=AY20)*(EG3:EG42="L"))+SUMPRODUCT((DV3:DV42=AY22)*(DY3:DY42=AY20)*(EG3:EG42="L"))+SUMPRODUCT((DV3:DV42=AY19)*(DY3:DY42=AY20)*(EG3:EG42="L"))</f>
        <v>0</v>
      </c>
      <c r="BC20" s="147">
        <f>IF(AY20&lt;&gt;"",VLOOKUP(AY20,B4:F29,5,FALSE),0)</f>
        <v>0</v>
      </c>
      <c r="BD20" s="147">
        <f>IF(AY20&lt;&gt;"",VLOOKUP(AY20,B4:G29,6,FALSE),0)</f>
        <v>0</v>
      </c>
      <c r="BE20" s="147">
        <f>BC20-BD20+1000</f>
        <v>1000</v>
      </c>
      <c r="BF20" s="147">
        <f>IF(AY20&lt;&gt;"",VLOOKUP(AY20,B4:I29,8,FALSE),0)</f>
        <v>0</v>
      </c>
      <c r="BG20" s="147">
        <f>IF(AY20&lt;&gt;"",VLOOKUP(AY20,B4:J29,9,FALSE),0)</f>
        <v>0</v>
      </c>
      <c r="BH20" s="147">
        <f t="shared" ref="BH20" si="40">BF20-BG20+1000</f>
        <v>1000</v>
      </c>
      <c r="BI20" s="147" t="str">
        <f>IF(AY20&lt;&gt;"",VLOOKUP(AY20,B18:F22,5,FALSE),"")</f>
        <v/>
      </c>
      <c r="BJ20" s="147" t="str">
        <f>IF(AY20&lt;&gt;"",VLOOKUP(AY20,B18:I22,8,FALSE),"")</f>
        <v/>
      </c>
      <c r="BK20" s="147" t="str">
        <f>IF(AY20&lt;&gt;"",VLOOKUP(AY20,B18:P22,15,FALSE),"")</f>
        <v/>
      </c>
      <c r="BL20" s="147">
        <f>SUMPRODUCT((DV3:DV42=AY20)*(DY3:DY42=AY21)*EB3:EB42)+SUMPRODUCT((DV3:DV42=AY20)*(DY3:DY42=AY22)*EB3:EB42)+SUMPRODUCT((DV3:DV42=AY20)*(DY3:DY42=AY19)*EB3:EB42)+SUMPRODUCT((DV3:DV42=AY21)*(DY3:DY42=AY20)*EC3:EC42)+SUMPRODUCT((DV3:DV42=AY22)*(DY3:DY42=AY20)*EC3:EC42)+SUMPRODUCT((DV3:DV42=AY19)*(DY3:DY42=AY20)*EC3:EC42)</f>
        <v>0</v>
      </c>
      <c r="BM20" s="147">
        <f>SUMPRODUCT((DV3:DV42=AY20)*(DY3:DY42=AY21)*ED3:ED42)+SUMPRODUCT((DV3:DV42=AY20)*(DY3:DY42=AY22)*ED3:ED42)+SUMPRODUCT((DV3:DV42=AY20)*(DY3:DY42=AY19)*ED3:ED42)+SUMPRODUCT((DV3:DV42=AY21)*(DY3:DY42=AY20)*EE3:EE42)+SUMPRODUCT((DV3:DV42=AY22)*(DY3:DY42=AY20)*EE3:EE42)+SUMPRODUCT((DV3:DV42=AY19)*(DY3:DY42=AY20)*EE3:EE42)</f>
        <v>0</v>
      </c>
      <c r="BN20" s="147">
        <f>AZ20*4+BA20*2+BL20+BM20</f>
        <v>0</v>
      </c>
      <c r="BO20" s="147" t="str">
        <f>IF(AY20&lt;&gt;"",RANK(BN20,BN19:BN22),"")</f>
        <v/>
      </c>
      <c r="BP20" s="147">
        <f>SUMPRODUCT((BN19:BN22=BN20)*(BE19:BE22&gt;BE20))</f>
        <v>0</v>
      </c>
      <c r="BQ20" s="147">
        <f>SUMPRODUCT((BN19:BN22=BN20)*(BE19:BE22=BE20)*(BH19:BH22&gt;BH20))</f>
        <v>0</v>
      </c>
      <c r="BR20" s="147">
        <f>SUMPRODUCT((BN18:BN22=BN20)*(BE18:BE22=BE20)*(BH18:BH22=BH20)*(BI18:BI22&gt;BI20))</f>
        <v>0</v>
      </c>
      <c r="BS20" s="147">
        <f>SUMPRODUCT((BN18:BN22=BN20)*(BE18:BE22=BE20)*(BH18:BH22=BH20)*(BI18:BI22=BI20)*(BJ18:BJ22&gt;BJ20))</f>
        <v>0</v>
      </c>
      <c r="BT20" s="147">
        <f>SUMPRODUCT((BN18:BN22=BN20)*(BE18:BE22=BE20)*(BH18:BH22=BH20)*(BI18:BI22=BI20)*(BJ18:BJ22=BJ20)*(BK18:BK22&gt;BK20))</f>
        <v>0</v>
      </c>
      <c r="BU20" s="147" t="str">
        <f t="shared" si="39"/>
        <v/>
      </c>
      <c r="BV20" s="147" t="str">
        <f>IF(AY20&lt;&gt;"",INDEX(AY19:AY22,MATCH(3,BU19:BU22,0),0),"")</f>
        <v/>
      </c>
      <c r="BW20" s="147" t="str">
        <f>IF(X18&lt;&gt;"",X18,"")</f>
        <v/>
      </c>
      <c r="BX20" s="147">
        <f>SUMPRODUCT((DV3:DV42=BW20)*(DY3:DY42=BW21)*(EF3:EF42="W"))+SUMPRODUCT((DV3:DV42=BW20)*(DY3:DY42=BW22)*(EF3:EF42="W"))+SUMPRODUCT((DV3:DV42=BW20)*(DY3:DY42=BW23)*(EF3:EF42="W"))+SUMPRODUCT((DV3:DV42=BW21)*(DY3:DY42=BW20)*(EG3:EG42="W"))+SUMPRODUCT((DV3:DV42=BW22)*(DY3:DY42=BW20)*(EG3:EG42="W"))+SUMPRODUCT((DV3:DV42=BW23)*(DY3:DY42=BW20)*(EG3:EG42="W"))</f>
        <v>0</v>
      </c>
      <c r="BY20" s="147">
        <f>SUMPRODUCT((DV3:DV42=BW20)*(DY3:DY42=BW21)*(EF3:EF42="D"))+SUMPRODUCT((DV3:DV42=BW20)*(DY3:DY42=BW22)*(EF3:EF42="D"))+SUMPRODUCT((DV3:DV42=BW20)*(DY3:DY42=BW23)*(EF3:EF42="D"))+SUMPRODUCT((DV3:DV42=BW21)*(DY3:DY42=BW20)*(EF3:EF42="D"))+SUMPRODUCT((DV3:DV42=BW22)*(DY3:DY42=BW20)*(EF3:EF42="D"))+SUMPRODUCT((DV3:DV42=BW23)*(DY3:DY42=BW20)*(EF3:EF42="D"))</f>
        <v>0</v>
      </c>
      <c r="BZ20" s="147">
        <f>SUMPRODUCT((DV3:DV42=BW20)*(DY3:DY42=BW21)*(EF3:EF42="L"))+SUMPRODUCT((DV3:DV42=BW20)*(DY3:DY42=BW22)*(EF3:EF42="L"))+SUMPRODUCT((DV3:DV42=BW20)*(DY3:DY42=BW23)*(EF3:EF42="L"))+SUMPRODUCT((DV3:DV42=BW21)*(DY3:DY42=BW20)*(EG3:EG42="L"))+SUMPRODUCT((DV3:DV42=BW22)*(DY3:DY42=BW20)*(EG3:EG42="L"))+SUMPRODUCT((DV3:DV42=BW23)*(DY3:DY42=BW20)*(EG3:EG42="L"))</f>
        <v>0</v>
      </c>
      <c r="CA20" s="147">
        <f>IF(BW20&lt;&gt;"",VLOOKUP(BW20,B4:F29,5,FALSE),0)</f>
        <v>0</v>
      </c>
      <c r="CB20" s="147">
        <f>IF(BW20&lt;&gt;"",VLOOKUP(BW20,B4:G29,6,FALSE),0)</f>
        <v>0</v>
      </c>
      <c r="CC20" s="147">
        <f>CA20-CB20+1000</f>
        <v>1000</v>
      </c>
      <c r="CD20" s="147">
        <f>IF(BW20&lt;&gt;"",VLOOKUP(BW20,B4:I29,8,FALSE),0)</f>
        <v>0</v>
      </c>
      <c r="CE20" s="147">
        <f>IF(BW20&lt;&gt;"",VLOOKUP(BW20,B4:J29,9,FALSE),0)</f>
        <v>0</v>
      </c>
      <c r="CF20" s="147">
        <f>CD20-CE20+1000</f>
        <v>1000</v>
      </c>
      <c r="CG20" s="147" t="str">
        <f>IF(BW20&lt;&gt;"",VLOOKUP(BW20,B18:F22,5,FALSE),"")</f>
        <v/>
      </c>
      <c r="CH20" s="147" t="str">
        <f>IF(BW20&lt;&gt;"",VLOOKUP(BW20,B18:I22,8,FALSE),"")</f>
        <v/>
      </c>
      <c r="CI20" s="147" t="str">
        <f>IF(BW20&lt;&gt;"",VLOOKUP(BW20,B18:P22,15,FALSE),"")</f>
        <v/>
      </c>
      <c r="CJ20" s="147">
        <f>SUMPRODUCT((DV3:DV42=BW20)*(DY3:DY42=BW21)*EB3:EB42)+SUMPRODUCT((DV3:DV42=BW20)*(DY3:DY42=BW22)*EB3:EB42)+SUMPRODUCT((DV3:DV42=BW20)*(DY3:DY42=BW23)*EB3:EB42)+SUMPRODUCT((DV3:DV42=BW21)*(DY3:DY42=BW20)*EC3:EC42)+SUMPRODUCT((DV3:DV42=BW22)*(DY3:DY42=BW20)*EC3:EC42)+SUMPRODUCT((DV3:DV42=BW23)*(DY3:DY42=BW20)*EC3:EC42)</f>
        <v>0</v>
      </c>
      <c r="CK20" s="147">
        <f>SUMPRODUCT((DV3:DV42=BW20)*(DY3:DY42=BW21)*ED3:ED42)+SUMPRODUCT((DV3:DV42=BW20)*(DY3:DY42=BW22)*ED3:ED42)+SUMPRODUCT((DV3:DV42=BW20)*(DY3:DY42=BW23)*ED3:ED42)+SUMPRODUCT((DV3:DV42=BW21)*(DY3:DY42=BW20)*EE3:EE42)+SUMPRODUCT((DV3:DV42=BW22)*(DY3:DY42=BW20)*EE3:EE42)+SUMPRODUCT((DV3:DV42=BW23)*(DY3:DY42=BW20)*EE3:EE42)</f>
        <v>0</v>
      </c>
      <c r="CL20" s="147">
        <f>BX20*4+BY20*2+CJ20+CK20</f>
        <v>0</v>
      </c>
      <c r="CM20" s="147" t="str">
        <f>IF(BW20&lt;&gt;"",RANK(CL20,CL20:CL23),"")</f>
        <v/>
      </c>
      <c r="CN20" s="147">
        <f>SUMPRODUCT((CL20:CL23=CL20)*(CC20:CC23&gt;CC20))</f>
        <v>0</v>
      </c>
      <c r="CO20" s="147">
        <f>SUMPRODUCT((CL20:CL23=CL20)*(CC20:CC23=CC20)*(CF20:CF23&gt;CF20))</f>
        <v>0</v>
      </c>
      <c r="CP20" s="147">
        <f>SUMPRODUCT((CL18:CL22=CL20)*(CC18:CC22=CC20)*(CF18:CF22=CF20)*(CG18:CG22&gt;CG20))</f>
        <v>0</v>
      </c>
      <c r="CQ20" s="147">
        <f>SUMPRODUCT((CL18:CL22=CL20)*(CC18:CC22=CC20)*(CF18:CF22=CF20)*(CG18:CG22=CG20)*(CH18:CH22&gt;CH20))</f>
        <v>0</v>
      </c>
      <c r="CR20" s="147">
        <f>SUMPRODUCT((CL18:CL22=CL20)*(CC18:CC22=CC20)*(CF18:CF22=CF20)*(CG18:CG22=CG20)*(CH18:CH22=CH20)*(CI18:CI22&gt;CI20))</f>
        <v>0</v>
      </c>
      <c r="CS20" s="147" t="str">
        <f t="shared" ref="CS20:CS22" si="41">IF(BW20&lt;&gt;"",SUM(CM20:CR20)+2,"")</f>
        <v/>
      </c>
      <c r="CT20" s="147" t="str">
        <f>IF(BW20&lt;&gt;"",INDEX(BW20:BW22,MATCH(3,CS20:CS22,0),0),"")</f>
        <v/>
      </c>
      <c r="DS20" s="147" t="str">
        <f>IF(CT20&lt;&gt;"",CT20,IF(BV20&lt;&gt;"",BV20,IF(AX20&lt;&gt;"",AX20,T20)))</f>
        <v>Wales</v>
      </c>
      <c r="DT20" s="147">
        <v>3</v>
      </c>
      <c r="DU20" s="147">
        <v>18</v>
      </c>
      <c r="DV20" s="147" t="str">
        <f>Tournament!H29</f>
        <v>France</v>
      </c>
      <c r="DW20" s="147">
        <f>IF(AND(Tournament!J29&lt;&gt;"",Tournament!L29&lt;&gt;""),Tournament!J29,0)</f>
        <v>0</v>
      </c>
      <c r="DX20" s="147">
        <f>IF(AND(Tournament!L29&lt;&gt;"",Tournament!J29&lt;&gt;""),Tournament!L29,0)</f>
        <v>0</v>
      </c>
      <c r="DY20" s="147" t="str">
        <f>Tournament!N29</f>
        <v>Namibia</v>
      </c>
      <c r="DZ20" s="147">
        <f>IF(Tournament!O29&lt;&gt;"",Tournament!O29,0)</f>
        <v>0</v>
      </c>
      <c r="EA20" s="147">
        <f>IF(Tournament!Q29&lt;&gt;"",Tournament!Q29,0)</f>
        <v>0</v>
      </c>
      <c r="EB20" s="147">
        <f>IF(DW20&lt;&gt;"",IF(Tournament!O29&gt;3,1,0),0)</f>
        <v>0</v>
      </c>
      <c r="EC20" s="147">
        <f>IF(DX20&lt;&gt;"",IF(Tournament!Q29&gt;3,1,0),0)</f>
        <v>0</v>
      </c>
      <c r="ED20" s="147">
        <f t="shared" si="0"/>
        <v>0</v>
      </c>
      <c r="EE20" s="147">
        <f t="shared" si="1"/>
        <v>0</v>
      </c>
      <c r="EF20" s="147" t="str">
        <f>IF(AND(Tournament!J29&lt;&gt;"",Tournament!L29&lt;&gt;""),IF(DW20&gt;DX20,"W",IF(DW20=DX20,"D","L")),"")</f>
        <v/>
      </c>
      <c r="EG20" s="161" t="str">
        <f t="shared" si="2"/>
        <v/>
      </c>
    </row>
    <row r="21" spans="1:137" x14ac:dyDescent="0.45">
      <c r="A21" s="147">
        <f>VLOOKUP(B21,DS18:DT22,2,FALSE)</f>
        <v>5</v>
      </c>
      <c r="B21" s="147" t="s">
        <v>99</v>
      </c>
      <c r="C21" s="147">
        <f>COUNTIFS(DV3:DV42,B21,EF3:EF42,"W")+COUNTIFS(DY3:DY42,B21,EG3:EG42,"W")</f>
        <v>0</v>
      </c>
      <c r="D21" s="147">
        <f>COUNTIFS(DV3:DV42,B21,EF3:EF42,"D")+COUNTIFS(DY3:DY42,B21,EG3:EG42,"D")</f>
        <v>0</v>
      </c>
      <c r="E21" s="147">
        <f>COUNTIFS(DV3:DV42,B21,EF3:EF42,"L")+COUNTIFS(DY3:DY42,B21,EG3:EG42,"L")</f>
        <v>0</v>
      </c>
      <c r="F21" s="147">
        <f>SUMIF(DV3:DV60,B21,DW3:DW60)+SUMIF(DY3:DY60,B21,DX3:DX60)</f>
        <v>0</v>
      </c>
      <c r="G21" s="147">
        <f>SUMIF(DY3:DY60,B21,DW3:DW60)+SUMIF(DV3:DV60,B21,DX3:DX60)</f>
        <v>0</v>
      </c>
      <c r="H21" s="147">
        <f t="shared" si="30"/>
        <v>1000</v>
      </c>
      <c r="I21" s="147">
        <f>SUMIF(Tournament!H12:H51,B21,Tournament!O12:O51)+SUMIF(Tournament!N12:N51,B21,Tournament!Q12:Q51)</f>
        <v>0</v>
      </c>
      <c r="J21" s="147">
        <f>SUMIF(Tournament!N12:N51,B21,Tournament!O12:O51)+SUMIF(Tournament!H12:H51,B21,Tournament!Q12:Q51)</f>
        <v>0</v>
      </c>
      <c r="K21" s="147">
        <f t="shared" si="31"/>
        <v>1000</v>
      </c>
      <c r="L21" s="147">
        <f t="shared" si="32"/>
        <v>0</v>
      </c>
      <c r="M21" s="147">
        <f>SUMIF(DV:DV,B21,EB:EB)+SUMIF(DY:DY,B21,EC:EC)</f>
        <v>0</v>
      </c>
      <c r="N21" s="147">
        <f>SUMIF(DV:DV,B21,ED:ED)+SUMIF(DY:DY,B21,EE:EE)</f>
        <v>0</v>
      </c>
      <c r="O21" s="147">
        <f t="shared" si="33"/>
        <v>0</v>
      </c>
      <c r="P21" s="147">
        <v>7</v>
      </c>
      <c r="Q21" s="147">
        <f>RANK(O21,O18:O22)</f>
        <v>1</v>
      </c>
      <c r="S21" s="147">
        <f>RANK(O21,O18:O22)+COUNTIF(O18:O21,O21)-1</f>
        <v>4</v>
      </c>
      <c r="T21" s="147" t="str">
        <f>INDEX(B18:B22,MATCH(4,S18:S22,0),0)</f>
        <v>Portugal</v>
      </c>
      <c r="U21" s="147">
        <f>INDEX(Q18:Q22,MATCH(T21,B18:B22,0),0)</f>
        <v>1</v>
      </c>
      <c r="V21" s="147" t="str">
        <f>IF(AND(V20&lt;&gt;"",U21=1),T21,"")</f>
        <v>Portugal</v>
      </c>
      <c r="W21" s="147" t="str">
        <f>IF(AND(W20&lt;&gt;"",U22=2),T22,"")</f>
        <v/>
      </c>
      <c r="AA21" s="147" t="str">
        <f t="shared" si="35"/>
        <v>Portugal</v>
      </c>
      <c r="AB21" s="147">
        <f>SUMPRODUCT((DV3:DV42=AA21)*(DY3:DY42=AA22)*(EF3:EF42="W"))+SUMPRODUCT((DV3:DV42=AA21)*(DY3:DY42=AA18)*(EF3:EF42="W"))+SUMPRODUCT((DV3:DV42=AA21)*(DY3:DY42=AA19)*(EF3:EF42="W"))+SUMPRODUCT((DV3:DV42=AA21)*(DY3:DY42=AA20)*(EF3:EF42="W"))+SUMPRODUCT((DV3:DV42=AA22)*(DY3:DY42=AA21)*(EG3:EG42="W"))+SUMPRODUCT((DV3:DV42=AA18)*(DY3:DY42=AA21)*(EG3:EG42="W"))+SUMPRODUCT((DV3:DV42=AA19)*(DY3:DY42=AA21)*(EG3:EG42="W"))+SUMPRODUCT((DV3:DV42=AA20)*(DY3:DY42=AA21)*(EG3:EG42="W"))</f>
        <v>0</v>
      </c>
      <c r="AC21" s="147">
        <f>SUMPRODUCT((DV3:DV42=AA21)*(DY3:DY42=AA22)*(EF3:EF42="D"))+SUMPRODUCT((DV3:DV42=AA21)*(DY3:DY42=AA18)*(EF3:EF42="D"))+SUMPRODUCT((DV3:DV42=AA21)*(DY3:DY42=AA19)*(EF3:EF42="D"))+SUMPRODUCT((DV3:DV42=AA21)*(DY3:DY42=AA20)*(EF3:EF42="D"))+SUMPRODUCT((DV3:DV42=AA22)*(DY3:DY42=AA21)*(EF3:EF42="D"))+SUMPRODUCT((DV3:DV42=AA18)*(DY3:DY42=AA21)*(EF3:EF42="D"))+SUMPRODUCT((DV3:DV42=AA19)*(DY3:DY42=AA21)*(EF3:EF42="D"))+SUMPRODUCT((DV3:DV42=AA20)*(DY3:DY42=AA21)*(EF3:EF42="D"))</f>
        <v>0</v>
      </c>
      <c r="AD21" s="147">
        <f>SUMPRODUCT((DV3:DV42=AA21)*(DY3:DY42=AA22)*(EF3:EF42="L"))+SUMPRODUCT((DV3:DV42=AA21)*(DY3:DY42=AA18)*(EF3:EF42="L"))+SUMPRODUCT((DV3:DV42=AA21)*(DY3:DY42=AA19)*(EF3:EF42="L"))+SUMPRODUCT((DV3:DV42=AA21)*(DY3:DY42=AA20)*(EF3:EF42="L"))+SUMPRODUCT((DV3:DV42=AA22)*(DY3:DY42=AA21)*(EG3:EG42="L"))+SUMPRODUCT((DV3:DV42=AA18)*(DY3:DY42=AA21)*(EG3:EG42="L"))+SUMPRODUCT((DV3:DV42=AA19)*(DY3:DY42=AA21)*(EG3:EG42="L"))+SUMPRODUCT((DV3:DV42=AA20)*(DY3:DY42=AA21)*(EG3:EG42="L"))</f>
        <v>0</v>
      </c>
      <c r="AE21" s="147">
        <f>IF(AA21&lt;&gt;"",VLOOKUP(AA21,B4:F29,5,FALSE),0)</f>
        <v>0</v>
      </c>
      <c r="AF21" s="147">
        <f>IF(AA21&lt;&gt;"",VLOOKUP(AA21,B4:G29,6,FALSE),0)</f>
        <v>0</v>
      </c>
      <c r="AG21" s="147">
        <f>AE21-AF21+1000</f>
        <v>1000</v>
      </c>
      <c r="AH21" s="147">
        <f>IF(AA21&lt;&gt;"",VLOOKUP(AA21,B4:I29,8,FALSE),0)</f>
        <v>0</v>
      </c>
      <c r="AI21" s="147">
        <f>IF(AA21&lt;&gt;"",VLOOKUP(AA21,B4:J29,9,FALSE),0)</f>
        <v>0</v>
      </c>
      <c r="AJ21" s="147">
        <f>IF(AA21&lt;&gt;"",AH21-AI21+1000,"")</f>
        <v>1000</v>
      </c>
      <c r="AK21" s="147">
        <f>IF(AA21&lt;&gt;"",VLOOKUP(AA21,B18:F22,5,FALSE),"")</f>
        <v>0</v>
      </c>
      <c r="AL21" s="147">
        <f>IF(AA21&lt;&gt;"",VLOOKUP(AA21,B18:I22,8,FALSE),"")</f>
        <v>0</v>
      </c>
      <c r="AM21" s="147">
        <f>IF(AA21&lt;&gt;"",VLOOKUP(AA21,B18:P22,15,FALSE),"")</f>
        <v>7</v>
      </c>
      <c r="AN21" s="147">
        <f>SUMPRODUCT((DV3:DV42=AA21)*(DY3:DY42=AA22)*EB3:EB42)+SUMPRODUCT((DV3:DV42=AA21)*(DY3:DY42=AA18)*EB3:EB42)+SUMPRODUCT((DV3:DV42=AA21)*(DY3:DY42=AA19)*EB3:EB42)+SUMPRODUCT((DV3:DV42=AA21)*(DY3:DY42=AA20)*EB3:EB42)+SUMPRODUCT((DV3:DV42=AA22)*(DY3:DY42=AA21)*EC3:EC42)+SUMPRODUCT((DV3:DV42=AA18)*(DY3:DY42=AA21)*EC3:EC42)+SUMPRODUCT((DV3:DV42=AA19)*(DY3:DY42=AA21)*EC3:EC42)+SUMPRODUCT((DV3:DV42=AA20)*(DY3:DY42=AA21)*EC3:EC42)</f>
        <v>0</v>
      </c>
      <c r="AO21" s="147">
        <f>SUMPRODUCT((DV3:DV42=AA21)*(DY3:DY42=AA22)*ED3:ED42)+SUMPRODUCT((DV3:DV42=AA21)*(DY3:DY42=AA18)*ED3:ED42)+SUMPRODUCT((DV3:DV42=AA21)*(DY3:DY42=AA19)*ED3:ED42)+SUMPRODUCT((DV3:DV42=AA21)*(DY3:DY42=AA20)*ED3:ED42)+SUMPRODUCT((DV3:DV42=AA22)*(DY3:DY42=AA21)*EE3:EE42)+SUMPRODUCT((DV3:DV42=AA18)*(DY3:DY42=AA21)*EE3:EE42)+SUMPRODUCT((DV3:DV42=AA19)*(DY3:DY42=AA21)*EE3:EE42)+SUMPRODUCT((DV3:DV42=AA20)*(DY3:DY42=AA21)*EE3:EE42)</f>
        <v>0</v>
      </c>
      <c r="AP21" s="147">
        <f>IF(AA21&lt;&gt;"",AB21*4+AC21*2+AN21+AO21,"")</f>
        <v>0</v>
      </c>
      <c r="AQ21" s="147">
        <f>IF(AA21&lt;&gt;"",RANK(AP21,AP18:AP22),"")</f>
        <v>1</v>
      </c>
      <c r="AR21" s="147">
        <f>SUMPRODUCT((AP18:AP22=AP21)*(AG18:AG22&gt;AG21))</f>
        <v>0</v>
      </c>
      <c r="AS21" s="147">
        <f>SUMPRODUCT((AP18:AP22=AP21)*(AG18:AG22=AG21)*(AJ18:AJ22&gt;AJ21))</f>
        <v>0</v>
      </c>
      <c r="AT21" s="147">
        <f>SUMPRODUCT((AP18:AP22=AP21)*(AG18:AG22=AG21)*(AJ18:AJ22=AJ21)*(AK18:AK22&gt;AK21))</f>
        <v>0</v>
      </c>
      <c r="AU21" s="147">
        <f>SUMPRODUCT((AP18:AP22=AP21)*(AG18:AG22=AG21)*(AJ18:AJ22=AJ21)*(AK18:AK22=AK21)*(AL18:AL22&gt;AL21))</f>
        <v>0</v>
      </c>
      <c r="AV21" s="147">
        <f>SUMPRODUCT((AP18:AP22=AP21)*(AG18:AG22=AG21)*(AJ18:AJ22=AJ21)*(AK18:AK22=AK21)*(AL18:AL22=AL21)*(AM18:AM22&gt;AM21))</f>
        <v>4</v>
      </c>
      <c r="AW21" s="147">
        <f t="shared" si="38"/>
        <v>5</v>
      </c>
      <c r="AX21" s="147" t="str">
        <f>IF(AA21&lt;&gt;"",INDEX(AA18:AA22,MATCH(4,AW18:AW22,0),0),"")</f>
        <v>Georgia</v>
      </c>
      <c r="AY21" s="147" t="str">
        <f>IF(W20&lt;&gt;"",W20,"")</f>
        <v/>
      </c>
      <c r="AZ21" s="147" t="str">
        <f>IF(AY21&lt;&gt;"",SUMPRODUCT((DV3:DV42=AY21)*(DY3:DY42=AY22)*(EF3:EF42="W"))+SUMPRODUCT((DV3:DV42=AY21)*(DY3:DY42=AY19)*(EF3:EF42="W"))+SUMPRODUCT((DV3:DV42=AY21)*(DY3:DY42=AY20)*(EF3:EF42="W"))+SUMPRODUCT((DV3:DV42=AY22)*(DY3:DY42=AY21)*(EG3:EG42="W"))+SUMPRODUCT((DV3:DV42=AY19)*(DY3:DY42=AY21)*(EG3:EG42="W"))+SUMPRODUCT((DV3:DV42=AY20)*(DY3:DY42=AY21)*(EG3:EG42="W")),"")</f>
        <v/>
      </c>
      <c r="BA21" s="147" t="str">
        <f>IF(AY21&lt;&gt;"",SUMPRODUCT((DV3:DV42=AY21)*(DY3:DY42=AY22)*(EF3:EF42="D"))+SUMPRODUCT((DV3:DV42=AY21)*(DY3:DY42=AY19)*(EF3:EF42="D"))+SUMPRODUCT((DV3:DV42=AY21)*(DY3:DY42=AY20)*(EF3:EF42="D"))+SUMPRODUCT((DV3:DV42=AY22)*(DY3:DY42=AY21)*(EF3:EF42="D"))+SUMPRODUCT((DV3:DV42=AY19)*(DY3:DY42=AY21)*(EF3:EF42="D"))+SUMPRODUCT((DV3:DV42=AY20)*(DY3:DY42=AY21)*(EF3:EF42="D")),"")</f>
        <v/>
      </c>
      <c r="BB21" s="147" t="str">
        <f>IF(AY21&lt;&gt;"",SUMPRODUCT((DV3:DV42=AY21)*(DY3:DY42=AY22)*(EF3:EF42="L"))+SUMPRODUCT((DV3:DV42=AY21)*(DY3:DY42=AY19)*(EF3:EF42="L"))+SUMPRODUCT((DV3:DV42=AY21)*(DY3:DY42=AY20)*(EF3:EF42="L"))+SUMPRODUCT((DV3:DV42=AY22)*(DY3:DY42=AY21)*(EG3:EG42="L"))+SUMPRODUCT((DV3:DV42=AY19)*(DY3:DY42=AY21)*(EG3:EG42="L"))+SUMPRODUCT((DV3:DV42=AY20)*(DY3:DY42=AY21)*(EG3:EG42="L")),"")</f>
        <v/>
      </c>
      <c r="BC21" s="147">
        <f>IF(AY21&lt;&gt;"",VLOOKUP(AY21,B4:F29,5,FALSE),0)</f>
        <v>0</v>
      </c>
      <c r="BD21" s="147">
        <f>IF(AY21&lt;&gt;"",VLOOKUP(AY21,B4:G29,6,FALSE),0)</f>
        <v>0</v>
      </c>
      <c r="BE21" s="147">
        <f>BC21-BD21+1000</f>
        <v>1000</v>
      </c>
      <c r="BF21" s="147">
        <f>IF(AY21&lt;&gt;"",VLOOKUP(AY21,B4:I29,8,FALSE),0)</f>
        <v>0</v>
      </c>
      <c r="BG21" s="147">
        <f>IF(AY21&lt;&gt;"",VLOOKUP(AY21,B4:J29,9,FALSE),0)</f>
        <v>0</v>
      </c>
      <c r="BH21" s="147" t="str">
        <f>IF(AY21&lt;&gt;"",BF21-BG21+1000,"")</f>
        <v/>
      </c>
      <c r="BI21" s="147" t="str">
        <f>IF(AY21&lt;&gt;"",VLOOKUP(AY21,B18:F22,5,FALSE),"")</f>
        <v/>
      </c>
      <c r="BJ21" s="147" t="str">
        <f>IF(AY21&lt;&gt;"",VLOOKUP(AY21,B18:I22,8,FALSE),"")</f>
        <v/>
      </c>
      <c r="BK21" s="147" t="str">
        <f>IF(AY21&lt;&gt;"",VLOOKUP(AY21,B18:P22,15,FALSE),"")</f>
        <v/>
      </c>
      <c r="BL21" s="147" t="str">
        <f>IF(AY21&lt;&gt;"",SUMPRODUCT((DV3:DV42=AY21)*(DY3:DY42=AY22)*EB3:EB42)+SUMPRODUCT((DV3:DV42=AY21)*(DY3:DY42=AY19)*EB3:EB42)+SUMPRODUCT((DV3:DV42=AY21)*(DY3:DY42=AY20)*EB3:EB42)+SUMPRODUCT((DV3:DV42=AY22)*(DY3:DY42=AY21)*EC3:EC42)+SUMPRODUCT((DV3:DV42=AY19)*(DY3:DY42=AY21)*EC3:EC42)+SUMPRODUCT((DV3:DV42=AY20)*(DY3:DY42=AY21)*EC3:EC42),"")</f>
        <v/>
      </c>
      <c r="BM21" s="147" t="str">
        <f>IF(AY21&lt;&gt;"",SUMPRODUCT((DV3:DV42=AY21)*(DY3:DY42=AY22)*ED3:ED42)+SUMPRODUCT((DV3:DV42=AY21)*(DY3:DY42=AY19)*ED3:ED42)+SUMPRODUCT((DV3:DV42=AY21)*(DY3:DY42=AY20)*ED3:ED42)+SUMPRODUCT((DV3:DV42=AY22)*(DY3:DY42=AY21)*EE3:EE42)+SUMPRODUCT((DV3:DV42=AY19)*(DY3:DY42=AY21)*EE3:EE42)+SUMPRODUCT((DV3:DV42=AY20)*(DY3:DY42=AY21)*EE3:EE42),"")</f>
        <v/>
      </c>
      <c r="BN21" s="147" t="str">
        <f>IF(AY21&lt;&gt;"",AZ21*4+BA21*2+BL21+BM21,"")</f>
        <v/>
      </c>
      <c r="BO21" s="147" t="str">
        <f>IF(AY21&lt;&gt;"",RANK(BN21,BN19:BN22),"")</f>
        <v/>
      </c>
      <c r="BP21" s="147">
        <f>SUMPRODUCT((BN19:BN22=BN21)*(BE19:BE22&gt;BE21))</f>
        <v>0</v>
      </c>
      <c r="BQ21" s="147">
        <f>SUMPRODUCT((BN19:BN22=BN21)*(BE19:BE22=BE21)*(BH19:BH22&gt;BH21))</f>
        <v>0</v>
      </c>
      <c r="BR21" s="147">
        <f>SUMPRODUCT((BN18:BN22=BN21)*(BE18:BE22=BE21)*(BH18:BH22=BH21)*(BI18:BI22&gt;BI21))</f>
        <v>0</v>
      </c>
      <c r="BS21" s="147">
        <f>SUMPRODUCT((BN18:BN22=BN21)*(BE18:BE22=BE21)*(BH18:BH22=BH21)*(BI18:BI22=BI21)*(BJ18:BJ22&gt;BJ21))</f>
        <v>0</v>
      </c>
      <c r="BT21" s="147">
        <f>SUMPRODUCT((BN18:BN22=BN21)*(BE18:BE22=BE21)*(BH18:BH22=BH21)*(BI18:BI22=BI21)*(BJ18:BJ22=BJ21)*(BK18:BK22&gt;BK21))</f>
        <v>0</v>
      </c>
      <c r="BU21" s="147" t="str">
        <f t="shared" si="39"/>
        <v/>
      </c>
      <c r="BV21" s="147" t="str">
        <f>IF(AY21&lt;&gt;"",INDEX(AY19:AY22,MATCH(4,BU19:BU22,0),0),"")</f>
        <v/>
      </c>
      <c r="BW21" s="147" t="str">
        <f>IF(X19&lt;&gt;"",X19,"")</f>
        <v/>
      </c>
      <c r="BX21" s="147">
        <f>SUMPRODUCT((DV3:DV42=BW21)*(DY3:DY42=BW22)*(EF3:EF42="W"))+SUMPRODUCT((DV3:DV42=BW21)*(DY3:DY42=BW23)*(EF3:EF42="W"))+SUMPRODUCT((DV3:DV42=BW21)*(DY3:DY42=BW20)*(EF3:EF42="W"))+SUMPRODUCT((DV3:DV42=BW22)*(DY3:DY42=BW21)*(EG3:EG42="W"))+SUMPRODUCT((DV3:DV42=BW23)*(DY3:DY42=BW21)*(EG3:EG42="W"))+SUMPRODUCT((DV3:DV42=BW20)*(DY3:DY42=BW21)*(EG3:EG42="W"))</f>
        <v>0</v>
      </c>
      <c r="BY21" s="147">
        <f>SUMPRODUCT((DV3:DV42=BW21)*(DY3:DY42=BW22)*(EF3:EF42="D"))+SUMPRODUCT((DV3:DV42=BW21)*(DY3:DY42=BW23)*(EF3:EF42="D"))+SUMPRODUCT((DV3:DV42=BW21)*(DY3:DY42=BW20)*(EF3:EF42="D"))+SUMPRODUCT((DV3:DV42=BW22)*(DY3:DY42=BW21)*(EF3:EF42="D"))+SUMPRODUCT((DV3:DV42=BW23)*(DY3:DY42=BW21)*(EF3:EF42="D"))+SUMPRODUCT((DV3:DV42=BW20)*(DY3:DY42=BW21)*(EF3:EF42="D"))</f>
        <v>0</v>
      </c>
      <c r="BZ21" s="147">
        <f>SUMPRODUCT((DV3:DV42=BW21)*(DY3:DY42=BW22)*(EF3:EF42="L"))+SUMPRODUCT((DV3:DV42=BW21)*(DY3:DY42=BW23)*(EF3:EF42="L"))+SUMPRODUCT((DV3:DV42=BW21)*(DY3:DY42=BW20)*(EF3:EF42="L"))+SUMPRODUCT((DV3:DV42=BW22)*(DY3:DY42=BW21)*(EG3:EG42="L"))+SUMPRODUCT((DV3:DV42=BW23)*(DY3:DY42=BW21)*(EG3:EG42="L"))+SUMPRODUCT((DV3:DV42=BW20)*(DY3:DY42=BW21)*(EG3:EG42="L"))</f>
        <v>0</v>
      </c>
      <c r="CA21" s="147">
        <f>IF(BW21&lt;&gt;"",VLOOKUP(BW21,B4:F29,5,FALSE),0)</f>
        <v>0</v>
      </c>
      <c r="CB21" s="147">
        <f>IF(BW21&lt;&gt;"",VLOOKUP(BW21,B4:G29,6,FALSE),0)</f>
        <v>0</v>
      </c>
      <c r="CC21" s="147">
        <f>CA21-CB21+1000</f>
        <v>1000</v>
      </c>
      <c r="CD21" s="147">
        <f>IF(BW21&lt;&gt;"",VLOOKUP(BW21,B4:I29,8,FALSE),0)</f>
        <v>0</v>
      </c>
      <c r="CE21" s="147">
        <f>IF(BW21&lt;&gt;"",VLOOKUP(BW21,B4:J29,9,FALSE),0)</f>
        <v>0</v>
      </c>
      <c r="CF21" s="147">
        <f t="shared" ref="CF21" si="42">CD21-CE21+1000</f>
        <v>1000</v>
      </c>
      <c r="CG21" s="147" t="str">
        <f>IF(BW21&lt;&gt;"",VLOOKUP(BW21,B18:F22,5,FALSE),"")</f>
        <v/>
      </c>
      <c r="CH21" s="147" t="str">
        <f>IF(BW21&lt;&gt;"",VLOOKUP(BW21,B18:I22,8,FALSE),"")</f>
        <v/>
      </c>
      <c r="CI21" s="147" t="str">
        <f>IF(BW21&lt;&gt;"",VLOOKUP(BW21,B18:P22,15,FALSE),"")</f>
        <v/>
      </c>
      <c r="CJ21" s="147">
        <f>SUMPRODUCT((DV3:DV42=BW21)*(DY3:DY42=BW22)*EB3:EB42)+SUMPRODUCT((DV3:DV42=BW21)*(DY3:DY42=BW23)*EB3:EB42)+SUMPRODUCT((DV3:DV42=BW21)*(DY3:DY42=BW20)*EB3:EB42)+SUMPRODUCT((DV3:DV42=BW22)*(DY3:DY42=BW21)*EC3:EC42)+SUMPRODUCT((DV3:DV42=BW23)*(DY3:DY42=BW21)*EC3:EC42)+SUMPRODUCT((DV3:DV42=BW20)*(DY3:DY42=BW21)*EC3:EC42)</f>
        <v>0</v>
      </c>
      <c r="CK21" s="147">
        <f>SUMPRODUCT((DV3:DV42=BW21)*(DY3:DY42=BW22)*ED3:ED42)+SUMPRODUCT((DV3:DV42=BW21)*(DY3:DY42=BW23)*ED3:ED42)+SUMPRODUCT((DV3:DV42=BW21)*(DY3:DY42=BW20)*ED3:ED42)+SUMPRODUCT((DV3:DV42=BW22)*(DY3:DY42=BW21)*EE3:EE42)+SUMPRODUCT((DV3:DV42=BW23)*(DY3:DY42=BW21)*EE3:EE42)+SUMPRODUCT((DV3:DV42=BW20)*(DY3:DY42=BW21)*EE3:EE42)</f>
        <v>0</v>
      </c>
      <c r="CL21" s="147">
        <f t="shared" ref="CL21" si="43">BX21*4+BY21*2+CJ21+CK21</f>
        <v>0</v>
      </c>
      <c r="CM21" s="147" t="str">
        <f>IF(BW21&lt;&gt;"",RANK(CL21,CL20:CL23),"")</f>
        <v/>
      </c>
      <c r="CN21" s="147">
        <f>SUMPRODUCT((CL20:CL23=CL21)*(CC20:CC23&gt;CC21))</f>
        <v>0</v>
      </c>
      <c r="CO21" s="147">
        <f>SUMPRODUCT((CL20:CL23=CL21)*(CC20:CC23=CC21)*(CF20:CF23&gt;CF21))</f>
        <v>0</v>
      </c>
      <c r="CP21" s="147">
        <f>SUMPRODUCT((CL18:CL22=CL21)*(CC18:CC22=CC21)*(CF18:CF22=CF21)*(CG18:CG22&gt;CG21))</f>
        <v>0</v>
      </c>
      <c r="CQ21" s="147">
        <f>SUMPRODUCT((CL18:CL22=CL21)*(CC18:CC22=CC21)*(CF18:CF22=CF21)*(CG18:CG22=CG21)*(CH18:CH22&gt;CH21))</f>
        <v>0</v>
      </c>
      <c r="CR21" s="147">
        <f>SUMPRODUCT((CL18:CL22=CL21)*(CC18:CC22=CC21)*(CF18:CF22=CF21)*(CG18:CG22=CG21)*(CH18:CH22=CH21)*(CI18:CI22&gt;CI21))</f>
        <v>0</v>
      </c>
      <c r="CS21" s="147" t="str">
        <f t="shared" si="41"/>
        <v/>
      </c>
      <c r="CT21" s="147" t="str">
        <f>IF(BW21&lt;&gt;"",INDEX(BW20:BW22,MATCH(4,CS20:CS22,0),0),"")</f>
        <v/>
      </c>
      <c r="CU21" s="147" t="str">
        <f>IF(Y18&lt;&gt;"",Y18,"")</f>
        <v/>
      </c>
      <c r="CV21" s="147">
        <f>SUMPRODUCT((DV3:DV42=CU21)*(DY3:DY42=CU22)*(EF3:EF42="W"))+SUMPRODUCT((DV3:DV42=CU21)*(DY3:DY42=CU23)*(EF3:EF42="W"))+SUMPRODUCT((DV3:DV42=CU21)*(DY3:DY42=CU24)*(EF3:EF42="W"))+SUMPRODUCT((DV3:DV42=CU22)*(DY3:DY42=CU21)*(EG3:EG42="W"))+SUMPRODUCT((DV3:DV42=CU23)*(DY3:DY42=CU21)*(EG3:EG42="W"))+SUMPRODUCT((DV3:DV42=CU24)*(DY3:DY42=CU21)*(EG3:EG42="W"))</f>
        <v>0</v>
      </c>
      <c r="CW21" s="147">
        <f>SUMPRODUCT((DV3:DV42=CU21)*(DY3:DY42=CU22)*(EF3:EF42="D"))+SUMPRODUCT((DV3:DV42=CU21)*(DY3:DY42=CU23)*(EF3:EF42="D"))+SUMPRODUCT((DV3:DV42=CU21)*(DY3:DY42=CU24)*(EF3:EF42="D"))+SUMPRODUCT((DV3:DV42=CU22)*(DY3:DY42=CU21)*(EF3:EF42="D"))+SUMPRODUCT((DV3:DV42=CU23)*(DY3:DY42=CU21)*(EF3:EF42="D"))+SUMPRODUCT((DV3:DV42=CU24)*(DY3:DY42=CU21)*(EF3:EF42="D"))</f>
        <v>0</v>
      </c>
      <c r="CX21" s="147">
        <f>SUMPRODUCT((DV3:DV42=CU21)*(DY3:DY42=CU22)*(EF3:EF42="L"))+SUMPRODUCT((DV3:DV42=CU21)*(DY3:DY42=CU23)*(EF3:EF42="L"))+SUMPRODUCT((DV3:DV42=CU21)*(DY3:DY42=CU24)*(EF3:EF42="L"))+SUMPRODUCT((DV3:DV42=CU22)*(DY3:DY42=CU21)*(EG3:EG42="L"))+SUMPRODUCT((DV3:DV42=CU23)*(DY3:DY42=CU21)*(EG3:EG42="L"))+SUMPRODUCT((DV3:DV42=CU24)*(DY3:DY42=CU21)*(EG3:EG42="L"))</f>
        <v>0</v>
      </c>
      <c r="CY21" s="147">
        <f>IF(CU21&lt;&gt;"",VLOOKUP(CU21,B4:F29,5,FALSE),0)</f>
        <v>0</v>
      </c>
      <c r="CZ21" s="147">
        <f>IF(CU21&lt;&gt;"",VLOOKUP(CU21,B4:G29,6,FALSE),0)</f>
        <v>0</v>
      </c>
      <c r="DA21" s="147">
        <f>CY21-CZ21+1000</f>
        <v>1000</v>
      </c>
      <c r="DB21" s="147">
        <f>IF(CU21&lt;&gt;"",VLOOKUP(CU21,B4:I29,8,FALSE),0)</f>
        <v>0</v>
      </c>
      <c r="DC21" s="147">
        <f>IF(CU21&lt;&gt;"",VLOOKUP(CU21,B4:J29,9,FALSE),0)</f>
        <v>0</v>
      </c>
      <c r="DD21" s="147">
        <f>DB21-DC21+1000</f>
        <v>1000</v>
      </c>
      <c r="DE21" s="147" t="str">
        <f>IF(CU21&lt;&gt;"",VLOOKUP(CU21,B18:F22,5,FALSE),"")</f>
        <v/>
      </c>
      <c r="DF21" s="147" t="str">
        <f>IF(CU21&lt;&gt;"",VLOOKUP(CU21,B18:I22,8,FALSE),"")</f>
        <v/>
      </c>
      <c r="DG21" s="147" t="str">
        <f>IF(CU21&lt;&gt;"",VLOOKUP(CU21,B18:P22,15,FALSE),"")</f>
        <v/>
      </c>
      <c r="DH21" s="147">
        <f>SUMPRODUCT((DV3:DV42=CU21)*(DY3:DY42=CU22)*EB3:EB42)+SUMPRODUCT((DV3:DV42=CU21)*(DY3:DY42=CU23)*EB3:EB42)+SUMPRODUCT((DV3:DV42=CU21)*(DY3:DY42=CU24)*EB3:EB42)+SUMPRODUCT((DV3:DV42=CU22)*(DY3:DY42=CU21)*EC3:EC42)+SUMPRODUCT((DV3:DV42=CU23)*(DY3:DY42=CU21)*EC3:EC42)+SUMPRODUCT((DV3:DV42=CU24)*(DY3:DY42=CU21)*EC3:EC42)</f>
        <v>0</v>
      </c>
      <c r="DI21" s="147">
        <f>SUMPRODUCT((DV3:DV42=CU21)*(DY3:DY42=CU22)*ED3:ED42)+SUMPRODUCT((DV3:DV42=CU21)*(DY3:DY42=CU23)*ED3:ED42)+SUMPRODUCT((DV3:DV42=CU21)*(DY3:DY42=CU24)*ED3:ED42)+SUMPRODUCT((DV3:DV42=CU22)*(DY3:DY42=CU21)*EE3:EE42)+SUMPRODUCT((DV3:DV42=CU23)*(DY3:DY42=CU21)*EE3:EE42)+SUMPRODUCT((DV3:DV42=CU24)*(DY3:DY42=CU21)*EE3:EE42)</f>
        <v>0</v>
      </c>
      <c r="DJ21" s="147">
        <f>CV21*4+CW21*2+DH21+DI21</f>
        <v>0</v>
      </c>
      <c r="DK21" s="147" t="str">
        <f>IF(CU21&lt;&gt;"",RANK(DJ21,DJ21:DJ24),"")</f>
        <v/>
      </c>
      <c r="DL21" s="147">
        <f>SUMPRODUCT((DJ21:DJ24=DJ21)*(DA21:DA24&gt;DA21))</f>
        <v>0</v>
      </c>
      <c r="DM21" s="147">
        <f>SUMPRODUCT((DJ21:DJ24=DJ21)*(DA21:DA24=DA21)*(DD21:DD24&gt;DD21))</f>
        <v>0</v>
      </c>
      <c r="DN21" s="147">
        <f>SUMPRODUCT((DJ18:DJ22=DJ21)*(DA18:DA22=DA21)*(DD18:DD22=DD21)*(DE18:DE22&gt;DE21))</f>
        <v>0</v>
      </c>
      <c r="DO21" s="147">
        <f>SUMPRODUCT((DJ18:DJ22=DJ21)*(DA18:DA22=DA21)*(DD18:DD22=DD21)*(DE18:DE22=DE21)*(DF18:DF22&gt;DF21))</f>
        <v>0</v>
      </c>
      <c r="DP21" s="147">
        <f>SUMPRODUCT((DJ18:DJ22=DJ21)*(DA18:DA22=DA21)*(DD18:DD22=DD21)*(DE18:DE22=DE21)*(DF18:DF22=DF21)*(DG18:DG22&gt;DG21))</f>
        <v>0</v>
      </c>
      <c r="DQ21" s="147" t="str">
        <f t="shared" ref="DQ21:DQ22" si="44">IF(CU21&lt;&gt;"",SUM(DK21:DP21)+3,"")</f>
        <v/>
      </c>
      <c r="DR21" s="147" t="str">
        <f>IF(CU21&lt;&gt;"",IF(DQ21=4,CU21,CU22),"")</f>
        <v/>
      </c>
      <c r="DS21" s="147" t="str">
        <f>IF(DR21&lt;&gt;"",DR21,IF(CT21&lt;&gt;"",CT21,IF(BV21&lt;&gt;"",BV21,IF(AX21&lt;&gt;"",AX21,T21))))</f>
        <v>Georgia</v>
      </c>
      <c r="DT21" s="147">
        <v>4</v>
      </c>
      <c r="DU21" s="147">
        <v>19</v>
      </c>
      <c r="DV21" s="147" t="str">
        <f>Tournament!H30</f>
        <v>Argentina</v>
      </c>
      <c r="DW21" s="147">
        <f>IF(AND(Tournament!J30&lt;&gt;"",Tournament!L30&lt;&gt;""),Tournament!J30,0)</f>
        <v>0</v>
      </c>
      <c r="DX21" s="147">
        <f>IF(AND(Tournament!L30&lt;&gt;"",Tournament!J30&lt;&gt;""),Tournament!L30,0)</f>
        <v>0</v>
      </c>
      <c r="DY21" s="147" t="str">
        <f>Tournament!N30</f>
        <v>Samoa</v>
      </c>
      <c r="DZ21" s="147">
        <f>IF(Tournament!O30&lt;&gt;"",Tournament!O30,0)</f>
        <v>0</v>
      </c>
      <c r="EA21" s="147">
        <f>IF(Tournament!Q30&lt;&gt;"",Tournament!Q30,0)</f>
        <v>0</v>
      </c>
      <c r="EB21" s="147">
        <f>IF(DW21&lt;&gt;"",IF(Tournament!O30&gt;3,1,0),0)</f>
        <v>0</v>
      </c>
      <c r="EC21" s="147">
        <f>IF(DX21&lt;&gt;"",IF(Tournament!Q30&gt;3,1,0),0)</f>
        <v>0</v>
      </c>
      <c r="ED21" s="147">
        <f t="shared" si="0"/>
        <v>0</v>
      </c>
      <c r="EE21" s="147">
        <f t="shared" si="1"/>
        <v>0</v>
      </c>
      <c r="EF21" s="147" t="str">
        <f>IF(AND(Tournament!J30&lt;&gt;"",Tournament!L30&lt;&gt;""),IF(DW21&gt;DX21,"W",IF(DW21=DX21,"D","L")),"")</f>
        <v/>
      </c>
      <c r="EG21" s="161" t="str">
        <f t="shared" si="2"/>
        <v/>
      </c>
    </row>
    <row r="22" spans="1:137" x14ac:dyDescent="0.45">
      <c r="A22" s="147">
        <f>VLOOKUP(B22,DS18:DT22,2,FALSE)</f>
        <v>3</v>
      </c>
      <c r="B22" s="147" t="s">
        <v>35</v>
      </c>
      <c r="C22" s="147">
        <f>COUNTIFS(DV3:DV42,B22,EF3:EF42,"W")+COUNTIFS(DY3:DY42,B22,EG3:EG42,"W")</f>
        <v>0</v>
      </c>
      <c r="D22" s="147">
        <f>COUNTIFS(DV3:DV42,B22,EF3:EF42,"D")+COUNTIFS(DY3:DY42,B22,EG3:EG42,"D")</f>
        <v>0</v>
      </c>
      <c r="E22" s="147">
        <f>COUNTIFS(DV3:DV42,B22,EF3:EF42,"L")+COUNTIFS(DY3:DY42,B22,EG3:EG42,"L")</f>
        <v>0</v>
      </c>
      <c r="F22" s="147">
        <f>SUMIF(DV3:DV60,B22,DW3:DW60)+SUMIF(DY3:DY60,B22,DX3:DX60)</f>
        <v>0</v>
      </c>
      <c r="G22" s="147">
        <f>SUMIF(DY3:DY60,B22,DW3:DW60)+SUMIF(DV3:DV60,B22,DX3:DX60)</f>
        <v>0</v>
      </c>
      <c r="H22" s="147">
        <f t="shared" si="30"/>
        <v>1000</v>
      </c>
      <c r="I22" s="147">
        <f>SUMIF(Tournament!H12:H51,B22,Tournament!O12:O51)+SUMIF(Tournament!N12:N51,B22,Tournament!Q12:Q51)</f>
        <v>0</v>
      </c>
      <c r="J22" s="147">
        <f>SUMIF(Tournament!N12:N51,B22,Tournament!O12:O51)+SUMIF(Tournament!H12:H51,B22,Tournament!Q12:Q51)</f>
        <v>0</v>
      </c>
      <c r="K22" s="147">
        <f t="shared" si="31"/>
        <v>1000</v>
      </c>
      <c r="L22" s="147">
        <f t="shared" si="32"/>
        <v>0</v>
      </c>
      <c r="M22" s="147">
        <f>SUMIF(DV:DV,B22,EB:EB)+SUMIF(DY:DY,B22,EC:EC)</f>
        <v>0</v>
      </c>
      <c r="N22" s="147">
        <f>SUMIF(DV:DV,B22,ED:ED)+SUMIF(DY:DY,B22,EE:EE)</f>
        <v>0</v>
      </c>
      <c r="O22" s="147">
        <f t="shared" si="33"/>
        <v>0</v>
      </c>
      <c r="P22" s="147">
        <v>13</v>
      </c>
      <c r="Q22" s="147">
        <f>RANK(O22,O18:O22)</f>
        <v>1</v>
      </c>
      <c r="S22" s="147">
        <f>RANK(O22,O18:O22)+COUNTIF(O18:O22,O22)-1</f>
        <v>5</v>
      </c>
      <c r="T22" s="147" t="str">
        <f>INDEX(B18:B22,MATCH(5,S18:S22,0),0)</f>
        <v>Wales</v>
      </c>
      <c r="U22" s="147">
        <f>INDEX(Q18:Q22,MATCH(T22,B18:B22,0),0)</f>
        <v>1</v>
      </c>
      <c r="V22" s="147" t="str">
        <f>IF(AND(V21&lt;&gt;"",U22=1),T22,"")</f>
        <v>Wales</v>
      </c>
      <c r="AA22" s="147" t="str">
        <f t="shared" si="35"/>
        <v>Wales</v>
      </c>
      <c r="AB22" s="147">
        <f>SUMPRODUCT((DV3:DV42=AA22)*(DY3:DY42=AA18)*(EF3:EF42="W"))+SUMPRODUCT((DV3:DV42=AA22)*(DY3:DY42=AA19)*(EF3:EF42="W"))+SUMPRODUCT((DV3:DV42=AA22)*(DY3:DY42=AA20)*(EF3:EF42="W"))+SUMPRODUCT((DV3:DV42=AA22)*(DY3:DY42=AA21)*(EF3:EF42="W"))+SUMPRODUCT((DV3:DV42=AA18)*(DY3:DY42=AA22)*(EG3:EG42="W"))+SUMPRODUCT((DV3:DV42=AA19)*(DY3:DY42=AA22)*(EG3:EG42="W"))+SUMPRODUCT((DV3:DV42=AA20)*(DY3:DY42=AA22)*(EG3:EG42="W"))+SUMPRODUCT((DV3:DV42=AA21)*(DY3:DY42=AA22)*(EG3:EG42="W"))</f>
        <v>0</v>
      </c>
      <c r="AC22" s="147">
        <f>SUMPRODUCT((DV3:DV42=AA22)*(DY3:DY42=AA18)*(EF3:EF42="D"))+SUMPRODUCT((DV3:DV42=AA22)*(DY3:DY42=AA19)*(EF3:EF42="D"))+SUMPRODUCT((DV3:DV42=AA22)*(DY3:DY42=AA20)*(EF3:EF42="D"))+SUMPRODUCT((DV3:DV42=AA22)*(DY3:DY42=AA21)*(EF3:EF42="D"))+SUMPRODUCT((DV3:DV42=AA18)*(DY3:DY42=AA22)*(EF3:EF42="D"))+SUMPRODUCT((DV3:DV42=AA19)*(DY3:DY42=AA22)*(EF3:EF42="D"))+SUMPRODUCT((DV3:DV42=AA20)*(DY3:DY42=AA22)*(EF3:EF42="D"))+SUMPRODUCT((DV3:DV42=AA21)*(DY3:DY42=AA22)*(EF3:EF42="D"))</f>
        <v>0</v>
      </c>
      <c r="AD22" s="147">
        <f>SUMPRODUCT((DV3:DV42=AA22)*(DY3:DY42=AA18)*(EF3:EF42="L"))+SUMPRODUCT((DV3:DV42=AA22)*(DY3:DY42=AA19)*(EF3:EF42="L"))+SUMPRODUCT((DV3:DV42=AA22)*(DY3:DY42=AA20)*(EF3:EF42="L"))+SUMPRODUCT((DV3:DV42=AA22)*(DY3:DY42=AA21)*(EF3:EF42="L"))+SUMPRODUCT((DV3:DV42=AA18)*(DY3:DY42=AA22)*(EG3:EG42="L"))+SUMPRODUCT((DV3:DV42=AA19)*(DY3:DY42=AA22)*(EG3:EG42="L"))+SUMPRODUCT((DV3:DV42=AA20)*(DY3:DY42=AA22)*(EG3:EG42="L"))+SUMPRODUCT((DV3:DV42=AA21)*(DY3:DY42=AA22)*(EG3:EG42="L"))</f>
        <v>0</v>
      </c>
      <c r="AE22" s="147">
        <f>IF(AA22&lt;&gt;"",VLOOKUP(AA22,B4:F29,5,FALSE),0)</f>
        <v>0</v>
      </c>
      <c r="AF22" s="147">
        <f>IF(AA22&lt;&gt;"",VLOOKUP(AA22,B4:G29,6,FALSE),0)</f>
        <v>0</v>
      </c>
      <c r="AG22" s="147">
        <f>AE22-AF22+1000</f>
        <v>1000</v>
      </c>
      <c r="AH22" s="147">
        <f>IF(AA22&lt;&gt;"",VLOOKUP(AA22,B4:I29,8,FALSE),0)</f>
        <v>0</v>
      </c>
      <c r="AI22" s="147">
        <f>IF(AA22&lt;&gt;"",VLOOKUP(AA22,B4:J29,9,FALSE),0)</f>
        <v>0</v>
      </c>
      <c r="AJ22" s="147">
        <f>IF(AA22&lt;&gt;"",AH22-AI22+1000,"")</f>
        <v>1000</v>
      </c>
      <c r="AK22" s="147">
        <f>IF(AA22&lt;&gt;"",VLOOKUP(AA22,B18:F22,5,FALSE),"")</f>
        <v>0</v>
      </c>
      <c r="AL22" s="147">
        <f>IF(AA22&lt;&gt;"",VLOOKUP(AA22,B18:I22,8,FALSE),"")</f>
        <v>0</v>
      </c>
      <c r="AM22" s="147">
        <f>IF(AA22&lt;&gt;"",VLOOKUP(AA22,B18:P22,15,FALSE),"")</f>
        <v>13</v>
      </c>
      <c r="AN22" s="147">
        <f>SUMPRODUCT((DV3:DV42=AA22)*(DY3:DY42=AA18)*EB3:EB42)+SUMPRODUCT((DV3:DV42=AA22)*(DY3:DY42=AA19)*EB3:EB42)+SUMPRODUCT((DV3:DV42=AA22)*(DY3:DY42=AA20)*EB3:EB42)+SUMPRODUCT((DV3:DV42=AA22)*(DY3:DY42=AA21)*EB3:EB42)+SUMPRODUCT((DV3:DV42=AA18)*(DY3:DY42=AA22)*EC3:EC42)+SUMPRODUCT((DV3:DV42=AA19)*(DY3:DY42=AA22)*EC3:EC42)+SUMPRODUCT((DV3:DV42=AA20)*(DY3:DY42=AA22)*EC3:EC42)+SUMPRODUCT((DV3:DV42=AA21)*(DY3:DY42=AA22)*EC3:EC42)</f>
        <v>0</v>
      </c>
      <c r="AO22" s="147">
        <f>SUMPRODUCT((DV3:DV42=AA22)*(DY3:DY42=AA18)*ED3:ED42)+SUMPRODUCT((DV3:DV42=AA22)*(DY3:DY42=AA19)*ED3:ED42)+SUMPRODUCT((DV3:DV42=AA22)*(DY3:DY42=AA20)*ED3:ED42)+SUMPRODUCT((DV3:DV42=AA22)*(DY3:DY42=AA21)*ED3:ED42)+SUMPRODUCT((DV3:DV42=AA18)*(DY3:DY42=AA22)*EE3:EE42)+SUMPRODUCT((DV3:DV42=AA19)*(DY3:DY42=AA22)*EE3:EE42)+SUMPRODUCT((DV3:DV42=AA20)*(DY3:DY42=AA22)*EE3:EE42)+SUMPRODUCT((DV3:DV42=AA21)*(DY3:DY42=AA22)*EE3:EE42)</f>
        <v>0</v>
      </c>
      <c r="AP22" s="147">
        <f>IF(AA22&lt;&gt;"",AB22*4+AC22*2+AN22+AO22,"")</f>
        <v>0</v>
      </c>
      <c r="AQ22" s="147">
        <f>IF(AA22&lt;&gt;"",RANK(AP22,AP18:AP22),"")</f>
        <v>1</v>
      </c>
      <c r="AR22" s="147">
        <f>SUMPRODUCT((AP18:AP22=AP22)*(AG18:AG22&gt;AG22))</f>
        <v>0</v>
      </c>
      <c r="AS22" s="147">
        <f>SUMPRODUCT((AP18:AP22=AP22)*(AG18:AG22=AG22)*(AJ18:AJ22&gt;AJ22))</f>
        <v>0</v>
      </c>
      <c r="AT22" s="147">
        <f>SUMPRODUCT((AP18:AP22=AP22)*(AG18:AG22=AG22)*(AJ18:AJ22=AJ22)*(AK18:AK22&gt;AK22))</f>
        <v>0</v>
      </c>
      <c r="AU22" s="147">
        <f>SUMPRODUCT((AP18:AP22=AP22)*(AG18:AG22=AG22)*(AJ18:AJ22=AJ22)*(AK18:AK22=AK22)*(AL18:AL22&gt;AL22))</f>
        <v>0</v>
      </c>
      <c r="AV22" s="147">
        <f>SUMPRODUCT((AP18:AP22=AP22)*(AG18:AG22=AG22)*(AJ18:AJ22=AJ22)*(AK18:AK22=AK22)*(AL18:AL22=AL22)*(AM18:AM22&gt;AM22))</f>
        <v>2</v>
      </c>
      <c r="AW22" s="147">
        <f t="shared" si="38"/>
        <v>3</v>
      </c>
      <c r="AX22" s="147" t="str">
        <f>IF(AA22&lt;&gt;"",INDEX(AA18:AA22,MATCH(5,AW18:AW22,0),0),"")</f>
        <v>Portugal</v>
      </c>
      <c r="AY22" s="147" t="str">
        <f>IF(W21&lt;&gt;"",W21,"")</f>
        <v/>
      </c>
      <c r="AZ22" s="147" t="str">
        <f>IF(AY22&lt;&gt;"",SUMPRODUCT((DV3:DV42=AY22)*(DY3:DY42=AY19)*(EF3:EF42="W"))+SUMPRODUCT((DV3:DV42=AY22)*(DY3:DY42=AY20)*(EF3:EF42="W"))+SUMPRODUCT((DV3:DV42=AY22)*(DY3:DY42=AY21)*(EF3:EF42="W"))+SUMPRODUCT((DV3:DV42=AY19)*(DY3:DY42=AY22)*(EF3:EF42="W"))+SUMPRODUCT((DV3:DV42=AY20)*(DY3:DY42=AY22)*(EF3:EF42="W"))+SUMPRODUCT((DV3:DV42=AY21)*(DY3:DY42=AY22)*(EF3:EF42="W")),"")</f>
        <v/>
      </c>
      <c r="BA22" s="147" t="str">
        <f>IF(AY22&lt;&gt;"",SUMPRODUCT((DV3:DV42=AY22)*(DY3:DY42=AY19)*(EF3:EF42="D"))+SUMPRODUCT((DV3:DV42=AY22)*(DY3:DY42=AY20)*(EF3:EF42="D"))+SUMPRODUCT((DV3:DV42=AY22)*(DY3:DY42=AY21)*(EF3:EF42="D"))+SUMPRODUCT((DV3:DV42=AY19)*(DY3:DY42=AY22)*(EF3:EF42="D"))+SUMPRODUCT((DV3:DV42=AY20)*(DY3:DY42=AY22)*(EF3:EF42="D"))+SUMPRODUCT((DV3:DV42=AY21)*(DY3:DY42=AY22)*(EF3:EF42="D")),"")</f>
        <v/>
      </c>
      <c r="BB22" s="147" t="str">
        <f>IF(AY22&lt;&gt;"",SUMPRODUCT((DV3:DV42=AY22)*(DY3:DY42=AY19)*(EF3:EF42="L"))+SUMPRODUCT((DV3:DV42=AY22)*(DY3:DY42=AY20)*(EF3:EF42="L"))+SUMPRODUCT((DV3:DV42=AY22)*(DY3:DY42=AY21)*(EF3:EF42="L"))+SUMPRODUCT((DV3:DV42=AY19)*(DY3:DY42=AY22)*(EF3:EF42="L"))+SUMPRODUCT((DV3:DV42=AY20)*(DY3:DY42=AY22)*(EF3:EF42="L"))+SUMPRODUCT((DV3:DV42=AY21)*(DY3:DY42=AY22)*(EF3:EF42="L")),"")</f>
        <v/>
      </c>
      <c r="BC22" s="147">
        <f>IF(AY22&lt;&gt;"",VLOOKUP(AY22,B4:F29,5,FALSE),0)</f>
        <v>0</v>
      </c>
      <c r="BD22" s="147">
        <f>IF(AY22&lt;&gt;"",VLOOKUP(AY22,B4:G29,6,FALSE),0)</f>
        <v>0</v>
      </c>
      <c r="BE22" s="147">
        <f>BC22-BD22+1000</f>
        <v>1000</v>
      </c>
      <c r="BF22" s="147">
        <f>IF(AY22&lt;&gt;"",VLOOKUP(AY22,B4:I29,8,FALSE),0)</f>
        <v>0</v>
      </c>
      <c r="BG22" s="147">
        <f>IF(AY22&lt;&gt;"",VLOOKUP(AY22,B4:J29,9,FALSE),0)</f>
        <v>0</v>
      </c>
      <c r="BH22" s="147" t="str">
        <f>IF(AY22&lt;&gt;"",BF22-BG22+1000,"")</f>
        <v/>
      </c>
      <c r="BI22" s="147" t="str">
        <f>IF(AY22&lt;&gt;"",VLOOKUP(AY22,B18:F22,5,FALSE),"")</f>
        <v/>
      </c>
      <c r="BJ22" s="147" t="str">
        <f>IF(AY22&lt;&gt;"",VLOOKUP(AY22,B18:I22,8,FALSE),"")</f>
        <v/>
      </c>
      <c r="BK22" s="147" t="str">
        <f>IF(AY22&lt;&gt;"",VLOOKUP(AY22,B18:P22,15,FALSE),"")</f>
        <v/>
      </c>
      <c r="BL22" s="147" t="str">
        <f>IF(AY22&lt;&gt;"",SUMPRODUCT((DV3:DV42=AY22)*(DY3:DY42=AY19)*EB3:EB42)+SUMPRODUCT((DV3:DV42=AY22)*(DY3:DY42=AY20)*EB3:EB42)+SUMPRODUCT((DV3:DV42=AY22)*(DY3:DY42=AY21)*EB3:EB42)+SUMPRODUCT((DV3:DV42=AY19)*(DY3:DY42=AY22)*EC3:EC42)+SUMPRODUCT((DV3:DV42=AY20)*(DY3:DY42=AY22)*EC3:EC42)+SUMPRODUCT((DV3:DV42=AY21)*(DY3:DY42=AY22)*EC3:EC42),"")</f>
        <v/>
      </c>
      <c r="BM22" s="147" t="str">
        <f>IF(AY22&lt;&gt;"",SUMPRODUCT((DV3:DV42=AY22)*(DY3:DY42=AY19)*ED3:ED42)+SUMPRODUCT((DV3:DV42=AY22)*(DY3:DY42=AY20)*ED3:ED42)+SUMPRODUCT((DV3:DV42=AY22)*(DY3:DY42=AY21)*ED3:ED42)+SUMPRODUCT((DV3:DV42=AY19)*(DY3:DY42=AY22)*EE3:EE42)+SUMPRODUCT((DV3:DV42=AY20)*(DY3:DY42=AY22)*EE3:EE42)+SUMPRODUCT((DV3:DV42=AY21)*(DY3:DY42=AY22)*EE3:EE42),"")</f>
        <v/>
      </c>
      <c r="BN22" s="147" t="str">
        <f>IF(AY22&lt;&gt;"",AZ22*4+BA22*2+BL22+BM22,"")</f>
        <v/>
      </c>
      <c r="BO22" s="147" t="str">
        <f>IF(AY22&lt;&gt;"",RANK(BN22,BN19:BN22),"")</f>
        <v/>
      </c>
      <c r="BP22" s="147">
        <f>SUMPRODUCT((BN19:BN22=BN22)*(BE19:BE22&gt;BE22))</f>
        <v>0</v>
      </c>
      <c r="BQ22" s="147">
        <f>SUMPRODUCT((BN19:BN22=BN22)*(BE19:BE22=BE22)*(BH19:BH22&gt;BH22))</f>
        <v>0</v>
      </c>
      <c r="BR22" s="147">
        <f>SUMPRODUCT((BN18:BN22=BN22)*(BE18:BE22=BE22)*(BH18:BH22=BH22)*(BI18:BI22&gt;BI22))</f>
        <v>0</v>
      </c>
      <c r="BS22" s="147">
        <f>SUMPRODUCT((BN18:BN22=BN22)*(BE18:BE22=BE22)*(BH18:BH22=BH22)*(BI18:BI22=BI22)*(BJ18:BJ22&gt;BJ22))</f>
        <v>0</v>
      </c>
      <c r="BT22" s="147">
        <f>SUMPRODUCT((BN18:BN22=BN22)*(BE18:BE22=BE22)*(BH18:BH22=BH22)*(BI18:BI22=BI22)*(BJ18:BJ22=BJ22)*(BK18:BK22&gt;BK22))</f>
        <v>0</v>
      </c>
      <c r="BU22" s="147" t="str">
        <f t="shared" si="39"/>
        <v/>
      </c>
      <c r="BV22" s="147" t="str">
        <f>IF(AY22&lt;&gt;"",INDEX(AY19:AY22,MATCH(5,BU19:BU22,0),0),"")</f>
        <v/>
      </c>
      <c r="BW22" s="147" t="str">
        <f>IF(X20&lt;&gt;"",X20,"")</f>
        <v/>
      </c>
      <c r="BX22" s="147" t="str">
        <f>IF(BW22&lt;&gt;"",SUMPRODUCT((DV3:DV42=BW22)*(DY3:DY42=BW23)*(EF3:EF42="W"))+SUMPRODUCT((DV3:DV42=BW22)*(DY3:DY42=BW20)*(EF3:EF42="W"))+SUMPRODUCT((DV3:DV42=BW22)*(DY3:DY42=BW21)*(EF3:EF42="W"))+SUMPRODUCT((DV3:DV42=BW23)*(DY3:DY42=BW22)*(EG3:EG42="W"))+SUMPRODUCT((DV3:DV42=BW20)*(DY3:DY42=BW22)*(EG3:EG42="W"))+SUMPRODUCT((DV3:DV42=BW21)*(DY3:DY42=BW22)*(EG3:EG42="W")),"")</f>
        <v/>
      </c>
      <c r="BY22" s="147" t="str">
        <f>IF(BW22&lt;&gt;"",SUMPRODUCT((DV3:DV42=BW22)*(DY3:DY42=BW23)*(EF3:EF42="D"))+SUMPRODUCT((DV3:DV42=BW22)*(DY3:DY42=BW20)*(EF3:EF42="D"))+SUMPRODUCT((DV3:DV42=BW22)*(DY3:DY42=BW21)*(EF3:EF42="D"))+SUMPRODUCT((DV3:DV42=BW23)*(DY3:DY42=BW22)*(EF3:EF42="D"))+SUMPRODUCT((DV3:DV42=BW20)*(DY3:DY42=BW22)*(EF3:EF42="D"))+SUMPRODUCT((DV3:DV42=BW21)*(DY3:DY42=BW22)*(EF3:EF42="D")),"")</f>
        <v/>
      </c>
      <c r="BZ22" s="147" t="str">
        <f>IF(BW22&lt;&gt;"",SUMPRODUCT((DV3:DV42=BW22)*(DY3:DY42=BW23)*(EF3:EF42="L"))+SUMPRODUCT((DV3:DV42=BW22)*(DY3:DY42=BW20)*(EF3:EF42="L"))+SUMPRODUCT((DV3:DV42=BW22)*(DY3:DY42=BW21)*(EF3:EF42="L"))+SUMPRODUCT((DV3:DV42=BW23)*(DY3:DY42=BW22)*(EG3:EG42="L"))+SUMPRODUCT((DV3:DV42=BW20)*(DY3:DY42=BW22)*(EG3:EG42="L"))+SUMPRODUCT((DV3:DV42=BW21)*(DY3:DY42=BW22)*(EG3:EG42="L")),"")</f>
        <v/>
      </c>
      <c r="CA22" s="147">
        <f>IF(BW22&lt;&gt;"",VLOOKUP(BW22,B4:F29,5,FALSE),0)</f>
        <v>0</v>
      </c>
      <c r="CB22" s="147">
        <f>IF(BW22&lt;&gt;"",VLOOKUP(BW22,B4:G29,6,FALSE),0)</f>
        <v>0</v>
      </c>
      <c r="CC22" s="147">
        <f>CA22-CB22+1000</f>
        <v>1000</v>
      </c>
      <c r="CD22" s="147">
        <f>IF(BW22&lt;&gt;"",VLOOKUP(BW22,B4:I29,8,FALSE),0)</f>
        <v>0</v>
      </c>
      <c r="CE22" s="147">
        <f>IF(BW22&lt;&gt;"",VLOOKUP(BW22,B4:J29,9,FALSE),0)</f>
        <v>0</v>
      </c>
      <c r="CF22" s="147" t="str">
        <f>IF(BW22&lt;&gt;"",CD22-CE22+1000,"")</f>
        <v/>
      </c>
      <c r="CG22" s="147" t="str">
        <f>IF(BW22&lt;&gt;"",VLOOKUP(BW22,B18:F22,5,FALSE),"")</f>
        <v/>
      </c>
      <c r="CH22" s="147" t="str">
        <f>IF(BW22&lt;&gt;"",VLOOKUP(BW22,B18:I22,8,FALSE),"")</f>
        <v/>
      </c>
      <c r="CI22" s="147" t="str">
        <f>IF(BW22&lt;&gt;"",VLOOKUP(BW22,B18:P22,15,FALSE),"")</f>
        <v/>
      </c>
      <c r="CJ22" s="147" t="str">
        <f>IF(BW22&lt;&gt;"",SUMPRODUCT((DV3:DV42=BW22)*(DY3:DY42=BW23)*EB3:EB42)+SUMPRODUCT((DV3:DV42=BW22)*(DY3:DY42=BW20)*EB3:EB42)+SUMPRODUCT((DV3:DV42=BW22)*(DY3:DY42=BW21)*EB3:EB42)+SUMPRODUCT((DV3:DV42=BW23)*(DY3:DY42=BW22)*EC3:EC42)+SUMPRODUCT((DV3:DV42=BW20)*(DY3:DY42=BW22)*EC3:EC42)+SUMPRODUCT((DV3:DV42=BW21)*(DY3:DY42=BW22)*EC3:EC42),"")</f>
        <v/>
      </c>
      <c r="CK22" s="147" t="str">
        <f>IF(BW22&lt;&gt;"",SUMPRODUCT((DV3:DV42=BW22)*(DY3:DY42=BW23)*ED3:ED42)+SUMPRODUCT((DV3:DV42=BW22)*(DY3:DY42=BW20)*ED3:ED42)+SUMPRODUCT((DV3:DV42=BW22)*(DY3:DY42=BW21)*ED3:ED42)+SUMPRODUCT((DV3:DV42=BW23)*(DY3:DY42=BW22)*EE3:EE42)+SUMPRODUCT((DV3:DV42=BW20)*(DY3:DY42=BW22)*EE3:EE42)+SUMPRODUCT((DV3:DV42=BW21)*(DY3:DY42=BW22)*EE3:EE42),"")</f>
        <v/>
      </c>
      <c r="CL22" s="147" t="str">
        <f>IF(BW22&lt;&gt;"",BX22*4+BY22*2+CJ22+CK22,"")</f>
        <v/>
      </c>
      <c r="CM22" s="147" t="str">
        <f>IF(BW22&lt;&gt;"",RANK(CL22,CL20:CL23),"")</f>
        <v/>
      </c>
      <c r="CN22" s="147">
        <f>SUMPRODUCT((CL20:CL23=CL22)*(CC20:CC23&gt;CC22))</f>
        <v>0</v>
      </c>
      <c r="CO22" s="147">
        <f>SUMPRODUCT((CL20:CL23=CL22)*(CC20:CC23=CC22)*(CF20:CF23&gt;CF22))</f>
        <v>0</v>
      </c>
      <c r="CP22" s="147">
        <f>SUMPRODUCT((CL18:CL22=CL22)*(CC18:CC22=CC22)*(CF18:CF22=CF22)*(CG18:CG22&gt;CG22))</f>
        <v>0</v>
      </c>
      <c r="CQ22" s="147">
        <f>SUMPRODUCT((CL18:CL22=CL22)*(CC18:CC22=CC22)*(CF18:CF22=CF22)*(CG18:CG22=CG22)*(CH18:CH22&gt;CH22))</f>
        <v>0</v>
      </c>
      <c r="CR22" s="147">
        <f>SUMPRODUCT((CL18:CL22=CL22)*(CC18:CC22=CC22)*(CF18:CF22=CF22)*(CG18:CG22=CG22)*(CH18:CH22=CH22)*(CI18:CI22&gt;CI22))</f>
        <v>0</v>
      </c>
      <c r="CS22" s="147" t="str">
        <f t="shared" si="41"/>
        <v/>
      </c>
      <c r="CT22" s="147" t="str">
        <f>IF(BW22&lt;&gt;"",INDEX(BW20:BW22,MATCH(5,CS20:CS22,0),0),"")</f>
        <v/>
      </c>
      <c r="CU22" s="147" t="str">
        <f>IF(Y19&lt;&gt;"",Y19,"")</f>
        <v/>
      </c>
      <c r="CV22" s="147">
        <f>SUMPRODUCT((DV3:DV42=CU22)*(DY3:DY42=CU23)*(EF3:EF42="W"))+SUMPRODUCT((DV3:DV42=CU22)*(DY3:DY42=CU24)*(EF3:EF42="W"))+SUMPRODUCT((DV3:DV42=CU22)*(DY3:DY42=CU21)*(EF3:EF42="W"))+SUMPRODUCT((DV3:DV42=CU23)*(DY3:DY42=CU22)*(EG3:EG42="W"))+SUMPRODUCT((DV3:DV42=CU24)*(DY3:DY42=CU22)*(EG3:EG42="W"))+SUMPRODUCT((DV3:DV42=CU21)*(DY3:DY42=CU22)*(EG3:EG42="W"))</f>
        <v>0</v>
      </c>
      <c r="CW22" s="147">
        <f>SUMPRODUCT((DV3:DV42=CU22)*(DY3:DY42=CU23)*(EF3:EF42="D"))+SUMPRODUCT((DV3:DV42=CU22)*(DY3:DY42=CU24)*(EF3:EF42="D"))+SUMPRODUCT((DV3:DV42=CU22)*(DY3:DY42=CU21)*(EF3:EF42="D"))+SUMPRODUCT((DV3:DV42=CU23)*(DY3:DY42=CU22)*(EF3:EF42="D"))+SUMPRODUCT((DV3:DV42=CU24)*(DY3:DY42=CU22)*(EF3:EF42="D"))+SUMPRODUCT((DV3:DV42=CU21)*(DY3:DY42=CU22)*(EF3:EF42="D"))</f>
        <v>0</v>
      </c>
      <c r="CX22" s="147">
        <f>SUMPRODUCT((DV3:DV42=CU22)*(DY3:DY42=CU23)*(EF3:EF42="L"))+SUMPRODUCT((DV3:DV42=CU22)*(DY3:DY42=CU24)*(EF3:EF42="L"))+SUMPRODUCT((DV3:DV42=CU22)*(DY3:DY42=CU21)*(EF3:EF42="L"))+SUMPRODUCT((DV3:DV42=CU23)*(DY3:DY42=CU22)*(EG3:EG42="L"))+SUMPRODUCT((DV3:DV42=CU24)*(DY3:DY42=CU22)*(EG3:EG42="L"))+SUMPRODUCT((DV3:DV42=CU21)*(DY3:DY42=CU22)*(EG3:EG42="L"))</f>
        <v>0</v>
      </c>
      <c r="CY22" s="147">
        <f>IF(CU22&lt;&gt;"",VLOOKUP(CU22,B4:F29,5,FALSE),0)</f>
        <v>0</v>
      </c>
      <c r="CZ22" s="147">
        <f>IF(CU22&lt;&gt;"",VLOOKUP(CU22,B4:G29,6,FALSE),0)</f>
        <v>0</v>
      </c>
      <c r="DA22" s="147">
        <f>CY22-CZ22+1000</f>
        <v>1000</v>
      </c>
      <c r="DB22" s="147">
        <f>IF(CU22&lt;&gt;"",VLOOKUP(CU22,B4:I29,8,FALSE),0)</f>
        <v>0</v>
      </c>
      <c r="DC22" s="147">
        <f>IF(CU22&lt;&gt;"",VLOOKUP(CU22,B4:J29,9,FALSE),0)</f>
        <v>0</v>
      </c>
      <c r="DD22" s="147">
        <f t="shared" ref="DD22" si="45">DB22-DC22+1000</f>
        <v>1000</v>
      </c>
      <c r="DE22" s="147" t="str">
        <f>IF(CU22&lt;&gt;"",VLOOKUP(CU22,B18:F22,5,FALSE),"")</f>
        <v/>
      </c>
      <c r="DF22" s="147" t="str">
        <f>IF(CU22&lt;&gt;"",VLOOKUP(CU22,B18:I22,8,FALSE),"")</f>
        <v/>
      </c>
      <c r="DG22" s="147" t="str">
        <f>IF(CU22&lt;&gt;"",VLOOKUP(CU22,B18:P22,15,FALSE),"")</f>
        <v/>
      </c>
      <c r="DH22" s="147">
        <f>SUMPRODUCT((DV3:DV42=CU22)*(DY3:DY42=CU23)*EB3:EB42)+SUMPRODUCT((DV3:DV42=CU22)*(DY3:DY42=CU24)*EB3:EB42)+SUMPRODUCT((DV3:DV42=CU22)*(DY3:DY42=CU21)*EB3:EB42)+SUMPRODUCT((DV3:DV42=CU23)*(DY3:DY42=CU22)*EC3:EC42)+SUMPRODUCT((DV3:DV42=CU24)*(DY3:DY42=CU22)*EC3:EC42)+SUMPRODUCT((DV3:DV42=CU21)*(DY3:DY42=CU22)*EC3:EC42)</f>
        <v>0</v>
      </c>
      <c r="DI22" s="147">
        <f>SUMPRODUCT((DV3:DV42=CU22)*(DY3:DY42=CU23)*ED3:ED42)+SUMPRODUCT((DV3:DV42=CU22)*(DY3:DY42=CU24)*ED3:ED42)+SUMPRODUCT((DV3:DV42=CU22)*(DY3:DY42=CU21)*ED3:ED42)+SUMPRODUCT((DV3:DV42=CU23)*(DY3:DY42=CU22)*EE3:EE42)+SUMPRODUCT((DV3:DV42=CU24)*(DY3:DY42=CU22)*EE3:EE42)+SUMPRODUCT((DV3:DV42=CU21)*(DY3:DY42=CU22)*EE3:EE42)</f>
        <v>0</v>
      </c>
      <c r="DJ22" s="147">
        <f t="shared" ref="DJ22" si="46">CV22*4+CW22*2+DH22+DI22</f>
        <v>0</v>
      </c>
      <c r="DK22" s="147" t="str">
        <f>IF(CU22&lt;&gt;"",RANK(DJ22,DJ21:DJ24),"")</f>
        <v/>
      </c>
      <c r="DL22" s="147">
        <f>SUMPRODUCT((DJ21:DJ24=DJ22)*(DA21:DA24&gt;DA22))</f>
        <v>0</v>
      </c>
      <c r="DM22" s="147">
        <f>SUMPRODUCT((DJ21:DJ24=DJ22)*(DA21:DA24=DA22)*(DD21:DD24&gt;DD22))</f>
        <v>0</v>
      </c>
      <c r="DN22" s="147">
        <f>SUMPRODUCT((DJ18:DJ22=DJ22)*(DA18:DA22=DA22)*(DD18:DD22=DD22)*(DE18:DE22&gt;DE22))</f>
        <v>0</v>
      </c>
      <c r="DO22" s="147">
        <f>SUMPRODUCT((DJ18:DJ22=DJ22)*(DA18:DA22=DA22)*(DD18:DD22=DD22)*(DE18:DE22=DE22)*(DF18:DF22&gt;DF22))</f>
        <v>0</v>
      </c>
      <c r="DP22" s="147">
        <f>SUMPRODUCT((DJ18:DJ22=DJ22)*(DA18:DA22=DA22)*(DD18:DD22=DD22)*(DE18:DE22=DE22)*(DF18:DF22=DF22)*(DG18:DG22&gt;DG22))</f>
        <v>0</v>
      </c>
      <c r="DQ22" s="147" t="str">
        <f t="shared" si="44"/>
        <v/>
      </c>
      <c r="DR22" s="147" t="str">
        <f>IF(CU21&lt;&gt;"",IF(CU21=DR21,CU22,CU21),"")</f>
        <v/>
      </c>
      <c r="DS22" s="147" t="str">
        <f>IF(DR22&lt;&gt;"",DR22,IF(CT22&lt;&gt;"",CT22,IF(BV22&lt;&gt;"",BV22,IF(AX22&lt;&gt;"",AX22,T22))))</f>
        <v>Portugal</v>
      </c>
      <c r="DT22" s="147">
        <v>5</v>
      </c>
      <c r="DU22" s="147">
        <v>20</v>
      </c>
      <c r="DV22" s="147" t="str">
        <f>Tournament!H31</f>
        <v>Georgia</v>
      </c>
      <c r="DW22" s="147">
        <f>IF(AND(Tournament!J31&lt;&gt;"",Tournament!L31&lt;&gt;""),Tournament!J31,0)</f>
        <v>0</v>
      </c>
      <c r="DX22" s="147">
        <f>IF(AND(Tournament!L31&lt;&gt;"",Tournament!J31&lt;&gt;""),Tournament!L31,0)</f>
        <v>0</v>
      </c>
      <c r="DY22" s="147" t="str">
        <f>Tournament!N31</f>
        <v>Portugal</v>
      </c>
      <c r="DZ22" s="147">
        <f>IF(Tournament!O31&lt;&gt;"",Tournament!O31,0)</f>
        <v>0</v>
      </c>
      <c r="EA22" s="147">
        <f>IF(Tournament!Q31&lt;&gt;"",Tournament!Q31,0)</f>
        <v>0</v>
      </c>
      <c r="EB22" s="147">
        <f>IF(DW22&lt;&gt;"",IF(Tournament!O31&gt;3,1,0),0)</f>
        <v>0</v>
      </c>
      <c r="EC22" s="147">
        <f>IF(DX22&lt;&gt;"",IF(Tournament!Q31&gt;3,1,0),0)</f>
        <v>0</v>
      </c>
      <c r="ED22" s="147">
        <f t="shared" si="0"/>
        <v>0</v>
      </c>
      <c r="EE22" s="147">
        <f t="shared" si="1"/>
        <v>0</v>
      </c>
      <c r="EF22" s="147" t="str">
        <f>IF(AND(Tournament!J31&lt;&gt;"",Tournament!L31&lt;&gt;""),IF(DW22&gt;DX22,"W",IF(DW22=DX22,"D","L")),"")</f>
        <v/>
      </c>
      <c r="EG22" s="161" t="str">
        <f t="shared" si="2"/>
        <v/>
      </c>
    </row>
    <row r="23" spans="1:137" x14ac:dyDescent="0.45">
      <c r="DU23" s="147">
        <v>21</v>
      </c>
      <c r="DV23" s="147" t="str">
        <f>Tournament!H32</f>
        <v>England</v>
      </c>
      <c r="DW23" s="147">
        <f>IF(AND(Tournament!J32&lt;&gt;"",Tournament!L32&lt;&gt;""),Tournament!J32,0)</f>
        <v>0</v>
      </c>
      <c r="DX23" s="147">
        <f>IF(AND(Tournament!L32&lt;&gt;"",Tournament!J32&lt;&gt;""),Tournament!L32,0)</f>
        <v>0</v>
      </c>
      <c r="DY23" s="147" t="str">
        <f>Tournament!N32</f>
        <v>Chile</v>
      </c>
      <c r="DZ23" s="147">
        <f>IF(Tournament!O32&lt;&gt;"",Tournament!O32,0)</f>
        <v>0</v>
      </c>
      <c r="EA23" s="147">
        <f>IF(Tournament!Q32&lt;&gt;"",Tournament!Q32,0)</f>
        <v>0</v>
      </c>
      <c r="EB23" s="147">
        <f>IF(DW23&lt;&gt;"",IF(Tournament!O32&gt;3,1,0),0)</f>
        <v>0</v>
      </c>
      <c r="EC23" s="147">
        <f>IF(DX23&lt;&gt;"",IF(Tournament!Q32&gt;3,1,0),0)</f>
        <v>0</v>
      </c>
      <c r="ED23" s="147">
        <f t="shared" si="0"/>
        <v>0</v>
      </c>
      <c r="EE23" s="147">
        <f t="shared" si="1"/>
        <v>0</v>
      </c>
      <c r="EF23" s="147" t="str">
        <f>IF(AND(Tournament!J32&lt;&gt;"",Tournament!L32&lt;&gt;""),IF(DW23&gt;DX23,"W",IF(DW23=DX23,"D","L")),"")</f>
        <v/>
      </c>
      <c r="EG23" s="161" t="str">
        <f t="shared" si="2"/>
        <v/>
      </c>
    </row>
    <row r="24" spans="1:137" x14ac:dyDescent="0.45">
      <c r="DU24" s="147">
        <v>22</v>
      </c>
      <c r="DV24" s="147" t="str">
        <f>Tournament!H33</f>
        <v>South Africa</v>
      </c>
      <c r="DW24" s="147">
        <f>IF(AND(Tournament!J33&lt;&gt;"",Tournament!L33&lt;&gt;""),Tournament!J33,0)</f>
        <v>0</v>
      </c>
      <c r="DX24" s="147">
        <f>IF(AND(Tournament!L33&lt;&gt;"",Tournament!J33&lt;&gt;""),Tournament!L33,0)</f>
        <v>0</v>
      </c>
      <c r="DY24" s="147" t="str">
        <f>Tournament!N33</f>
        <v>Ireland</v>
      </c>
      <c r="DZ24" s="147">
        <f>IF(Tournament!O33&lt;&gt;"",Tournament!O33,0)</f>
        <v>0</v>
      </c>
      <c r="EA24" s="147">
        <f>IF(Tournament!Q33&lt;&gt;"",Tournament!Q33,0)</f>
        <v>0</v>
      </c>
      <c r="EB24" s="147">
        <f>IF(DW24&lt;&gt;"",IF(Tournament!O33&gt;3,1,0),0)</f>
        <v>0</v>
      </c>
      <c r="EC24" s="147">
        <f>IF(DX24&lt;&gt;"",IF(Tournament!Q33&gt;3,1,0),0)</f>
        <v>0</v>
      </c>
      <c r="ED24" s="147">
        <f t="shared" si="0"/>
        <v>0</v>
      </c>
      <c r="EE24" s="147">
        <f t="shared" si="1"/>
        <v>0</v>
      </c>
      <c r="EF24" s="147" t="str">
        <f>IF(AND(Tournament!J33&lt;&gt;"",Tournament!L33&lt;&gt;""),IF(DW24&gt;DX24,"W",IF(DW24=DX24,"D","L")),"")</f>
        <v/>
      </c>
      <c r="EG24" s="161" t="str">
        <f t="shared" si="2"/>
        <v/>
      </c>
    </row>
    <row r="25" spans="1:137" x14ac:dyDescent="0.45">
      <c r="A25" s="147">
        <f>VLOOKUP(B25,DS25:DT29,2,FALSE)</f>
        <v>1</v>
      </c>
      <c r="B25" s="147" t="s">
        <v>3</v>
      </c>
      <c r="C25" s="147">
        <f>COUNTIFS(DV3:DV42,B25,EF3:EF42,"W")+COUNTIFS(DY3:DY42,B25,EG3:EG42,"W")</f>
        <v>0</v>
      </c>
      <c r="D25" s="147">
        <f>COUNTIFS(DV3:DV42,B25,EF3:EF42,"D")+COUNTIFS(DY3:DY42,B25,EG3:EG42,"D")</f>
        <v>0</v>
      </c>
      <c r="E25" s="147">
        <f>COUNTIFS(DV3:DV42,B25,EF3:EF42,"L")+COUNTIFS(DY3:DY42,B25,EG3:EG42,"L")</f>
        <v>0</v>
      </c>
      <c r="F25" s="147">
        <f>SUMIF(DV3:DV60,B25,DW3:DW60)+SUMIF(DY3:DY60,B25,DX3:DX60)</f>
        <v>0</v>
      </c>
      <c r="G25" s="147">
        <f>SUMIF(DY3:DY60,B25,DW3:DW60)+SUMIF(DV3:DV60,B25,DX3:DX60)</f>
        <v>0</v>
      </c>
      <c r="H25" s="147">
        <f t="shared" ref="H25:H29" si="47">F25-G25+1000</f>
        <v>1000</v>
      </c>
      <c r="I25" s="147">
        <f>SUMIF(Tournament!H12:H51,B25,Tournament!O12:O51)+SUMIF(Tournament!N12:N51,B25,Tournament!Q12:Q51)</f>
        <v>0</v>
      </c>
      <c r="J25" s="147">
        <f>SUMIF(Tournament!N12:N51,B25,Tournament!O12:O51)+SUMIF(Tournament!H12:H51,B25,Tournament!Q12:Q51)</f>
        <v>0</v>
      </c>
      <c r="K25" s="147">
        <f t="shared" ref="K25:K29" si="48">I25-J25+1000</f>
        <v>1000</v>
      </c>
      <c r="L25" s="147">
        <f t="shared" ref="L25:L29" si="49">C25*4+D25*2</f>
        <v>0</v>
      </c>
      <c r="M25" s="147">
        <f>SUMIF(DV:DV,B25,EB:EB)+SUMIF(DY:DY,B25,EC:EC)</f>
        <v>0</v>
      </c>
      <c r="N25" s="147">
        <f>SUMIF(DV:DV,B25,ED:ED)+SUMIF(DY:DY,B25,EE:EE)</f>
        <v>0</v>
      </c>
      <c r="O25" s="147">
        <f t="shared" ref="O25:O29" si="50">N25+M25+L25</f>
        <v>0</v>
      </c>
      <c r="P25" s="147">
        <v>17</v>
      </c>
      <c r="Q25" s="147">
        <f>RANK(O25,O25:O29)</f>
        <v>1</v>
      </c>
      <c r="S25" s="147">
        <f>RANK(O25,O25:O29)+COUNTIF(O25:O25,O25)-1</f>
        <v>1</v>
      </c>
      <c r="T25" s="147" t="str">
        <f>INDEX(B25:B29,MATCH(1,S25:S29,0),0)</f>
        <v>Argentina</v>
      </c>
      <c r="U25" s="147">
        <f>INDEX(Q25:Q29,MATCH(T25,B25:B29,0),0)</f>
        <v>1</v>
      </c>
      <c r="V25" s="147" t="str">
        <f>IF(U26=1,T25,"")</f>
        <v>Argentina</v>
      </c>
      <c r="W25" s="147" t="str">
        <f>IF(U27=2,T26,"")</f>
        <v/>
      </c>
      <c r="X25" s="147" t="str">
        <f>IF(U28=3,T27,"")</f>
        <v/>
      </c>
      <c r="Y25" s="147" t="str">
        <f>IF(U29=4,T28,"")</f>
        <v/>
      </c>
      <c r="AA25" s="147" t="str">
        <f>IF(V25&lt;&gt;"",V25,"")</f>
        <v>Argentina</v>
      </c>
      <c r="AB25" s="147">
        <f>SUMPRODUCT((DV3:DV42=AA25)*(DY3:DY42=AA26)*(EF3:EF42="W"))+SUMPRODUCT((DV3:DV42=AA25)*(DY3:DY42=AA27)*(EF3:EF42="W"))+SUMPRODUCT((DV3:DV42=AA25)*(DY3:DY42=AA28)*(EF3:EF42="W"))+SUMPRODUCT((DV3:DV42=AA25)*(DY3:DY42=AA29)*(EF3:EF42="W"))+SUMPRODUCT((DV3:DV42=AA26)*(DY3:DY42=AA25)*(EG3:EG42="W"))+SUMPRODUCT((DV3:DV42=AA27)*(DY3:DY42=AA25)*(EG3:EG42="W"))+SUMPRODUCT((DV3:DV42=AA28)*(DY3:DY42=AA25)*(EG3:EG42="W"))+SUMPRODUCT((DV3:DV42=AA29)*(DY3:DY42=AA25)*(EG3:EG42="W"))</f>
        <v>0</v>
      </c>
      <c r="AC25" s="147">
        <f>SUMPRODUCT((DV3:DV42=AA25)*(DY3:DY42=AA26)*(EF3:EF42="D"))+SUMPRODUCT((DV3:DV42=AA25)*(DY3:DY42=AA27)*(EF3:EF42="D"))+SUMPRODUCT((DV3:DV42=AA25)*(DY3:DY42=AA28)*(EF3:EF42="D"))+SUMPRODUCT((DV3:DV42=AA25)*(DY3:DY42=AA29)*(EF3:EF42="D"))+SUMPRODUCT((DV3:DV42=AA26)*(DY3:DY42=AA25)*(EF3:EF42="D"))+SUMPRODUCT((DV3:DV42=AA27)*(DY3:DY42=AA25)*(EF3:EF42="D"))+SUMPRODUCT((DV3:DV42=AA28)*(DY3:DY42=AA25)*(EF3:EF42="D"))+SUMPRODUCT((DV3:DV42=AA29)*(DY3:DY42=AA25)*(EF3:EF42="D"))</f>
        <v>0</v>
      </c>
      <c r="AD25" s="147">
        <f>SUMPRODUCT((DV3:DV42=AA25)*(DY3:DY42=AA26)*(EF3:EF42="L"))+SUMPRODUCT((DV3:DV42=AA25)*(DY3:DY42=AA27)*(EF3:EF42="L"))+SUMPRODUCT((DV3:DV42=AA25)*(DY3:DY42=AA28)*(EF3:EF42="L"))+SUMPRODUCT((DV3:DV42=AA25)*(DY3:DY42=AA29)*(EF3:EF42="L"))+SUMPRODUCT((DV3:DV42=AA26)*(DY3:DY42=AA25)*(EG3:EG42="L"))+SUMPRODUCT((DV3:DV42=AA27)*(DY3:DY42=AA25)*(EG3:EG42="L"))+SUMPRODUCT((DV3:DV42=AA28)*(DY3:DY42=AA25)*(EG3:EG42="L"))+SUMPRODUCT((DV3:DV42=AA29)*(DY3:DY42=AA25)*(EG3:EG42="L"))</f>
        <v>0</v>
      </c>
      <c r="AE25" s="147">
        <f>IF(AA25&lt;&gt;"",VLOOKUP(AA25,B4:F29,5,FALSE),0)</f>
        <v>0</v>
      </c>
      <c r="AF25" s="147">
        <f>IF(AA25&lt;&gt;"",VLOOKUP(AA25,B4:G29,6,FALSE),0)</f>
        <v>0</v>
      </c>
      <c r="AG25" s="147">
        <f>AE25-AF25+1000</f>
        <v>1000</v>
      </c>
      <c r="AH25" s="147">
        <f>IF(AA25&lt;&gt;"",VLOOKUP(AA25,B4:I29,8,FALSE),0)</f>
        <v>0</v>
      </c>
      <c r="AI25" s="147">
        <f>IF(AA25&lt;&gt;"",VLOOKUP(AA25,B4:J29,9,FALSE),0)</f>
        <v>0</v>
      </c>
      <c r="AJ25" s="147">
        <f>AH25-AI25+1000</f>
        <v>1000</v>
      </c>
      <c r="AK25" s="147">
        <f>IF(AA25&lt;&gt;"",VLOOKUP(AA25,B25:F29,5,FALSE),"")</f>
        <v>0</v>
      </c>
      <c r="AL25" s="147">
        <f>IF(AA25&lt;&gt;"",VLOOKUP(AA25,B25:I29,8,FALSE),"")</f>
        <v>0</v>
      </c>
      <c r="AM25" s="147">
        <f>IF(AA25&lt;&gt;"",VLOOKUP(AA25,B25:P29,15,FALSE),"")</f>
        <v>17</v>
      </c>
      <c r="AN25" s="147">
        <f>SUMPRODUCT((DV3:DV42=AA25)*(DY3:DY42=AA26)*EB3:EB42)+SUMPRODUCT((DV3:DV42=AA25)*(DY3:DY42=AA27)*EB3:EB42)+SUMPRODUCT((DV3:DV42=AA25)*(DY3:DY42=AA28)*EB3:EB42)+SUMPRODUCT((DV3:DV42=AA25)*(DY3:DY42=AA29)*EB3:EB42)+SUMPRODUCT((DV3:DV42=AA26)*(DY3:DY42=AA25)*EC3:EC42)+SUMPRODUCT((DV3:DV42=AA27)*(DY3:DY42=AA25)*EC3:EC42)+SUMPRODUCT((DV3:DV42=AA28)*(DY3:DY42=AA25)*EC3:EC42)+SUMPRODUCT((DV3:DV42=AA29)*(DY3:DY42=AA25)*EC3:EC42)</f>
        <v>0</v>
      </c>
      <c r="AO25" s="147">
        <f>SUMPRODUCT((DV3:DV42=AA25)*(DY3:DY42=AA26)*ED3:ED42)+SUMPRODUCT((DV3:DV42=AA25)*(DY3:DY42=AA27)*ED3:ED42)+SUMPRODUCT((DV3:DV42=AA25)*(DY3:DY42=AA28)*ED3:ED42)+SUMPRODUCT((DV3:DV42=AA25)*(DY3:DY42=AA29)*ED3:ED42)+SUMPRODUCT((DV3:DV42=AA26)*(DY3:DY42=AA25)*EE3:EE42)+SUMPRODUCT((DV3:DV42=AA27)*(DY3:DY42=AA25)*EE3:EE42)+SUMPRODUCT((DV3:DV42=AA28)*(DY3:DY42=AA25)*EE3:EE42)+SUMPRODUCT((DV3:DV42=AA29)*(DY3:DY42=AA25)*EE3:EE42)</f>
        <v>0</v>
      </c>
      <c r="AP25" s="147">
        <f>AB25*4+AC25*2+AN25+AO25</f>
        <v>0</v>
      </c>
      <c r="AQ25" s="147">
        <f>IF(AA25&lt;&gt;"",RANK(AP25,AP25:AP29),"")</f>
        <v>1</v>
      </c>
      <c r="AR25" s="147">
        <f>SUMPRODUCT((AP25:AP29=AP25)*(AG25:AG29&gt;AG25))</f>
        <v>0</v>
      </c>
      <c r="AS25" s="147">
        <f>SUMPRODUCT((AP25:AP29=AP25)*(AG25:AG29=AG25)*(AJ25:AJ29&gt;AJ25))</f>
        <v>0</v>
      </c>
      <c r="AT25" s="147">
        <f>SUMPRODUCT((AP25:AP29=AP25)*(AG25:AG29=AG25)*(AJ25:AJ29=AJ25)*(AK25:AK29&gt;AK25))</f>
        <v>0</v>
      </c>
      <c r="AU25" s="147">
        <f>SUMPRODUCT((AP25:AP29=AP25)*(AG25:AG29=AG25)*(AJ25:AJ29=AJ25)*(AK25:AK29=AK25)*(AL25:AL29&gt;AL25))</f>
        <v>0</v>
      </c>
      <c r="AV25" s="147">
        <f>SUMPRODUCT((AP25:AP29=AP25)*(AG25:AG29=AG25)*(AJ25:AJ29=AJ25)*(AK25:AK29=AK25)*(AL25:AL29=AL25)*(AM25:AM29&gt;AM25))</f>
        <v>0</v>
      </c>
      <c r="AW25" s="147">
        <f t="shared" ref="AW25" si="51">IF(AA25&lt;&gt;"",SUM(AQ25:AV25),"")</f>
        <v>1</v>
      </c>
      <c r="AX25" s="147" t="str">
        <f>IF(AA25&lt;&gt;"",INDEX(AA25:AA29,MATCH(1,AW25:AW29,0),0),"")</f>
        <v>Argentina</v>
      </c>
      <c r="DS25" s="147" t="str">
        <f>IF(AX25&lt;&gt;"",AX25,T25)</f>
        <v>Argentina</v>
      </c>
      <c r="DT25" s="147">
        <v>1</v>
      </c>
      <c r="DU25" s="147">
        <v>23</v>
      </c>
      <c r="DV25" s="147" t="str">
        <f>Tournament!H34</f>
        <v>Scotland</v>
      </c>
      <c r="DW25" s="147">
        <f>IF(AND(Tournament!J34&lt;&gt;"",Tournament!L34&lt;&gt;""),Tournament!J34,0)</f>
        <v>0</v>
      </c>
      <c r="DX25" s="147">
        <f>IF(AND(Tournament!L34&lt;&gt;"",Tournament!J34&lt;&gt;""),Tournament!L34,0)</f>
        <v>0</v>
      </c>
      <c r="DY25" s="147" t="str">
        <f>Tournament!N34</f>
        <v>Tonga</v>
      </c>
      <c r="DZ25" s="147">
        <f>IF(Tournament!O34&lt;&gt;"",Tournament!O34,0)</f>
        <v>0</v>
      </c>
      <c r="EA25" s="147">
        <f>IF(Tournament!Q34&lt;&gt;"",Tournament!Q34,0)</f>
        <v>0</v>
      </c>
      <c r="EB25" s="147">
        <f>IF(DW25&lt;&gt;"",IF(Tournament!O34&gt;3,1,0),0)</f>
        <v>0</v>
      </c>
      <c r="EC25" s="147">
        <f>IF(DX25&lt;&gt;"",IF(Tournament!Q34&gt;3,1,0),0)</f>
        <v>0</v>
      </c>
      <c r="ED25" s="147">
        <f t="shared" si="0"/>
        <v>0</v>
      </c>
      <c r="EE25" s="147">
        <f t="shared" si="1"/>
        <v>0</v>
      </c>
      <c r="EF25" s="147" t="str">
        <f>IF(AND(Tournament!J34&lt;&gt;"",Tournament!L34&lt;&gt;""),IF(DW25&gt;DX25,"W",IF(DW25=DX25,"D","L")),"")</f>
        <v/>
      </c>
      <c r="EG25" s="161" t="str">
        <f t="shared" si="2"/>
        <v/>
      </c>
    </row>
    <row r="26" spans="1:137" x14ac:dyDescent="0.45">
      <c r="A26" s="147">
        <f>VLOOKUP(B26,DS25:DT29,2,FALSE)</f>
        <v>5</v>
      </c>
      <c r="B26" s="147" t="s">
        <v>98</v>
      </c>
      <c r="C26" s="147">
        <f>COUNTIFS(DV3:DV42,B26,EF3:EF42,"W")+COUNTIFS(DY3:DY42,B26,EG3:EG42,"W")</f>
        <v>0</v>
      </c>
      <c r="D26" s="147">
        <f>COUNTIFS(DV3:DV42,B26,EF3:EF42,"D")+COUNTIFS(DY3:DY42,B26,EG3:EG42,"D")</f>
        <v>0</v>
      </c>
      <c r="E26" s="147">
        <f>COUNTIFS(DV3:DV42,B26,EF3:EF42,"L")+COUNTIFS(DY3:DY42,B26,EG3:EG42,"L")</f>
        <v>0</v>
      </c>
      <c r="F26" s="147">
        <f>SUMIF(DV3:DV60,B26,DW3:DW60)+SUMIF(DY3:DY60,B26,DX3:DX60)</f>
        <v>0</v>
      </c>
      <c r="G26" s="147">
        <f>SUMIF(DY3:DY60,B26,DW3:DW60)+SUMIF(DV3:DV60,B26,DX3:DX60)</f>
        <v>0</v>
      </c>
      <c r="H26" s="147">
        <f t="shared" si="47"/>
        <v>1000</v>
      </c>
      <c r="I26" s="147">
        <f>SUMIF(Tournament!H12:H51,B26,Tournament!O12:O51)+SUMIF(Tournament!N12:N51,B26,Tournament!Q12:Q51)</f>
        <v>0</v>
      </c>
      <c r="J26" s="147">
        <f>SUMIF(Tournament!N12:N51,B26,Tournament!O12:O51)+SUMIF(Tournament!H12:H51,B26,Tournament!Q12:Q51)</f>
        <v>0</v>
      </c>
      <c r="K26" s="147">
        <f t="shared" si="48"/>
        <v>1000</v>
      </c>
      <c r="L26" s="147">
        <f t="shared" si="49"/>
        <v>0</v>
      </c>
      <c r="M26" s="147">
        <f>SUMIF(DV:DV,B26,EB:EB)+SUMIF(DY:DY,B26,EC:EC)</f>
        <v>0</v>
      </c>
      <c r="N26" s="147">
        <f>SUMIF(DV:DV,B26,ED:ED)+SUMIF(DY:DY,B26,EE:EE)</f>
        <v>0</v>
      </c>
      <c r="O26" s="147">
        <f t="shared" si="50"/>
        <v>0</v>
      </c>
      <c r="P26" s="147">
        <v>1</v>
      </c>
      <c r="Q26" s="147">
        <f>RANK(O26,O25:O29)</f>
        <v>1</v>
      </c>
      <c r="S26" s="147">
        <f>RANK(O26,O25:O29)+COUNTIF(O25:O26,O26)-1</f>
        <v>2</v>
      </c>
      <c r="T26" s="147" t="str">
        <f>INDEX(B25:B29,MATCH(2,S25:S29,0),0)</f>
        <v>Chile</v>
      </c>
      <c r="U26" s="147">
        <f>INDEX(Q25:Q29,MATCH(T26,B25:B29,0),0)</f>
        <v>1</v>
      </c>
      <c r="V26" s="147" t="str">
        <f>IF(V25&lt;&gt;"",T26,"")</f>
        <v>Chile</v>
      </c>
      <c r="W26" s="147" t="str">
        <f>IF(W25&lt;&gt;"",T27,"")</f>
        <v/>
      </c>
      <c r="X26" s="147" t="str">
        <f>IF(X25&lt;&gt;"",T28,"")</f>
        <v/>
      </c>
      <c r="Y26" s="147" t="str">
        <f>IF(Y25&lt;&gt;"",T29,"")</f>
        <v/>
      </c>
      <c r="AA26" s="147" t="str">
        <f t="shared" ref="AA26:AA29" si="52">IF(V26&lt;&gt;"",V26,"")</f>
        <v>Chile</v>
      </c>
      <c r="AB26" s="147">
        <f>SUMPRODUCT((DV3:DV42=AA26)*(DY3:DY42=AA27)*(EF3:EF42="W"))+SUMPRODUCT((DV3:DV42=AA26)*(DY3:DY42=AA28)*(EF3:EF42="W"))+SUMPRODUCT((DV3:DV42=AA26)*(DY3:DY42=AA29)*(EF3:EF42="W"))+SUMPRODUCT((DV3:DV42=AA26)*(DY3:DY42=AA25)*(EF3:EF42="W"))+SUMPRODUCT((DV3:DV42=AA27)*(DY3:DY42=AA26)*(EG3:EG42="W"))+SUMPRODUCT((DV3:DV42=AA28)*(DY3:DY42=AA26)*(EG3:EG42="W"))+SUMPRODUCT((DV3:DV42=AA29)*(DY3:DY42=AA26)*(EG3:EG42="W"))+SUMPRODUCT((DV3:DV42=AA25)*(DY3:DY42=AA26)*(EG3:EG42="W"))</f>
        <v>0</v>
      </c>
      <c r="AC26" s="147">
        <f>SUMPRODUCT((DV3:DV42=AA26)*(DY3:DY42=AA27)*(EF3:EF42="D"))+SUMPRODUCT((DV3:DV42=AA26)*(DY3:DY42=AA28)*(EF3:EF42="D"))+SUMPRODUCT((DV3:DV42=AA26)*(DY3:DY42=AA29)*(EF3:EF42="D"))+SUMPRODUCT((DV3:DV42=AA26)*(DY3:DY42=AA25)*(EF3:EF42="D"))+SUMPRODUCT((DV3:DV42=AA27)*(DY3:DY42=AA26)*(EF3:EF42="D"))+SUMPRODUCT((DV3:DV42=AA28)*(DY3:DY42=AA26)*(EF3:EF42="D"))+SUMPRODUCT((DV3:DV42=AA29)*(DY3:DY42=AA26)*(EF3:EF42="D"))+SUMPRODUCT((DV3:DV42=AA25)*(DY3:DY42=AA26)*(EF3:EF42="D"))</f>
        <v>0</v>
      </c>
      <c r="AD26" s="147">
        <f>SUMPRODUCT((DV3:DV42=AA26)*(DY3:DY42=AA27)*(EF3:EF42="L"))+SUMPRODUCT((DV3:DV42=AA26)*(DY3:DY42=AA28)*(EF3:EF42="L"))+SUMPRODUCT((DV3:DV42=AA26)*(DY3:DY42=AA29)*(EF3:EF42="L"))+SUMPRODUCT((DV3:DV42=AA26)*(DY3:DY42=AA25)*(EF3:EF42="L"))+SUMPRODUCT((DV3:DV42=AA27)*(DY3:DY42=AA26)*(EG3:EG42="L"))+SUMPRODUCT((DV3:DV42=AA28)*(DY3:DY42=AA26)*(EG3:EG42="L"))+SUMPRODUCT((DV3:DV42=AA29)*(DY3:DY42=AA26)*(EG3:EG42="L"))+SUMPRODUCT((DV3:DV42=AA25)*(DY3:DY42=AA26)*(EG3:EG42="L"))</f>
        <v>0</v>
      </c>
      <c r="AE26" s="147">
        <f>IF(AA26&lt;&gt;"",VLOOKUP(AA26,B4:F29,5,FALSE),0)</f>
        <v>0</v>
      </c>
      <c r="AF26" s="147">
        <f>IF(AA26&lt;&gt;"",VLOOKUP(AA26,B4:G29,6,FALSE),0)</f>
        <v>0</v>
      </c>
      <c r="AG26" s="147">
        <f>AE26-AF26+1000</f>
        <v>1000</v>
      </c>
      <c r="AH26" s="147">
        <f>IF(AA26&lt;&gt;"",VLOOKUP(AA26,B4:I29,8,FALSE),0)</f>
        <v>0</v>
      </c>
      <c r="AI26" s="147">
        <f>IF(AA26&lt;&gt;"",VLOOKUP(AA26,B4:J29,9,FALSE),0)</f>
        <v>0</v>
      </c>
      <c r="AJ26" s="147">
        <f t="shared" ref="AJ26" si="53">AH26-AI26+1000</f>
        <v>1000</v>
      </c>
      <c r="AK26" s="147">
        <f>IF(AA26&lt;&gt;"",VLOOKUP(AA26,B25:F29,5,FALSE),"")</f>
        <v>0</v>
      </c>
      <c r="AL26" s="147">
        <f>IF(AA26&lt;&gt;"",VLOOKUP(AA26,B25:I29,8,FALSE),"")</f>
        <v>0</v>
      </c>
      <c r="AM26" s="147">
        <f>IF(AA26&lt;&gt;"",VLOOKUP(AA26,B25:P29,15,FALSE),"")</f>
        <v>1</v>
      </c>
      <c r="AN26" s="147">
        <f>SUMPRODUCT((DV3:DV42=AA26)*(DY3:DY42=AA27)*EB3:EB42)+SUMPRODUCT((DV3:DV42=AA26)*(DY3:DY42=AA28)*EB3:EB42)+SUMPRODUCT((DV3:DV42=AA26)*(DY3:DY42=AA29)*EB3:EB42)+SUMPRODUCT((DV3:DV42=AA26)*(DY3:DY42=AA25)*EB3:EB42)+SUMPRODUCT((DV3:DV42=AA27)*(DY3:DY42=AA26)*EC3:EC42)+SUMPRODUCT((DV3:DV42=AA28)*(DY3:DY42=AA26)*EC3:EC42)+SUMPRODUCT((DV3:DV42=AA29)*(DY3:DY42=AA26)*EC3:EC42)+SUMPRODUCT((DV3:DV42=AA25)*(DY3:DY42=AA26)*EC3:EC42)</f>
        <v>0</v>
      </c>
      <c r="AO26" s="147">
        <f>SUMPRODUCT((DV3:DV42=AA26)*(DY3:DY42=AA27)*ED3:ED42)+SUMPRODUCT((DV3:DV42=AA26)*(DY3:DY42=AA28)*ED3:ED42)+SUMPRODUCT((DV3:DV42=AA26)*(DY3:DY42=AA29)*ED3:ED42)+SUMPRODUCT((DV3:DV42=AA26)*(DY3:DY42=AA25)*ED3:ED42)+SUMPRODUCT((DV3:DV42=AA27)*(DY3:DY42=AA26)*EE3:EE42)+SUMPRODUCT((DV3:DV42=AA28)*(DY3:DY42=AA26)*EE3:EE42)+SUMPRODUCT((DV3:DV42=AA29)*(DY3:DY42=AA26)*EE3:EE42)+SUMPRODUCT((DV3:DV42=AA25)*(DY3:DY42=AA26)*EE3:EE42)</f>
        <v>0</v>
      </c>
      <c r="AP26" s="147">
        <f t="shared" ref="AP26" si="54">AB26*4+AC26*2+AN26+AO26</f>
        <v>0</v>
      </c>
      <c r="AQ26" s="147">
        <f>IF(AA26&lt;&gt;"",RANK(AP26,AP25:AP29),"")</f>
        <v>1</v>
      </c>
      <c r="AR26" s="147">
        <f>SUMPRODUCT((AP25:AP29=AP26)*(AG25:AG29&gt;AG26))</f>
        <v>0</v>
      </c>
      <c r="AS26" s="147">
        <f>SUMPRODUCT((AP25:AP29=AP26)*(AG25:AG29=AG26)*(AJ25:AJ29&gt;AJ26))</f>
        <v>0</v>
      </c>
      <c r="AT26" s="147">
        <f>SUMPRODUCT((AP25:AP29=AP26)*(AG25:AG29=AG26)*(AJ25:AJ29=AJ26)*(AK25:AK29&gt;AK26))</f>
        <v>0</v>
      </c>
      <c r="AU26" s="147">
        <f>SUMPRODUCT((AP25:AP29=AP26)*(AG25:AG29=AG26)*(AJ25:AJ29=AJ26)*(AK25:AK29=AK26)*(AL25:AL29&gt;AL26))</f>
        <v>0</v>
      </c>
      <c r="AV26" s="147">
        <f>SUMPRODUCT((AP25:AP29=AP26)*(AG25:AG29=AG26)*(AJ25:AJ29=AJ26)*(AK25:AK29=AK26)*(AL25:AL29=AL26)*(AM25:AM29&gt;AM26))</f>
        <v>4</v>
      </c>
      <c r="AW26" s="147">
        <f t="shared" ref="AW26:AW29" si="55">IF(AA26&lt;&gt;"",SUM(AQ26:AV26),"")</f>
        <v>5</v>
      </c>
      <c r="AX26" s="147" t="str">
        <f>IF(AA26&lt;&gt;"",INDEX(AA25:AA29,MATCH(2,AW25:AW29,0),0),"")</f>
        <v>England</v>
      </c>
      <c r="AY26" s="147" t="str">
        <f>IF(W25&lt;&gt;"",W25,"")</f>
        <v/>
      </c>
      <c r="AZ26" s="147">
        <f>SUMPRODUCT((DV3:DV42=AY26)*(DY3:DY42=AY27)*(EF3:EF42="W"))+SUMPRODUCT((DV3:DV42=AY26)*(DY3:DY42=AY28)*(EF3:EF42="W"))+SUMPRODUCT((DV3:DV42=AY26)*(DY3:DY42=AY29)*(EF3:EF42="W"))+SUMPRODUCT((DV3:DV42=AY27)*(DY3:DY42=AY26)*(EG3:EG42="W"))+SUMPRODUCT((DV3:DV42=AY28)*(DY3:DY42=AY26)*(EG3:EG42="W"))+SUMPRODUCT((DV3:DV42=AY29)*(DY3:DY42=AY26)*(EG3:EG42="W"))</f>
        <v>0</v>
      </c>
      <c r="BA26" s="147">
        <f>SUMPRODUCT((DV3:DV42=AY26)*(DY3:DY42=AY27)*(EF3:EF42="D"))+SUMPRODUCT((DV3:DV42=AY26)*(DY3:DY42=AY28)*(EF3:EF42="D"))+SUMPRODUCT((DV3:DV42=AY26)*(DY3:DY42=AY29)*(EF3:EF42="D"))+SUMPRODUCT((DV3:DV42=AY27)*(DY3:DY42=AY26)*(EF3:EF42="D"))+SUMPRODUCT((DV3:DV42=AY28)*(DY3:DY42=AY26)*(EF3:EF42="D"))+SUMPRODUCT((DV3:DV42=AY29)*(DY3:DY42=AY26)*(EF3:EF42="D"))</f>
        <v>0</v>
      </c>
      <c r="BB26" s="147">
        <f>SUMPRODUCT((DV3:DV42=AY26)*(DY3:DY42=AY27)*(EF3:EF42="L"))+SUMPRODUCT((DV3:DV42=AY26)*(DY3:DY42=AY28)*(EF3:EF42="L"))+SUMPRODUCT((DV3:DV42=AY26)*(DY3:DY42=AY29)*(EF3:EF42="L"))+SUMPRODUCT((DV3:DV42=AY27)*(DY3:DY42=AY26)*(EG3:EG42="L"))+SUMPRODUCT((DV3:DV42=AY28)*(DY3:DY42=AY26)*(EG3:EG42="L"))+SUMPRODUCT((DV3:DV42=AY29)*(DY3:DY42=AY26)*(EG3:EG42="L"))</f>
        <v>0</v>
      </c>
      <c r="BC26" s="147">
        <f>IF(AY26&lt;&gt;"",VLOOKUP(AY26,B4:F29,5,FALSE),0)</f>
        <v>0</v>
      </c>
      <c r="BD26" s="147">
        <f>IF(AY26&lt;&gt;"",VLOOKUP(AY26,B4:G29,6,FALSE),0)</f>
        <v>0</v>
      </c>
      <c r="BE26" s="147">
        <f>BC26-BD26+1000</f>
        <v>1000</v>
      </c>
      <c r="BF26" s="147">
        <f>IF(AY26&lt;&gt;"",VLOOKUP(AY26,B4:I29,8,FALSE),0)</f>
        <v>0</v>
      </c>
      <c r="BG26" s="147">
        <f>IF(AY26&lt;&gt;"",VLOOKUP(AY26,B4:J29,9,FALSE),0)</f>
        <v>0</v>
      </c>
      <c r="BH26" s="147">
        <f>BF26-BG26+1000</f>
        <v>1000</v>
      </c>
      <c r="BI26" s="147" t="str">
        <f>IF(AY26&lt;&gt;"",VLOOKUP(AY26,B25:F29,5,FALSE),"")</f>
        <v/>
      </c>
      <c r="BJ26" s="147" t="str">
        <f>IF(AY26&lt;&gt;"",VLOOKUP(AY26,B25:I29,8,FALSE),"")</f>
        <v/>
      </c>
      <c r="BK26" s="147" t="str">
        <f>IF(AY26&lt;&gt;"",VLOOKUP(AY26,B25:P29,15,FALSE),"")</f>
        <v/>
      </c>
      <c r="BL26" s="147">
        <f>SUMPRODUCT((DV3:DV42=AY26)*(DY3:DY42=AY27)*EB3:EB42)+SUMPRODUCT((DV3:DV42=AY26)*(DY3:DY42=AY28)*EB3:EB42)+SUMPRODUCT((DV3:DV42=AY26)*(DY3:DY42=AY29)*EB3:EB42)+SUMPRODUCT((DV3:DV42=AY27)*(DY3:DY42=AY26)*EC3:EC42)+SUMPRODUCT((DV3:DV42=AY28)*(DY3:DY42=AY26)*EC3:EC42)+SUMPRODUCT((DV3:DV42=AY29)*(DY3:DY42=AY26)*EC3:EC42)</f>
        <v>0</v>
      </c>
      <c r="BM26" s="147">
        <f>SUMPRODUCT((DV3:DV42=AY26)*(DY3:DY42=AY27)*ED3:ED42)+SUMPRODUCT((DV3:DV42=AY26)*(DY3:DY42=AY28)*ED3:ED42)+SUMPRODUCT((DV3:DV42=AY26)*(DY3:DY42=AY29)*ED3:ED42)+SUMPRODUCT((DV3:DV42=AY27)*(DY3:DY42=AY26)*EE3:EE42)+SUMPRODUCT((DV3:DV42=AY28)*(DY3:DY42=AY26)*EE3:EE42)+SUMPRODUCT((DV3:DV42=AY29)*(DY3:DY42=AY26)*EE3:EE42)</f>
        <v>0</v>
      </c>
      <c r="BN26" s="147">
        <f>AZ26*4+BA26*2+BL26+BM26</f>
        <v>0</v>
      </c>
      <c r="BO26" s="147" t="str">
        <f>IF(AY26&lt;&gt;"",RANK(BN26,BN26:BN29),"")</f>
        <v/>
      </c>
      <c r="BP26" s="147">
        <f>SUMPRODUCT((BN26:BN29=BN26)*(BE26:BE29&gt;BE26))</f>
        <v>0</v>
      </c>
      <c r="BQ26" s="147">
        <f>SUMPRODUCT((BN26:BN29=BN26)*(BE26:BE29=BE26)*(BH26:BH29&gt;BH26))</f>
        <v>0</v>
      </c>
      <c r="BR26" s="147">
        <f>SUMPRODUCT((BN25:BN29=BN26)*(BE25:BE29=BE26)*(BH25:BH29=BH26)*(BI25:BI29&gt;BI26))</f>
        <v>0</v>
      </c>
      <c r="BS26" s="147">
        <f>SUMPRODUCT((BN25:BN29=BN26)*(BE25:BE29=BE26)*(BH25:BH29=BH26)*(BI25:BI29=BI26)*(BJ25:BJ29&gt;BJ26))</f>
        <v>0</v>
      </c>
      <c r="BT26" s="147">
        <f>SUMPRODUCT((BN25:BN29=BN26)*(BE25:BE29=BE26)*(BH25:BH29=BH26)*(BI25:BI29=BI26)*(BJ25:BJ29=BJ26)*(BK25:BK29&gt;BK26))</f>
        <v>0</v>
      </c>
      <c r="BU26" s="147" t="str">
        <f t="shared" ref="BU26:BU29" si="56">IF(AY26&lt;&gt;"",SUM(BO26:BT26)+1,"")</f>
        <v/>
      </c>
      <c r="BV26" s="147" t="str">
        <f>IF(AY26&lt;&gt;"",INDEX(AY26:AY29,MATCH(2,BU26:BU29,0),0),"")</f>
        <v/>
      </c>
      <c r="DS26" s="147" t="str">
        <f>IF(BV26&lt;&gt;"",BV26,IF(AX26&lt;&gt;"",AX26,T26))</f>
        <v>England</v>
      </c>
      <c r="DT26" s="147">
        <v>2</v>
      </c>
      <c r="DU26" s="147">
        <v>24</v>
      </c>
      <c r="DV26" s="147" t="str">
        <f>Tournament!H35</f>
        <v>Wales</v>
      </c>
      <c r="DW26" s="147">
        <f>IF(AND(Tournament!J35&lt;&gt;"",Tournament!L35&lt;&gt;""),Tournament!J35,0)</f>
        <v>0</v>
      </c>
      <c r="DX26" s="147">
        <f>IF(AND(Tournament!L35&lt;&gt;"",Tournament!J35&lt;&gt;""),Tournament!L35,0)</f>
        <v>0</v>
      </c>
      <c r="DY26" s="147" t="str">
        <f>Tournament!N35</f>
        <v>Australia</v>
      </c>
      <c r="DZ26" s="147">
        <f>IF(Tournament!O35&lt;&gt;"",Tournament!O35,0)</f>
        <v>0</v>
      </c>
      <c r="EA26" s="147">
        <f>IF(Tournament!Q35&lt;&gt;"",Tournament!Q35,0)</f>
        <v>0</v>
      </c>
      <c r="EB26" s="147">
        <f>IF(DW26&lt;&gt;"",IF(Tournament!O35&gt;3,1,0),0)</f>
        <v>0</v>
      </c>
      <c r="EC26" s="147">
        <f>IF(DX26&lt;&gt;"",IF(Tournament!Q35&gt;3,1,0),0)</f>
        <v>0</v>
      </c>
      <c r="ED26" s="147">
        <f t="shared" si="0"/>
        <v>0</v>
      </c>
      <c r="EE26" s="147">
        <f t="shared" si="1"/>
        <v>0</v>
      </c>
      <c r="EF26" s="147" t="str">
        <f>IF(AND(Tournament!J35&lt;&gt;"",Tournament!L35&lt;&gt;""),IF(DW26&gt;DX26,"W",IF(DW26=DX26,"D","L")),"")</f>
        <v/>
      </c>
      <c r="EG26" s="161" t="str">
        <f t="shared" si="2"/>
        <v/>
      </c>
    </row>
    <row r="27" spans="1:137" x14ac:dyDescent="0.45">
      <c r="A27" s="147">
        <f>VLOOKUP(B27,DS25:DT29,2,FALSE)</f>
        <v>2</v>
      </c>
      <c r="B27" s="147" t="s">
        <v>4</v>
      </c>
      <c r="C27" s="147">
        <f>COUNTIFS(DV3:DV42,B27,EF3:EF42,"W")+COUNTIFS(DY3:DY42,B27,EG3:EG42,"W")</f>
        <v>0</v>
      </c>
      <c r="D27" s="147">
        <f>COUNTIFS(DV3:DV42,B27,EF3:EF42,"D")+COUNTIFS(DY3:DY42,B27,EG3:EG42,"D")</f>
        <v>0</v>
      </c>
      <c r="E27" s="147">
        <f>COUNTIFS(DV3:DV42,B27,EF3:EF42,"L")+COUNTIFS(DY3:DY42,B27,EG3:EG42,"L")</f>
        <v>0</v>
      </c>
      <c r="F27" s="147">
        <f>SUMIF(DV3:DV60,B27,DW3:DW60)+SUMIF(DY3:DY60,B27,DX3:DX60)</f>
        <v>0</v>
      </c>
      <c r="G27" s="147">
        <f>SUMIF(DY3:DY60,B27,DW3:DW60)+SUMIF(DV3:DV60,B27,DX3:DX60)</f>
        <v>0</v>
      </c>
      <c r="H27" s="147">
        <f t="shared" si="47"/>
        <v>1000</v>
      </c>
      <c r="I27" s="147">
        <f>SUMIF(Tournament!H12:H51,B27,Tournament!O12:O51)+SUMIF(Tournament!N12:N51,B27,Tournament!Q12:Q51)</f>
        <v>0</v>
      </c>
      <c r="J27" s="147">
        <f>SUMIF(Tournament!N12:N51,B27,Tournament!O12:O51)+SUMIF(Tournament!H12:H51,B27,Tournament!Q12:Q51)</f>
        <v>0</v>
      </c>
      <c r="K27" s="147">
        <f t="shared" si="48"/>
        <v>1000</v>
      </c>
      <c r="L27" s="147">
        <f t="shared" si="49"/>
        <v>0</v>
      </c>
      <c r="M27" s="147">
        <f>SUMIF(DV:DV,B27,EB:EB)+SUMIF(DY:DY,B27,EC:EC)</f>
        <v>0</v>
      </c>
      <c r="N27" s="147">
        <f>SUMIF(DV:DV,B27,ED:ED)+SUMIF(DY:DY,B27,EE:EE)</f>
        <v>0</v>
      </c>
      <c r="O27" s="147">
        <f t="shared" si="50"/>
        <v>0</v>
      </c>
      <c r="P27" s="147">
        <v>15</v>
      </c>
      <c r="Q27" s="147">
        <f>RANK(O27,O25:O29)</f>
        <v>1</v>
      </c>
      <c r="S27" s="147">
        <f>RANK(O27,O25:O29)+COUNTIF(O25:O27,O27)-1</f>
        <v>3</v>
      </c>
      <c r="T27" s="147" t="str">
        <f>INDEX(B25:B29,MATCH(3,S25:S29,0),0)</f>
        <v>England</v>
      </c>
      <c r="U27" s="147">
        <f>INDEX(Q25:Q29,MATCH(T27,B25:B29,0),0)</f>
        <v>1</v>
      </c>
      <c r="V27" s="147" t="str">
        <f>IF(AND(V26&lt;&gt;"",U27=1),T27,"")</f>
        <v>England</v>
      </c>
      <c r="W27" s="147" t="str">
        <f>IF(AND(W26&lt;&gt;"",U28=2),T28,"")</f>
        <v/>
      </c>
      <c r="X27" s="147" t="str">
        <f>IF(AND(X26&lt;&gt;"",U29=3),T29,"")</f>
        <v/>
      </c>
      <c r="AA27" s="147" t="str">
        <f t="shared" si="52"/>
        <v>England</v>
      </c>
      <c r="AB27" s="147">
        <f>SUMPRODUCT((DV3:DV42=AA27)*(DY3:DY42=AA28)*(EF3:EF42="W"))+SUMPRODUCT((DV3:DV42=AA27)*(DY3:DY42=AA29)*(EF3:EF42="W"))+SUMPRODUCT((DV3:DV42=AA27)*(DY3:DY42=AA25)*(EF3:EF42="W"))+SUMPRODUCT((DV3:DV42=AA27)*(DY3:DY42=AA26)*(EF3:EF42="W"))+SUMPRODUCT((DV3:DV42=AA28)*(DY3:DY42=AA27)*(EG3:EG42="W"))+SUMPRODUCT((DV3:DV42=AA29)*(DY3:DY42=AA27)*(EG3:EG42="W"))+SUMPRODUCT((DV3:DV42=AA25)*(DY3:DY42=AA27)*(EG3:EG42="W"))+SUMPRODUCT((DV3:DV42=AA26)*(DY3:DY42=AA27)*(EG3:EG42="W"))</f>
        <v>0</v>
      </c>
      <c r="AC27" s="147">
        <f>SUMPRODUCT((DV3:DV42=AA27)*(DY3:DY42=AA28)*(EF3:EF42="D"))+SUMPRODUCT((DV3:DV42=AA27)*(DY3:DY42=AA29)*(EF3:EF42="D"))+SUMPRODUCT((DV3:DV42=AA27)*(DY3:DY42=AA25)*(EF3:EF42="D"))+SUMPRODUCT((DV3:DV42=AA27)*(DY3:DY42=AA26)*(EF3:EF42="D"))+SUMPRODUCT((DV3:DV42=AA28)*(DY3:DY42=AA27)*(EF3:EF42="D"))+SUMPRODUCT((DV3:DV42=AA29)*(DY3:DY42=AA27)*(EF3:EF42="D"))+SUMPRODUCT((DV3:DV42=AA25)*(DY3:DY42=AA27)*(EF3:EF42="D"))+SUMPRODUCT((DV3:DV42=AA26)*(DY3:DY42=AA27)*(EF3:EF42="D"))</f>
        <v>0</v>
      </c>
      <c r="AD27" s="147">
        <f>SUMPRODUCT((DV3:DV42=AA27)*(DY3:DY42=AA28)*(EF3:EF42="L"))+SUMPRODUCT((DV3:DV42=AA27)*(DY3:DY42=AA29)*(EF3:EF42="L"))+SUMPRODUCT((DV3:DV42=AA27)*(DY3:DY42=AA25)*(EF3:EF42="L"))+SUMPRODUCT((DV3:DV42=AA27)*(DY3:DY42=AA26)*(EF3:EF42="L"))+SUMPRODUCT((DV3:DV42=AA28)*(DY3:DY42=AA27)*(EG3:EG42="L"))+SUMPRODUCT((DV3:DV42=AA29)*(DY3:DY42=AA27)*(EG3:EG42="L"))+SUMPRODUCT((DV3:DV42=AA25)*(DY3:DY42=AA27)*(EG3:EG42="L"))+SUMPRODUCT((DV3:DV42=AA26)*(DY3:DY42=AA27)*(EG3:EG42="L"))</f>
        <v>0</v>
      </c>
      <c r="AE27" s="147">
        <f>IF(AA27&lt;&gt;"",VLOOKUP(AA27,B4:F29,5,FALSE),0)</f>
        <v>0</v>
      </c>
      <c r="AF27" s="147">
        <f>IF(AA27&lt;&gt;"",VLOOKUP(AA27,B4:G29,6,FALSE),0)</f>
        <v>0</v>
      </c>
      <c r="AG27" s="147">
        <f>AE27-AF27+1000</f>
        <v>1000</v>
      </c>
      <c r="AH27" s="147">
        <f>IF(AA27&lt;&gt;"",VLOOKUP(AA27,B4:I29,8,FALSE),0)</f>
        <v>0</v>
      </c>
      <c r="AI27" s="147">
        <f>IF(AA27&lt;&gt;"",VLOOKUP(AA27,B4:J29,9,FALSE),0)</f>
        <v>0</v>
      </c>
      <c r="AJ27" s="147">
        <f>IF(AA27&lt;&gt;"",AH27-AI27+1000,"")</f>
        <v>1000</v>
      </c>
      <c r="AK27" s="147">
        <f>IF(AA27&lt;&gt;"",VLOOKUP(AA27,B25:F29,5,FALSE),"")</f>
        <v>0</v>
      </c>
      <c r="AL27" s="147">
        <f>IF(AA27&lt;&gt;"",VLOOKUP(AA27,B25:I29,8,FALSE),"")</f>
        <v>0</v>
      </c>
      <c r="AM27" s="147">
        <f>IF(AA27&lt;&gt;"",VLOOKUP(AA27,B25:P29,15,FALSE),"")</f>
        <v>15</v>
      </c>
      <c r="AN27" s="147">
        <f>SUMPRODUCT((DV3:DV42=AA27)*(DY3:DY42=AA28)*EB3:EB42)+SUMPRODUCT((DV3:DV42=AA27)*(DY3:DY42=AA29)*EB3:EB42)+SUMPRODUCT((DV3:DV42=AA27)*(DY3:DY42=AA25)*EB3:EB42)+SUMPRODUCT((DV3:DV42=AA27)*(DY3:DY42=AA26)*EB3:EB42)+SUMPRODUCT((DV3:DV42=AA28)*(DY3:DY42=AA27)*EC3:EC42)+SUMPRODUCT((DV3:DV42=AA29)*(DY3:DY42=AA27)*EC3:EC42)+SUMPRODUCT((DV3:DV42=AA25)*(DY3:DY42=AA27)*EC3:EC42)+SUMPRODUCT((DV3:DV42=AA26)*(DY3:DY42=AA27)*EC3:EC42)</f>
        <v>0</v>
      </c>
      <c r="AO27" s="147">
        <f>SUMPRODUCT((DV3:DV42=AA27)*(DY3:DY42=AA28)*ED3:ED42)+SUMPRODUCT((DV3:DV42=AA27)*(DY3:DY42=AA29)*ED3:ED42)+SUMPRODUCT((DV3:DV42=AA27)*(DY3:DY42=AA25)*ED3:ED42)+SUMPRODUCT((DV3:DV42=AA27)*(DY3:DY42=AA26)*ED3:ED42)+SUMPRODUCT((DV3:DV42=AA28)*(DY3:DY42=AA27)*EE3:EE42)+SUMPRODUCT((DV3:DV42=AA29)*(DY3:DY42=AA27)*EE3:EE42)+SUMPRODUCT((DV3:DV42=AA25)*(DY3:DY42=AA27)*EE3:EE42)+SUMPRODUCT((DV3:DV42=AA26)*(DY3:DY42=AA27)*EE3:EE42)</f>
        <v>0</v>
      </c>
      <c r="AP27" s="147">
        <f>IF(AA27&lt;&gt;"",AB27*4+AC27*2+AN27+AO27,"")</f>
        <v>0</v>
      </c>
      <c r="AQ27" s="147">
        <f>IF(AA27&lt;&gt;"",RANK(AP27,AP25:AP29),"")</f>
        <v>1</v>
      </c>
      <c r="AR27" s="147">
        <f>SUMPRODUCT((AP25:AP29=AP27)*(AG25:AG29&gt;AG27))</f>
        <v>0</v>
      </c>
      <c r="AS27" s="147">
        <f>SUMPRODUCT((AP25:AP29=AP27)*(AG25:AG29=AG27)*(AJ25:AJ29&gt;AJ27))</f>
        <v>0</v>
      </c>
      <c r="AT27" s="147">
        <f>SUMPRODUCT((AP25:AP29=AP27)*(AG25:AG29=AG27)*(AJ25:AJ29=AJ27)*(AK25:AK29&gt;AK27))</f>
        <v>0</v>
      </c>
      <c r="AU27" s="147">
        <f>SUMPRODUCT((AP25:AP29=AP27)*(AG25:AG29=AG27)*(AJ25:AJ29=AJ27)*(AK25:AK29=AK27)*(AL25:AL29&gt;AL27))</f>
        <v>0</v>
      </c>
      <c r="AV27" s="147">
        <f>SUMPRODUCT((AP25:AP29=AP27)*(AG25:AG29=AG27)*(AJ25:AJ29=AJ27)*(AK25:AK29=AK27)*(AL25:AL29=AL27)*(AM25:AM29&gt;AM27))</f>
        <v>1</v>
      </c>
      <c r="AW27" s="147">
        <f t="shared" si="55"/>
        <v>2</v>
      </c>
      <c r="AX27" s="147" t="str">
        <f>IF(AA27&lt;&gt;"",INDEX(AA25:AA29,MATCH(3,AW25:AW29,0),0),"")</f>
        <v>Samoa</v>
      </c>
      <c r="AY27" s="147" t="str">
        <f>IF(W26&lt;&gt;"",W26,"")</f>
        <v/>
      </c>
      <c r="AZ27" s="147">
        <f>SUMPRODUCT((DV3:DV42=AY27)*(DY3:DY42=AY28)*(EF3:EF42="W"))+SUMPRODUCT((DV3:DV42=AY27)*(DY3:DY42=AY29)*(EF3:EF42="W"))+SUMPRODUCT((DV3:DV42=AY27)*(DY3:DY42=AY26)*(EF3:EF42="W"))+SUMPRODUCT((DV3:DV42=AY28)*(DY3:DY42=AY27)*(EG3:EG42="W"))+SUMPRODUCT((DV3:DV42=AY29)*(DY3:DY42=AY27)*(EG3:EG42="W"))+SUMPRODUCT((DV3:DV42=AY26)*(DY3:DY42=AY27)*(EG3:EG42="W"))</f>
        <v>0</v>
      </c>
      <c r="BA27" s="147">
        <f>SUMPRODUCT((DV3:DV42=AY27)*(DY3:DY42=AY28)*(EF3:EF42="D"))+SUMPRODUCT((DV3:DV42=AY27)*(DY3:DY42=AY29)*(EF3:EF42="D"))+SUMPRODUCT((DV3:DV42=AY27)*(DY3:DY42=AY26)*(EF3:EF42="D"))+SUMPRODUCT((DV3:DV42=AY28)*(DY3:DY42=AY27)*(EF3:EF42="D"))+SUMPRODUCT((DV3:DV42=AY29)*(DY3:DY42=AY27)*(EF3:EF42="D"))+SUMPRODUCT((DV3:DV42=AY26)*(DY3:DY42=AY27)*(EF3:EF42="D"))</f>
        <v>0</v>
      </c>
      <c r="BB27" s="147">
        <f>SUMPRODUCT((DV3:DV42=AY27)*(DY3:DY42=AY28)*(EF3:EF42="L"))+SUMPRODUCT((DV3:DV42=AY27)*(DY3:DY42=AY29)*(EF3:EF42="L"))+SUMPRODUCT((DV3:DV42=AY27)*(DY3:DY42=AY26)*(EF3:EF42="L"))+SUMPRODUCT((DV3:DV42=AY28)*(DY3:DY42=AY27)*(EG3:EG42="L"))+SUMPRODUCT((DV3:DV42=AY29)*(DY3:DY42=AY27)*(EG3:EG42="L"))+SUMPRODUCT((DV3:DV42=AY26)*(DY3:DY42=AY27)*(EG3:EG42="L"))</f>
        <v>0</v>
      </c>
      <c r="BC27" s="147">
        <f>IF(AY27&lt;&gt;"",VLOOKUP(AY27,B4:F29,5,FALSE),0)</f>
        <v>0</v>
      </c>
      <c r="BD27" s="147">
        <f>IF(AY27&lt;&gt;"",VLOOKUP(AY27,B4:G29,6,FALSE),0)</f>
        <v>0</v>
      </c>
      <c r="BE27" s="147">
        <f>BC27-BD27+1000</f>
        <v>1000</v>
      </c>
      <c r="BF27" s="147">
        <f>IF(AY27&lt;&gt;"",VLOOKUP(AY27,B4:I29,8,FALSE),0)</f>
        <v>0</v>
      </c>
      <c r="BG27" s="147">
        <f>IF(AY27&lt;&gt;"",VLOOKUP(AY27,B4:J29,9,FALSE),0)</f>
        <v>0</v>
      </c>
      <c r="BH27" s="147">
        <f t="shared" ref="BH27" si="57">BF27-BG27+1000</f>
        <v>1000</v>
      </c>
      <c r="BI27" s="147" t="str">
        <f>IF(AY27&lt;&gt;"",VLOOKUP(AY27,B25:F29,5,FALSE),"")</f>
        <v/>
      </c>
      <c r="BJ27" s="147" t="str">
        <f>IF(AY27&lt;&gt;"",VLOOKUP(AY27,B25:I29,8,FALSE),"")</f>
        <v/>
      </c>
      <c r="BK27" s="147" t="str">
        <f>IF(AY27&lt;&gt;"",VLOOKUP(AY27,B25:P29,15,FALSE),"")</f>
        <v/>
      </c>
      <c r="BL27" s="147">
        <f>SUMPRODUCT((DV3:DV42=AY27)*(DY3:DY42=AY28)*EB3:EB42)+SUMPRODUCT((DV3:DV42=AY27)*(DY3:DY42=AY29)*EB3:EB42)+SUMPRODUCT((DV3:DV42=AY27)*(DY3:DY42=AY26)*EB3:EB42)+SUMPRODUCT((DV3:DV42=AY28)*(DY3:DY42=AY27)*EC3:EC42)+SUMPRODUCT((DV3:DV42=AY29)*(DY3:DY42=AY27)*EC3:EC42)+SUMPRODUCT((DV3:DV42=AY26)*(DY3:DY42=AY27)*EC3:EC42)</f>
        <v>0</v>
      </c>
      <c r="BM27" s="147">
        <f>SUMPRODUCT((DV3:DV42=AY27)*(DY3:DY42=AY28)*ED3:ED42)+SUMPRODUCT((DV3:DV42=AY27)*(DY3:DY42=AY29)*ED3:ED42)+SUMPRODUCT((DV3:DV42=AY27)*(DY3:DY42=AY26)*ED3:ED42)+SUMPRODUCT((DV3:DV42=AY28)*(DY3:DY42=AY27)*EE3:EE42)+SUMPRODUCT((DV3:DV42=AY29)*(DY3:DY42=AY27)*EE3:EE42)+SUMPRODUCT((DV3:DV42=AY26)*(DY3:DY42=AY27)*EE3:EE42)</f>
        <v>0</v>
      </c>
      <c r="BN27" s="147">
        <f>AZ27*4+BA27*2+BL27+BM27</f>
        <v>0</v>
      </c>
      <c r="BO27" s="147" t="str">
        <f>IF(AY27&lt;&gt;"",RANK(BN27,BN26:BN29),"")</f>
        <v/>
      </c>
      <c r="BP27" s="147">
        <f>SUMPRODUCT((BN26:BN29=BN27)*(BE26:BE29&gt;BE27))</f>
        <v>0</v>
      </c>
      <c r="BQ27" s="147">
        <f>SUMPRODUCT((BN26:BN29=BN27)*(BE26:BE29=BE27)*(BH26:BH29&gt;BH27))</f>
        <v>0</v>
      </c>
      <c r="BR27" s="147">
        <f>SUMPRODUCT((BN25:BN29=BN27)*(BE25:BE29=BE27)*(BH25:BH29=BH27)*(BI25:BI29&gt;BI27))</f>
        <v>0</v>
      </c>
      <c r="BS27" s="147">
        <f>SUMPRODUCT((BN25:BN29=BN27)*(BE25:BE29=BE27)*(BH25:BH29=BH27)*(BI25:BI29=BI27)*(BJ25:BJ29&gt;BJ27))</f>
        <v>0</v>
      </c>
      <c r="BT27" s="147">
        <f>SUMPRODUCT((BN25:BN29=BN27)*(BE25:BE29=BE27)*(BH25:BH29=BH27)*(BI25:BI29=BI27)*(BJ25:BJ29=BJ27)*(BK25:BK29&gt;BK27))</f>
        <v>0</v>
      </c>
      <c r="BU27" s="147" t="str">
        <f t="shared" si="56"/>
        <v/>
      </c>
      <c r="BV27" s="147" t="str">
        <f>IF(AY27&lt;&gt;"",INDEX(AY26:AY29,MATCH(3,BU26:BU29,0),0),"")</f>
        <v/>
      </c>
      <c r="BW27" s="147" t="str">
        <f>IF(X25&lt;&gt;"",X25,"")</f>
        <v/>
      </c>
      <c r="BX27" s="147">
        <f>SUMPRODUCT((DV3:DV42=BW27)*(DY3:DY42=BW28)*(EF3:EF42="W"))+SUMPRODUCT((DV3:DV42=BW27)*(DY3:DY42=BW29)*(EF3:EF42="W"))+SUMPRODUCT((DV3:DV42=BW27)*(DY3:DY42=BW30)*(EF3:EF42="W"))+SUMPRODUCT((DV3:DV42=BW28)*(DY3:DY42=BW27)*(EG3:EG42="W"))+SUMPRODUCT((DV3:DV42=BW29)*(DY3:DY42=BW27)*(EG3:EG42="W"))+SUMPRODUCT((DV3:DV42=BW30)*(DY3:DY42=BW27)*(EG3:EG42="W"))</f>
        <v>0</v>
      </c>
      <c r="BY27" s="147">
        <f>SUMPRODUCT((DV3:DV42=BW27)*(DY3:DY42=BW28)*(EF3:EF42="D"))+SUMPRODUCT((DV3:DV42=BW27)*(DY3:DY42=BW29)*(EF3:EF42="D"))+SUMPRODUCT((DV3:DV42=BW27)*(DY3:DY42=BW30)*(EF3:EF42="D"))+SUMPRODUCT((DV3:DV42=BW28)*(DY3:DY42=BW27)*(EF3:EF42="D"))+SUMPRODUCT((DV3:DV42=BW29)*(DY3:DY42=BW27)*(EF3:EF42="D"))+SUMPRODUCT((DV3:DV42=BW30)*(DY3:DY42=BW27)*(EF3:EF42="D"))</f>
        <v>0</v>
      </c>
      <c r="BZ27" s="147">
        <f>SUMPRODUCT((DV3:DV42=BW27)*(DY3:DY42=BW28)*(EF3:EF42="L"))+SUMPRODUCT((DV3:DV42=BW27)*(DY3:DY42=BW29)*(EF3:EF42="L"))+SUMPRODUCT((DV3:DV42=BW27)*(DY3:DY42=BW30)*(EF3:EF42="L"))+SUMPRODUCT((DV3:DV42=BW28)*(DY3:DY42=BW27)*(EG3:EG42="L"))+SUMPRODUCT((DV3:DV42=BW29)*(DY3:DY42=BW27)*(EG3:EG42="L"))+SUMPRODUCT((DV3:DV42=BW30)*(DY3:DY42=BW27)*(EG3:EG42="L"))</f>
        <v>0</v>
      </c>
      <c r="CA27" s="147">
        <f>IF(BW27&lt;&gt;"",VLOOKUP(BW27,B4:F29,5,FALSE),0)</f>
        <v>0</v>
      </c>
      <c r="CB27" s="147">
        <f>IF(BW27&lt;&gt;"",VLOOKUP(BW27,B4:G29,6,FALSE),0)</f>
        <v>0</v>
      </c>
      <c r="CC27" s="147">
        <f>CA27-CB27+1000</f>
        <v>1000</v>
      </c>
      <c r="CD27" s="147">
        <f>IF(BW27&lt;&gt;"",VLOOKUP(BW27,B4:I29,8,FALSE),0)</f>
        <v>0</v>
      </c>
      <c r="CE27" s="147">
        <f>IF(BW27&lt;&gt;"",VLOOKUP(BW27,B4:J29,9,FALSE),0)</f>
        <v>0</v>
      </c>
      <c r="CF27" s="147">
        <f>CD27-CE27+1000</f>
        <v>1000</v>
      </c>
      <c r="CG27" s="147" t="str">
        <f>IF(BW27&lt;&gt;"",VLOOKUP(BW27,B25:F29,5,FALSE),"")</f>
        <v/>
      </c>
      <c r="CH27" s="147" t="str">
        <f>IF(BW27&lt;&gt;"",VLOOKUP(BW27,B25:I29,8,FALSE),"")</f>
        <v/>
      </c>
      <c r="CI27" s="147" t="str">
        <f>IF(BW27&lt;&gt;"",VLOOKUP(BW27,B25:P29,15,FALSE),"")</f>
        <v/>
      </c>
      <c r="CJ27" s="147">
        <f>SUMPRODUCT((DV3:DV42=BW27)*(DY3:DY42=BW28)*EB3:EB42)+SUMPRODUCT((DV3:DV42=BW27)*(DY3:DY42=BW29)*EB3:EB42)+SUMPRODUCT((DV3:DV42=BW27)*(DY3:DY42=BW30)*EB3:EB42)+SUMPRODUCT((DV3:DV42=BW28)*(DY3:DY42=BW27)*EC3:EC42)+SUMPRODUCT((DV3:DV42=BW29)*(DY3:DY42=BW27)*EC3:EC42)+SUMPRODUCT((DV3:DV42=BW30)*(DY3:DY42=BW27)*EC3:EC42)</f>
        <v>0</v>
      </c>
      <c r="CK27" s="147">
        <f>SUMPRODUCT((DV3:DV42=BW27)*(DY3:DY42=BW28)*ED3:ED42)+SUMPRODUCT((DV3:DV42=BW27)*(DY3:DY42=BW29)*ED3:ED42)+SUMPRODUCT((DV3:DV42=BW27)*(DY3:DY42=BW30)*ED3:ED42)+SUMPRODUCT((DV3:DV42=BW28)*(DY3:DY42=BW27)*EE3:EE42)+SUMPRODUCT((DV3:DV42=BW29)*(DY3:DY42=BW27)*EE3:EE42)+SUMPRODUCT((DV3:DV42=BW30)*(DY3:DY42=BW27)*EE3:EE42)</f>
        <v>0</v>
      </c>
      <c r="CL27" s="147">
        <f>BX27*4+BY27*2+CJ27+CK27</f>
        <v>0</v>
      </c>
      <c r="CM27" s="147" t="str">
        <f>IF(BW27&lt;&gt;"",RANK(CL27,CL27:CL30),"")</f>
        <v/>
      </c>
      <c r="CN27" s="147">
        <f>SUMPRODUCT((CL27:CL30=CL27)*(CC27:CC30&gt;CC27))</f>
        <v>0</v>
      </c>
      <c r="CO27" s="147">
        <f>SUMPRODUCT((CL27:CL30=CL27)*(CC27:CC30=CC27)*(CF27:CF30&gt;CF27))</f>
        <v>0</v>
      </c>
      <c r="CP27" s="147">
        <f>SUMPRODUCT((CL25:CL29=CL27)*(CC25:CC29=CC27)*(CF25:CF29=CF27)*(CG25:CG29&gt;CG27))</f>
        <v>0</v>
      </c>
      <c r="CQ27" s="147">
        <f>SUMPRODUCT((CL25:CL29=CL27)*(CC25:CC29=CC27)*(CF25:CF29=CF27)*(CG25:CG29=CG27)*(CH25:CH29&gt;CH27))</f>
        <v>0</v>
      </c>
      <c r="CR27" s="147">
        <f>SUMPRODUCT((CL25:CL29=CL27)*(CC25:CC29=CC27)*(CF25:CF29=CF27)*(CG25:CG29=CG27)*(CH25:CH29=CH27)*(CI25:CI29&gt;CI27))</f>
        <v>0</v>
      </c>
      <c r="CS27" s="147" t="str">
        <f t="shared" ref="CS27:CS29" si="58">IF(BW27&lt;&gt;"",SUM(CM27:CR27)+2,"")</f>
        <v/>
      </c>
      <c r="CT27" s="147" t="str">
        <f>IF(BW27&lt;&gt;"",INDEX(BW27:BW29,MATCH(3,CS27:CS29,0),0),"")</f>
        <v/>
      </c>
      <c r="DS27" s="147" t="str">
        <f>IF(CT27&lt;&gt;"",CT27,IF(BV27&lt;&gt;"",BV27,IF(AX27&lt;&gt;"",AX27,T27)))</f>
        <v>Samoa</v>
      </c>
      <c r="DT27" s="147">
        <v>3</v>
      </c>
      <c r="DU27" s="147">
        <v>25</v>
      </c>
      <c r="DV27" s="147" t="str">
        <f>Tournament!H36</f>
        <v>Uruguay</v>
      </c>
      <c r="DW27" s="147">
        <f>IF(AND(Tournament!J36&lt;&gt;"",Tournament!L36&lt;&gt;""),Tournament!J36,0)</f>
        <v>0</v>
      </c>
      <c r="DX27" s="147">
        <f>IF(AND(Tournament!L36&lt;&gt;"",Tournament!J36&lt;&gt;""),Tournament!L36,0)</f>
        <v>0</v>
      </c>
      <c r="DY27" s="147" t="str">
        <f>Tournament!N36</f>
        <v>Namibia</v>
      </c>
      <c r="DZ27" s="147">
        <f>IF(Tournament!O36&lt;&gt;"",Tournament!O36,0)</f>
        <v>0</v>
      </c>
      <c r="EA27" s="147">
        <f>IF(Tournament!Q36&lt;&gt;"",Tournament!Q36,0)</f>
        <v>0</v>
      </c>
      <c r="EB27" s="147">
        <f>IF(DW27&lt;&gt;"",IF(Tournament!O36&gt;3,1,0),0)</f>
        <v>0</v>
      </c>
      <c r="EC27" s="147">
        <f>IF(DX27&lt;&gt;"",IF(Tournament!Q36&gt;3,1,0),0)</f>
        <v>0</v>
      </c>
      <c r="ED27" s="147">
        <f t="shared" si="0"/>
        <v>0</v>
      </c>
      <c r="EE27" s="147">
        <f t="shared" si="1"/>
        <v>0</v>
      </c>
      <c r="EF27" s="147" t="str">
        <f>IF(AND(Tournament!J36&lt;&gt;"",Tournament!L36&lt;&gt;""),IF(DW27&gt;DX27,"W",IF(DW27=DX27,"D","L")),"")</f>
        <v/>
      </c>
      <c r="EG27" s="161" t="str">
        <f t="shared" si="2"/>
        <v/>
      </c>
    </row>
    <row r="28" spans="1:137" x14ac:dyDescent="0.45">
      <c r="A28" s="147">
        <f>VLOOKUP(B28,DS25:DT29,2,FALSE)</f>
        <v>4</v>
      </c>
      <c r="B28" s="147" t="s">
        <v>6</v>
      </c>
      <c r="C28" s="147">
        <f>COUNTIFS(DV3:DV42,B28,EF3:EF42,"W")+COUNTIFS(DY3:DY42,B28,EG3:EG42,"W")</f>
        <v>0</v>
      </c>
      <c r="D28" s="147">
        <f>COUNTIFS(DV3:DV42,B28,EF3:EF42,"D")+COUNTIFS(DY3:DY42,B28,EG3:EG42,"D")</f>
        <v>0</v>
      </c>
      <c r="E28" s="147">
        <f>COUNTIFS(DV3:DV42,B28,EF3:EF42,"L")+COUNTIFS(DY3:DY42,B28,EG3:EG42,"L")</f>
        <v>0</v>
      </c>
      <c r="F28" s="147">
        <f>SUMIF(DV3:DV60,B28,DW3:DW60)+SUMIF(DY3:DY60,B28,DX3:DX60)</f>
        <v>0</v>
      </c>
      <c r="G28" s="147">
        <f>SUMIF(DY3:DY60,B28,DW3:DW60)+SUMIF(DV3:DV60,B28,DX3:DX60)</f>
        <v>0</v>
      </c>
      <c r="H28" s="147">
        <f t="shared" si="47"/>
        <v>1000</v>
      </c>
      <c r="I28" s="147">
        <f>SUMIF(Tournament!H12:H51,B28,Tournament!O12:O51)+SUMIF(Tournament!N12:N51,B28,Tournament!Q12:Q51)</f>
        <v>0</v>
      </c>
      <c r="J28" s="147">
        <f>SUMIF(Tournament!N12:N51,B28,Tournament!O12:O51)+SUMIF(Tournament!H12:H51,B28,Tournament!Q12:Q51)</f>
        <v>0</v>
      </c>
      <c r="K28" s="147">
        <f t="shared" si="48"/>
        <v>1000</v>
      </c>
      <c r="L28" s="147">
        <f t="shared" si="49"/>
        <v>0</v>
      </c>
      <c r="M28" s="147">
        <f>SUMIF(DV:DV,B28,EB:EB)+SUMIF(DY:DY,B28,EC:EC)</f>
        <v>0</v>
      </c>
      <c r="N28" s="147">
        <f>SUMIF(DV:DV,B28,ED:ED)+SUMIF(DY:DY,B28,EE:EE)</f>
        <v>0</v>
      </c>
      <c r="O28" s="147">
        <f t="shared" si="50"/>
        <v>0</v>
      </c>
      <c r="P28" s="147">
        <v>9</v>
      </c>
      <c r="Q28" s="147">
        <f>RANK(O28,O25:O29)</f>
        <v>1</v>
      </c>
      <c r="S28" s="147">
        <f>RANK(O28,O25:O29)+COUNTIF(O25:O28,O28)-1</f>
        <v>4</v>
      </c>
      <c r="T28" s="147" t="str">
        <f>INDEX(B25:B29,MATCH(4,S25:S29,0),0)</f>
        <v>Japan</v>
      </c>
      <c r="U28" s="147">
        <f>INDEX(Q25:Q29,MATCH(T28,B25:B29,0),0)</f>
        <v>1</v>
      </c>
      <c r="V28" s="147" t="str">
        <f>IF(AND(V27&lt;&gt;"",U28=1),T28,"")</f>
        <v>Japan</v>
      </c>
      <c r="W28" s="147" t="str">
        <f>IF(AND(W27&lt;&gt;"",U29=2),T29,"")</f>
        <v/>
      </c>
      <c r="AA28" s="147" t="str">
        <f t="shared" si="52"/>
        <v>Japan</v>
      </c>
      <c r="AB28" s="147">
        <f>SUMPRODUCT((DV3:DV42=AA28)*(DY3:DY42=AA29)*(EF3:EF42="W"))+SUMPRODUCT((DV3:DV42=AA28)*(DY3:DY42=AA25)*(EF3:EF42="W"))+SUMPRODUCT((DV3:DV42=AA28)*(DY3:DY42=AA26)*(EF3:EF42="W"))+SUMPRODUCT((DV3:DV42=AA28)*(DY3:DY42=AA27)*(EF3:EF42="W"))+SUMPRODUCT((DV3:DV42=AA29)*(DY3:DY42=AA28)*(EG3:EG42="W"))+SUMPRODUCT((DV3:DV42=AA25)*(DY3:DY42=AA28)*(EG3:EG42="W"))+SUMPRODUCT((DV3:DV42=AA26)*(DY3:DY42=AA28)*(EG3:EG42="W"))+SUMPRODUCT((DV3:DV42=AA27)*(DY3:DY42=AA28)*(EG3:EG42="W"))</f>
        <v>0</v>
      </c>
      <c r="AC28" s="147">
        <f>SUMPRODUCT((DV3:DV42=AA28)*(DY3:DY42=AA29)*(EF3:EF42="D"))+SUMPRODUCT((DV3:DV42=AA28)*(DY3:DY42=AA25)*(EF3:EF42="D"))+SUMPRODUCT((DV3:DV42=AA28)*(DY3:DY42=AA26)*(EF3:EF42="D"))+SUMPRODUCT((DV3:DV42=AA28)*(DY3:DY42=AA27)*(EF3:EF42="D"))+SUMPRODUCT((DV3:DV42=AA29)*(DY3:DY42=AA28)*(EF3:EF42="D"))+SUMPRODUCT((DV3:DV42=AA25)*(DY3:DY42=AA28)*(EF3:EF42="D"))+SUMPRODUCT((DV3:DV42=AA26)*(DY3:DY42=AA28)*(EF3:EF42="D"))+SUMPRODUCT((DV3:DV42=AA27)*(DY3:DY42=AA28)*(EF3:EF42="D"))</f>
        <v>0</v>
      </c>
      <c r="AD28" s="147">
        <f>SUMPRODUCT((DV3:DV42=AA28)*(DY3:DY42=AA29)*(EF3:EF42="L"))+SUMPRODUCT((DV3:DV42=AA28)*(DY3:DY42=AA25)*(EF3:EF42="L"))+SUMPRODUCT((DV3:DV42=AA28)*(DY3:DY42=AA26)*(EF3:EF42="L"))+SUMPRODUCT((DV3:DV42=AA28)*(DY3:DY42=AA27)*(EF3:EF42="L"))+SUMPRODUCT((DV3:DV42=AA29)*(DY3:DY42=AA28)*(EG3:EG42="L"))+SUMPRODUCT((DV3:DV42=AA25)*(DY3:DY42=AA28)*(EG3:EG42="L"))+SUMPRODUCT((DV3:DV42=AA26)*(DY3:DY42=AA28)*(EG3:EG42="L"))+SUMPRODUCT((DV3:DV42=AA27)*(DY3:DY42=AA28)*(EG3:EG42="L"))</f>
        <v>0</v>
      </c>
      <c r="AE28" s="147">
        <f>IF(AA28&lt;&gt;"",VLOOKUP(AA28,B4:F29,5,FALSE),0)</f>
        <v>0</v>
      </c>
      <c r="AF28" s="147">
        <f>IF(AA28&lt;&gt;"",VLOOKUP(AA28,B4:G29,6,FALSE),0)</f>
        <v>0</v>
      </c>
      <c r="AG28" s="147">
        <f>AE28-AF28+1000</f>
        <v>1000</v>
      </c>
      <c r="AH28" s="147">
        <f>IF(AA28&lt;&gt;"",VLOOKUP(AA28,B4:I29,8,FALSE),0)</f>
        <v>0</v>
      </c>
      <c r="AI28" s="147">
        <f>IF(AA28&lt;&gt;"",VLOOKUP(AA28,B4:J29,9,FALSE),0)</f>
        <v>0</v>
      </c>
      <c r="AJ28" s="147">
        <f>IF(AA28&lt;&gt;"",AH28-AI28+1000,"")</f>
        <v>1000</v>
      </c>
      <c r="AK28" s="147">
        <f>IF(AA28&lt;&gt;"",VLOOKUP(AA28,B25:F29,5,FALSE),"")</f>
        <v>0</v>
      </c>
      <c r="AL28" s="147">
        <f>IF(AA28&lt;&gt;"",VLOOKUP(AA28,B25:I29,8,FALSE),"")</f>
        <v>0</v>
      </c>
      <c r="AM28" s="147">
        <f>IF(AA28&lt;&gt;"",VLOOKUP(AA28,B25:P29,15,FALSE),"")</f>
        <v>9</v>
      </c>
      <c r="AN28" s="147">
        <f>SUMPRODUCT((DV3:DV42=AA28)*(DY3:DY42=AA29)*EB3:EB42)+SUMPRODUCT((DV3:DV42=AA28)*(DY3:DY42=AA25)*EB3:EB42)+SUMPRODUCT((DV3:DV42=AA28)*(DY3:DY42=AA26)*EB3:EB42)+SUMPRODUCT((DV3:DV42=AA28)*(DY3:DY42=AA27)*EB3:EB42)+SUMPRODUCT((DV3:DV42=AA29)*(DY3:DY42=AA28)*EC3:EC42)+SUMPRODUCT((DV3:DV42=AA25)*(DY3:DY42=AA28)*EC3:EC42)+SUMPRODUCT((DV3:DV42=AA26)*(DY3:DY42=AA28)*EC3:EC42)+SUMPRODUCT((DV3:DV42=AA27)*(DY3:DY42=AA28)*EC3:EC42)</f>
        <v>0</v>
      </c>
      <c r="AO28" s="147">
        <f>SUMPRODUCT((DV3:DV42=AA28)*(DY3:DY42=AA29)*ED3:ED42)+SUMPRODUCT((DV3:DV42=AA28)*(DY3:DY42=AA25)*ED3:ED42)+SUMPRODUCT((DV3:DV42=AA28)*(DY3:DY42=AA26)*ED3:ED42)+SUMPRODUCT((DV3:DV42=AA28)*(DY3:DY42=AA27)*ED3:ED42)+SUMPRODUCT((DV3:DV42=AA29)*(DY3:DY42=AA28)*EE3:EE42)+SUMPRODUCT((DV3:DV42=AA25)*(DY3:DY42=AA28)*EE3:EE42)+SUMPRODUCT((DV3:DV42=AA26)*(DY3:DY42=AA28)*EE3:EE42)+SUMPRODUCT((DV3:DV42=AA27)*(DY3:DY42=AA28)*EE3:EE42)</f>
        <v>0</v>
      </c>
      <c r="AP28" s="147">
        <f>IF(AA28&lt;&gt;"",AB28*4+AC28*2+AN28+AO28,"")</f>
        <v>0</v>
      </c>
      <c r="AQ28" s="147">
        <f>IF(AA28&lt;&gt;"",RANK(AP28,AP25:AP29),"")</f>
        <v>1</v>
      </c>
      <c r="AR28" s="147">
        <f>SUMPRODUCT((AP25:AP29=AP28)*(AG25:AG29&gt;AG28))</f>
        <v>0</v>
      </c>
      <c r="AS28" s="147">
        <f>SUMPRODUCT((AP25:AP29=AP28)*(AG25:AG29=AG28)*(AJ25:AJ29&gt;AJ28))</f>
        <v>0</v>
      </c>
      <c r="AT28" s="147">
        <f>SUMPRODUCT((AP25:AP29=AP28)*(AG25:AG29=AG28)*(AJ25:AJ29=AJ28)*(AK25:AK29&gt;AK28))</f>
        <v>0</v>
      </c>
      <c r="AU28" s="147">
        <f>SUMPRODUCT((AP25:AP29=AP28)*(AG25:AG29=AG28)*(AJ25:AJ29=AJ28)*(AK25:AK29=AK28)*(AL25:AL29&gt;AL28))</f>
        <v>0</v>
      </c>
      <c r="AV28" s="147">
        <f>SUMPRODUCT((AP25:AP29=AP28)*(AG25:AG29=AG28)*(AJ25:AJ29=AJ28)*(AK25:AK29=AK28)*(AL25:AL29=AL28)*(AM25:AM29&gt;AM28))</f>
        <v>3</v>
      </c>
      <c r="AW28" s="147">
        <f t="shared" si="55"/>
        <v>4</v>
      </c>
      <c r="AX28" s="147" t="str">
        <f>IF(AA28&lt;&gt;"",INDEX(AA25:AA29,MATCH(4,AW25:AW29,0),0),"")</f>
        <v>Japan</v>
      </c>
      <c r="AY28" s="147" t="str">
        <f>IF(W27&lt;&gt;"",W27,"")</f>
        <v/>
      </c>
      <c r="AZ28" s="147" t="str">
        <f>IF(AY28&lt;&gt;"",SUMPRODUCT((DV3:DV42=AY28)*(DY3:DY42=AY29)*(EF3:EF42="W"))+SUMPRODUCT((DV3:DV42=AY28)*(DY3:DY42=AY26)*(EF3:EF42="W"))+SUMPRODUCT((DV3:DV42=AY28)*(DY3:DY42=AY27)*(EF3:EF42="W"))+SUMPRODUCT((DV3:DV42=AY29)*(DY3:DY42=AY28)*(EG3:EG42="W"))+SUMPRODUCT((DV3:DV42=AY26)*(DY3:DY42=AY28)*(EG3:EG42="W"))+SUMPRODUCT((DV3:DV42=AY27)*(DY3:DY42=AY28)*(EG3:EG42="W")),"")</f>
        <v/>
      </c>
      <c r="BA28" s="147" t="str">
        <f>IF(AY28&lt;&gt;"",SUMPRODUCT((DV3:DV42=AY28)*(DY3:DY42=AY29)*(EF3:EF42="D"))+SUMPRODUCT((DV3:DV42=AY28)*(DY3:DY42=AY26)*(EF3:EF42="D"))+SUMPRODUCT((DV3:DV42=AY28)*(DY3:DY42=AY27)*(EF3:EF42="D"))+SUMPRODUCT((DV3:DV42=AY29)*(DY3:DY42=AY28)*(EF3:EF42="D"))+SUMPRODUCT((DV3:DV42=AY26)*(DY3:DY42=AY28)*(EF3:EF42="D"))+SUMPRODUCT((DV3:DV42=AY27)*(DY3:DY42=AY28)*(EF3:EF42="D")),"")</f>
        <v/>
      </c>
      <c r="BB28" s="147" t="str">
        <f>IF(AY28&lt;&gt;"",SUMPRODUCT((DV3:DV42=AY28)*(DY3:DY42=AY29)*(EF3:EF42="L"))+SUMPRODUCT((DV3:DV42=AY28)*(DY3:DY42=AY26)*(EF3:EF42="L"))+SUMPRODUCT((DV3:DV42=AY28)*(DY3:DY42=AY27)*(EF3:EF42="L"))+SUMPRODUCT((DV3:DV42=AY29)*(DY3:DY42=AY28)*(EG3:EG42="L"))+SUMPRODUCT((DV3:DV42=AY26)*(DY3:DY42=AY28)*(EG3:EG42="L"))+SUMPRODUCT((DV3:DV42=AY27)*(DY3:DY42=AY28)*(EG3:EG42="L")),"")</f>
        <v/>
      </c>
      <c r="BC28" s="147">
        <f>IF(AY28&lt;&gt;"",VLOOKUP(AY28,B4:F29,5,FALSE),0)</f>
        <v>0</v>
      </c>
      <c r="BD28" s="147">
        <f>IF(AY28&lt;&gt;"",VLOOKUP(AY28,B4:G29,6,FALSE),0)</f>
        <v>0</v>
      </c>
      <c r="BE28" s="147">
        <f>BC28-BD28+1000</f>
        <v>1000</v>
      </c>
      <c r="BF28" s="147">
        <f>IF(AY28&lt;&gt;"",VLOOKUP(AY28,B4:I29,8,FALSE),0)</f>
        <v>0</v>
      </c>
      <c r="BG28" s="147">
        <f>IF(AY28&lt;&gt;"",VLOOKUP(AY28,B4:J29,9,FALSE),0)</f>
        <v>0</v>
      </c>
      <c r="BH28" s="147" t="str">
        <f>IF(AY28&lt;&gt;"",BF28-BG28+1000,"")</f>
        <v/>
      </c>
      <c r="BI28" s="147" t="str">
        <f>IF(AY28&lt;&gt;"",VLOOKUP(AY28,B25:F29,5,FALSE),"")</f>
        <v/>
      </c>
      <c r="BJ28" s="147" t="str">
        <f>IF(AY28&lt;&gt;"",VLOOKUP(AY28,B25:I29,8,FALSE),"")</f>
        <v/>
      </c>
      <c r="BK28" s="147" t="str">
        <f>IF(AY28&lt;&gt;"",VLOOKUP(AY28,B25:P29,15,FALSE),"")</f>
        <v/>
      </c>
      <c r="BL28" s="147" t="str">
        <f>IF(AY28&lt;&gt;"",SUMPRODUCT((DV3:DV42=AY28)*(DY3:DY42=AY29)*EB3:EB42)+SUMPRODUCT((DV3:DV42=AY28)*(DY3:DY42=AY26)*EB3:EB42)+SUMPRODUCT((DV3:DV42=AY28)*(DY3:DY42=AY27)*EB3:EB42)+SUMPRODUCT((DV3:DV42=AY29)*(DY3:DY42=AY28)*EC3:EC42)+SUMPRODUCT((DV3:DV42=AY26)*(DY3:DY42=AY28)*EC3:EC42)+SUMPRODUCT((DV3:DV42=AY27)*(DY3:DY42=AY28)*EC3:EC42),"")</f>
        <v/>
      </c>
      <c r="BM28" s="147" t="str">
        <f>IF(AY28&lt;&gt;"",SUMPRODUCT((DV3:DV42=AY28)*(DY3:DY42=AY29)*ED3:ED42)+SUMPRODUCT((DV3:DV42=AY28)*(DY3:DY42=AY26)*ED3:ED42)+SUMPRODUCT((DV3:DV42=AY28)*(DY3:DY42=AY27)*ED3:ED42)+SUMPRODUCT((DV3:DV42=AY29)*(DY3:DY42=AY28)*EE3:EE42)+SUMPRODUCT((DV3:DV42=AY26)*(DY3:DY42=AY28)*EE3:EE42)+SUMPRODUCT((DV3:DV42=AY27)*(DY3:DY42=AY28)*EE3:EE42),"")</f>
        <v/>
      </c>
      <c r="BN28" s="147" t="str">
        <f>IF(AY28&lt;&gt;"",AZ28*4+BA28*2+BL28+BM28,"")</f>
        <v/>
      </c>
      <c r="BO28" s="147" t="str">
        <f>IF(AY28&lt;&gt;"",RANK(BN28,BN26:BN29),"")</f>
        <v/>
      </c>
      <c r="BP28" s="147">
        <f>SUMPRODUCT((BN26:BN29=BN28)*(BE26:BE29&gt;BE28))</f>
        <v>0</v>
      </c>
      <c r="BQ28" s="147">
        <f>SUMPRODUCT((BN26:BN29=BN28)*(BE26:BE29=BE28)*(BH26:BH29&gt;BH28))</f>
        <v>0</v>
      </c>
      <c r="BR28" s="147">
        <f>SUMPRODUCT((BN25:BN29=BN28)*(BE25:BE29=BE28)*(BH25:BH29=BH28)*(BI25:BI29&gt;BI28))</f>
        <v>0</v>
      </c>
      <c r="BS28" s="147">
        <f>SUMPRODUCT((BN25:BN29=BN28)*(BE25:BE29=BE28)*(BH25:BH29=BH28)*(BI25:BI29=BI28)*(BJ25:BJ29&gt;BJ28))</f>
        <v>0</v>
      </c>
      <c r="BT28" s="147">
        <f>SUMPRODUCT((BN25:BN29=BN28)*(BE25:BE29=BE28)*(BH25:BH29=BH28)*(BI25:BI29=BI28)*(BJ25:BJ29=BJ28)*(BK25:BK29&gt;BK28))</f>
        <v>0</v>
      </c>
      <c r="BU28" s="147" t="str">
        <f t="shared" si="56"/>
        <v/>
      </c>
      <c r="BV28" s="147" t="str">
        <f>IF(AY28&lt;&gt;"",INDEX(AY26:AY29,MATCH(4,BU26:BU29,0),0),"")</f>
        <v/>
      </c>
      <c r="BW28" s="147" t="str">
        <f>IF(X26&lt;&gt;"",X26,"")</f>
        <v/>
      </c>
      <c r="BX28" s="147">
        <f>SUMPRODUCT((DV3:DV42=BW28)*(DY3:DY42=BW29)*(EF3:EF42="W"))+SUMPRODUCT((DV3:DV42=BW28)*(DY3:DY42=BW30)*(EF3:EF42="W"))+SUMPRODUCT((DV3:DV42=BW28)*(DY3:DY42=BW27)*(EF3:EF42="W"))+SUMPRODUCT((DV3:DV42=BW29)*(DY3:DY42=BW28)*(EG3:EG42="W"))+SUMPRODUCT((DV3:DV42=BW30)*(DY3:DY42=BW28)*(EG3:EG42="W"))+SUMPRODUCT((DV3:DV42=BW27)*(DY3:DY42=BW28)*(EG3:EG42="W"))</f>
        <v>0</v>
      </c>
      <c r="BY28" s="147">
        <f>SUMPRODUCT((DV3:DV42=BW28)*(DY3:DY42=BW29)*(EF3:EF42="D"))+SUMPRODUCT((DV3:DV42=BW28)*(DY3:DY42=BW30)*(EF3:EF42="D"))+SUMPRODUCT((DV3:DV42=BW28)*(DY3:DY42=BW27)*(EF3:EF42="D"))+SUMPRODUCT((DV3:DV42=BW29)*(DY3:DY42=BW28)*(EF3:EF42="D"))+SUMPRODUCT((DV3:DV42=BW30)*(DY3:DY42=BW28)*(EF3:EF42="D"))+SUMPRODUCT((DV3:DV42=BW27)*(DY3:DY42=BW28)*(EF3:EF42="D"))</f>
        <v>0</v>
      </c>
      <c r="BZ28" s="147">
        <f>SUMPRODUCT((DV3:DV42=BW28)*(DY3:DY42=BW29)*(EF3:EF42="L"))+SUMPRODUCT((DV3:DV42=BW28)*(DY3:DY42=BW30)*(EF3:EF42="L"))+SUMPRODUCT((DV3:DV42=BW28)*(DY3:DY42=BW27)*(EF3:EF42="L"))+SUMPRODUCT((DV3:DV42=BW29)*(DY3:DY42=BW28)*(EG3:EG42="L"))+SUMPRODUCT((DV3:DV42=BW30)*(DY3:DY42=BW28)*(EG3:EG42="L"))+SUMPRODUCT((DV3:DV42=BW27)*(DY3:DY42=BW28)*(EG3:EG42="L"))</f>
        <v>0</v>
      </c>
      <c r="CA28" s="147">
        <f>IF(BW28&lt;&gt;"",VLOOKUP(BW28,B4:F29,5,FALSE),0)</f>
        <v>0</v>
      </c>
      <c r="CB28" s="147">
        <f>IF(BW28&lt;&gt;"",VLOOKUP(BW28,B4:G29,6,FALSE),0)</f>
        <v>0</v>
      </c>
      <c r="CC28" s="147">
        <f>CA28-CB28+1000</f>
        <v>1000</v>
      </c>
      <c r="CD28" s="147">
        <f>IF(BW28&lt;&gt;"",VLOOKUP(BW28,B4:I29,8,FALSE),0)</f>
        <v>0</v>
      </c>
      <c r="CE28" s="147">
        <f>IF(BW28&lt;&gt;"",VLOOKUP(BW28,B4:J29,9,FALSE),0)</f>
        <v>0</v>
      </c>
      <c r="CF28" s="147">
        <f t="shared" ref="CF28" si="59">CD28-CE28+1000</f>
        <v>1000</v>
      </c>
      <c r="CG28" s="147" t="str">
        <f>IF(BW28&lt;&gt;"",VLOOKUP(BW28,B25:F29,5,FALSE),"")</f>
        <v/>
      </c>
      <c r="CH28" s="147" t="str">
        <f>IF(BW28&lt;&gt;"",VLOOKUP(BW28,B25:I29,8,FALSE),"")</f>
        <v/>
      </c>
      <c r="CI28" s="147" t="str">
        <f>IF(BW28&lt;&gt;"",VLOOKUP(BW28,B25:P29,15,FALSE),"")</f>
        <v/>
      </c>
      <c r="CJ28" s="147">
        <f>SUMPRODUCT((DV3:DV42=BW28)*(DY3:DY42=BW29)*EB3:EB42)+SUMPRODUCT((DV3:DV42=BW28)*(DY3:DY42=BW30)*EB3:EB42)+SUMPRODUCT((DV3:DV42=BW28)*(DY3:DY42=BW27)*EB3:EB42)+SUMPRODUCT((DV3:DV42=BW29)*(DY3:DY42=BW28)*EC3:EC42)+SUMPRODUCT((DV3:DV42=BW30)*(DY3:DY42=BW28)*EC3:EC42)+SUMPRODUCT((DV3:DV42=BW27)*(DY3:DY42=BW28)*EC3:EC42)</f>
        <v>0</v>
      </c>
      <c r="CK28" s="147">
        <f>SUMPRODUCT((DV3:DV42=BW28)*(DY3:DY42=BW29)*ED3:ED42)+SUMPRODUCT((DV3:DV42=BW28)*(DY3:DY42=BW30)*ED3:ED42)+SUMPRODUCT((DV3:DV42=BW28)*(DY3:DY42=BW27)*ED3:ED42)+SUMPRODUCT((DV3:DV42=BW29)*(DY3:DY42=BW28)*EE3:EE42)+SUMPRODUCT((DV3:DV42=BW30)*(DY3:DY42=BW28)*EE3:EE42)+SUMPRODUCT((DV3:DV42=BW27)*(DY3:DY42=BW28)*EE3:EE42)</f>
        <v>0</v>
      </c>
      <c r="CL28" s="147">
        <f t="shared" ref="CL28" si="60">BX28*4+BY28*2+CJ28+CK28</f>
        <v>0</v>
      </c>
      <c r="CM28" s="147" t="str">
        <f>IF(BW28&lt;&gt;"",RANK(CL28,CL27:CL30),"")</f>
        <v/>
      </c>
      <c r="CN28" s="147">
        <f>SUMPRODUCT((CL27:CL30=CL28)*(CC27:CC30&gt;CC28))</f>
        <v>0</v>
      </c>
      <c r="CO28" s="147">
        <f>SUMPRODUCT((CL27:CL30=CL28)*(CC27:CC30=CC28)*(CF27:CF30&gt;CF28))</f>
        <v>0</v>
      </c>
      <c r="CP28" s="147">
        <f>SUMPRODUCT((CL25:CL29=CL28)*(CC25:CC29=CC28)*(CF25:CF29=CF28)*(CG25:CG29&gt;CG28))</f>
        <v>0</v>
      </c>
      <c r="CQ28" s="147">
        <f>SUMPRODUCT((CL25:CL29=CL28)*(CC25:CC29=CC28)*(CF25:CF29=CF28)*(CG25:CG29=CG28)*(CH25:CH29&gt;CH28))</f>
        <v>0</v>
      </c>
      <c r="CR28" s="147">
        <f>SUMPRODUCT((CL25:CL29=CL28)*(CC25:CC29=CC28)*(CF25:CF29=CF28)*(CG25:CG29=CG28)*(CH25:CH29=CH28)*(CI25:CI29&gt;CI28))</f>
        <v>0</v>
      </c>
      <c r="CS28" s="147" t="str">
        <f t="shared" si="58"/>
        <v/>
      </c>
      <c r="CT28" s="147" t="str">
        <f>IF(BW28&lt;&gt;"",INDEX(BW27:BW29,MATCH(4,CS27:CS29,0),0),"")</f>
        <v/>
      </c>
      <c r="CU28" s="147" t="str">
        <f>IF(Y25&lt;&gt;"",Y25,"")</f>
        <v/>
      </c>
      <c r="CV28" s="147">
        <f>SUMPRODUCT((DV3:DV42=CU28)*(DY3:DY42=CU29)*(EF3:EF42="W"))+SUMPRODUCT((DV3:DV42=CU28)*(DY3:DY42=CU30)*(EF3:EF42="W"))+SUMPRODUCT((DV3:DV42=CU28)*(DY3:DY42=CU31)*(EF3:EF42="W"))+SUMPRODUCT((DV3:DV42=CU29)*(DY3:DY42=CU28)*(EG3:EG42="W"))+SUMPRODUCT((DV3:DV42=CU30)*(DY3:DY42=CU28)*(EG3:EG42="W"))+SUMPRODUCT((DV3:DV42=CU31)*(DY3:DY42=CU28)*(EG3:EG42="W"))</f>
        <v>0</v>
      </c>
      <c r="CW28" s="147">
        <f>SUMPRODUCT((DV3:DV42=CU28)*(DY3:DY42=CU29)*(EF3:EF42="D"))+SUMPRODUCT((DV3:DV42=CU28)*(DY3:DY42=CU30)*(EF3:EF42="D"))+SUMPRODUCT((DV3:DV42=CU28)*(DY3:DY42=CU31)*(EF3:EF42="D"))+SUMPRODUCT((DV3:DV42=CU29)*(DY3:DY42=CU28)*(EF3:EF42="D"))+SUMPRODUCT((DV3:DV42=CU30)*(DY3:DY42=CU28)*(EF3:EF42="D"))+SUMPRODUCT((DV3:DV42=CU31)*(DY3:DY42=CU28)*(EF3:EF42="D"))</f>
        <v>0</v>
      </c>
      <c r="CX28" s="147">
        <f>SUMPRODUCT((DV3:DV42=CU28)*(DY3:DY42=CU29)*(EF3:EF42="L"))+SUMPRODUCT((DV3:DV42=CU28)*(DY3:DY42=CU30)*(EF3:EF42="L"))+SUMPRODUCT((DV3:DV42=CU28)*(DY3:DY42=CU31)*(EF3:EF42="L"))+SUMPRODUCT((DV3:DV42=CU29)*(DY3:DY42=CU28)*(EG3:EG42="L"))+SUMPRODUCT((DV3:DV42=CU30)*(DY3:DY42=CU28)*(EG3:EG42="L"))+SUMPRODUCT((DV3:DV42=CU31)*(DY3:DY42=CU28)*(EG3:EG42="L"))</f>
        <v>0</v>
      </c>
      <c r="CY28" s="147">
        <f>IF(CU28&lt;&gt;"",VLOOKUP(CU28,B4:F29,5,FALSE),0)</f>
        <v>0</v>
      </c>
      <c r="CZ28" s="147">
        <f>IF(CU28&lt;&gt;"",VLOOKUP(CU28,B4:G29,6,FALSE),0)</f>
        <v>0</v>
      </c>
      <c r="DA28" s="147">
        <f>CY28-CZ28+1000</f>
        <v>1000</v>
      </c>
      <c r="DB28" s="147">
        <f>IF(CU28&lt;&gt;"",VLOOKUP(CU28,B4:I29,8,FALSE),0)</f>
        <v>0</v>
      </c>
      <c r="DC28" s="147">
        <f>IF(CU28&lt;&gt;"",VLOOKUP(CU28,B4:J29,9,FALSE),0)</f>
        <v>0</v>
      </c>
      <c r="DD28" s="147">
        <f>DB28-DC28+1000</f>
        <v>1000</v>
      </c>
      <c r="DE28" s="147" t="str">
        <f>IF(CU28&lt;&gt;"",VLOOKUP(CU28,B25:F29,5,FALSE),"")</f>
        <v/>
      </c>
      <c r="DF28" s="147" t="str">
        <f>IF(CU28&lt;&gt;"",VLOOKUP(CU28,B25:I29,8,FALSE),"")</f>
        <v/>
      </c>
      <c r="DG28" s="147" t="str">
        <f>IF(CU28&lt;&gt;"",VLOOKUP(CU28,B25:P29,15,FALSE),"")</f>
        <v/>
      </c>
      <c r="DH28" s="147">
        <f>SUMPRODUCT((DV3:DV42=CU28)*(DY3:DY42=CU29)*EB3:EB42)+SUMPRODUCT((DV3:DV42=CU28)*(DY3:DY42=CU30)*EB3:EB42)+SUMPRODUCT((DV3:DV42=CU28)*(DY3:DY42=CU31)*EB3:EB42)+SUMPRODUCT((DV3:DV42=CU29)*(DY3:DY42=CU28)*EC3:EC42)+SUMPRODUCT((DV3:DV42=CU30)*(DY3:DY42=CU28)*EC3:EC42)+SUMPRODUCT((DV3:DV42=CU31)*(DY3:DY42=CU28)*EC3:EC42)</f>
        <v>0</v>
      </c>
      <c r="DI28" s="147">
        <f>SUMPRODUCT((DV3:DV42=CU28)*(DY3:DY42=CU29)*ED3:ED42)+SUMPRODUCT((DV3:DV42=CU28)*(DY3:DY42=CU30)*ED3:ED42)+SUMPRODUCT((DV3:DV42=CU28)*(DY3:DY42=CU31)*ED3:ED42)+SUMPRODUCT((DV3:DV42=CU29)*(DY3:DY42=CU28)*EE3:EE42)+SUMPRODUCT((DV3:DV42=CU30)*(DY3:DY42=CU28)*EE3:EE42)+SUMPRODUCT((DV3:DV42=CU31)*(DY3:DY42=CU28)*EE3:EE42)</f>
        <v>0</v>
      </c>
      <c r="DJ28" s="147">
        <f>CV28*4+CW28*2+DH28+DI28</f>
        <v>0</v>
      </c>
      <c r="DK28" s="147" t="str">
        <f>IF(CU28&lt;&gt;"",RANK(DJ28,DJ28:DJ31),"")</f>
        <v/>
      </c>
      <c r="DL28" s="147">
        <f>SUMPRODUCT((DJ28:DJ31=DJ28)*(DA28:DA31&gt;DA28))</f>
        <v>0</v>
      </c>
      <c r="DM28" s="147">
        <f>SUMPRODUCT((DJ28:DJ31=DJ28)*(DA28:DA31=DA28)*(DD28:DD31&gt;DD28))</f>
        <v>0</v>
      </c>
      <c r="DN28" s="147">
        <f>SUMPRODUCT((DJ25:DJ29=DJ28)*(DA25:DA29=DA28)*(DD25:DD29=DD28)*(DE25:DE29&gt;DE28))</f>
        <v>0</v>
      </c>
      <c r="DO28" s="147">
        <f>SUMPRODUCT((DJ25:DJ29=DJ28)*(DA25:DA29=DA28)*(DD25:DD29=DD28)*(DE25:DE29=DE28)*(DF25:DF29&gt;DF28))</f>
        <v>0</v>
      </c>
      <c r="DP28" s="147">
        <f>SUMPRODUCT((DJ25:DJ29=DJ28)*(DA25:DA29=DA28)*(DD25:DD29=DD28)*(DE25:DE29=DE28)*(DF25:DF29=DF28)*(DG25:DG29&gt;DG28))</f>
        <v>0</v>
      </c>
      <c r="DQ28" s="147" t="str">
        <f t="shared" ref="DQ28:DQ29" si="61">IF(CU28&lt;&gt;"",SUM(DK28:DP28)+3,"")</f>
        <v/>
      </c>
      <c r="DR28" s="147" t="str">
        <f>IF(CU28&lt;&gt;"",IF(DQ28=4,CU28,CU29),"")</f>
        <v/>
      </c>
      <c r="DS28" s="147" t="str">
        <f>IF(DR28&lt;&gt;"",DR28,IF(CT28&lt;&gt;"",CT28,IF(BV28&lt;&gt;"",BV28,IF(AX28&lt;&gt;"",AX28,T28))))</f>
        <v>Japan</v>
      </c>
      <c r="DT28" s="147">
        <v>4</v>
      </c>
      <c r="DU28" s="147">
        <v>26</v>
      </c>
      <c r="DV28" s="147" t="str">
        <f>Tournament!H37</f>
        <v>Japan</v>
      </c>
      <c r="DW28" s="147">
        <f>IF(AND(Tournament!J37&lt;&gt;"",Tournament!L37&lt;&gt;""),Tournament!J37,0)</f>
        <v>0</v>
      </c>
      <c r="DX28" s="147">
        <f>IF(AND(Tournament!L37&lt;&gt;"",Tournament!J37&lt;&gt;""),Tournament!L37,0)</f>
        <v>0</v>
      </c>
      <c r="DY28" s="147" t="str">
        <f>Tournament!N37</f>
        <v>Samoa</v>
      </c>
      <c r="DZ28" s="147">
        <f>IF(Tournament!O37&lt;&gt;"",Tournament!O37,0)</f>
        <v>0</v>
      </c>
      <c r="EA28" s="147">
        <f>IF(Tournament!Q37&lt;&gt;"",Tournament!Q37,0)</f>
        <v>0</v>
      </c>
      <c r="EB28" s="147">
        <f>IF(DW28&lt;&gt;"",IF(Tournament!O37&gt;3,1,0),0)</f>
        <v>0</v>
      </c>
      <c r="EC28" s="147">
        <f>IF(DX28&lt;&gt;"",IF(Tournament!Q37&gt;3,1,0),0)</f>
        <v>0</v>
      </c>
      <c r="ED28" s="147">
        <f t="shared" si="0"/>
        <v>0</v>
      </c>
      <c r="EE28" s="147">
        <f t="shared" si="1"/>
        <v>0</v>
      </c>
      <c r="EF28" s="147" t="str">
        <f>IF(AND(Tournament!J37&lt;&gt;"",Tournament!L37&lt;&gt;""),IF(DW28&gt;DX28,"W",IF(DW28=DX28,"D","L")),"")</f>
        <v/>
      </c>
      <c r="EG28" s="161" t="str">
        <f t="shared" si="2"/>
        <v/>
      </c>
    </row>
    <row r="29" spans="1:137" x14ac:dyDescent="0.45">
      <c r="A29" s="147">
        <f>VLOOKUP(B29,DS25:DT29,2,FALSE)</f>
        <v>3</v>
      </c>
      <c r="B29" s="147" t="s">
        <v>34</v>
      </c>
      <c r="C29" s="147">
        <f>COUNTIFS(DV3:DV42,B29,EF3:EF42,"W")+COUNTIFS(DY3:DY42,B29,EG3:EG42,"W")</f>
        <v>0</v>
      </c>
      <c r="D29" s="147">
        <f>COUNTIFS(DV3:DV42,B29,EF3:EF42,"D")+COUNTIFS(DY3:DY42,B29,EG3:EG42,"D")</f>
        <v>0</v>
      </c>
      <c r="E29" s="147">
        <f>COUNTIFS(DV3:DV42,B29,EF3:EF42,"L")+COUNTIFS(DY3:DY42,B29,EG3:EG42,"L")</f>
        <v>0</v>
      </c>
      <c r="F29" s="147">
        <f>SUMIF(DV3:DV60,B29,DW3:DW60)+SUMIF(DY3:DY60,B29,DX3:DX60)</f>
        <v>0</v>
      </c>
      <c r="G29" s="147">
        <f>SUMIF(DY3:DY60,B29,DW3:DW60)+SUMIF(DV3:DV60,B29,DX3:DX60)</f>
        <v>0</v>
      </c>
      <c r="H29" s="147">
        <f t="shared" si="47"/>
        <v>1000</v>
      </c>
      <c r="I29" s="147">
        <f>SUMIF(Tournament!H12:H51,B29,Tournament!O12:O51)+SUMIF(Tournament!N12:N51,B29,Tournament!Q12:Q51)</f>
        <v>0</v>
      </c>
      <c r="J29" s="147">
        <f>SUMIF(Tournament!N12:N51,B29,Tournament!O12:O51)+SUMIF(Tournament!H12:H51,B29,Tournament!Q12:Q51)</f>
        <v>0</v>
      </c>
      <c r="K29" s="147">
        <f t="shared" si="48"/>
        <v>1000</v>
      </c>
      <c r="L29" s="147">
        <f t="shared" si="49"/>
        <v>0</v>
      </c>
      <c r="M29" s="147">
        <f>SUMIF(DV:DV,B29,EB:EB)+SUMIF(DY:DY,B29,EC:EC)</f>
        <v>0</v>
      </c>
      <c r="N29" s="147">
        <f>SUMIF(DV:DV,B29,ED:ED)+SUMIF(DY:DY,B29,EE:EE)</f>
        <v>0</v>
      </c>
      <c r="O29" s="147">
        <f t="shared" si="50"/>
        <v>0</v>
      </c>
      <c r="P29" s="147">
        <v>11</v>
      </c>
      <c r="Q29" s="147">
        <f>RANK(O29,O25:O29)</f>
        <v>1</v>
      </c>
      <c r="S29" s="147">
        <f>RANK(O29,O25:O29)+COUNTIF(O25:O29,O29)-1</f>
        <v>5</v>
      </c>
      <c r="T29" s="147" t="str">
        <f>INDEX(B25:B29,MATCH(5,S25:S29,0),0)</f>
        <v>Samoa</v>
      </c>
      <c r="U29" s="147">
        <f>INDEX(Q25:Q29,MATCH(T29,B25:B29,0),0)</f>
        <v>1</v>
      </c>
      <c r="V29" s="147" t="str">
        <f>IF(AND(V28&lt;&gt;"",U29=1),T29,"")</f>
        <v>Samoa</v>
      </c>
      <c r="AA29" s="147" t="str">
        <f t="shared" si="52"/>
        <v>Samoa</v>
      </c>
      <c r="AB29" s="147">
        <f>SUMPRODUCT((DV3:DV42=AA29)*(DY3:DY42=AA25)*(EF3:EF42="W"))+SUMPRODUCT((DV3:DV42=AA29)*(DY3:DY42=AA26)*(EF3:EF42="W"))+SUMPRODUCT((DV3:DV42=AA29)*(DY3:DY42=AA27)*(EF3:EF42="W"))+SUMPRODUCT((DV3:DV42=AA29)*(DY3:DY42=AA28)*(EF3:EF42="W"))+SUMPRODUCT((DV3:DV42=AA25)*(DY3:DY42=AA29)*(EG3:EG42="W"))+SUMPRODUCT((DV3:DV42=AA26)*(DY3:DY42=AA29)*(EG3:EG42="W"))+SUMPRODUCT((DV3:DV42=AA27)*(DY3:DY42=AA29)*(EG3:EG42="W"))+SUMPRODUCT((DV3:DV42=AA28)*(DY3:DY42=AA29)*(EG3:EG42="W"))</f>
        <v>0</v>
      </c>
      <c r="AC29" s="147">
        <f>SUMPRODUCT((DV3:DV42=AA29)*(DY3:DY42=AA25)*(EF3:EF42="D"))+SUMPRODUCT((DV3:DV42=AA29)*(DY3:DY42=AA26)*(EF3:EF42="D"))+SUMPRODUCT((DV3:DV42=AA29)*(DY3:DY42=AA27)*(EF3:EF42="D"))+SUMPRODUCT((DV3:DV42=AA29)*(DY3:DY42=AA28)*(EF3:EF42="D"))+SUMPRODUCT((DV3:DV42=AA25)*(DY3:DY42=AA29)*(EF3:EF42="D"))+SUMPRODUCT((DV3:DV42=AA26)*(DY3:DY42=AA29)*(EF3:EF42="D"))+SUMPRODUCT((DV3:DV42=AA27)*(DY3:DY42=AA29)*(EF3:EF42="D"))+SUMPRODUCT((DV3:DV42=AA28)*(DY3:DY42=AA29)*(EF3:EF42="D"))</f>
        <v>0</v>
      </c>
      <c r="AD29" s="147">
        <f>SUMPRODUCT((DV3:DV42=AA29)*(DY3:DY42=AA25)*(EF3:EF42="L"))+SUMPRODUCT((DV3:DV42=AA29)*(DY3:DY42=AA26)*(EF3:EF42="L"))+SUMPRODUCT((DV3:DV42=AA29)*(DY3:DY42=AA27)*(EF3:EF42="L"))+SUMPRODUCT((DV3:DV42=AA29)*(DY3:DY42=AA28)*(EF3:EF42="L"))+SUMPRODUCT((DV3:DV42=AA25)*(DY3:DY42=AA29)*(EG3:EG42="L"))+SUMPRODUCT((DV3:DV42=AA26)*(DY3:DY42=AA29)*(EG3:EG42="L"))+SUMPRODUCT((DV3:DV42=AA27)*(DY3:DY42=AA29)*(EG3:EG42="L"))+SUMPRODUCT((DV3:DV42=AA28)*(DY3:DY42=AA29)*(EG3:EG42="L"))</f>
        <v>0</v>
      </c>
      <c r="AE29" s="147">
        <f>IF(AA29&lt;&gt;"",VLOOKUP(AA29,B4:F29,5,FALSE),0)</f>
        <v>0</v>
      </c>
      <c r="AF29" s="147">
        <f>IF(AA29&lt;&gt;"",VLOOKUP(AA29,B4:G29,6,FALSE),0)</f>
        <v>0</v>
      </c>
      <c r="AG29" s="147">
        <f>AE29-AF29+1000</f>
        <v>1000</v>
      </c>
      <c r="AH29" s="147">
        <f>IF(AA29&lt;&gt;"",VLOOKUP(AA29,B4:I29,8,FALSE),0)</f>
        <v>0</v>
      </c>
      <c r="AI29" s="147">
        <f>IF(AA29&lt;&gt;"",VLOOKUP(AA29,B4:J29,9,FALSE),0)</f>
        <v>0</v>
      </c>
      <c r="AJ29" s="147">
        <f>IF(AA29&lt;&gt;"",AH29-AI29+1000,"")</f>
        <v>1000</v>
      </c>
      <c r="AK29" s="147">
        <f>IF(AA29&lt;&gt;"",VLOOKUP(AA29,B25:F29,5,FALSE),"")</f>
        <v>0</v>
      </c>
      <c r="AL29" s="147">
        <f>IF(AA29&lt;&gt;"",VLOOKUP(AA29,B25:I29,8,FALSE),"")</f>
        <v>0</v>
      </c>
      <c r="AM29" s="147">
        <f>IF(AA29&lt;&gt;"",VLOOKUP(AA29,B25:P29,15,FALSE),"")</f>
        <v>11</v>
      </c>
      <c r="AN29" s="147">
        <f>SUMPRODUCT((DV3:DV42=AA29)*(DY3:DY42=AA25)*EB3:EB42)+SUMPRODUCT((DV3:DV42=AA29)*(DY3:DY42=AA26)*EB3:EB42)+SUMPRODUCT((DV3:DV42=AA29)*(DY3:DY42=AA27)*EB3:EB42)+SUMPRODUCT((DV3:DV42=AA29)*(DY3:DY42=AA28)*EB3:EB42)+SUMPRODUCT((DV3:DV42=AA25)*(DY3:DY42=AA29)*EC3:EC42)+SUMPRODUCT((DV3:DV42=AA26)*(DY3:DY42=AA29)*EC3:EC42)+SUMPRODUCT((DV3:DV42=AA27)*(DY3:DY42=AA29)*EC3:EC42)+SUMPRODUCT((DV3:DV42=AA28)*(DY3:DY42=AA29)*EC3:EC42)</f>
        <v>0</v>
      </c>
      <c r="AO29" s="147">
        <f>SUMPRODUCT((DV3:DV42=AA29)*(DY3:DY42=AA25)*ED3:ED42)+SUMPRODUCT((DV3:DV42=AA29)*(DY3:DY42=AA26)*ED3:ED42)+SUMPRODUCT((DV3:DV42=AA29)*(DY3:DY42=AA27)*ED3:ED42)+SUMPRODUCT((DV3:DV42=AA29)*(DY3:DY42=AA28)*ED3:ED42)+SUMPRODUCT((DV3:DV42=AA25)*(DY3:DY42=AA29)*EE3:EE42)+SUMPRODUCT((DV3:DV42=AA26)*(DY3:DY42=AA29)*EE3:EE42)+SUMPRODUCT((DV3:DV42=AA27)*(DY3:DY42=AA29)*EE3:EE42)+SUMPRODUCT((DV3:DV42=AA28)*(DY3:DY42=AA29)*EE3:EE42)</f>
        <v>0</v>
      </c>
      <c r="AP29" s="147">
        <f>IF(AA29&lt;&gt;"",AB29*4+AC29*2+AN29+AO29,"")</f>
        <v>0</v>
      </c>
      <c r="AQ29" s="147">
        <f>IF(AA29&lt;&gt;"",RANK(AP29,AP25:AP29),"")</f>
        <v>1</v>
      </c>
      <c r="AR29" s="147">
        <f>SUMPRODUCT((AP25:AP29=AP29)*(AG25:AG29&gt;AG29))</f>
        <v>0</v>
      </c>
      <c r="AS29" s="147">
        <f>SUMPRODUCT((AP25:AP29=AP29)*(AG25:AG29=AG29)*(AJ25:AJ29&gt;AJ29))</f>
        <v>0</v>
      </c>
      <c r="AT29" s="147">
        <f>SUMPRODUCT((AP25:AP29=AP29)*(AG25:AG29=AG29)*(AJ25:AJ29=AJ29)*(AK25:AK29&gt;AK29))</f>
        <v>0</v>
      </c>
      <c r="AU29" s="147">
        <f>SUMPRODUCT((AP25:AP29=AP29)*(AG25:AG29=AG29)*(AJ25:AJ29=AJ29)*(AK25:AK29=AK29)*(AL25:AL29&gt;AL29))</f>
        <v>0</v>
      </c>
      <c r="AV29" s="147">
        <f>SUMPRODUCT((AP25:AP29=AP29)*(AG25:AG29=AG29)*(AJ25:AJ29=AJ29)*(AK25:AK29=AK29)*(AL25:AL29=AL29)*(AM25:AM29&gt;AM29))</f>
        <v>2</v>
      </c>
      <c r="AW29" s="147">
        <f t="shared" si="55"/>
        <v>3</v>
      </c>
      <c r="AX29" s="147" t="str">
        <f>IF(AA29&lt;&gt;"",INDEX(AA25:AA29,MATCH(5,AW25:AW29,0),0),"")</f>
        <v>Chile</v>
      </c>
      <c r="AY29" s="147" t="str">
        <f>IF(W28&lt;&gt;"",W28,"")</f>
        <v/>
      </c>
      <c r="AZ29" s="147" t="str">
        <f>IF(AY29&lt;&gt;"",SUMPRODUCT((DV3:DV42=AY29)*(DY3:DY42=AY26)*(EF3:EF42="W"))+SUMPRODUCT((DV3:DV42=AY29)*(DY3:DY42=AY27)*(EF3:EF42="W"))+SUMPRODUCT((DV3:DV42=AY29)*(DY3:DY42=AY28)*(EF3:EF42="W"))+SUMPRODUCT((DV3:DV42=AY26)*(DY3:DY42=AY29)*(EF3:EF42="W"))+SUMPRODUCT((DV3:DV42=AY27)*(DY3:DY42=AY29)*(EF3:EF42="W"))+SUMPRODUCT((DV3:DV42=AY28)*(DY3:DY42=AY29)*(EF3:EF42="W")),"")</f>
        <v/>
      </c>
      <c r="BA29" s="147" t="str">
        <f>IF(AY29&lt;&gt;"",SUMPRODUCT((DV3:DV42=AY29)*(DY3:DY42=AY26)*(EF3:EF42="D"))+SUMPRODUCT((DV3:DV42=AY29)*(DY3:DY42=AY27)*(EF3:EF42="D"))+SUMPRODUCT((DV3:DV42=AY29)*(DY3:DY42=AY28)*(EF3:EF42="D"))+SUMPRODUCT((DV3:DV42=AY26)*(DY3:DY42=AY29)*(EF3:EF42="D"))+SUMPRODUCT((DV3:DV42=AY27)*(DY3:DY42=AY29)*(EF3:EF42="D"))+SUMPRODUCT((DV3:DV42=AY28)*(DY3:DY42=AY29)*(EF3:EF42="D")),"")</f>
        <v/>
      </c>
      <c r="BB29" s="147" t="str">
        <f>IF(AY29&lt;&gt;"",SUMPRODUCT((DV3:DV42=AY29)*(DY3:DY42=AY26)*(EF3:EF42="L"))+SUMPRODUCT((DV3:DV42=AY29)*(DY3:DY42=AY27)*(EF3:EF42="L"))+SUMPRODUCT((DV3:DV42=AY29)*(DY3:DY42=AY28)*(EF3:EF42="L"))+SUMPRODUCT((DV3:DV42=AY26)*(DY3:DY42=AY29)*(EF3:EF42="L"))+SUMPRODUCT((DV3:DV42=AY27)*(DY3:DY42=AY29)*(EF3:EF42="L"))+SUMPRODUCT((DV3:DV42=AY28)*(DY3:DY42=AY29)*(EF3:EF42="L")),"")</f>
        <v/>
      </c>
      <c r="BC29" s="147">
        <f>IF(AY29&lt;&gt;"",VLOOKUP(AY29,B4:F29,5,FALSE),0)</f>
        <v>0</v>
      </c>
      <c r="BD29" s="147">
        <f>IF(AY29&lt;&gt;"",VLOOKUP(AY29,B4:G29,6,FALSE),0)</f>
        <v>0</v>
      </c>
      <c r="BE29" s="147">
        <f>BC29-BD29+1000</f>
        <v>1000</v>
      </c>
      <c r="BF29" s="147">
        <f>IF(AY29&lt;&gt;"",VLOOKUP(AY29,B4:I29,8,FALSE),0)</f>
        <v>0</v>
      </c>
      <c r="BG29" s="147">
        <f>IF(AY29&lt;&gt;"",VLOOKUP(AY29,B4:J29,9,FALSE),0)</f>
        <v>0</v>
      </c>
      <c r="BH29" s="147" t="str">
        <f>IF(AY29&lt;&gt;"",BF29-BG29+1000,"")</f>
        <v/>
      </c>
      <c r="BI29" s="147" t="str">
        <f>IF(AY29&lt;&gt;"",VLOOKUP(AY29,B25:F29,5,FALSE),"")</f>
        <v/>
      </c>
      <c r="BJ29" s="147" t="str">
        <f>IF(AY29&lt;&gt;"",VLOOKUP(AY29,B25:I29,8,FALSE),"")</f>
        <v/>
      </c>
      <c r="BK29" s="147" t="str">
        <f>IF(AY29&lt;&gt;"",VLOOKUP(AY29,B25:P29,15,FALSE),"")</f>
        <v/>
      </c>
      <c r="BL29" s="147" t="str">
        <f>IF(AY29&lt;&gt;"",SUMPRODUCT((DV3:DV42=AY29)*(DY3:DY42=AY26)*EB3:EB42)+SUMPRODUCT((DV3:DV42=AY29)*(DY3:DY42=AY27)*EB3:EB42)+SUMPRODUCT((DV3:DV42=AY29)*(DY3:DY42=AY28)*EB3:EB42)+SUMPRODUCT((DV3:DV42=AY26)*(DY3:DY42=AY29)*EC3:EC42)+SUMPRODUCT((DV3:DV42=AY27)*(DY3:DY42=AY29)*EC3:EC42)+SUMPRODUCT((DV3:DV42=AY28)*(DY3:DY42=AY29)*EC3:EC42),"")</f>
        <v/>
      </c>
      <c r="BM29" s="147" t="str">
        <f>IF(AY29&lt;&gt;"",SUMPRODUCT((DV3:DV42=AY29)*(DY3:DY42=AY26)*ED3:ED42)+SUMPRODUCT((DV3:DV42=AY29)*(DY3:DY42=AY27)*ED3:ED42)+SUMPRODUCT((DV3:DV42=AY29)*(DY3:DY42=AY28)*ED3:ED42)+SUMPRODUCT((DV3:DV42=AY26)*(DY3:DY42=AY29)*EE3:EE42)+SUMPRODUCT((DV3:DV42=AY27)*(DY3:DY42=AY29)*EE3:EE42)+SUMPRODUCT((DV3:DV42=AY28)*(DY3:DY42=AY29)*EE3:EE42),"")</f>
        <v/>
      </c>
      <c r="BN29" s="147" t="str">
        <f>IF(AY29&lt;&gt;"",AZ29*4+BA29*2+BL29+BM29,"")</f>
        <v/>
      </c>
      <c r="BO29" s="147" t="str">
        <f>IF(AY29&lt;&gt;"",RANK(BN29,BN26:BN29),"")</f>
        <v/>
      </c>
      <c r="BP29" s="147">
        <f>SUMPRODUCT((BN26:BN29=BN29)*(BE26:BE29&gt;BE29))</f>
        <v>0</v>
      </c>
      <c r="BQ29" s="147">
        <f>SUMPRODUCT((BN26:BN29=BN29)*(BE26:BE29=BE29)*(BH26:BH29&gt;BH29))</f>
        <v>0</v>
      </c>
      <c r="BR29" s="147">
        <f>SUMPRODUCT((BN25:BN29=BN29)*(BE25:BE29=BE29)*(BH25:BH29=BH29)*(BI25:BI29&gt;BI29))</f>
        <v>0</v>
      </c>
      <c r="BS29" s="147">
        <f>SUMPRODUCT((BN25:BN29=BN29)*(BE25:BE29=BE29)*(BH25:BH29=BH29)*(BI25:BI29=BI29)*(BJ25:BJ29&gt;BJ29))</f>
        <v>0</v>
      </c>
      <c r="BT29" s="147">
        <f>SUMPRODUCT((BN25:BN29=BN29)*(BE25:BE29=BE29)*(BH25:BH29=BH29)*(BI25:BI29=BI29)*(BJ25:BJ29=BJ29)*(BK25:BK29&gt;BK29))</f>
        <v>0</v>
      </c>
      <c r="BU29" s="147" t="str">
        <f t="shared" si="56"/>
        <v/>
      </c>
      <c r="BV29" s="147" t="str">
        <f>IF(AY29&lt;&gt;"",INDEX(AY26:AY29,MATCH(5,BU26:BU29,0),0),"")</f>
        <v/>
      </c>
      <c r="BW29" s="147" t="str">
        <f>IF(X27&lt;&gt;"",X27,"")</f>
        <v/>
      </c>
      <c r="BX29" s="147" t="str">
        <f>IF(BW29&lt;&gt;"",SUMPRODUCT((DV3:DV42=BW29)*(DY3:DY42=BW30)*(EF3:EF42="W"))+SUMPRODUCT((DV3:DV42=BW29)*(DY3:DY42=BW27)*(EF3:EF42="W"))+SUMPRODUCT((DV3:DV42=BW29)*(DY3:DY42=BW28)*(EF3:EF42="W"))+SUMPRODUCT((DV3:DV42=BW30)*(DY3:DY42=BW29)*(EG3:EG42="W"))+SUMPRODUCT((DV3:DV42=BW27)*(DY3:DY42=BW29)*(EG3:EG42="W"))+SUMPRODUCT((DV3:DV42=BW28)*(DY3:DY42=BW29)*(EG3:EG42="W")),"")</f>
        <v/>
      </c>
      <c r="BY29" s="147" t="str">
        <f>IF(BW29&lt;&gt;"",SUMPRODUCT((DV3:DV42=BW29)*(DY3:DY42=BW30)*(EF3:EF42="D"))+SUMPRODUCT((DV3:DV42=BW29)*(DY3:DY42=BW27)*(EF3:EF42="D"))+SUMPRODUCT((DV3:DV42=BW29)*(DY3:DY42=BW28)*(EF3:EF42="D"))+SUMPRODUCT((DV3:DV42=BW30)*(DY3:DY42=BW29)*(EF3:EF42="D"))+SUMPRODUCT((DV3:DV42=BW27)*(DY3:DY42=BW29)*(EF3:EF42="D"))+SUMPRODUCT((DV3:DV42=BW28)*(DY3:DY42=BW29)*(EF3:EF42="D")),"")</f>
        <v/>
      </c>
      <c r="BZ29" s="147" t="str">
        <f>IF(BW29&lt;&gt;"",SUMPRODUCT((DV3:DV42=BW29)*(DY3:DY42=BW30)*(EF3:EF42="L"))+SUMPRODUCT((DV3:DV42=BW29)*(DY3:DY42=BW27)*(EF3:EF42="L"))+SUMPRODUCT((DV3:DV42=BW29)*(DY3:DY42=BW28)*(EF3:EF42="L"))+SUMPRODUCT((DV3:DV42=BW30)*(DY3:DY42=BW29)*(EG3:EG42="L"))+SUMPRODUCT((DV3:DV42=BW27)*(DY3:DY42=BW29)*(EG3:EG42="L"))+SUMPRODUCT((DV3:DV42=BW28)*(DY3:DY42=BW29)*(EG3:EG42="L")),"")</f>
        <v/>
      </c>
      <c r="CA29" s="147">
        <f>IF(BW29&lt;&gt;"",VLOOKUP(BW29,B4:F29,5,FALSE),0)</f>
        <v>0</v>
      </c>
      <c r="CB29" s="147">
        <f>IF(BW29&lt;&gt;"",VLOOKUP(BW29,B4:G29,6,FALSE),0)</f>
        <v>0</v>
      </c>
      <c r="CC29" s="147">
        <f>CA29-CB29+1000</f>
        <v>1000</v>
      </c>
      <c r="CD29" s="147">
        <f>IF(BW29&lt;&gt;"",VLOOKUP(BW29,B4:I29,8,FALSE),0)</f>
        <v>0</v>
      </c>
      <c r="CE29" s="147">
        <f>IF(BW29&lt;&gt;"",VLOOKUP(BW29,B4:J29,9,FALSE),0)</f>
        <v>0</v>
      </c>
      <c r="CF29" s="147" t="str">
        <f>IF(BW29&lt;&gt;"",CD29-CE29+1000,"")</f>
        <v/>
      </c>
      <c r="CG29" s="147" t="str">
        <f>IF(BW29&lt;&gt;"",VLOOKUP(BW29,B25:F29,5,FALSE),"")</f>
        <v/>
      </c>
      <c r="CH29" s="147" t="str">
        <f>IF(BW29&lt;&gt;"",VLOOKUP(BW29,B25:I29,8,FALSE),"")</f>
        <v/>
      </c>
      <c r="CI29" s="147" t="str">
        <f>IF(BW29&lt;&gt;"",VLOOKUP(BW29,B25:P29,15,FALSE),"")</f>
        <v/>
      </c>
      <c r="CJ29" s="147" t="str">
        <f>IF(BW29&lt;&gt;"",SUMPRODUCT((DV3:DV42=BW29)*(DY3:DY42=BW30)*EB3:EB42)+SUMPRODUCT((DV3:DV42=BW29)*(DY3:DY42=BW27)*EB3:EB42)+SUMPRODUCT((DV3:DV42=BW29)*(DY3:DY42=BW28)*EB3:EB42)+SUMPRODUCT((DV3:DV42=BW30)*(DY3:DY42=BW29)*EC3:EC42)+SUMPRODUCT((DV3:DV42=BW27)*(DY3:DY42=BW29)*EC3:EC42)+SUMPRODUCT((DV3:DV42=BW28)*(DY3:DY42=BW29)*EC3:EC42),"")</f>
        <v/>
      </c>
      <c r="CK29" s="147" t="str">
        <f>IF(BW29&lt;&gt;"",SUMPRODUCT((DV3:DV42=BW29)*(DY3:DY42=BW30)*ED3:ED42)+SUMPRODUCT((DV3:DV42=BW29)*(DY3:DY42=BW27)*ED3:ED42)+SUMPRODUCT((DV3:DV42=BW29)*(DY3:DY42=BW28)*ED3:ED42)+SUMPRODUCT((DV3:DV42=BW30)*(DY3:DY42=BW29)*EE3:EE42)+SUMPRODUCT((DV3:DV42=BW27)*(DY3:DY42=BW29)*EE3:EE42)+SUMPRODUCT((DV3:DV42=BW28)*(DY3:DY42=BW29)*EE3:EE42),"")</f>
        <v/>
      </c>
      <c r="CL29" s="147" t="str">
        <f>IF(BW29&lt;&gt;"",BX29*4+BY29*2+CJ29+CK29,"")</f>
        <v/>
      </c>
      <c r="CM29" s="147" t="str">
        <f>IF(BW29&lt;&gt;"",RANK(CL29,CL27:CL30),"")</f>
        <v/>
      </c>
      <c r="CN29" s="147">
        <f>SUMPRODUCT((CL27:CL30=CL29)*(CC27:CC30&gt;CC29))</f>
        <v>0</v>
      </c>
      <c r="CO29" s="147">
        <f>SUMPRODUCT((CL27:CL30=CL29)*(CC27:CC30=CC29)*(CF27:CF30&gt;CF29))</f>
        <v>0</v>
      </c>
      <c r="CP29" s="147">
        <f>SUMPRODUCT((CL25:CL29=CL29)*(CC25:CC29=CC29)*(CF25:CF29=CF29)*(CG25:CG29&gt;CG29))</f>
        <v>0</v>
      </c>
      <c r="CQ29" s="147">
        <f>SUMPRODUCT((CL25:CL29=CL29)*(CC25:CC29=CC29)*(CF25:CF29=CF29)*(CG25:CG29=CG29)*(CH25:CH29&gt;CH29))</f>
        <v>0</v>
      </c>
      <c r="CR29" s="147">
        <f>SUMPRODUCT((CL25:CL29=CL29)*(CC25:CC29=CC29)*(CF25:CF29=CF29)*(CG25:CG29=CG29)*(CH25:CH29=CH29)*(CI25:CI29&gt;CI29))</f>
        <v>0</v>
      </c>
      <c r="CS29" s="147" t="str">
        <f t="shared" si="58"/>
        <v/>
      </c>
      <c r="CT29" s="147" t="str">
        <f>IF(BW29&lt;&gt;"",INDEX(BW27:BW29,MATCH(5,CS27:CS29,0),0),"")</f>
        <v/>
      </c>
      <c r="CU29" s="147" t="str">
        <f>IF(Y26&lt;&gt;"",Y26,"")</f>
        <v/>
      </c>
      <c r="CV29" s="147">
        <f>SUMPRODUCT((DV3:DV42=CU29)*(DY3:DY42=CU30)*(EF3:EF42="W"))+SUMPRODUCT((DV3:DV42=CU29)*(DY3:DY42=CU31)*(EF3:EF42="W"))+SUMPRODUCT((DV3:DV42=CU29)*(DY3:DY42=CU28)*(EF3:EF42="W"))+SUMPRODUCT((DV3:DV42=CU30)*(DY3:DY42=CU29)*(EG3:EG42="W"))+SUMPRODUCT((DV3:DV42=CU31)*(DY3:DY42=CU29)*(EG3:EG42="W"))+SUMPRODUCT((DV3:DV42=CU28)*(DY3:DY42=CU29)*(EG3:EG42="W"))</f>
        <v>0</v>
      </c>
      <c r="CW29" s="147">
        <f>SUMPRODUCT((DV3:DV42=CU29)*(DY3:DY42=CU30)*(EF3:EF42="D"))+SUMPRODUCT((DV3:DV42=CU29)*(DY3:DY42=CU31)*(EF3:EF42="D"))+SUMPRODUCT((DV3:DV42=CU29)*(DY3:DY42=CU28)*(EF3:EF42="D"))+SUMPRODUCT((DV3:DV42=CU30)*(DY3:DY42=CU29)*(EF3:EF42="D"))+SUMPRODUCT((DV3:DV42=CU31)*(DY3:DY42=CU29)*(EF3:EF42="D"))+SUMPRODUCT((DV3:DV42=CU28)*(DY3:DY42=CU29)*(EF3:EF42="D"))</f>
        <v>0</v>
      </c>
      <c r="CX29" s="147">
        <f>SUMPRODUCT((DV3:DV42=CU29)*(DY3:DY42=CU30)*(EF3:EF42="L"))+SUMPRODUCT((DV3:DV42=CU29)*(DY3:DY42=CU31)*(EF3:EF42="L"))+SUMPRODUCT((DV3:DV42=CU29)*(DY3:DY42=CU28)*(EF3:EF42="L"))+SUMPRODUCT((DV3:DV42=CU30)*(DY3:DY42=CU29)*(EG3:EG42="L"))+SUMPRODUCT((DV3:DV42=CU31)*(DY3:DY42=CU29)*(EG3:EG42="L"))+SUMPRODUCT((DV3:DV42=CU28)*(DY3:DY42=CU29)*(EG3:EG42="L"))</f>
        <v>0</v>
      </c>
      <c r="CY29" s="147">
        <f>IF(CU29&lt;&gt;"",VLOOKUP(CU29,B4:F29,5,FALSE),0)</f>
        <v>0</v>
      </c>
      <c r="CZ29" s="147">
        <f>IF(CU29&lt;&gt;"",VLOOKUP(CU29,B4:G29,6,FALSE),0)</f>
        <v>0</v>
      </c>
      <c r="DA29" s="147">
        <f>CY29-CZ29+1000</f>
        <v>1000</v>
      </c>
      <c r="DB29" s="147">
        <f>IF(CU29&lt;&gt;"",VLOOKUP(CU29,B4:I29,8,FALSE),0)</f>
        <v>0</v>
      </c>
      <c r="DC29" s="147">
        <f>IF(CU29&lt;&gt;"",VLOOKUP(CU29,B4:J29,9,FALSE),0)</f>
        <v>0</v>
      </c>
      <c r="DD29" s="147">
        <f t="shared" ref="DD29" si="62">DB29-DC29+1000</f>
        <v>1000</v>
      </c>
      <c r="DE29" s="147" t="str">
        <f>IF(CU29&lt;&gt;"",VLOOKUP(CU29,B25:F29,5,FALSE),"")</f>
        <v/>
      </c>
      <c r="DF29" s="147" t="str">
        <f>IF(CU29&lt;&gt;"",VLOOKUP(CU29,B25:I29,8,FALSE),"")</f>
        <v/>
      </c>
      <c r="DG29" s="147" t="str">
        <f>IF(CU29&lt;&gt;"",VLOOKUP(CU29,B25:P29,15,FALSE),"")</f>
        <v/>
      </c>
      <c r="DH29" s="147">
        <f>SUMPRODUCT((DV3:DV42=CU29)*(DY3:DY42=CU30)*EB3:EB42)+SUMPRODUCT((DV3:DV42=CU29)*(DY3:DY42=CU31)*EB3:EB42)+SUMPRODUCT((DV3:DV42=CU29)*(DY3:DY42=CU28)*EB3:EB42)+SUMPRODUCT((DV3:DV42=CU30)*(DY3:DY42=CU29)*EC3:EC42)+SUMPRODUCT((DV3:DV42=CU31)*(DY3:DY42=CU29)*EC3:EC42)+SUMPRODUCT((DV3:DV42=CU28)*(DY3:DY42=CU29)*EC3:EC42)</f>
        <v>0</v>
      </c>
      <c r="DI29" s="147">
        <f>SUMPRODUCT((DV3:DV42=CU29)*(DY3:DY42=CU30)*ED3:ED42)+SUMPRODUCT((DV3:DV42=CU29)*(DY3:DY42=CU31)*ED3:ED42)+SUMPRODUCT((DV3:DV42=CU29)*(DY3:DY42=CU28)*ED3:ED42)+SUMPRODUCT((DV3:DV42=CU30)*(DY3:DY42=CU29)*EE3:EE42)+SUMPRODUCT((DV3:DV42=CU31)*(DY3:DY42=CU29)*EE3:EE42)+SUMPRODUCT((DV3:DV42=CU28)*(DY3:DY42=CU29)*EE3:EE42)</f>
        <v>0</v>
      </c>
      <c r="DJ29" s="147">
        <f t="shared" ref="DJ29" si="63">CV29*4+CW29*2+DH29+DI29</f>
        <v>0</v>
      </c>
      <c r="DK29" s="147" t="str">
        <f>IF(CU29&lt;&gt;"",RANK(DJ29,DJ28:DJ31),"")</f>
        <v/>
      </c>
      <c r="DL29" s="147">
        <f>SUMPRODUCT((DJ28:DJ31=DJ29)*(DA28:DA31&gt;DA29))</f>
        <v>0</v>
      </c>
      <c r="DM29" s="147">
        <f>SUMPRODUCT((DJ28:DJ31=DJ29)*(DA28:DA31=DA29)*(DD28:DD31&gt;DD29))</f>
        <v>0</v>
      </c>
      <c r="DN29" s="147">
        <f>SUMPRODUCT((DJ25:DJ29=DJ29)*(DA25:DA29=DA29)*(DD25:DD29=DD29)*(DE25:DE29&gt;DE29))</f>
        <v>0</v>
      </c>
      <c r="DO29" s="147">
        <f>SUMPRODUCT((DJ25:DJ29=DJ29)*(DA25:DA29=DA29)*(DD25:DD29=DD29)*(DE25:DE29=DE29)*(DF25:DF29&gt;DF29))</f>
        <v>0</v>
      </c>
      <c r="DP29" s="147">
        <f>SUMPRODUCT((DJ25:DJ29=DJ29)*(DA25:DA29=DA29)*(DD25:DD29=DD29)*(DE25:DE29=DE29)*(DF25:DF29=DF29)*(DG25:DG29&gt;DG29))</f>
        <v>0</v>
      </c>
      <c r="DQ29" s="147" t="str">
        <f t="shared" si="61"/>
        <v/>
      </c>
      <c r="DR29" s="147" t="str">
        <f>IF(CU28&lt;&gt;"",IF(CU28=DR28,CU29,CU28),"")</f>
        <v/>
      </c>
      <c r="DS29" s="147" t="str">
        <f>IF(DR29&lt;&gt;"",DR29,IF(CT29&lt;&gt;"",CT29,IF(BV29&lt;&gt;"",BV29,IF(AX29&lt;&gt;"",AX29,T29))))</f>
        <v>Chile</v>
      </c>
      <c r="DT29" s="147">
        <v>5</v>
      </c>
      <c r="DU29" s="147">
        <v>27</v>
      </c>
      <c r="DV29" s="147" t="str">
        <f>Tournament!H38</f>
        <v>New Zealand</v>
      </c>
      <c r="DW29" s="147">
        <f>IF(AND(Tournament!J38&lt;&gt;"",Tournament!L38&lt;&gt;""),Tournament!J38,0)</f>
        <v>0</v>
      </c>
      <c r="DX29" s="147">
        <f>IF(AND(Tournament!L38&lt;&gt;"",Tournament!J38&lt;&gt;""),Tournament!L38,0)</f>
        <v>0</v>
      </c>
      <c r="DY29" s="147" t="str">
        <f>Tournament!N38</f>
        <v>Italy</v>
      </c>
      <c r="DZ29" s="147">
        <f>IF(Tournament!O38&lt;&gt;"",Tournament!O38,0)</f>
        <v>0</v>
      </c>
      <c r="EA29" s="147">
        <f>IF(Tournament!Q38&lt;&gt;"",Tournament!Q38,0)</f>
        <v>0</v>
      </c>
      <c r="EB29" s="147">
        <f>IF(DW29&lt;&gt;"",IF(Tournament!O38&gt;3,1,0),0)</f>
        <v>0</v>
      </c>
      <c r="EC29" s="147">
        <f>IF(DX29&lt;&gt;"",IF(Tournament!Q38&gt;3,1,0),0)</f>
        <v>0</v>
      </c>
      <c r="ED29" s="147">
        <f t="shared" si="0"/>
        <v>0</v>
      </c>
      <c r="EE29" s="147">
        <f t="shared" si="1"/>
        <v>0</v>
      </c>
      <c r="EF29" s="147" t="str">
        <f>IF(AND(Tournament!J38&lt;&gt;"",Tournament!L38&lt;&gt;""),IF(DW29&gt;DX29,"W",IF(DW29=DX29,"D","L")),"")</f>
        <v/>
      </c>
      <c r="EG29" s="161" t="str">
        <f t="shared" si="2"/>
        <v/>
      </c>
    </row>
    <row r="30" spans="1:137" x14ac:dyDescent="0.45">
      <c r="CU30" s="147">
        <f>IF(CB29&lt;&gt;"",CB29,"")</f>
        <v>0</v>
      </c>
      <c r="DU30" s="147">
        <v>28</v>
      </c>
      <c r="DV30" s="147" t="str">
        <f>Tournament!H39</f>
        <v>Argentina</v>
      </c>
      <c r="DW30" s="147">
        <f>IF(AND(Tournament!J39&lt;&gt;"",Tournament!L39&lt;&gt;""),Tournament!J39,0)</f>
        <v>0</v>
      </c>
      <c r="DX30" s="147">
        <f>IF(AND(Tournament!L39&lt;&gt;"",Tournament!J39&lt;&gt;""),Tournament!L39,0)</f>
        <v>0</v>
      </c>
      <c r="DY30" s="147" t="str">
        <f>Tournament!N39</f>
        <v>Chile</v>
      </c>
      <c r="DZ30" s="147">
        <f>IF(Tournament!O39&lt;&gt;"",Tournament!O39,0)</f>
        <v>0</v>
      </c>
      <c r="EA30" s="147">
        <f>IF(Tournament!Q39&lt;&gt;"",Tournament!Q39,0)</f>
        <v>0</v>
      </c>
      <c r="EB30" s="147">
        <f>IF(DW30&lt;&gt;"",IF(Tournament!O39&gt;3,1,0),0)</f>
        <v>0</v>
      </c>
      <c r="EC30" s="147">
        <f>IF(DX30&lt;&gt;"",IF(Tournament!Q39&gt;3,1,0),0)</f>
        <v>0</v>
      </c>
      <c r="ED30" s="147">
        <f t="shared" si="0"/>
        <v>0</v>
      </c>
      <c r="EE30" s="147">
        <f t="shared" si="1"/>
        <v>0</v>
      </c>
      <c r="EF30" s="147" t="str">
        <f>IF(AND(Tournament!J39&lt;&gt;"",Tournament!L39&lt;&gt;""),IF(DW30&gt;DX30,"W",IF(DW30=DX30,"D","L")),"")</f>
        <v/>
      </c>
      <c r="EG30" s="161" t="str">
        <f t="shared" si="2"/>
        <v/>
      </c>
    </row>
    <row r="31" spans="1:137" x14ac:dyDescent="0.45">
      <c r="CU31" s="147" t="str">
        <f>IF(CB30&lt;&gt;"",CB30,"")</f>
        <v/>
      </c>
      <c r="DU31" s="147">
        <v>29</v>
      </c>
      <c r="DV31" s="147" t="str">
        <f>Tournament!H40</f>
        <v>Fiji</v>
      </c>
      <c r="DW31" s="147">
        <f>IF(AND(Tournament!J40&lt;&gt;"",Tournament!L40&lt;&gt;""),Tournament!J40,0)</f>
        <v>0</v>
      </c>
      <c r="DX31" s="147">
        <f>IF(AND(Tournament!L40&lt;&gt;"",Tournament!J40&lt;&gt;""),Tournament!L40,0)</f>
        <v>0</v>
      </c>
      <c r="DY31" s="147" t="str">
        <f>Tournament!N40</f>
        <v>Georgia</v>
      </c>
      <c r="DZ31" s="147">
        <f>IF(Tournament!O40&lt;&gt;"",Tournament!O40,0)</f>
        <v>0</v>
      </c>
      <c r="EA31" s="147">
        <f>IF(Tournament!Q40&lt;&gt;"",Tournament!Q40,0)</f>
        <v>0</v>
      </c>
      <c r="EB31" s="147">
        <f>IF(DW31&lt;&gt;"",IF(Tournament!O40&gt;3,1,0),0)</f>
        <v>0</v>
      </c>
      <c r="EC31" s="147">
        <f>IF(DX31&lt;&gt;"",IF(Tournament!Q40&gt;3,1,0),0)</f>
        <v>0</v>
      </c>
      <c r="ED31" s="147">
        <f t="shared" si="0"/>
        <v>0</v>
      </c>
      <c r="EE31" s="147">
        <f t="shared" si="1"/>
        <v>0</v>
      </c>
      <c r="EF31" s="147" t="str">
        <f>IF(AND(Tournament!J40&lt;&gt;"",Tournament!L40&lt;&gt;""),IF(DW31&gt;DX31,"W",IF(DW31=DX31,"D","L")),"")</f>
        <v/>
      </c>
      <c r="EG31" s="161" t="str">
        <f t="shared" si="2"/>
        <v/>
      </c>
    </row>
    <row r="32" spans="1:137" x14ac:dyDescent="0.45">
      <c r="DU32" s="147">
        <v>30</v>
      </c>
      <c r="DV32" s="147" t="str">
        <f>Tournament!H41</f>
        <v>Scotland</v>
      </c>
      <c r="DW32" s="147">
        <f>IF(AND(Tournament!J41&lt;&gt;"",Tournament!L41&lt;&gt;""),Tournament!J41,0)</f>
        <v>0</v>
      </c>
      <c r="DX32" s="147">
        <f>IF(AND(Tournament!L41&lt;&gt;"",Tournament!J41&lt;&gt;""),Tournament!L41,0)</f>
        <v>0</v>
      </c>
      <c r="DY32" s="147" t="str">
        <f>Tournament!N41</f>
        <v>Romania</v>
      </c>
      <c r="DZ32" s="147">
        <f>IF(Tournament!O41&lt;&gt;"",Tournament!O41,0)</f>
        <v>0</v>
      </c>
      <c r="EA32" s="147">
        <f>IF(Tournament!Q41&lt;&gt;"",Tournament!Q41,0)</f>
        <v>0</v>
      </c>
      <c r="EB32" s="147">
        <f>IF(DW32&lt;&gt;"",IF(Tournament!O41&gt;3,1,0),0)</f>
        <v>0</v>
      </c>
      <c r="EC32" s="147">
        <f>IF(DX32&lt;&gt;"",IF(Tournament!Q41&gt;3,1,0),0)</f>
        <v>0</v>
      </c>
      <c r="ED32" s="147">
        <f t="shared" si="0"/>
        <v>0</v>
      </c>
      <c r="EE32" s="147">
        <f t="shared" si="1"/>
        <v>0</v>
      </c>
      <c r="EF32" s="147" t="str">
        <f>IF(AND(Tournament!J41&lt;&gt;"",Tournament!L41&lt;&gt;""),IF(DW32&gt;DX32,"W",IF(DW32=DX32,"D","L")),"")</f>
        <v/>
      </c>
      <c r="EG32" s="161" t="str">
        <f t="shared" si="2"/>
        <v/>
      </c>
    </row>
    <row r="33" spans="125:137" x14ac:dyDescent="0.45">
      <c r="DU33" s="147">
        <v>31</v>
      </c>
      <c r="DV33" s="147" t="str">
        <f>Tournament!H42</f>
        <v>Australia</v>
      </c>
      <c r="DW33" s="147">
        <f>IF(AND(Tournament!J42&lt;&gt;"",Tournament!L42&lt;&gt;""),Tournament!J42,0)</f>
        <v>0</v>
      </c>
      <c r="DX33" s="147">
        <f>IF(AND(Tournament!L42&lt;&gt;"",Tournament!J42&lt;&gt;""),Tournament!L42,0)</f>
        <v>0</v>
      </c>
      <c r="DY33" s="147" t="str">
        <f>Tournament!N42</f>
        <v>Portugal</v>
      </c>
      <c r="DZ33" s="147">
        <f>IF(Tournament!O42&lt;&gt;"",Tournament!O42,0)</f>
        <v>0</v>
      </c>
      <c r="EA33" s="147">
        <f>IF(Tournament!Q42&lt;&gt;"",Tournament!Q42,0)</f>
        <v>0</v>
      </c>
      <c r="EB33" s="147">
        <f>IF(DW33&lt;&gt;"",IF(Tournament!O42&gt;3,1,0),0)</f>
        <v>0</v>
      </c>
      <c r="EC33" s="147">
        <f>IF(DX33&lt;&gt;"",IF(Tournament!Q42&gt;3,1,0),0)</f>
        <v>0</v>
      </c>
      <c r="ED33" s="147">
        <f t="shared" si="0"/>
        <v>0</v>
      </c>
      <c r="EE33" s="147">
        <f t="shared" si="1"/>
        <v>0</v>
      </c>
      <c r="EF33" s="147" t="str">
        <f>IF(AND(Tournament!J42&lt;&gt;"",Tournament!L42&lt;&gt;""),IF(DW33&gt;DX33,"W",IF(DW33=DX33,"D","L")),"")</f>
        <v/>
      </c>
      <c r="EG33" s="161" t="str">
        <f t="shared" si="2"/>
        <v/>
      </c>
    </row>
    <row r="34" spans="125:137" x14ac:dyDescent="0.45">
      <c r="DU34" s="147">
        <v>32</v>
      </c>
      <c r="DV34" s="147" t="str">
        <f>Tournament!H43</f>
        <v>South Africa</v>
      </c>
      <c r="DW34" s="147">
        <f>IF(AND(Tournament!J43&lt;&gt;"",Tournament!L43&lt;&gt;""),Tournament!J43,0)</f>
        <v>0</v>
      </c>
      <c r="DX34" s="147">
        <f>IF(AND(Tournament!L43&lt;&gt;"",Tournament!J43&lt;&gt;""),Tournament!L43,0)</f>
        <v>0</v>
      </c>
      <c r="DY34" s="147" t="str">
        <f>Tournament!N43</f>
        <v>Tonga</v>
      </c>
      <c r="DZ34" s="147">
        <f>IF(Tournament!O43&lt;&gt;"",Tournament!O43,0)</f>
        <v>0</v>
      </c>
      <c r="EA34" s="147">
        <f>IF(Tournament!Q43&lt;&gt;"",Tournament!Q43,0)</f>
        <v>0</v>
      </c>
      <c r="EB34" s="147">
        <f>IF(DW34&lt;&gt;"",IF(Tournament!O43&gt;3,1,0),0)</f>
        <v>0</v>
      </c>
      <c r="EC34" s="147">
        <f>IF(DX34&lt;&gt;"",IF(Tournament!Q43&gt;3,1,0),0)</f>
        <v>0</v>
      </c>
      <c r="ED34" s="147">
        <f t="shared" si="0"/>
        <v>0</v>
      </c>
      <c r="EE34" s="147">
        <f t="shared" si="1"/>
        <v>0</v>
      </c>
      <c r="EF34" s="147" t="str">
        <f>IF(AND(Tournament!J43&lt;&gt;"",Tournament!L43&lt;&gt;""),IF(DW34&gt;DX34,"W",IF(DW34=DX34,"D","L")),"")</f>
        <v/>
      </c>
      <c r="EG34" s="161" t="str">
        <f t="shared" si="2"/>
        <v/>
      </c>
    </row>
    <row r="35" spans="125:137" x14ac:dyDescent="0.45">
      <c r="DU35" s="147">
        <v>33</v>
      </c>
      <c r="DV35" s="147" t="str">
        <f>Tournament!H44</f>
        <v>New Zealand</v>
      </c>
      <c r="DW35" s="147">
        <f>IF(AND(Tournament!J44&lt;&gt;"",Tournament!L44&lt;&gt;""),Tournament!J44,0)</f>
        <v>0</v>
      </c>
      <c r="DX35" s="147">
        <f>IF(AND(Tournament!L44&lt;&gt;"",Tournament!J44&lt;&gt;""),Tournament!L44,0)</f>
        <v>0</v>
      </c>
      <c r="DY35" s="147" t="str">
        <f>Tournament!N44</f>
        <v>Uruguay</v>
      </c>
      <c r="DZ35" s="147">
        <f>IF(Tournament!O44&lt;&gt;"",Tournament!O44,0)</f>
        <v>0</v>
      </c>
      <c r="EA35" s="147">
        <f>IF(Tournament!Q44&lt;&gt;"",Tournament!Q44,0)</f>
        <v>0</v>
      </c>
      <c r="EB35" s="147">
        <f>IF(DW35&lt;&gt;"",IF(Tournament!O44&gt;3,1,0),0)</f>
        <v>0</v>
      </c>
      <c r="EC35" s="147">
        <f>IF(DX35&lt;&gt;"",IF(Tournament!Q44&gt;3,1,0),0)</f>
        <v>0</v>
      </c>
      <c r="ED35" s="147">
        <f t="shared" si="0"/>
        <v>0</v>
      </c>
      <c r="EE35" s="147">
        <f t="shared" si="1"/>
        <v>0</v>
      </c>
      <c r="EF35" s="147" t="str">
        <f>IF(AND(Tournament!J44&lt;&gt;"",Tournament!L44&lt;&gt;""),IF(DW35&gt;DX35,"W",IF(DW35=DX35,"D","L")),"")</f>
        <v/>
      </c>
      <c r="EG35" s="161" t="str">
        <f t="shared" si="2"/>
        <v/>
      </c>
    </row>
    <row r="36" spans="125:137" x14ac:dyDescent="0.45">
      <c r="DU36" s="147">
        <v>34</v>
      </c>
      <c r="DV36" s="147" t="str">
        <f>Tournament!H45</f>
        <v>France</v>
      </c>
      <c r="DW36" s="147">
        <f>IF(AND(Tournament!J45&lt;&gt;"",Tournament!L45&lt;&gt;""),Tournament!J45,0)</f>
        <v>0</v>
      </c>
      <c r="DX36" s="147">
        <f>IF(AND(Tournament!L45&lt;&gt;"",Tournament!J45&lt;&gt;""),Tournament!L45,0)</f>
        <v>0</v>
      </c>
      <c r="DY36" s="147" t="str">
        <f>Tournament!N45</f>
        <v>Italy</v>
      </c>
      <c r="DZ36" s="147">
        <f>IF(Tournament!O45&lt;&gt;"",Tournament!O45,0)</f>
        <v>0</v>
      </c>
      <c r="EA36" s="147">
        <f>IF(Tournament!Q45&lt;&gt;"",Tournament!Q45,0)</f>
        <v>0</v>
      </c>
      <c r="EB36" s="147">
        <f>IF(DW36&lt;&gt;"",IF(Tournament!O45&gt;3,1,0),0)</f>
        <v>0</v>
      </c>
      <c r="EC36" s="147">
        <f>IF(DX36&lt;&gt;"",IF(Tournament!Q45&gt;3,1,0),0)</f>
        <v>0</v>
      </c>
      <c r="ED36" s="147">
        <f t="shared" si="0"/>
        <v>0</v>
      </c>
      <c r="EE36" s="147">
        <f t="shared" si="1"/>
        <v>0</v>
      </c>
      <c r="EF36" s="147" t="str">
        <f>IF(AND(Tournament!J45&lt;&gt;"",Tournament!L45&lt;&gt;""),IF(DW36&gt;DX36,"W",IF(DW36=DX36,"D","L")),"")</f>
        <v/>
      </c>
      <c r="EG36" s="161" t="str">
        <f t="shared" si="2"/>
        <v/>
      </c>
    </row>
    <row r="37" spans="125:137" x14ac:dyDescent="0.45">
      <c r="DU37" s="147">
        <v>35</v>
      </c>
      <c r="DV37" s="147" t="str">
        <f>Tournament!H46</f>
        <v>Wales</v>
      </c>
      <c r="DW37" s="147">
        <f>IF(AND(Tournament!J46&lt;&gt;"",Tournament!L46&lt;&gt;""),Tournament!J46,0)</f>
        <v>0</v>
      </c>
      <c r="DX37" s="147">
        <f>IF(AND(Tournament!L46&lt;&gt;"",Tournament!J46&lt;&gt;""),Tournament!L46,0)</f>
        <v>0</v>
      </c>
      <c r="DY37" s="147" t="str">
        <f>Tournament!N46</f>
        <v>Georgia</v>
      </c>
      <c r="DZ37" s="147">
        <f>IF(Tournament!O46&lt;&gt;"",Tournament!O46,0)</f>
        <v>0</v>
      </c>
      <c r="EA37" s="147">
        <f>IF(Tournament!Q46&lt;&gt;"",Tournament!Q46,0)</f>
        <v>0</v>
      </c>
      <c r="EB37" s="147">
        <f>IF(DW37&lt;&gt;"",IF(Tournament!O46&gt;3,1,0),0)</f>
        <v>0</v>
      </c>
      <c r="EC37" s="147">
        <f>IF(DX37&lt;&gt;"",IF(Tournament!Q46&gt;3,1,0),0)</f>
        <v>0</v>
      </c>
      <c r="ED37" s="147">
        <f t="shared" si="0"/>
        <v>0</v>
      </c>
      <c r="EE37" s="147">
        <f t="shared" si="1"/>
        <v>0</v>
      </c>
      <c r="EF37" s="147" t="str">
        <f>IF(AND(Tournament!J46&lt;&gt;"",Tournament!L46&lt;&gt;""),IF(DW37&gt;DX37,"W",IF(DW37=DX37,"D","L")),"")</f>
        <v/>
      </c>
      <c r="EG37" s="161" t="str">
        <f t="shared" si="2"/>
        <v/>
      </c>
    </row>
    <row r="38" spans="125:137" x14ac:dyDescent="0.45">
      <c r="DU38" s="147">
        <v>36</v>
      </c>
      <c r="DV38" s="147" t="str">
        <f>Tournament!H47</f>
        <v>England</v>
      </c>
      <c r="DW38" s="147">
        <f>IF(AND(Tournament!J47&lt;&gt;"",Tournament!L47&lt;&gt;""),Tournament!J47,0)</f>
        <v>0</v>
      </c>
      <c r="DX38" s="147">
        <f>IF(AND(Tournament!L47&lt;&gt;"",Tournament!J47&lt;&gt;""),Tournament!L47,0)</f>
        <v>0</v>
      </c>
      <c r="DY38" s="147" t="str">
        <f>Tournament!N47</f>
        <v>Samoa</v>
      </c>
      <c r="DZ38" s="147">
        <f>IF(Tournament!O47&lt;&gt;"",Tournament!O47,0)</f>
        <v>0</v>
      </c>
      <c r="EA38" s="147">
        <f>IF(Tournament!Q47&lt;&gt;"",Tournament!Q47,0)</f>
        <v>0</v>
      </c>
      <c r="EB38" s="147">
        <f>IF(DW38&lt;&gt;"",IF(Tournament!O47&gt;3,1,0),0)</f>
        <v>0</v>
      </c>
      <c r="EC38" s="147">
        <f>IF(DX38&lt;&gt;"",IF(Tournament!Q47&gt;3,1,0),0)</f>
        <v>0</v>
      </c>
      <c r="ED38" s="147">
        <f t="shared" si="0"/>
        <v>0</v>
      </c>
      <c r="EE38" s="147">
        <f t="shared" si="1"/>
        <v>0</v>
      </c>
      <c r="EF38" s="147" t="str">
        <f>IF(AND(Tournament!J47&lt;&gt;"",Tournament!L47&lt;&gt;""),IF(DW38&gt;DX38,"W",IF(DW38=DX38,"D","L")),"")</f>
        <v/>
      </c>
      <c r="EG38" s="161" t="str">
        <f t="shared" si="2"/>
        <v/>
      </c>
    </row>
    <row r="39" spans="125:137" x14ac:dyDescent="0.45">
      <c r="DU39" s="147">
        <v>37</v>
      </c>
      <c r="DV39" s="147" t="str">
        <f>Tournament!H48</f>
        <v>Ireland</v>
      </c>
      <c r="DW39" s="147">
        <f>IF(AND(Tournament!J48&lt;&gt;"",Tournament!L48&lt;&gt;""),Tournament!J48,0)</f>
        <v>0</v>
      </c>
      <c r="DX39" s="147">
        <f>IF(AND(Tournament!L48&lt;&gt;"",Tournament!J48&lt;&gt;""),Tournament!L48,0)</f>
        <v>0</v>
      </c>
      <c r="DY39" s="147" t="str">
        <f>Tournament!N48</f>
        <v>Scotland</v>
      </c>
      <c r="DZ39" s="147">
        <f>IF(Tournament!O48&lt;&gt;"",Tournament!O48,0)</f>
        <v>0</v>
      </c>
      <c r="EA39" s="147">
        <f>IF(Tournament!Q48&lt;&gt;"",Tournament!Q48,0)</f>
        <v>0</v>
      </c>
      <c r="EB39" s="147">
        <f>IF(DW39&lt;&gt;"",IF(Tournament!O48&gt;3,1,0),0)</f>
        <v>0</v>
      </c>
      <c r="EC39" s="147">
        <f>IF(DX39&lt;&gt;"",IF(Tournament!Q48&gt;3,1,0),0)</f>
        <v>0</v>
      </c>
      <c r="ED39" s="147">
        <f t="shared" si="0"/>
        <v>0</v>
      </c>
      <c r="EE39" s="147">
        <f t="shared" si="1"/>
        <v>0</v>
      </c>
      <c r="EF39" s="147" t="str">
        <f>IF(AND(Tournament!J48&lt;&gt;"",Tournament!L48&lt;&gt;""),IF(DW39&gt;DX39,"W",IF(DW39=DX39,"D","L")),"")</f>
        <v/>
      </c>
      <c r="EG39" s="161" t="str">
        <f t="shared" si="2"/>
        <v/>
      </c>
    </row>
    <row r="40" spans="125:137" x14ac:dyDescent="0.45">
      <c r="DU40" s="147">
        <v>38</v>
      </c>
      <c r="DV40" s="147" t="str">
        <f>Tournament!H49</f>
        <v>Japan</v>
      </c>
      <c r="DW40" s="147">
        <f>IF(AND(Tournament!J49&lt;&gt;"",Tournament!L49&lt;&gt;""),Tournament!J49,0)</f>
        <v>0</v>
      </c>
      <c r="DX40" s="147">
        <f>IF(AND(Tournament!L49&lt;&gt;"",Tournament!J49&lt;&gt;""),Tournament!L49,0)</f>
        <v>0</v>
      </c>
      <c r="DY40" s="147" t="str">
        <f>Tournament!N49</f>
        <v>Argentina</v>
      </c>
      <c r="DZ40" s="147">
        <f>IF(Tournament!O49&lt;&gt;"",Tournament!O49,0)</f>
        <v>0</v>
      </c>
      <c r="EA40" s="147">
        <f>IF(Tournament!Q49&lt;&gt;"",Tournament!Q49,0)</f>
        <v>0</v>
      </c>
      <c r="EB40" s="147">
        <f>IF(DW40&lt;&gt;"",IF(Tournament!O49&gt;3,1,0),0)</f>
        <v>0</v>
      </c>
      <c r="EC40" s="147">
        <f>IF(DX40&lt;&gt;"",IF(Tournament!Q49&gt;3,1,0),0)</f>
        <v>0</v>
      </c>
      <c r="ED40" s="147">
        <f t="shared" si="0"/>
        <v>0</v>
      </c>
      <c r="EE40" s="147">
        <f t="shared" si="1"/>
        <v>0</v>
      </c>
      <c r="EF40" s="147" t="str">
        <f>IF(AND(Tournament!J49&lt;&gt;"",Tournament!L49&lt;&gt;""),IF(DW40&gt;DX40,"W",IF(DW40=DX40,"D","L")),"")</f>
        <v/>
      </c>
      <c r="EG40" s="161" t="str">
        <f t="shared" si="2"/>
        <v/>
      </c>
    </row>
    <row r="41" spans="125:137" x14ac:dyDescent="0.45">
      <c r="DU41" s="147">
        <v>39</v>
      </c>
      <c r="DV41" s="147" t="str">
        <f>Tournament!H50</f>
        <v>Tonga</v>
      </c>
      <c r="DW41" s="147">
        <f>IF(AND(Tournament!J50&lt;&gt;"",Tournament!L50&lt;&gt;""),Tournament!J50,0)</f>
        <v>0</v>
      </c>
      <c r="DX41" s="147">
        <f>IF(AND(Tournament!L50&lt;&gt;"",Tournament!J50&lt;&gt;""),Tournament!L50,0)</f>
        <v>0</v>
      </c>
      <c r="DY41" s="147" t="str">
        <f>Tournament!N50</f>
        <v>Romania</v>
      </c>
      <c r="DZ41" s="147">
        <f>IF(Tournament!O50&lt;&gt;"",Tournament!O50,0)</f>
        <v>0</v>
      </c>
      <c r="EA41" s="147">
        <f>IF(Tournament!Q50&lt;&gt;"",Tournament!Q50,0)</f>
        <v>0</v>
      </c>
      <c r="EB41" s="147">
        <f>IF(DW41&lt;&gt;"",IF(Tournament!O50&gt;3,1,0),0)</f>
        <v>0</v>
      </c>
      <c r="EC41" s="147">
        <f>IF(DX41&lt;&gt;"",IF(Tournament!Q50&gt;3,1,0),0)</f>
        <v>0</v>
      </c>
      <c r="ED41" s="147">
        <f t="shared" si="0"/>
        <v>0</v>
      </c>
      <c r="EE41" s="147">
        <f t="shared" si="1"/>
        <v>0</v>
      </c>
      <c r="EF41" s="147" t="str">
        <f>IF(AND(Tournament!J50&lt;&gt;"",Tournament!L50&lt;&gt;""),IF(DW41&gt;DX41,"W",IF(DW41=DX41,"D","L")),"")</f>
        <v/>
      </c>
      <c r="EG41" s="161" t="str">
        <f t="shared" si="2"/>
        <v/>
      </c>
    </row>
    <row r="42" spans="125:137" x14ac:dyDescent="0.45">
      <c r="DU42" s="147">
        <v>40</v>
      </c>
      <c r="DV42" s="147" t="str">
        <f>Tournament!H51</f>
        <v>Fiji</v>
      </c>
      <c r="DW42" s="147">
        <f>IF(AND(Tournament!J51&lt;&gt;"",Tournament!L51&lt;&gt;""),Tournament!J51,0)</f>
        <v>0</v>
      </c>
      <c r="DX42" s="147">
        <f>IF(AND(Tournament!L51&lt;&gt;"",Tournament!J51&lt;&gt;""),Tournament!L51,0)</f>
        <v>0</v>
      </c>
      <c r="DY42" s="147" t="str">
        <f>Tournament!N51</f>
        <v>Portugal</v>
      </c>
      <c r="DZ42" s="147">
        <f>IF(Tournament!O51&lt;&gt;"",Tournament!O51,0)</f>
        <v>0</v>
      </c>
      <c r="EA42" s="147">
        <f>IF(Tournament!Q51&lt;&gt;"",Tournament!Q51,0)</f>
        <v>0</v>
      </c>
      <c r="EB42" s="147">
        <f>IF(DW42&lt;&gt;"",IF(Tournament!O51&gt;3,1,0),0)</f>
        <v>0</v>
      </c>
      <c r="EC42" s="147">
        <f>IF(DX42&lt;&gt;"",IF(Tournament!Q51&gt;3,1,0),0)</f>
        <v>0</v>
      </c>
      <c r="ED42" s="147">
        <f t="shared" si="0"/>
        <v>0</v>
      </c>
      <c r="EE42" s="147">
        <f t="shared" si="1"/>
        <v>0</v>
      </c>
      <c r="EF42" s="147" t="str">
        <f>IF(AND(Tournament!J51&lt;&gt;"",Tournament!L51&lt;&gt;""),IF(DW42&gt;DX42,"W",IF(DW42=DX42,"D","L")),"")</f>
        <v/>
      </c>
      <c r="EG42" s="161" t="str">
        <f t="shared" si="2"/>
        <v/>
      </c>
    </row>
  </sheetData>
  <sheetProtection password="CF63" sheet="1" objects="1" scenarios="1" selectLockedCells="1" selectUnlockedCells="1"/>
  <sortState ref="C32:C70">
    <sortCondition ref="C70"/>
  </sortState>
  <phoneticPr fontId="1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showGridLines="0" workbookViewId="0"/>
  </sheetViews>
  <sheetFormatPr defaultColWidth="0" defaultRowHeight="16.5" x14ac:dyDescent="0.45"/>
  <cols>
    <col min="1" max="1" width="2.7265625" style="148" customWidth="1"/>
    <col min="2" max="2" width="8.7265625" style="148" customWidth="1"/>
    <col min="3" max="3" width="37.90625" style="148" customWidth="1"/>
    <col min="4" max="7" width="8.7265625" style="148" customWidth="1"/>
    <col min="8" max="8" width="2.90625" style="148" customWidth="1"/>
    <col min="9" max="10" width="8.7265625" style="148" hidden="1" customWidth="1"/>
    <col min="11" max="16384" width="8.7265625" style="148" hidden="1"/>
  </cols>
  <sheetData>
    <row r="1" spans="2:7" ht="20" customHeight="1" x14ac:dyDescent="0.45"/>
    <row r="2" spans="2:7" ht="20" customHeight="1" x14ac:dyDescent="0.45">
      <c r="B2" s="149" t="s">
        <v>113</v>
      </c>
    </row>
    <row r="3" spans="2:7" ht="20" customHeight="1" x14ac:dyDescent="0.45"/>
    <row r="4" spans="2:7" ht="20" customHeight="1" x14ac:dyDescent="0.45">
      <c r="B4" s="148" t="s">
        <v>89</v>
      </c>
    </row>
    <row r="5" spans="2:7" ht="20" customHeight="1" x14ac:dyDescent="0.45">
      <c r="B5" s="148" t="s">
        <v>90</v>
      </c>
    </row>
    <row r="6" spans="2:7" ht="20" customHeight="1" x14ac:dyDescent="0.45">
      <c r="B6" s="148" t="s">
        <v>91</v>
      </c>
    </row>
    <row r="7" spans="2:7" ht="20" customHeight="1" thickBot="1" x14ac:dyDescent="0.5"/>
    <row r="8" spans="2:7" ht="24" customHeight="1" thickBot="1" x14ac:dyDescent="0.5">
      <c r="B8" s="206" t="s">
        <v>110</v>
      </c>
      <c r="C8" s="207"/>
      <c r="D8" s="159" t="s">
        <v>94</v>
      </c>
      <c r="E8" s="151"/>
      <c r="F8" s="151"/>
      <c r="G8" s="152"/>
    </row>
    <row r="9" spans="2:7" ht="24" customHeight="1" thickBot="1" x14ac:dyDescent="0.5">
      <c r="B9" s="208"/>
      <c r="C9" s="209"/>
      <c r="D9" s="160">
        <v>5</v>
      </c>
      <c r="E9" s="150"/>
      <c r="F9" s="150"/>
      <c r="G9" s="153"/>
    </row>
    <row r="10" spans="2:7" ht="24" customHeight="1" thickBot="1" x14ac:dyDescent="0.5">
      <c r="B10" s="154"/>
      <c r="C10" s="157" t="s">
        <v>95</v>
      </c>
      <c r="D10" s="158" t="s">
        <v>96</v>
      </c>
      <c r="E10" s="155"/>
      <c r="F10" s="155"/>
      <c r="G10" s="156"/>
    </row>
    <row r="11" spans="2:7" ht="20" customHeight="1" x14ac:dyDescent="0.45"/>
    <row r="12" spans="2:7" ht="30" customHeight="1" x14ac:dyDescent="0.45">
      <c r="B12" s="211" t="s">
        <v>92</v>
      </c>
      <c r="C12" s="211"/>
      <c r="D12" s="211"/>
      <c r="E12" s="211"/>
      <c r="F12" s="211"/>
      <c r="G12" s="211"/>
    </row>
    <row r="13" spans="2:7" ht="20" customHeight="1" x14ac:dyDescent="0.45">
      <c r="C13" s="213" t="s">
        <v>112</v>
      </c>
      <c r="D13" s="214"/>
      <c r="E13" s="214"/>
      <c r="F13" s="214"/>
      <c r="G13" s="214"/>
    </row>
    <row r="14" spans="2:7" ht="20" customHeight="1" x14ac:dyDescent="0.45">
      <c r="B14" s="211" t="s">
        <v>93</v>
      </c>
      <c r="C14" s="211"/>
      <c r="D14" s="211"/>
      <c r="E14" s="211"/>
      <c r="F14" s="211"/>
      <c r="G14" s="211"/>
    </row>
    <row r="15" spans="2:7" ht="20" customHeight="1" x14ac:dyDescent="0.45">
      <c r="B15" s="211"/>
      <c r="C15" s="211"/>
      <c r="D15" s="211"/>
      <c r="E15" s="211"/>
      <c r="F15" s="211"/>
      <c r="G15" s="211"/>
    </row>
    <row r="16" spans="2:7" ht="20" customHeight="1" thickBot="1" x14ac:dyDescent="0.5">
      <c r="B16" s="212"/>
      <c r="C16" s="212"/>
      <c r="D16" s="212"/>
      <c r="E16" s="212"/>
      <c r="F16" s="212"/>
      <c r="G16" s="212"/>
    </row>
    <row r="17" spans="2:7" ht="24" customHeight="1" thickBot="1" x14ac:dyDescent="0.5">
      <c r="B17" s="210" t="s">
        <v>111</v>
      </c>
      <c r="C17" s="210"/>
      <c r="D17" s="159" t="s">
        <v>94</v>
      </c>
      <c r="E17" s="151"/>
      <c r="F17" s="151"/>
      <c r="G17" s="152"/>
    </row>
    <row r="18" spans="2:7" ht="24" customHeight="1" thickBot="1" x14ac:dyDescent="0.5">
      <c r="B18" s="210"/>
      <c r="C18" s="210"/>
      <c r="D18" s="160">
        <v>12</v>
      </c>
      <c r="E18" s="150"/>
      <c r="F18" s="150"/>
      <c r="G18" s="153"/>
    </row>
    <row r="19" spans="2:7" ht="24" customHeight="1" thickBot="1" x14ac:dyDescent="0.5">
      <c r="B19" s="154"/>
      <c r="C19" s="157" t="s">
        <v>95</v>
      </c>
      <c r="D19" s="158" t="s">
        <v>96</v>
      </c>
      <c r="E19" s="155"/>
      <c r="F19" s="155"/>
      <c r="G19" s="156"/>
    </row>
  </sheetData>
  <sheetProtection password="CF63" sheet="1" objects="1" scenarios="1"/>
  <mergeCells count="5">
    <mergeCell ref="B8:C9"/>
    <mergeCell ref="B17:C18"/>
    <mergeCell ref="B14:G16"/>
    <mergeCell ref="C13:G13"/>
    <mergeCell ref="B12:G12"/>
  </mergeCells>
  <hyperlinks>
    <hyperlink ref="C13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Tournament</vt:lpstr>
      <vt:lpstr>Dummy Table</vt:lpstr>
      <vt:lpstr>About</vt:lpstr>
      <vt:lpstr>PoolTeam</vt:lpstr>
      <vt:lpstr>Tournament!Print_Area</vt:lpstr>
      <vt:lpstr>Venues</vt:lpstr>
    </vt:vector>
  </TitlesOfParts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Rugby World Cup 2019 Schedule and Scoresheet</dc:title>
  <dc:creator>journalSHEET.com</dc:creator>
  <cp:keywords>world cup 2019, rugby world cup 2019 schedule, rugby world cup 2019 spreadsheet, RWC 2019, rugby tournament spreadsheet</cp:keywords>
  <cp:lastModifiedBy>Admin</cp:lastModifiedBy>
  <cp:lastPrinted>2015-08-07T06:06:03Z</cp:lastPrinted>
  <dcterms:created xsi:type="dcterms:W3CDTF">2008-04-13T01:23:18Z</dcterms:created>
  <dcterms:modified xsi:type="dcterms:W3CDTF">2023-09-04T11:01:59Z</dcterms:modified>
  <cp:category>Sport Spreadsheet</cp:category>
</cp:coreProperties>
</file>