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CBF1" lockStructure="1"/>
  <bookViews>
    <workbookView xWindow="9670" yWindow="3170" windowWidth="9540" windowHeight="3190" activeTab="1"/>
  </bookViews>
  <sheets>
    <sheet name="Setup" sheetId="1" r:id="rId1"/>
    <sheet name="Tournament" sheetId="2" r:id="rId2"/>
    <sheet name="Group Stages" sheetId="7" r:id="rId3"/>
    <sheet name="Knock Out Stages" sheetId="8" r:id="rId4"/>
    <sheet name="Top Scorer" sheetId="9" r:id="rId5"/>
    <sheet name="Player Database" sheetId="10" r:id="rId6"/>
    <sheet name="Calculator" sheetId="3" state="hidden" r:id="rId7"/>
    <sheet name="Language" sheetId="4" state="hidden" r:id="rId8"/>
    <sheet name="Dummy Top Scorer" sheetId="11" state="hidden" r:id="rId9"/>
    <sheet name="License" sheetId="5" r:id="rId10"/>
    <sheet name="About" sheetId="6" r:id="rId11"/>
  </sheets>
  <definedNames>
    <definedName name="A1A2">'Dummy Top Scorer'!$B$3:$B$54</definedName>
    <definedName name="A1A3">'Dummy Top Scorer'!$B$57:$B$108</definedName>
    <definedName name="A1A4">'Dummy Top Scorer'!$B$111:$B$162</definedName>
    <definedName name="A2A1">'Dummy Top Scorer'!$C$3:$C$54</definedName>
    <definedName name="A2A3">'Dummy Top Scorer'!$C$57:$C$108</definedName>
    <definedName name="A2A4">'Dummy Top Scorer'!$C$111:$C$162</definedName>
    <definedName name="A3A1">'Dummy Top Scorer'!$D$3:$D$54</definedName>
    <definedName name="A3A2">'Dummy Top Scorer'!$D$57:$D$108</definedName>
    <definedName name="A3A4">'Dummy Top Scorer'!$D$111:$D$162</definedName>
    <definedName name="A4A1">'Dummy Top Scorer'!$E$3:$E$54</definedName>
    <definedName name="A4A2">'Dummy Top Scorer'!$E$57:$E$108</definedName>
    <definedName name="A4A3">'Dummy Top Scorer'!$E$111:$E$162</definedName>
    <definedName name="AC1C2">'Dummy Top Scorer'!$J$3:$J$54</definedName>
    <definedName name="AC1C3">'Dummy Top Scorer'!$J$57:$J$108</definedName>
    <definedName name="AC1C4">'Dummy Top Scorer'!$J$111:$J$162</definedName>
    <definedName name="AC2C1">'Dummy Top Scorer'!$K$3:$K$54</definedName>
    <definedName name="AC2C3">'Dummy Top Scorer'!$K$57:$K$108</definedName>
    <definedName name="AC2C4">'Dummy Top Scorer'!$K$111:$K$162</definedName>
    <definedName name="AC3C1">'Dummy Top Scorer'!$L$3:$L$54</definedName>
    <definedName name="AC3C2">'Dummy Top Scorer'!$L$57:$L$108</definedName>
    <definedName name="AC3C4">'Dummy Top Scorer'!$L$111:$L$162</definedName>
    <definedName name="AC4C1">'Dummy Top Scorer'!$M$3:$M$54</definedName>
    <definedName name="AC4C2">'Dummy Top Scorer'!$M$57:$M$108</definedName>
    <definedName name="AC4C3">'Dummy Top Scorer'!$M$111:$M$162</definedName>
    <definedName name="B1B2">'Dummy Top Scorer'!$F$3:$F$54</definedName>
    <definedName name="B1B3">'Dummy Top Scorer'!$F$57:$F$108</definedName>
    <definedName name="B1B4">'Dummy Top Scorer'!$F$111:$F$162</definedName>
    <definedName name="B2B1">'Dummy Top Scorer'!$G$3:$G$54</definedName>
    <definedName name="B2B3">'Dummy Top Scorer'!$G$57:$G$108</definedName>
    <definedName name="B2B4">'Dummy Top Scorer'!$G$111:$G$162</definedName>
    <definedName name="B3B1">'Dummy Top Scorer'!$H$3:$H$54</definedName>
    <definedName name="B3B2">'Dummy Top Scorer'!$H$57:$H$108</definedName>
    <definedName name="B3B4">'Dummy Top Scorer'!$H$111:$H$162</definedName>
    <definedName name="B4B1">'Dummy Top Scorer'!$I$3:$I$54</definedName>
    <definedName name="B4B2">'Dummy Top Scorer'!$I$57:$I$108</definedName>
    <definedName name="B4B3">'Dummy Top Scorer'!$I$111:$I$162</definedName>
    <definedName name="BIGQ11">'Dummy Top Scorer'!$AZ$3:$AZ$54</definedName>
    <definedName name="BIGQ12">'Dummy Top Scorer'!$BA$3:$BA$54</definedName>
    <definedName name="BIGQ21">'Dummy Top Scorer'!$BB$3:$BB$54</definedName>
    <definedName name="BIGQ22">'Dummy Top Scorer'!$BC$3:$BC$54</definedName>
    <definedName name="BIGQ31">'Dummy Top Scorer'!$BD$3:$BD$54</definedName>
    <definedName name="BIGQ32">'Dummy Top Scorer'!$BE$3:$BE$54</definedName>
    <definedName name="BIGQ41">'Dummy Top Scorer'!$BF$3:$BF$54</definedName>
    <definedName name="BIGQ42">'Dummy Top Scorer'!$BG$3:$BG$54</definedName>
    <definedName name="CountMax">'Top Scorer'!$A$7</definedName>
    <definedName name="Countries">Language!$C$1:$J$1</definedName>
    <definedName name="D1D2">'Dummy Top Scorer'!$N$3:$N$54</definedName>
    <definedName name="D1D3">'Dummy Top Scorer'!$N$57:$N$108</definedName>
    <definedName name="D1D4">'Dummy Top Scorer'!$N$111:$N$162</definedName>
    <definedName name="D2D1">'Dummy Top Scorer'!$O$3:$O$54</definedName>
    <definedName name="D2D3">'Dummy Top Scorer'!$O$57:$O$108</definedName>
    <definedName name="D2D4">'Dummy Top Scorer'!$O$111:$O$162</definedName>
    <definedName name="D3D1">'Dummy Top Scorer'!$P$3:$P$54</definedName>
    <definedName name="D3D2">'Dummy Top Scorer'!$P$57:$P$108</definedName>
    <definedName name="D3D4">'Dummy Top Scorer'!$P$111:$P$162</definedName>
    <definedName name="D4D1">'Dummy Top Scorer'!$Q$3:$Q$54</definedName>
    <definedName name="D4D2">'Dummy Top Scorer'!$Q$57:$Q$108</definedName>
    <definedName name="D4D3">'Dummy Top Scorer'!$Q$111:$Q$162</definedName>
    <definedName name="E1E2">'Dummy Top Scorer'!$R$3:$R$54</definedName>
    <definedName name="E1E3">'Dummy Top Scorer'!$R$57:$R$108</definedName>
    <definedName name="E1E4">'Dummy Top Scorer'!$R$111:$R$162</definedName>
    <definedName name="E2E1">'Dummy Top Scorer'!$S$3:$S$54</definedName>
    <definedName name="E2E3">'Dummy Top Scorer'!$S$57:$S$108</definedName>
    <definedName name="E2E4">'Dummy Top Scorer'!$S$111:$S$162</definedName>
    <definedName name="E3E1">'Dummy Top Scorer'!$T$3:$T$54</definedName>
    <definedName name="E3E2">'Dummy Top Scorer'!$T$57:$T$108</definedName>
    <definedName name="E3E4">'Dummy Top Scorer'!$T$111:$T$162</definedName>
    <definedName name="E4E1">'Dummy Top Scorer'!$U$3:$U$54</definedName>
    <definedName name="E4E2">'Dummy Top Scorer'!$U$57:$U$108</definedName>
    <definedName name="E4E3">'Dummy Top Scorer'!$U$111:$U$162</definedName>
    <definedName name="F1F2">'Dummy Top Scorer'!$V$3:$V$54</definedName>
    <definedName name="F1F3">'Dummy Top Scorer'!$V$57:$V$108</definedName>
    <definedName name="F1F4">'Dummy Top Scorer'!$V$111:$V$162</definedName>
    <definedName name="F2F1">'Dummy Top Scorer'!$W$3:$W$54</definedName>
    <definedName name="F2F3">'Dummy Top Scorer'!$W$57:$W$108</definedName>
    <definedName name="F2F4">'Dummy Top Scorer'!$W$111:$W$162</definedName>
    <definedName name="F3F1">'Dummy Top Scorer'!$X$3:$X$54</definedName>
    <definedName name="F3F2">'Dummy Top Scorer'!$X$57:$X$108</definedName>
    <definedName name="F3F4">'Dummy Top Scorer'!$X$111:$X$162</definedName>
    <definedName name="F4F1">'Dummy Top Scorer'!$Y$3:$Y$54</definedName>
    <definedName name="F4F2">'Dummy Top Scorer'!$Y$57:$Y$108</definedName>
    <definedName name="F4F3">'Dummy Top Scorer'!$Y$111:$Y$162</definedName>
    <definedName name="FINAL11">'Dummy Top Scorer'!$BQ$3:$BQ$54</definedName>
    <definedName name="FINAL12">'Dummy Top Scorer'!$BR$3:$BR$54</definedName>
    <definedName name="G1G2">'Dummy Top Scorer'!$Z$3:$Z$54</definedName>
    <definedName name="G1G3">'Dummy Top Scorer'!$Z$57:$Z$108</definedName>
    <definedName name="G1G4">'Dummy Top Scorer'!$Z$111:$Z$162</definedName>
    <definedName name="G2G1">'Dummy Top Scorer'!$AA$3:$AA$54</definedName>
    <definedName name="G2G3">'Dummy Top Scorer'!$AA$57:$AA$108</definedName>
    <definedName name="G2G4">'Dummy Top Scorer'!$AA$111:$AA$162</definedName>
    <definedName name="G3G1">'Dummy Top Scorer'!$AB$3:$AB$54</definedName>
    <definedName name="G3G2">'Dummy Top Scorer'!$AB$57:$AB$108</definedName>
    <definedName name="G3G4">'Dummy Top Scorer'!$AB$111:$AB$162</definedName>
    <definedName name="G4G1">'Dummy Top Scorer'!$AC$3:$AC$54</definedName>
    <definedName name="G4G2">'Dummy Top Scorer'!$AC$57:$AC$108</definedName>
    <definedName name="G4G3">'Dummy Top Scorer'!$AC$111:$AC$162</definedName>
    <definedName name="GroupA">Calculator!$BY$7</definedName>
    <definedName name="GroupB">Calculator!$BY$13</definedName>
    <definedName name="GroupC">Calculator!$BY$19</definedName>
    <definedName name="GroupD">Calculator!$BY$25</definedName>
    <definedName name="GroupE">Calculator!$BY$31</definedName>
    <definedName name="GroupF">Calculator!$BY$37</definedName>
    <definedName name="GroupG">Calculator!$BY$43</definedName>
    <definedName name="GroupH">Calculator!$BY$49</definedName>
    <definedName name="H1H2">'Dummy Top Scorer'!$AD$3:$AD$54</definedName>
    <definedName name="H1H3">'Dummy Top Scorer'!$AD$57:$AD$108</definedName>
    <definedName name="H1H4">'Dummy Top Scorer'!$AD$111:$AD$162</definedName>
    <definedName name="H2H1">'Dummy Top Scorer'!$AE$3:$AE$54</definedName>
    <definedName name="H2H3">'Dummy Top Scorer'!$AE$57:$AE$108</definedName>
    <definedName name="H2H4">'Dummy Top Scorer'!$AE$111:$AE$162</definedName>
    <definedName name="H3H1">'Dummy Top Scorer'!$AF$3:$AF$54</definedName>
    <definedName name="H3H2">'Dummy Top Scorer'!$AF$57:$AF$108</definedName>
    <definedName name="H3H4">'Dummy Top Scorer'!$AF$111:$AF$162</definedName>
    <definedName name="H4H1">'Dummy Top Scorer'!$AG$3:$AG$54</definedName>
    <definedName name="H4H2">'Dummy Top Scorer'!$AG$57:$AG$108</definedName>
    <definedName name="H4H3">'Dummy Top Scorer'!$AG$111:$AG$162</definedName>
    <definedName name="LanguageRef">Language!$C$1:$I$1</definedName>
    <definedName name="MaxGoal">'Top Scorer'!$B$8</definedName>
    <definedName name="_xlnm.Print_Area" localSheetId="2">'Group Stages'!$B$4:$Q$104</definedName>
    <definedName name="_xlnm.Print_Area" localSheetId="3">'Knock Out Stages'!$B$2:$R$54</definedName>
    <definedName name="_xlnm.Print_Area" localSheetId="0">Setup!$A$4:$F$114</definedName>
    <definedName name="_xlnm.Print_Area" localSheetId="1">Tournament!$B$2:$W$69</definedName>
    <definedName name="QUFI11">'Dummy Top Scorer'!$AI$3:$AI$54</definedName>
    <definedName name="QUFI12">'Dummy Top Scorer'!$AJ$3:$AJ$54</definedName>
    <definedName name="QUFI21">'Dummy Top Scorer'!$AK$3:$AK$54</definedName>
    <definedName name="QUFI22">'Dummy Top Scorer'!$AL$3:$AL$54</definedName>
    <definedName name="QUFI31">'Dummy Top Scorer'!$AM$3:$AM$54</definedName>
    <definedName name="QUFI32">'Dummy Top Scorer'!$AN$3:$AN$54</definedName>
    <definedName name="QUFI41">'Dummy Top Scorer'!$AO$3:$AO$54</definedName>
    <definedName name="QUFI42">'Dummy Top Scorer'!$AP$3:$AP$54</definedName>
    <definedName name="QUFI51">'Dummy Top Scorer'!$AQ$3:$AQ$54</definedName>
    <definedName name="QUFI52">'Dummy Top Scorer'!$AR$3:$AR$54</definedName>
    <definedName name="QUFI61">'Dummy Top Scorer'!$AS$3:$AS$54</definedName>
    <definedName name="QUFI62">'Dummy Top Scorer'!$AT$3:$AT$54</definedName>
    <definedName name="QUFI71">'Dummy Top Scorer'!$AU$3:$AU$54</definedName>
    <definedName name="QUFI72">'Dummy Top Scorer'!$AV$3:$AV$54</definedName>
    <definedName name="QUFI81">'Dummy Top Scorer'!$AW$3:$AW$54</definedName>
    <definedName name="QUFI82">'Dummy Top Scorer'!$AX$3:$AX$54</definedName>
    <definedName name="SEFI11">'Dummy Top Scorer'!$BI$3:$BI$54</definedName>
    <definedName name="SEFI12">'Dummy Top Scorer'!$BJ$3:$BJ$54</definedName>
    <definedName name="SEFI21">'Dummy Top Scorer'!$BK$3:$BK$54</definedName>
    <definedName name="SEFI22">'Dummy Top Scorer'!$BL$3:$BL$54</definedName>
    <definedName name="Team">Calculator!$BO$7:$BO$38</definedName>
    <definedName name="THIR11">'Dummy Top Scorer'!$BN$3:$BN$54</definedName>
    <definedName name="THIR12">'Dummy Top Scorer'!$BO$3:$BO$54</definedName>
    <definedName name="TimeZoneData">Setup!$C$4</definedName>
    <definedName name="TimeZoneList">Calculator!$BS$7:$BS$56</definedName>
    <definedName name="Translation">Language!$C$3:$I$111</definedName>
    <definedName name="TransRef">Language!$B$3:$B$111</definedName>
  </definedNames>
  <calcPr calcId="145621"/>
</workbook>
</file>

<file path=xl/calcChain.xml><?xml version="1.0" encoding="utf-8"?>
<calcChain xmlns="http://schemas.openxmlformats.org/spreadsheetml/2006/main">
  <c r="K38" i="2" l="1"/>
  <c r="K37" i="2"/>
  <c r="F38" i="2"/>
  <c r="F37" i="2"/>
  <c r="K23" i="2"/>
  <c r="K22" i="2"/>
  <c r="F23" i="2"/>
  <c r="F22" i="2"/>
  <c r="K7" i="2"/>
  <c r="K5" i="2"/>
  <c r="F7" i="2"/>
  <c r="F5" i="2"/>
  <c r="P66" i="2" l="1"/>
  <c r="P62" i="2"/>
  <c r="P53" i="2"/>
  <c r="P46" i="2"/>
  <c r="P40" i="2"/>
  <c r="P34" i="2"/>
  <c r="P28" i="2"/>
  <c r="P22" i="2"/>
  <c r="K20" i="2"/>
  <c r="F20" i="2"/>
  <c r="K19" i="2"/>
  <c r="F19" i="2"/>
  <c r="K18" i="2"/>
  <c r="F18" i="2"/>
  <c r="K17" i="2"/>
  <c r="F17" i="2"/>
  <c r="P16" i="2"/>
  <c r="K16" i="2"/>
  <c r="F16" i="2"/>
  <c r="K15" i="2"/>
  <c r="F15" i="2"/>
  <c r="K14" i="2"/>
  <c r="F14" i="2"/>
  <c r="K13" i="2"/>
  <c r="F13" i="2"/>
  <c r="K12" i="2"/>
  <c r="F12" i="2"/>
  <c r="K11" i="2"/>
  <c r="F11" i="2"/>
  <c r="P10" i="2"/>
  <c r="K10" i="2"/>
  <c r="F10" i="2"/>
  <c r="K9" i="2"/>
  <c r="F9" i="2"/>
  <c r="K8" i="2"/>
  <c r="F8" i="2"/>
  <c r="K6" i="2"/>
  <c r="F6" i="2"/>
  <c r="P4" i="2"/>
  <c r="B53" i="2"/>
  <c r="B4" i="2"/>
  <c r="P3" i="2"/>
  <c r="N3" i="2"/>
  <c r="K3" i="2"/>
  <c r="H3" i="2"/>
  <c r="F3" i="2"/>
  <c r="E3" i="2"/>
  <c r="D3" i="2"/>
  <c r="B3" i="2"/>
  <c r="B2" i="2"/>
  <c r="BU77" i="11" l="1"/>
  <c r="BU75" i="11"/>
  <c r="BM147" i="3"/>
  <c r="BM145" i="3"/>
  <c r="BZ38" i="3"/>
  <c r="BZ37" i="3"/>
  <c r="BZ36" i="3"/>
  <c r="BZ35" i="3"/>
  <c r="BZ34" i="3"/>
  <c r="BZ33" i="3"/>
  <c r="BZ32" i="3"/>
  <c r="BZ31" i="3"/>
  <c r="BZ30" i="3"/>
  <c r="BZ29" i="3"/>
  <c r="BZ28" i="3"/>
  <c r="BZ27" i="3"/>
  <c r="BZ26" i="3"/>
  <c r="BZ25" i="3"/>
  <c r="BZ24" i="3"/>
  <c r="BZ23" i="3"/>
  <c r="BZ22" i="3"/>
  <c r="BZ21" i="3"/>
  <c r="BZ20" i="3"/>
  <c r="BZ19" i="3"/>
  <c r="BZ18" i="3"/>
  <c r="BZ17" i="3"/>
  <c r="BZ16" i="3"/>
  <c r="BZ15" i="3"/>
  <c r="BZ14" i="3"/>
  <c r="BZ13" i="3"/>
  <c r="BZ12" i="3"/>
  <c r="BZ11" i="3"/>
  <c r="BZ10" i="3"/>
  <c r="BZ9" i="3"/>
  <c r="BZ8" i="3"/>
  <c r="BZ7" i="3"/>
  <c r="B3" i="8" l="1"/>
  <c r="B3" i="7"/>
  <c r="M69" i="2"/>
  <c r="L69" i="2"/>
  <c r="M68" i="2"/>
  <c r="L68" i="2"/>
  <c r="M67" i="2"/>
  <c r="L67" i="2"/>
  <c r="M66" i="2"/>
  <c r="L66" i="2"/>
  <c r="M65" i="2"/>
  <c r="L65" i="2"/>
  <c r="M64" i="2"/>
  <c r="L64" i="2"/>
  <c r="M63" i="2"/>
  <c r="L63" i="2"/>
  <c r="M62" i="2"/>
  <c r="L62" i="2"/>
  <c r="M61" i="2"/>
  <c r="L61" i="2"/>
  <c r="M60" i="2"/>
  <c r="L60" i="2"/>
  <c r="M59" i="2"/>
  <c r="L59" i="2"/>
  <c r="M58" i="2"/>
  <c r="L58" i="2"/>
  <c r="M57" i="2"/>
  <c r="L57" i="2"/>
  <c r="M56" i="2"/>
  <c r="L56" i="2"/>
  <c r="M55" i="2"/>
  <c r="L55" i="2"/>
  <c r="M54" i="2"/>
  <c r="L54" i="2"/>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BU830" i="11" l="1"/>
  <c r="BV830" i="11"/>
  <c r="BV831" i="11"/>
  <c r="BU832" i="11"/>
  <c r="BV832" i="11"/>
  <c r="BU833" i="11"/>
  <c r="BV833" i="11"/>
  <c r="BU834" i="11"/>
  <c r="BV834" i="11"/>
  <c r="BU56" i="11"/>
  <c r="BV56" i="11"/>
  <c r="BU57" i="11"/>
  <c r="BV57" i="11"/>
  <c r="BU58" i="11"/>
  <c r="BV58" i="11"/>
  <c r="BU59" i="11"/>
  <c r="BV59" i="11"/>
  <c r="BV85" i="11" s="1"/>
  <c r="BU60" i="11"/>
  <c r="BV60" i="11"/>
  <c r="BU61" i="11"/>
  <c r="BV61" i="11"/>
  <c r="BU62" i="11"/>
  <c r="BV62" i="11"/>
  <c r="BU63" i="11"/>
  <c r="BV63" i="11"/>
  <c r="BV89" i="11" s="1"/>
  <c r="BU64" i="11"/>
  <c r="BV64" i="11"/>
  <c r="BU65" i="11"/>
  <c r="BV65" i="11"/>
  <c r="BU66" i="11"/>
  <c r="BV66" i="11"/>
  <c r="BU67" i="11"/>
  <c r="BV67" i="11"/>
  <c r="BV93" i="11" s="1"/>
  <c r="BU68" i="11"/>
  <c r="BV68" i="11"/>
  <c r="BU69" i="11"/>
  <c r="BV69" i="11"/>
  <c r="BU70" i="11"/>
  <c r="BV70" i="11"/>
  <c r="BU71" i="11"/>
  <c r="BV71" i="11"/>
  <c r="BV97" i="11" s="1"/>
  <c r="BV123" i="11" s="1"/>
  <c r="BU72" i="11"/>
  <c r="BV72" i="11"/>
  <c r="BU73" i="11"/>
  <c r="BV73" i="11"/>
  <c r="BU74" i="11"/>
  <c r="BV74" i="11"/>
  <c r="BV75" i="11"/>
  <c r="BV101" i="11" s="1"/>
  <c r="BU76" i="11"/>
  <c r="BV76" i="11"/>
  <c r="BV77" i="11"/>
  <c r="BU78" i="11"/>
  <c r="BV78" i="11"/>
  <c r="BU79" i="11"/>
  <c r="BV79" i="11"/>
  <c r="BV105" i="11" s="1"/>
  <c r="BU80" i="11"/>
  <c r="BV80" i="11"/>
  <c r="BU81" i="11"/>
  <c r="BV81" i="11"/>
  <c r="BU82" i="11"/>
  <c r="BV82" i="11"/>
  <c r="BU83" i="11"/>
  <c r="BV83" i="11"/>
  <c r="BV109" i="11" s="1"/>
  <c r="BV84" i="11"/>
  <c r="BU85" i="11"/>
  <c r="BU86" i="11"/>
  <c r="BV86" i="11"/>
  <c r="BU87" i="11"/>
  <c r="BV87" i="11"/>
  <c r="BV113" i="11" s="1"/>
  <c r="BV88" i="11"/>
  <c r="BU89" i="11"/>
  <c r="BU90" i="11"/>
  <c r="BV90" i="11"/>
  <c r="BU91" i="11"/>
  <c r="BV91" i="11"/>
  <c r="BV117" i="11" s="1"/>
  <c r="BV92" i="11"/>
  <c r="BU93" i="11"/>
  <c r="BU94" i="11"/>
  <c r="BV94" i="11"/>
  <c r="BU95" i="11"/>
  <c r="BV95" i="11"/>
  <c r="BV121" i="11" s="1"/>
  <c r="BV96" i="11"/>
  <c r="BU97" i="11"/>
  <c r="BU98" i="11"/>
  <c r="BV98" i="11"/>
  <c r="BU99" i="11"/>
  <c r="BV99" i="11"/>
  <c r="BV125" i="11" s="1"/>
  <c r="BV100" i="11"/>
  <c r="BU101" i="11"/>
  <c r="BU102" i="11"/>
  <c r="BV102" i="11"/>
  <c r="BU103" i="11"/>
  <c r="BV103" i="11"/>
  <c r="BV104" i="11"/>
  <c r="BU105" i="11"/>
  <c r="BU106" i="11"/>
  <c r="BV106" i="11"/>
  <c r="BU107" i="11"/>
  <c r="BV107" i="11"/>
  <c r="BV108" i="11"/>
  <c r="BU109" i="11"/>
  <c r="BV110" i="11"/>
  <c r="BU111" i="11"/>
  <c r="BV111" i="11"/>
  <c r="BV112" i="11"/>
  <c r="BU113" i="11"/>
  <c r="BV114" i="11"/>
  <c r="BU115" i="11"/>
  <c r="BV115" i="11"/>
  <c r="BV116" i="11"/>
  <c r="BU117" i="11"/>
  <c r="BV118" i="11"/>
  <c r="BU119" i="11"/>
  <c r="BV119" i="11"/>
  <c r="BV120" i="11"/>
  <c r="BU121" i="11"/>
  <c r="BV122" i="11"/>
  <c r="BU123" i="11"/>
  <c r="BV124" i="11"/>
  <c r="BU125" i="11"/>
  <c r="BV126" i="11"/>
  <c r="BV127" i="11"/>
  <c r="BV128" i="11"/>
  <c r="BU129" i="11"/>
  <c r="BV130" i="11"/>
  <c r="BU131" i="11"/>
  <c r="BV131" i="11"/>
  <c r="BV132" i="11"/>
  <c r="BU133" i="11"/>
  <c r="BV134" i="11"/>
  <c r="BU135" i="11"/>
  <c r="BV135" i="11"/>
  <c r="BV136" i="11"/>
  <c r="BU137" i="11"/>
  <c r="BV138" i="11"/>
  <c r="BU139" i="11"/>
  <c r="BV139" i="11"/>
  <c r="BV140" i="11"/>
  <c r="BU141" i="11"/>
  <c r="BV142" i="11"/>
  <c r="BU143" i="11"/>
  <c r="BV143" i="11"/>
  <c r="BV144" i="11"/>
  <c r="BU145" i="11"/>
  <c r="BV146" i="11"/>
  <c r="BU147" i="11"/>
  <c r="BV147" i="11"/>
  <c r="BV148" i="11"/>
  <c r="BU149" i="11"/>
  <c r="BV150" i="11"/>
  <c r="BU151" i="11"/>
  <c r="BV151" i="11"/>
  <c r="BV152" i="11"/>
  <c r="BV154" i="11"/>
  <c r="BV156" i="11"/>
  <c r="BU157" i="11"/>
  <c r="BV158" i="11"/>
  <c r="BU159" i="11"/>
  <c r="BV160" i="11"/>
  <c r="BU161" i="11"/>
  <c r="BV162" i="11"/>
  <c r="BU163" i="11"/>
  <c r="BV164" i="11"/>
  <c r="BU165" i="11"/>
  <c r="BV166" i="11"/>
  <c r="BU167" i="11"/>
  <c r="BV168" i="11"/>
  <c r="BU169" i="11"/>
  <c r="BV170" i="11"/>
  <c r="BU171" i="11"/>
  <c r="BV172" i="11"/>
  <c r="BU173" i="11"/>
  <c r="BV174" i="11"/>
  <c r="BU175" i="11"/>
  <c r="BV176" i="11"/>
  <c r="BU177" i="11"/>
  <c r="BV178" i="11"/>
  <c r="BV180" i="11"/>
  <c r="BV182" i="11"/>
  <c r="BU183" i="11"/>
  <c r="BV184" i="11"/>
  <c r="BV210" i="11" s="1"/>
  <c r="BV236" i="11" s="1"/>
  <c r="BV262" i="11" s="1"/>
  <c r="BV288" i="11" s="1"/>
  <c r="BV314" i="11" s="1"/>
  <c r="BV340" i="11" s="1"/>
  <c r="BV366" i="11" s="1"/>
  <c r="BV392" i="11" s="1"/>
  <c r="BV418" i="11" s="1"/>
  <c r="BV444" i="11" s="1"/>
  <c r="BU185" i="11"/>
  <c r="BV186" i="11"/>
  <c r="BU187" i="11"/>
  <c r="BU213" i="11" s="1"/>
  <c r="BV188" i="11"/>
  <c r="BV214" i="11" s="1"/>
  <c r="BV240" i="11" s="1"/>
  <c r="BV266" i="11" s="1"/>
  <c r="BV292" i="11" s="1"/>
  <c r="BU189" i="11"/>
  <c r="BU215" i="11" s="1"/>
  <c r="BV190" i="11"/>
  <c r="BU191" i="11"/>
  <c r="BU217" i="11" s="1"/>
  <c r="BV192" i="11"/>
  <c r="BV218" i="11" s="1"/>
  <c r="BV244" i="11" s="1"/>
  <c r="BV270" i="11" s="1"/>
  <c r="BV296" i="11" s="1"/>
  <c r="BV322" i="11" s="1"/>
  <c r="BV348" i="11" s="1"/>
  <c r="BV374" i="11" s="1"/>
  <c r="BV400" i="11" s="1"/>
  <c r="BV426" i="11" s="1"/>
  <c r="BV452" i="11" s="1"/>
  <c r="BU193" i="11"/>
  <c r="BV194" i="11"/>
  <c r="BV220" i="11" s="1"/>
  <c r="BV246" i="11" s="1"/>
  <c r="BU195" i="11"/>
  <c r="BU221" i="11" s="1"/>
  <c r="BV196" i="11"/>
  <c r="BV222" i="11" s="1"/>
  <c r="BU197" i="11"/>
  <c r="BU223" i="11" s="1"/>
  <c r="BV198" i="11"/>
  <c r="BU199" i="11"/>
  <c r="BU225" i="11" s="1"/>
  <c r="BV200" i="11"/>
  <c r="BV226" i="11" s="1"/>
  <c r="BV252" i="11" s="1"/>
  <c r="BV278" i="11" s="1"/>
  <c r="BV304" i="11" s="1"/>
  <c r="BV330" i="11" s="1"/>
  <c r="BV356" i="11" s="1"/>
  <c r="BV382" i="11" s="1"/>
  <c r="BV408" i="11" s="1"/>
  <c r="BU201" i="11"/>
  <c r="BV202" i="11"/>
  <c r="BV228" i="11" s="1"/>
  <c r="BV254" i="11" s="1"/>
  <c r="BV280" i="11" s="1"/>
  <c r="BV306" i="11" s="1"/>
  <c r="BV332" i="11" s="1"/>
  <c r="BU203" i="11"/>
  <c r="BU229" i="11" s="1"/>
  <c r="BV204" i="11"/>
  <c r="BV230" i="11" s="1"/>
  <c r="BV256" i="11" s="1"/>
  <c r="BV282" i="11" s="1"/>
  <c r="BV308" i="11" s="1"/>
  <c r="BV334" i="11" s="1"/>
  <c r="BV360" i="11" s="1"/>
  <c r="BV386" i="11" s="1"/>
  <c r="BV412" i="11" s="1"/>
  <c r="BV206" i="11"/>
  <c r="BV208" i="11"/>
  <c r="BV234" i="11" s="1"/>
  <c r="BV260" i="11" s="1"/>
  <c r="BV286" i="11" s="1"/>
  <c r="BV312" i="11" s="1"/>
  <c r="BV338" i="11" s="1"/>
  <c r="BV364" i="11" s="1"/>
  <c r="BV390" i="11" s="1"/>
  <c r="BV416" i="11" s="1"/>
  <c r="BU209" i="11"/>
  <c r="BU211" i="11"/>
  <c r="BU237" i="11" s="1"/>
  <c r="BV212" i="11"/>
  <c r="BV238" i="11" s="1"/>
  <c r="BV264" i="11" s="1"/>
  <c r="BV290" i="11" s="1"/>
  <c r="BV316" i="11" s="1"/>
  <c r="BV342" i="11" s="1"/>
  <c r="BV368" i="11" s="1"/>
  <c r="BV394" i="11" s="1"/>
  <c r="BV420" i="11" s="1"/>
  <c r="BV216" i="11"/>
  <c r="BV242" i="11" s="1"/>
  <c r="BV268" i="11" s="1"/>
  <c r="BV294" i="11" s="1"/>
  <c r="BV320" i="11" s="1"/>
  <c r="BV346" i="11" s="1"/>
  <c r="BV372" i="11" s="1"/>
  <c r="BV398" i="11" s="1"/>
  <c r="BV424" i="11" s="1"/>
  <c r="BU219" i="11"/>
  <c r="BU245" i="11" s="1"/>
  <c r="BU271" i="11" s="1"/>
  <c r="BV224" i="11"/>
  <c r="BV250" i="11" s="1"/>
  <c r="BV276" i="11" s="1"/>
  <c r="BV302" i="11" s="1"/>
  <c r="BV328" i="11" s="1"/>
  <c r="BU227" i="11"/>
  <c r="BU253" i="11" s="1"/>
  <c r="BU279" i="11" s="1"/>
  <c r="BV232" i="11"/>
  <c r="BV258" i="11" s="1"/>
  <c r="BV284" i="11" s="1"/>
  <c r="BU235" i="11"/>
  <c r="BU261" i="11" s="1"/>
  <c r="BU287" i="11" s="1"/>
  <c r="BV248" i="11"/>
  <c r="BV274" i="11" s="1"/>
  <c r="BV300" i="11" s="1"/>
  <c r="BU251" i="11"/>
  <c r="BV272" i="11"/>
  <c r="BV298" i="11" s="1"/>
  <c r="BV324" i="11" s="1"/>
  <c r="BV310" i="11"/>
  <c r="BV336" i="11" s="1"/>
  <c r="BU313" i="11"/>
  <c r="BV318" i="11"/>
  <c r="BV344" i="11" s="1"/>
  <c r="BV326" i="11"/>
  <c r="BV352" i="11" s="1"/>
  <c r="BV350" i="11"/>
  <c r="BV376" i="11" s="1"/>
  <c r="BV402" i="11" s="1"/>
  <c r="BV428" i="11" s="1"/>
  <c r="BV354" i="11"/>
  <c r="BV380" i="11" s="1"/>
  <c r="BV406" i="11" s="1"/>
  <c r="BV432" i="11" s="1"/>
  <c r="BV358" i="11"/>
  <c r="BV362" i="11"/>
  <c r="BV388" i="11" s="1"/>
  <c r="BV414" i="11" s="1"/>
  <c r="BV440" i="11" s="1"/>
  <c r="BV370" i="11"/>
  <c r="BV396" i="11" s="1"/>
  <c r="BV422" i="11" s="1"/>
  <c r="BV448" i="11" s="1"/>
  <c r="BV378" i="11"/>
  <c r="BV404" i="11" s="1"/>
  <c r="BV430" i="11" s="1"/>
  <c r="BV456" i="11" s="1"/>
  <c r="BV384" i="11"/>
  <c r="BV410" i="11"/>
  <c r="BV436" i="11" s="1"/>
  <c r="BV434" i="11"/>
  <c r="BV460" i="11" s="1"/>
  <c r="BV438" i="11"/>
  <c r="BV464" i="11" s="1"/>
  <c r="BV442" i="11"/>
  <c r="BV468" i="11" s="1"/>
  <c r="BV446" i="11"/>
  <c r="BV472" i="11" s="1"/>
  <c r="BV450" i="11"/>
  <c r="BV476" i="11" s="1"/>
  <c r="BV454" i="11"/>
  <c r="BV480" i="11" s="1"/>
  <c r="BV458" i="11"/>
  <c r="BV484" i="11" s="1"/>
  <c r="BV462" i="11"/>
  <c r="BV488" i="11" s="1"/>
  <c r="BV466" i="11"/>
  <c r="BV492" i="11" s="1"/>
  <c r="BV518" i="11" s="1"/>
  <c r="BV544" i="11" s="1"/>
  <c r="BV570" i="11" s="1"/>
  <c r="BV596" i="11" s="1"/>
  <c r="BV622" i="11" s="1"/>
  <c r="BV648" i="11" s="1"/>
  <c r="BV674" i="11" s="1"/>
  <c r="BV700" i="11" s="1"/>
  <c r="BV726" i="11" s="1"/>
  <c r="BV752" i="11" s="1"/>
  <c r="BV470" i="11"/>
  <c r="BV496" i="11" s="1"/>
  <c r="BV474" i="11"/>
  <c r="BV500" i="11" s="1"/>
  <c r="BV478" i="11"/>
  <c r="BV504" i="11" s="1"/>
  <c r="BV482" i="11"/>
  <c r="BV508" i="11" s="1"/>
  <c r="BV534" i="11" s="1"/>
  <c r="BV560" i="11" s="1"/>
  <c r="BV586" i="11" s="1"/>
  <c r="BV612" i="11" s="1"/>
  <c r="BV638" i="11" s="1"/>
  <c r="BV664" i="11" s="1"/>
  <c r="BV690" i="11" s="1"/>
  <c r="BV716" i="11" s="1"/>
  <c r="BV486" i="11"/>
  <c r="BV512" i="11" s="1"/>
  <c r="BV490" i="11"/>
  <c r="BV516" i="11" s="1"/>
  <c r="BV542" i="11" s="1"/>
  <c r="BV494" i="11"/>
  <c r="BV520" i="11" s="1"/>
  <c r="BV498" i="11"/>
  <c r="BV524" i="11" s="1"/>
  <c r="BV502" i="11"/>
  <c r="BV528" i="11" s="1"/>
  <c r="BV506" i="11"/>
  <c r="BV532" i="11" s="1"/>
  <c r="BV510" i="11"/>
  <c r="BV536" i="11" s="1"/>
  <c r="BV514" i="11"/>
  <c r="BV540" i="11" s="1"/>
  <c r="BV522" i="11"/>
  <c r="BV526" i="11"/>
  <c r="BV530" i="11"/>
  <c r="BV538" i="11"/>
  <c r="BV546" i="11"/>
  <c r="BV548" i="11"/>
  <c r="BV574" i="11" s="1"/>
  <c r="BV600" i="11" s="1"/>
  <c r="BV626" i="11" s="1"/>
  <c r="BV652" i="11" s="1"/>
  <c r="BV678" i="11" s="1"/>
  <c r="BV704" i="11" s="1"/>
  <c r="BV730" i="11" s="1"/>
  <c r="BV756" i="11" s="1"/>
  <c r="BV550" i="11"/>
  <c r="BV552" i="11"/>
  <c r="BV578" i="11" s="1"/>
  <c r="BV604" i="11" s="1"/>
  <c r="BV630" i="11" s="1"/>
  <c r="BV656" i="11" s="1"/>
  <c r="BV682" i="11" s="1"/>
  <c r="BV708" i="11" s="1"/>
  <c r="BV734" i="11" s="1"/>
  <c r="BV760" i="11" s="1"/>
  <c r="BV554" i="11"/>
  <c r="BV556" i="11"/>
  <c r="BV582" i="11" s="1"/>
  <c r="BV608" i="11" s="1"/>
  <c r="BV634" i="11" s="1"/>
  <c r="BV660" i="11" s="1"/>
  <c r="BV686" i="11" s="1"/>
  <c r="BV712" i="11" s="1"/>
  <c r="BV738" i="11" s="1"/>
  <c r="BV764" i="11" s="1"/>
  <c r="BV558" i="11"/>
  <c r="BV562" i="11"/>
  <c r="BV564" i="11"/>
  <c r="BV590" i="11" s="1"/>
  <c r="BV616" i="11" s="1"/>
  <c r="BV642" i="11" s="1"/>
  <c r="BV668" i="11" s="1"/>
  <c r="BV694" i="11" s="1"/>
  <c r="BV720" i="11" s="1"/>
  <c r="BV566" i="11"/>
  <c r="BV568" i="11"/>
  <c r="BV594" i="11" s="1"/>
  <c r="BV620" i="11" s="1"/>
  <c r="BV646" i="11" s="1"/>
  <c r="BV672" i="11" s="1"/>
  <c r="BV698" i="11" s="1"/>
  <c r="BV724" i="11" s="1"/>
  <c r="BV750" i="11" s="1"/>
  <c r="BV776" i="11" s="1"/>
  <c r="BV802" i="11" s="1"/>
  <c r="BV828" i="11" s="1"/>
  <c r="BV572" i="11"/>
  <c r="BV576" i="11"/>
  <c r="BV602" i="11" s="1"/>
  <c r="BV628" i="11" s="1"/>
  <c r="BV654" i="11" s="1"/>
  <c r="BV680" i="11" s="1"/>
  <c r="BV706" i="11" s="1"/>
  <c r="BV732" i="11" s="1"/>
  <c r="BV758" i="11" s="1"/>
  <c r="BV784" i="11" s="1"/>
  <c r="BV810" i="11" s="1"/>
  <c r="BV580" i="11"/>
  <c r="BV584" i="11"/>
  <c r="BV588" i="11"/>
  <c r="BV592" i="11"/>
  <c r="BV598" i="11"/>
  <c r="BV606" i="11"/>
  <c r="BV610" i="11"/>
  <c r="BV614" i="11"/>
  <c r="BV618" i="11"/>
  <c r="BV624" i="11"/>
  <c r="BV632" i="11"/>
  <c r="BV636" i="11"/>
  <c r="BV640" i="11"/>
  <c r="BV644" i="11"/>
  <c r="BV650" i="11"/>
  <c r="BV658" i="11"/>
  <c r="BV684" i="11" s="1"/>
  <c r="BV710" i="11" s="1"/>
  <c r="BV736" i="11" s="1"/>
  <c r="BV662" i="11"/>
  <c r="BV688" i="11" s="1"/>
  <c r="BV714" i="11" s="1"/>
  <c r="BV740" i="11" s="1"/>
  <c r="BV666" i="11"/>
  <c r="BV692" i="11" s="1"/>
  <c r="BV718" i="11" s="1"/>
  <c r="BV744" i="11" s="1"/>
  <c r="BV670" i="11"/>
  <c r="BV696" i="11" s="1"/>
  <c r="BV722" i="11" s="1"/>
  <c r="BV748" i="11" s="1"/>
  <c r="BV676" i="11"/>
  <c r="BV702" i="11"/>
  <c r="BV728" i="11" s="1"/>
  <c r="BV742" i="11"/>
  <c r="BV768" i="11" s="1"/>
  <c r="BV746" i="11"/>
  <c r="BV772" i="11" s="1"/>
  <c r="BV754" i="11"/>
  <c r="BV780" i="11" s="1"/>
  <c r="BV762" i="11"/>
  <c r="BV788" i="11" s="1"/>
  <c r="BV766" i="11"/>
  <c r="BV792" i="11" s="1"/>
  <c r="BV770" i="11"/>
  <c r="BV774" i="11"/>
  <c r="BV778" i="11"/>
  <c r="BV782" i="11"/>
  <c r="BV786" i="11"/>
  <c r="BV790" i="11"/>
  <c r="BV794" i="11"/>
  <c r="BV796" i="11"/>
  <c r="BV798" i="11"/>
  <c r="BV800" i="11"/>
  <c r="BV804" i="11"/>
  <c r="BV806" i="11"/>
  <c r="BV808" i="11"/>
  <c r="BV812" i="11"/>
  <c r="BV814" i="11"/>
  <c r="BV816" i="11"/>
  <c r="BV818" i="11"/>
  <c r="BV820" i="11"/>
  <c r="BV822" i="11"/>
  <c r="BV824" i="11"/>
  <c r="BV826" i="11"/>
  <c r="BV55" i="11"/>
  <c r="BU55" i="11"/>
  <c r="C3" i="11"/>
  <c r="BW29" i="11" s="1"/>
  <c r="D3" i="11"/>
  <c r="BW55" i="11" s="1"/>
  <c r="E3" i="11"/>
  <c r="BW81" i="11" s="1"/>
  <c r="F3" i="11"/>
  <c r="BW107" i="11" s="1"/>
  <c r="G3" i="11"/>
  <c r="BW133" i="11" s="1"/>
  <c r="H3" i="11"/>
  <c r="BW159" i="11" s="1"/>
  <c r="I3" i="11"/>
  <c r="BW185" i="11" s="1"/>
  <c r="J3" i="11"/>
  <c r="BW211" i="11" s="1"/>
  <c r="K3" i="11"/>
  <c r="BW237" i="11" s="1"/>
  <c r="L3" i="11"/>
  <c r="BW263" i="11" s="1"/>
  <c r="M3" i="11"/>
  <c r="BW289" i="11" s="1"/>
  <c r="N3" i="11"/>
  <c r="BW315" i="11" s="1"/>
  <c r="O3" i="11"/>
  <c r="BW341" i="11" s="1"/>
  <c r="P3" i="11"/>
  <c r="BW367" i="11" s="1"/>
  <c r="Q3" i="11"/>
  <c r="BW393" i="11" s="1"/>
  <c r="R3" i="11"/>
  <c r="BW419" i="11" s="1"/>
  <c r="S3" i="11"/>
  <c r="BW445" i="11" s="1"/>
  <c r="T3" i="11"/>
  <c r="BW471" i="11" s="1"/>
  <c r="U3" i="11"/>
  <c r="BW497" i="11" s="1"/>
  <c r="V3" i="11"/>
  <c r="BW523" i="11" s="1"/>
  <c r="W3" i="11"/>
  <c r="BW549" i="11" s="1"/>
  <c r="X3" i="11"/>
  <c r="BW575" i="11" s="1"/>
  <c r="Y3" i="11"/>
  <c r="BW601" i="11" s="1"/>
  <c r="Z3" i="11"/>
  <c r="BW627" i="11" s="1"/>
  <c r="AA3" i="11"/>
  <c r="BW653" i="11" s="1"/>
  <c r="AB3" i="11"/>
  <c r="BW679" i="11" s="1"/>
  <c r="AC3" i="11"/>
  <c r="BW705" i="11" s="1"/>
  <c r="AD3" i="11"/>
  <c r="BW731" i="11" s="1"/>
  <c r="AE3" i="11"/>
  <c r="BW757" i="11" s="1"/>
  <c r="AF3" i="11"/>
  <c r="BW783" i="11" s="1"/>
  <c r="AG3" i="11"/>
  <c r="BW809" i="11" s="1"/>
  <c r="C4" i="11"/>
  <c r="BW30" i="11" s="1"/>
  <c r="D4" i="11"/>
  <c r="BW56" i="11" s="1"/>
  <c r="E4" i="11"/>
  <c r="BW82" i="11" s="1"/>
  <c r="F4" i="11"/>
  <c r="BW108" i="11" s="1"/>
  <c r="G4" i="11"/>
  <c r="BW134" i="11" s="1"/>
  <c r="H4" i="11"/>
  <c r="BW160" i="11" s="1"/>
  <c r="I4" i="11"/>
  <c r="BW186" i="11" s="1"/>
  <c r="J4" i="11"/>
  <c r="BW212" i="11" s="1"/>
  <c r="K4" i="11"/>
  <c r="BW238" i="11" s="1"/>
  <c r="L4" i="11"/>
  <c r="BW264" i="11" s="1"/>
  <c r="M4" i="11"/>
  <c r="BW290" i="11" s="1"/>
  <c r="N4" i="11"/>
  <c r="BW316" i="11" s="1"/>
  <c r="O4" i="11"/>
  <c r="BW342" i="11" s="1"/>
  <c r="P4" i="11"/>
  <c r="BW368" i="11" s="1"/>
  <c r="Q4" i="11"/>
  <c r="BW394" i="11" s="1"/>
  <c r="R4" i="11"/>
  <c r="BW420" i="11" s="1"/>
  <c r="S4" i="11"/>
  <c r="BW446" i="11" s="1"/>
  <c r="T4" i="11"/>
  <c r="BW472" i="11" s="1"/>
  <c r="U4" i="11"/>
  <c r="BW498" i="11" s="1"/>
  <c r="V4" i="11"/>
  <c r="BW524" i="11" s="1"/>
  <c r="W4" i="11"/>
  <c r="BW550" i="11" s="1"/>
  <c r="X4" i="11"/>
  <c r="BW576" i="11" s="1"/>
  <c r="Y4" i="11"/>
  <c r="BW602" i="11" s="1"/>
  <c r="Z4" i="11"/>
  <c r="BW628" i="11" s="1"/>
  <c r="AA4" i="11"/>
  <c r="BW654" i="11" s="1"/>
  <c r="AB4" i="11"/>
  <c r="BW680" i="11" s="1"/>
  <c r="AC4" i="11"/>
  <c r="BW706" i="11" s="1"/>
  <c r="AD4" i="11"/>
  <c r="BW732" i="11" s="1"/>
  <c r="AE4" i="11"/>
  <c r="BW758" i="11" s="1"/>
  <c r="AF4" i="11"/>
  <c r="BW784" i="11" s="1"/>
  <c r="AG4" i="11"/>
  <c r="BW810" i="11" s="1"/>
  <c r="C5" i="11"/>
  <c r="BW31" i="11" s="1"/>
  <c r="D5" i="11"/>
  <c r="BW57" i="11" s="1"/>
  <c r="E5" i="11"/>
  <c r="BW83" i="11" s="1"/>
  <c r="F5" i="11"/>
  <c r="BW109" i="11" s="1"/>
  <c r="G5" i="11"/>
  <c r="BW135" i="11" s="1"/>
  <c r="H5" i="11"/>
  <c r="BW161" i="11" s="1"/>
  <c r="I5" i="11"/>
  <c r="BW187" i="11" s="1"/>
  <c r="J5" i="11"/>
  <c r="BW213" i="11" s="1"/>
  <c r="K5" i="11"/>
  <c r="BW239" i="11" s="1"/>
  <c r="L5" i="11"/>
  <c r="BW265" i="11" s="1"/>
  <c r="M5" i="11"/>
  <c r="BW291" i="11" s="1"/>
  <c r="N5" i="11"/>
  <c r="BW317" i="11" s="1"/>
  <c r="O5" i="11"/>
  <c r="BW343" i="11" s="1"/>
  <c r="P5" i="11"/>
  <c r="BW369" i="11" s="1"/>
  <c r="Q5" i="11"/>
  <c r="BW395" i="11" s="1"/>
  <c r="R5" i="11"/>
  <c r="BW421" i="11" s="1"/>
  <c r="S5" i="11"/>
  <c r="BW447" i="11" s="1"/>
  <c r="T5" i="11"/>
  <c r="BW473" i="11" s="1"/>
  <c r="U5" i="11"/>
  <c r="BW499" i="11" s="1"/>
  <c r="V5" i="11"/>
  <c r="BW525" i="11" s="1"/>
  <c r="W5" i="11"/>
  <c r="BW551" i="11" s="1"/>
  <c r="X5" i="11"/>
  <c r="BW577" i="11" s="1"/>
  <c r="Y5" i="11"/>
  <c r="BW603" i="11" s="1"/>
  <c r="Z5" i="11"/>
  <c r="BW629" i="11" s="1"/>
  <c r="AA5" i="11"/>
  <c r="BW655" i="11" s="1"/>
  <c r="AB5" i="11"/>
  <c r="BW681" i="11" s="1"/>
  <c r="AC5" i="11"/>
  <c r="BW707" i="11" s="1"/>
  <c r="AD5" i="11"/>
  <c r="BW733" i="11" s="1"/>
  <c r="AE5" i="11"/>
  <c r="BW759" i="11" s="1"/>
  <c r="AF5" i="11"/>
  <c r="BW785" i="11" s="1"/>
  <c r="AG5" i="11"/>
  <c r="BW811" i="11" s="1"/>
  <c r="C6" i="11"/>
  <c r="BW32" i="11" s="1"/>
  <c r="D6" i="11"/>
  <c r="BW58" i="11" s="1"/>
  <c r="E6" i="11"/>
  <c r="BW84" i="11" s="1"/>
  <c r="F6" i="11"/>
  <c r="BW110" i="11" s="1"/>
  <c r="G6" i="11"/>
  <c r="BW136" i="11" s="1"/>
  <c r="H6" i="11"/>
  <c r="BW162" i="11" s="1"/>
  <c r="I6" i="11"/>
  <c r="BW188" i="11" s="1"/>
  <c r="J6" i="11"/>
  <c r="BW214" i="11" s="1"/>
  <c r="K6" i="11"/>
  <c r="BW240" i="11" s="1"/>
  <c r="L6" i="11"/>
  <c r="BW266" i="11" s="1"/>
  <c r="M6" i="11"/>
  <c r="BW292" i="11" s="1"/>
  <c r="N6" i="11"/>
  <c r="BW318" i="11" s="1"/>
  <c r="O6" i="11"/>
  <c r="BW344" i="11" s="1"/>
  <c r="P6" i="11"/>
  <c r="BW370" i="11" s="1"/>
  <c r="Q6" i="11"/>
  <c r="BW396" i="11" s="1"/>
  <c r="R6" i="11"/>
  <c r="BW422" i="11" s="1"/>
  <c r="S6" i="11"/>
  <c r="BW448" i="11" s="1"/>
  <c r="T6" i="11"/>
  <c r="BW474" i="11" s="1"/>
  <c r="U6" i="11"/>
  <c r="BW500" i="11" s="1"/>
  <c r="V6" i="11"/>
  <c r="BW526" i="11" s="1"/>
  <c r="W6" i="11"/>
  <c r="BW552" i="11" s="1"/>
  <c r="X6" i="11"/>
  <c r="BW578" i="11" s="1"/>
  <c r="Y6" i="11"/>
  <c r="BW604" i="11" s="1"/>
  <c r="Z6" i="11"/>
  <c r="BW630" i="11" s="1"/>
  <c r="AA6" i="11"/>
  <c r="BW656" i="11" s="1"/>
  <c r="AB6" i="11"/>
  <c r="BW682" i="11" s="1"/>
  <c r="AC6" i="11"/>
  <c r="BW708" i="11" s="1"/>
  <c r="AD6" i="11"/>
  <c r="BW734" i="11" s="1"/>
  <c r="AE6" i="11"/>
  <c r="BW760" i="11" s="1"/>
  <c r="AF6" i="11"/>
  <c r="BW786" i="11" s="1"/>
  <c r="AG6" i="11"/>
  <c r="BW812" i="11" s="1"/>
  <c r="C7" i="11"/>
  <c r="BW33" i="11" s="1"/>
  <c r="D7" i="11"/>
  <c r="BW59" i="11" s="1"/>
  <c r="E7" i="11"/>
  <c r="BW85" i="11" s="1"/>
  <c r="F7" i="11"/>
  <c r="BW111" i="11" s="1"/>
  <c r="G7" i="11"/>
  <c r="BW137" i="11" s="1"/>
  <c r="H7" i="11"/>
  <c r="BW163" i="11" s="1"/>
  <c r="I7" i="11"/>
  <c r="BW189" i="11" s="1"/>
  <c r="J7" i="11"/>
  <c r="BW215" i="11" s="1"/>
  <c r="K7" i="11"/>
  <c r="BW241" i="11" s="1"/>
  <c r="L7" i="11"/>
  <c r="BW267" i="11" s="1"/>
  <c r="M7" i="11"/>
  <c r="BW293" i="11" s="1"/>
  <c r="N7" i="11"/>
  <c r="BW319" i="11" s="1"/>
  <c r="O7" i="11"/>
  <c r="BW345" i="11" s="1"/>
  <c r="P7" i="11"/>
  <c r="BW371" i="11" s="1"/>
  <c r="Q7" i="11"/>
  <c r="BW397" i="11" s="1"/>
  <c r="R7" i="11"/>
  <c r="BW423" i="11" s="1"/>
  <c r="S7" i="11"/>
  <c r="BW449" i="11" s="1"/>
  <c r="T7" i="11"/>
  <c r="BW475" i="11" s="1"/>
  <c r="U7" i="11"/>
  <c r="BW501" i="11" s="1"/>
  <c r="V7" i="11"/>
  <c r="BW527" i="11" s="1"/>
  <c r="W7" i="11"/>
  <c r="BW553" i="11" s="1"/>
  <c r="X7" i="11"/>
  <c r="BW579" i="11" s="1"/>
  <c r="Y7" i="11"/>
  <c r="BW605" i="11" s="1"/>
  <c r="Z7" i="11"/>
  <c r="BW631" i="11" s="1"/>
  <c r="AA7" i="11"/>
  <c r="BW657" i="11" s="1"/>
  <c r="AB7" i="11"/>
  <c r="BW683" i="11" s="1"/>
  <c r="AC7" i="11"/>
  <c r="BW709" i="11" s="1"/>
  <c r="AD7" i="11"/>
  <c r="BW735" i="11" s="1"/>
  <c r="AE7" i="11"/>
  <c r="BW761" i="11" s="1"/>
  <c r="AF7" i="11"/>
  <c r="BW787" i="11" s="1"/>
  <c r="AG7" i="11"/>
  <c r="BW813" i="11" s="1"/>
  <c r="C8" i="11"/>
  <c r="BW34" i="11" s="1"/>
  <c r="D8" i="11"/>
  <c r="BW60" i="11" s="1"/>
  <c r="E8" i="11"/>
  <c r="BW86" i="11" s="1"/>
  <c r="F8" i="11"/>
  <c r="BW112" i="11" s="1"/>
  <c r="G8" i="11"/>
  <c r="BW138" i="11" s="1"/>
  <c r="H8" i="11"/>
  <c r="BW164" i="11" s="1"/>
  <c r="I8" i="11"/>
  <c r="BW190" i="11" s="1"/>
  <c r="J8" i="11"/>
  <c r="BW216" i="11" s="1"/>
  <c r="K8" i="11"/>
  <c r="BW242" i="11" s="1"/>
  <c r="L8" i="11"/>
  <c r="BW268" i="11" s="1"/>
  <c r="M8" i="11"/>
  <c r="BW294" i="11" s="1"/>
  <c r="N8" i="11"/>
  <c r="BW320" i="11" s="1"/>
  <c r="O8" i="11"/>
  <c r="BW346" i="11" s="1"/>
  <c r="P8" i="11"/>
  <c r="BW372" i="11" s="1"/>
  <c r="Q8" i="11"/>
  <c r="BW398" i="11" s="1"/>
  <c r="R8" i="11"/>
  <c r="BW424" i="11" s="1"/>
  <c r="S8" i="11"/>
  <c r="BW450" i="11" s="1"/>
  <c r="T8" i="11"/>
  <c r="BW476" i="11" s="1"/>
  <c r="U8" i="11"/>
  <c r="BW502" i="11" s="1"/>
  <c r="V8" i="11"/>
  <c r="BW528" i="11" s="1"/>
  <c r="W8" i="11"/>
  <c r="BW554" i="11" s="1"/>
  <c r="X8" i="11"/>
  <c r="BW580" i="11" s="1"/>
  <c r="Y8" i="11"/>
  <c r="BW606" i="11" s="1"/>
  <c r="Z8" i="11"/>
  <c r="BW632" i="11" s="1"/>
  <c r="AA8" i="11"/>
  <c r="BW658" i="11" s="1"/>
  <c r="AB8" i="11"/>
  <c r="BW684" i="11" s="1"/>
  <c r="AC8" i="11"/>
  <c r="BW710" i="11" s="1"/>
  <c r="AD8" i="11"/>
  <c r="BW736" i="11" s="1"/>
  <c r="AE8" i="11"/>
  <c r="BW762" i="11" s="1"/>
  <c r="AF8" i="11"/>
  <c r="BW788" i="11" s="1"/>
  <c r="AG8" i="11"/>
  <c r="BW814" i="11" s="1"/>
  <c r="C9" i="11"/>
  <c r="BW35" i="11" s="1"/>
  <c r="D9" i="11"/>
  <c r="BW61" i="11" s="1"/>
  <c r="E9" i="11"/>
  <c r="BW87" i="11" s="1"/>
  <c r="F9" i="11"/>
  <c r="BW113" i="11" s="1"/>
  <c r="G9" i="11"/>
  <c r="BW139" i="11" s="1"/>
  <c r="H9" i="11"/>
  <c r="BW165" i="11" s="1"/>
  <c r="I9" i="11"/>
  <c r="BW191" i="11" s="1"/>
  <c r="J9" i="11"/>
  <c r="BW217" i="11" s="1"/>
  <c r="K9" i="11"/>
  <c r="BW243" i="11" s="1"/>
  <c r="L9" i="11"/>
  <c r="BW269" i="11" s="1"/>
  <c r="M9" i="11"/>
  <c r="BW295" i="11" s="1"/>
  <c r="N9" i="11"/>
  <c r="BW321" i="11" s="1"/>
  <c r="O9" i="11"/>
  <c r="BW347" i="11" s="1"/>
  <c r="P9" i="11"/>
  <c r="BW373" i="11" s="1"/>
  <c r="Q9" i="11"/>
  <c r="BW399" i="11" s="1"/>
  <c r="R9" i="11"/>
  <c r="BW425" i="11" s="1"/>
  <c r="S9" i="11"/>
  <c r="BW451" i="11" s="1"/>
  <c r="T9" i="11"/>
  <c r="BW477" i="11" s="1"/>
  <c r="U9" i="11"/>
  <c r="BW503" i="11" s="1"/>
  <c r="V9" i="11"/>
  <c r="BW529" i="11" s="1"/>
  <c r="W9" i="11"/>
  <c r="BW555" i="11" s="1"/>
  <c r="X9" i="11"/>
  <c r="BW581" i="11" s="1"/>
  <c r="Y9" i="11"/>
  <c r="BW607" i="11" s="1"/>
  <c r="Z9" i="11"/>
  <c r="BW633" i="11" s="1"/>
  <c r="AA9" i="11"/>
  <c r="BW659" i="11" s="1"/>
  <c r="AB9" i="11"/>
  <c r="BW685" i="11" s="1"/>
  <c r="AC9" i="11"/>
  <c r="BW711" i="11" s="1"/>
  <c r="AD9" i="11"/>
  <c r="BW737" i="11" s="1"/>
  <c r="AE9" i="11"/>
  <c r="BW763" i="11" s="1"/>
  <c r="AF9" i="11"/>
  <c r="BW789" i="11" s="1"/>
  <c r="AG9" i="11"/>
  <c r="BW815" i="11" s="1"/>
  <c r="C10" i="11"/>
  <c r="BW36" i="11" s="1"/>
  <c r="D10" i="11"/>
  <c r="BW62" i="11" s="1"/>
  <c r="E10" i="11"/>
  <c r="BW88" i="11" s="1"/>
  <c r="F10" i="11"/>
  <c r="BW114" i="11" s="1"/>
  <c r="G10" i="11"/>
  <c r="BW140" i="11" s="1"/>
  <c r="H10" i="11"/>
  <c r="BW166" i="11" s="1"/>
  <c r="I10" i="11"/>
  <c r="BW192" i="11" s="1"/>
  <c r="J10" i="11"/>
  <c r="BW218" i="11" s="1"/>
  <c r="K10" i="11"/>
  <c r="BW244" i="11" s="1"/>
  <c r="L10" i="11"/>
  <c r="BW270" i="11" s="1"/>
  <c r="M10" i="11"/>
  <c r="BW296" i="11" s="1"/>
  <c r="N10" i="11"/>
  <c r="BW322" i="11" s="1"/>
  <c r="O10" i="11"/>
  <c r="BW348" i="11" s="1"/>
  <c r="P10" i="11"/>
  <c r="BW374" i="11" s="1"/>
  <c r="Q10" i="11"/>
  <c r="BW400" i="11" s="1"/>
  <c r="R10" i="11"/>
  <c r="BW426" i="11" s="1"/>
  <c r="S10" i="11"/>
  <c r="BW452" i="11" s="1"/>
  <c r="T10" i="11"/>
  <c r="BW478" i="11" s="1"/>
  <c r="U10" i="11"/>
  <c r="BW504" i="11" s="1"/>
  <c r="V10" i="11"/>
  <c r="BW530" i="11" s="1"/>
  <c r="W10" i="11"/>
  <c r="BW556" i="11" s="1"/>
  <c r="X10" i="11"/>
  <c r="BW582" i="11" s="1"/>
  <c r="Y10" i="11"/>
  <c r="BW608" i="11" s="1"/>
  <c r="Z10" i="11"/>
  <c r="BW634" i="11" s="1"/>
  <c r="AA10" i="11"/>
  <c r="BW660" i="11" s="1"/>
  <c r="AB10" i="11"/>
  <c r="BW686" i="11" s="1"/>
  <c r="AC10" i="11"/>
  <c r="BW712" i="11" s="1"/>
  <c r="AD10" i="11"/>
  <c r="BW738" i="11" s="1"/>
  <c r="AE10" i="11"/>
  <c r="BW764" i="11" s="1"/>
  <c r="AF10" i="11"/>
  <c r="BW790" i="11" s="1"/>
  <c r="AG10" i="11"/>
  <c r="BW816" i="11" s="1"/>
  <c r="C11" i="11"/>
  <c r="BW37" i="11" s="1"/>
  <c r="D11" i="11"/>
  <c r="BW63" i="11" s="1"/>
  <c r="E11" i="11"/>
  <c r="BW89" i="11" s="1"/>
  <c r="F11" i="11"/>
  <c r="BW115" i="11" s="1"/>
  <c r="G11" i="11"/>
  <c r="BW141" i="11" s="1"/>
  <c r="H11" i="11"/>
  <c r="BW167" i="11" s="1"/>
  <c r="I11" i="11"/>
  <c r="BW193" i="11" s="1"/>
  <c r="J11" i="11"/>
  <c r="BW219" i="11" s="1"/>
  <c r="K11" i="11"/>
  <c r="BW245" i="11" s="1"/>
  <c r="L11" i="11"/>
  <c r="BW271" i="11" s="1"/>
  <c r="M11" i="11"/>
  <c r="BW297" i="11" s="1"/>
  <c r="N11" i="11"/>
  <c r="BW323" i="11" s="1"/>
  <c r="O11" i="11"/>
  <c r="BW349" i="11" s="1"/>
  <c r="P11" i="11"/>
  <c r="BW375" i="11" s="1"/>
  <c r="Q11" i="11"/>
  <c r="BW401" i="11" s="1"/>
  <c r="R11" i="11"/>
  <c r="BW427" i="11" s="1"/>
  <c r="S11" i="11"/>
  <c r="BW453" i="11" s="1"/>
  <c r="T11" i="11"/>
  <c r="BW479" i="11" s="1"/>
  <c r="U11" i="11"/>
  <c r="BW505" i="11" s="1"/>
  <c r="V11" i="11"/>
  <c r="BW531" i="11" s="1"/>
  <c r="W11" i="11"/>
  <c r="BW557" i="11" s="1"/>
  <c r="X11" i="11"/>
  <c r="BW583" i="11" s="1"/>
  <c r="Y11" i="11"/>
  <c r="BW609" i="11" s="1"/>
  <c r="Z11" i="11"/>
  <c r="BW635" i="11" s="1"/>
  <c r="AA11" i="11"/>
  <c r="BW661" i="11" s="1"/>
  <c r="AB11" i="11"/>
  <c r="BW687" i="11" s="1"/>
  <c r="AC11" i="11"/>
  <c r="BW713" i="11" s="1"/>
  <c r="AD11" i="11"/>
  <c r="BW739" i="11" s="1"/>
  <c r="AE11" i="11"/>
  <c r="BW765" i="11" s="1"/>
  <c r="AF11" i="11"/>
  <c r="BW791" i="11" s="1"/>
  <c r="AG11" i="11"/>
  <c r="BW817" i="11" s="1"/>
  <c r="C12" i="11"/>
  <c r="BW38" i="11" s="1"/>
  <c r="D12" i="11"/>
  <c r="BW64" i="11" s="1"/>
  <c r="E12" i="11"/>
  <c r="BW90" i="11" s="1"/>
  <c r="F12" i="11"/>
  <c r="BW116" i="11" s="1"/>
  <c r="G12" i="11"/>
  <c r="BW142" i="11" s="1"/>
  <c r="H12" i="11"/>
  <c r="BW168" i="11" s="1"/>
  <c r="I12" i="11"/>
  <c r="BW194" i="11" s="1"/>
  <c r="J12" i="11"/>
  <c r="BW220" i="11" s="1"/>
  <c r="K12" i="11"/>
  <c r="BW246" i="11" s="1"/>
  <c r="L12" i="11"/>
  <c r="BW272" i="11" s="1"/>
  <c r="M12" i="11"/>
  <c r="BW298" i="11" s="1"/>
  <c r="N12" i="11"/>
  <c r="BW324" i="11" s="1"/>
  <c r="O12" i="11"/>
  <c r="BW350" i="11" s="1"/>
  <c r="P12" i="11"/>
  <c r="BW376" i="11" s="1"/>
  <c r="Q12" i="11"/>
  <c r="BW402" i="11" s="1"/>
  <c r="R12" i="11"/>
  <c r="BW428" i="11" s="1"/>
  <c r="S12" i="11"/>
  <c r="BW454" i="11" s="1"/>
  <c r="T12" i="11"/>
  <c r="BW480" i="11" s="1"/>
  <c r="U12" i="11"/>
  <c r="BW506" i="11" s="1"/>
  <c r="V12" i="11"/>
  <c r="BW532" i="11" s="1"/>
  <c r="W12" i="11"/>
  <c r="BW558" i="11" s="1"/>
  <c r="X12" i="11"/>
  <c r="BW584" i="11" s="1"/>
  <c r="Y12" i="11"/>
  <c r="BW610" i="11" s="1"/>
  <c r="Z12" i="11"/>
  <c r="BW636" i="11" s="1"/>
  <c r="AA12" i="11"/>
  <c r="BW662" i="11" s="1"/>
  <c r="AB12" i="11"/>
  <c r="BW688" i="11" s="1"/>
  <c r="AC12" i="11"/>
  <c r="BW714" i="11" s="1"/>
  <c r="AD12" i="11"/>
  <c r="BW740" i="11" s="1"/>
  <c r="AE12" i="11"/>
  <c r="BW766" i="11" s="1"/>
  <c r="AF12" i="11"/>
  <c r="BW792" i="11" s="1"/>
  <c r="AG12" i="11"/>
  <c r="BW818" i="11" s="1"/>
  <c r="C13" i="11"/>
  <c r="BW39" i="11" s="1"/>
  <c r="D13" i="11"/>
  <c r="BW65" i="11" s="1"/>
  <c r="E13" i="11"/>
  <c r="BW91" i="11" s="1"/>
  <c r="F13" i="11"/>
  <c r="BW117" i="11" s="1"/>
  <c r="G13" i="11"/>
  <c r="BW143" i="11" s="1"/>
  <c r="H13" i="11"/>
  <c r="BW169" i="11" s="1"/>
  <c r="I13" i="11"/>
  <c r="BW195" i="11" s="1"/>
  <c r="J13" i="11"/>
  <c r="BW221" i="11" s="1"/>
  <c r="K13" i="11"/>
  <c r="BW247" i="11" s="1"/>
  <c r="L13" i="11"/>
  <c r="BW273" i="11" s="1"/>
  <c r="M13" i="11"/>
  <c r="BW299" i="11" s="1"/>
  <c r="N13" i="11"/>
  <c r="BW325" i="11" s="1"/>
  <c r="O13" i="11"/>
  <c r="BW351" i="11" s="1"/>
  <c r="P13" i="11"/>
  <c r="BW377" i="11" s="1"/>
  <c r="Q13" i="11"/>
  <c r="BW403" i="11" s="1"/>
  <c r="R13" i="11"/>
  <c r="BW429" i="11" s="1"/>
  <c r="S13" i="11"/>
  <c r="BW455" i="11" s="1"/>
  <c r="T13" i="11"/>
  <c r="BW481" i="11" s="1"/>
  <c r="U13" i="11"/>
  <c r="BW507" i="11" s="1"/>
  <c r="V13" i="11"/>
  <c r="BW533" i="11" s="1"/>
  <c r="W13" i="11"/>
  <c r="BW559" i="11" s="1"/>
  <c r="X13" i="11"/>
  <c r="BW585" i="11" s="1"/>
  <c r="Y13" i="11"/>
  <c r="BW611" i="11" s="1"/>
  <c r="Z13" i="11"/>
  <c r="BW637" i="11" s="1"/>
  <c r="AA13" i="11"/>
  <c r="BW663" i="11" s="1"/>
  <c r="AB13" i="11"/>
  <c r="BW689" i="11" s="1"/>
  <c r="AC13" i="11"/>
  <c r="BW715" i="11" s="1"/>
  <c r="AD13" i="11"/>
  <c r="BW741" i="11" s="1"/>
  <c r="AE13" i="11"/>
  <c r="BW767" i="11" s="1"/>
  <c r="AF13" i="11"/>
  <c r="BW793" i="11" s="1"/>
  <c r="AG13" i="11"/>
  <c r="BW819" i="11" s="1"/>
  <c r="C14" i="11"/>
  <c r="BW40" i="11" s="1"/>
  <c r="D14" i="11"/>
  <c r="BW66" i="11" s="1"/>
  <c r="E14" i="11"/>
  <c r="BW92" i="11" s="1"/>
  <c r="F14" i="11"/>
  <c r="BW118" i="11" s="1"/>
  <c r="G14" i="11"/>
  <c r="BW144" i="11" s="1"/>
  <c r="H14" i="11"/>
  <c r="BW170" i="11" s="1"/>
  <c r="I14" i="11"/>
  <c r="BW196" i="11" s="1"/>
  <c r="J14" i="11"/>
  <c r="BW222" i="11" s="1"/>
  <c r="K14" i="11"/>
  <c r="BW248" i="11" s="1"/>
  <c r="L14" i="11"/>
  <c r="BW274" i="11" s="1"/>
  <c r="M14" i="11"/>
  <c r="BW300" i="11" s="1"/>
  <c r="N14" i="11"/>
  <c r="BW326" i="11" s="1"/>
  <c r="O14" i="11"/>
  <c r="BW352" i="11" s="1"/>
  <c r="P14" i="11"/>
  <c r="BW378" i="11" s="1"/>
  <c r="Q14" i="11"/>
  <c r="BW404" i="11" s="1"/>
  <c r="R14" i="11"/>
  <c r="BW430" i="11" s="1"/>
  <c r="S14" i="11"/>
  <c r="BW456" i="11" s="1"/>
  <c r="T14" i="11"/>
  <c r="BW482" i="11" s="1"/>
  <c r="U14" i="11"/>
  <c r="BW508" i="11" s="1"/>
  <c r="V14" i="11"/>
  <c r="BW534" i="11" s="1"/>
  <c r="W14" i="11"/>
  <c r="BW560" i="11" s="1"/>
  <c r="X14" i="11"/>
  <c r="BW586" i="11" s="1"/>
  <c r="Y14" i="11"/>
  <c r="BW612" i="11" s="1"/>
  <c r="Z14" i="11"/>
  <c r="BW638" i="11" s="1"/>
  <c r="AA14" i="11"/>
  <c r="BW664" i="11" s="1"/>
  <c r="AB14" i="11"/>
  <c r="BW690" i="11" s="1"/>
  <c r="AC14" i="11"/>
  <c r="BW716" i="11" s="1"/>
  <c r="AD14" i="11"/>
  <c r="BW742" i="11" s="1"/>
  <c r="AE14" i="11"/>
  <c r="BW768" i="11" s="1"/>
  <c r="AF14" i="11"/>
  <c r="BW794" i="11" s="1"/>
  <c r="AG14" i="11"/>
  <c r="BW820" i="11" s="1"/>
  <c r="C15" i="11"/>
  <c r="BW41" i="11" s="1"/>
  <c r="D15" i="11"/>
  <c r="BW67" i="11" s="1"/>
  <c r="E15" i="11"/>
  <c r="BW93" i="11" s="1"/>
  <c r="F15" i="11"/>
  <c r="BW119" i="11" s="1"/>
  <c r="G15" i="11"/>
  <c r="BW145" i="11" s="1"/>
  <c r="H15" i="11"/>
  <c r="BW171" i="11" s="1"/>
  <c r="I15" i="11"/>
  <c r="BW197" i="11" s="1"/>
  <c r="J15" i="11"/>
  <c r="BW223" i="11" s="1"/>
  <c r="K15" i="11"/>
  <c r="BW249" i="11" s="1"/>
  <c r="L15" i="11"/>
  <c r="BW275" i="11" s="1"/>
  <c r="M15" i="11"/>
  <c r="BW301" i="11" s="1"/>
  <c r="N15" i="11"/>
  <c r="BW327" i="11" s="1"/>
  <c r="O15" i="11"/>
  <c r="BW353" i="11" s="1"/>
  <c r="P15" i="11"/>
  <c r="BW379" i="11" s="1"/>
  <c r="Q15" i="11"/>
  <c r="BW405" i="11" s="1"/>
  <c r="R15" i="11"/>
  <c r="BW431" i="11" s="1"/>
  <c r="S15" i="11"/>
  <c r="BW457" i="11" s="1"/>
  <c r="T15" i="11"/>
  <c r="BW483" i="11" s="1"/>
  <c r="U15" i="11"/>
  <c r="BW509" i="11" s="1"/>
  <c r="V15" i="11"/>
  <c r="BW535" i="11" s="1"/>
  <c r="W15" i="11"/>
  <c r="BW561" i="11" s="1"/>
  <c r="X15" i="11"/>
  <c r="BW587" i="11" s="1"/>
  <c r="Y15" i="11"/>
  <c r="BW613" i="11" s="1"/>
  <c r="Z15" i="11"/>
  <c r="BW639" i="11" s="1"/>
  <c r="AA15" i="11"/>
  <c r="BW665" i="11" s="1"/>
  <c r="AB15" i="11"/>
  <c r="BW691" i="11" s="1"/>
  <c r="AC15" i="11"/>
  <c r="BW717" i="11" s="1"/>
  <c r="AD15" i="11"/>
  <c r="BW743" i="11" s="1"/>
  <c r="AE15" i="11"/>
  <c r="BW769" i="11" s="1"/>
  <c r="AF15" i="11"/>
  <c r="BW795" i="11" s="1"/>
  <c r="AG15" i="11"/>
  <c r="BW821" i="11" s="1"/>
  <c r="C16" i="11"/>
  <c r="BW42" i="11" s="1"/>
  <c r="D16" i="11"/>
  <c r="BW68" i="11" s="1"/>
  <c r="E16" i="11"/>
  <c r="BW94" i="11" s="1"/>
  <c r="F16" i="11"/>
  <c r="BW120" i="11" s="1"/>
  <c r="G16" i="11"/>
  <c r="BW146" i="11" s="1"/>
  <c r="H16" i="11"/>
  <c r="BW172" i="11" s="1"/>
  <c r="I16" i="11"/>
  <c r="BW198" i="11" s="1"/>
  <c r="J16" i="11"/>
  <c r="BW224" i="11" s="1"/>
  <c r="K16" i="11"/>
  <c r="BW250" i="11" s="1"/>
  <c r="L16" i="11"/>
  <c r="BW276" i="11" s="1"/>
  <c r="M16" i="11"/>
  <c r="BW302" i="11" s="1"/>
  <c r="N16" i="11"/>
  <c r="BW328" i="11" s="1"/>
  <c r="O16" i="11"/>
  <c r="BW354" i="11" s="1"/>
  <c r="P16" i="11"/>
  <c r="BW380" i="11" s="1"/>
  <c r="Q16" i="11"/>
  <c r="BW406" i="11" s="1"/>
  <c r="R16" i="11"/>
  <c r="BW432" i="11" s="1"/>
  <c r="S16" i="11"/>
  <c r="BW458" i="11" s="1"/>
  <c r="T16" i="11"/>
  <c r="BW484" i="11" s="1"/>
  <c r="U16" i="11"/>
  <c r="BW510" i="11" s="1"/>
  <c r="V16" i="11"/>
  <c r="BW536" i="11" s="1"/>
  <c r="W16" i="11"/>
  <c r="BW562" i="11" s="1"/>
  <c r="X16" i="11"/>
  <c r="BW588" i="11" s="1"/>
  <c r="Y16" i="11"/>
  <c r="BW614" i="11" s="1"/>
  <c r="Z16" i="11"/>
  <c r="BW640" i="11" s="1"/>
  <c r="AA16" i="11"/>
  <c r="BW666" i="11" s="1"/>
  <c r="AB16" i="11"/>
  <c r="BW692" i="11" s="1"/>
  <c r="AC16" i="11"/>
  <c r="BW718" i="11" s="1"/>
  <c r="AD16" i="11"/>
  <c r="BW744" i="11" s="1"/>
  <c r="AE16" i="11"/>
  <c r="BW770" i="11" s="1"/>
  <c r="AF16" i="11"/>
  <c r="BW796" i="11" s="1"/>
  <c r="AG16" i="11"/>
  <c r="BW822" i="11" s="1"/>
  <c r="C17" i="11"/>
  <c r="BW43" i="11" s="1"/>
  <c r="D17" i="11"/>
  <c r="BW69" i="11" s="1"/>
  <c r="E17" i="11"/>
  <c r="BW95" i="11" s="1"/>
  <c r="F17" i="11"/>
  <c r="BW121" i="11" s="1"/>
  <c r="G17" i="11"/>
  <c r="BW147" i="11" s="1"/>
  <c r="H17" i="11"/>
  <c r="BW173" i="11" s="1"/>
  <c r="I17" i="11"/>
  <c r="BW199" i="11" s="1"/>
  <c r="J17" i="11"/>
  <c r="BW225" i="11" s="1"/>
  <c r="K17" i="11"/>
  <c r="BW251" i="11" s="1"/>
  <c r="L17" i="11"/>
  <c r="BW277" i="11" s="1"/>
  <c r="M17" i="11"/>
  <c r="BW303" i="11" s="1"/>
  <c r="N17" i="11"/>
  <c r="BW329" i="11" s="1"/>
  <c r="O17" i="11"/>
  <c r="BW355" i="11" s="1"/>
  <c r="P17" i="11"/>
  <c r="BW381" i="11" s="1"/>
  <c r="Q17" i="11"/>
  <c r="BW407" i="11" s="1"/>
  <c r="R17" i="11"/>
  <c r="BW433" i="11" s="1"/>
  <c r="S17" i="11"/>
  <c r="BW459" i="11" s="1"/>
  <c r="T17" i="11"/>
  <c r="BW485" i="11" s="1"/>
  <c r="U17" i="11"/>
  <c r="BW511" i="11" s="1"/>
  <c r="V17" i="11"/>
  <c r="BW537" i="11" s="1"/>
  <c r="W17" i="11"/>
  <c r="BW563" i="11" s="1"/>
  <c r="X17" i="11"/>
  <c r="BW589" i="11" s="1"/>
  <c r="Y17" i="11"/>
  <c r="BW615" i="11" s="1"/>
  <c r="Z17" i="11"/>
  <c r="BW641" i="11" s="1"/>
  <c r="AA17" i="11"/>
  <c r="BW667" i="11" s="1"/>
  <c r="AB17" i="11"/>
  <c r="BW693" i="11" s="1"/>
  <c r="AC17" i="11"/>
  <c r="BW719" i="11" s="1"/>
  <c r="AD17" i="11"/>
  <c r="BW745" i="11" s="1"/>
  <c r="AE17" i="11"/>
  <c r="BW771" i="11" s="1"/>
  <c r="AF17" i="11"/>
  <c r="BW797" i="11" s="1"/>
  <c r="AG17" i="11"/>
  <c r="BW823" i="11" s="1"/>
  <c r="C18" i="11"/>
  <c r="BW44" i="11" s="1"/>
  <c r="D18" i="11"/>
  <c r="BW70" i="11" s="1"/>
  <c r="E18" i="11"/>
  <c r="BW96" i="11" s="1"/>
  <c r="F18" i="11"/>
  <c r="BW122" i="11" s="1"/>
  <c r="G18" i="11"/>
  <c r="BW148" i="11" s="1"/>
  <c r="H18" i="11"/>
  <c r="BW174" i="11" s="1"/>
  <c r="I18" i="11"/>
  <c r="BW200" i="11" s="1"/>
  <c r="J18" i="11"/>
  <c r="BW226" i="11" s="1"/>
  <c r="K18" i="11"/>
  <c r="BW252" i="11" s="1"/>
  <c r="L18" i="11"/>
  <c r="BW278" i="11" s="1"/>
  <c r="M18" i="11"/>
  <c r="BW304" i="11" s="1"/>
  <c r="N18" i="11"/>
  <c r="BW330" i="11" s="1"/>
  <c r="O18" i="11"/>
  <c r="BW356" i="11" s="1"/>
  <c r="P18" i="11"/>
  <c r="BW382" i="11" s="1"/>
  <c r="Q18" i="11"/>
  <c r="BW408" i="11" s="1"/>
  <c r="R18" i="11"/>
  <c r="BW434" i="11" s="1"/>
  <c r="S18" i="11"/>
  <c r="BW460" i="11" s="1"/>
  <c r="T18" i="11"/>
  <c r="BW486" i="11" s="1"/>
  <c r="U18" i="11"/>
  <c r="BW512" i="11" s="1"/>
  <c r="V18" i="11"/>
  <c r="BW538" i="11" s="1"/>
  <c r="W18" i="11"/>
  <c r="BW564" i="11" s="1"/>
  <c r="X18" i="11"/>
  <c r="BW590" i="11" s="1"/>
  <c r="Y18" i="11"/>
  <c r="BW616" i="11" s="1"/>
  <c r="Z18" i="11"/>
  <c r="BW642" i="11" s="1"/>
  <c r="AA18" i="11"/>
  <c r="BW668" i="11" s="1"/>
  <c r="AB18" i="11"/>
  <c r="BW694" i="11" s="1"/>
  <c r="AC18" i="11"/>
  <c r="BW720" i="11" s="1"/>
  <c r="AD18" i="11"/>
  <c r="BW746" i="11" s="1"/>
  <c r="AE18" i="11"/>
  <c r="BW772" i="11" s="1"/>
  <c r="AF18" i="11"/>
  <c r="BW798" i="11" s="1"/>
  <c r="AG18" i="11"/>
  <c r="BW824" i="11" s="1"/>
  <c r="C19" i="11"/>
  <c r="BW45" i="11" s="1"/>
  <c r="D19" i="11"/>
  <c r="BW71" i="11" s="1"/>
  <c r="E19" i="11"/>
  <c r="BW97" i="11" s="1"/>
  <c r="F19" i="11"/>
  <c r="BW123" i="11" s="1"/>
  <c r="G19" i="11"/>
  <c r="BW149" i="11" s="1"/>
  <c r="H19" i="11"/>
  <c r="BW175" i="11" s="1"/>
  <c r="I19" i="11"/>
  <c r="BW201" i="11" s="1"/>
  <c r="J19" i="11"/>
  <c r="BW227" i="11" s="1"/>
  <c r="K19" i="11"/>
  <c r="BW253" i="11" s="1"/>
  <c r="L19" i="11"/>
  <c r="BW279" i="11" s="1"/>
  <c r="M19" i="11"/>
  <c r="BW305" i="11" s="1"/>
  <c r="N19" i="11"/>
  <c r="BW331" i="11" s="1"/>
  <c r="O19" i="11"/>
  <c r="BW357" i="11" s="1"/>
  <c r="P19" i="11"/>
  <c r="BW383" i="11" s="1"/>
  <c r="Q19" i="11"/>
  <c r="BW409" i="11" s="1"/>
  <c r="R19" i="11"/>
  <c r="BW435" i="11" s="1"/>
  <c r="S19" i="11"/>
  <c r="BW461" i="11" s="1"/>
  <c r="T19" i="11"/>
  <c r="BW487" i="11" s="1"/>
  <c r="U19" i="11"/>
  <c r="BW513" i="11" s="1"/>
  <c r="V19" i="11"/>
  <c r="BW539" i="11" s="1"/>
  <c r="W19" i="11"/>
  <c r="BW565" i="11" s="1"/>
  <c r="X19" i="11"/>
  <c r="BW591" i="11" s="1"/>
  <c r="Y19" i="11"/>
  <c r="BW617" i="11" s="1"/>
  <c r="Z19" i="11"/>
  <c r="BW643" i="11" s="1"/>
  <c r="AA19" i="11"/>
  <c r="BW669" i="11" s="1"/>
  <c r="AB19" i="11"/>
  <c r="BW695" i="11" s="1"/>
  <c r="AC19" i="11"/>
  <c r="BW721" i="11" s="1"/>
  <c r="AD19" i="11"/>
  <c r="BW747" i="11" s="1"/>
  <c r="AE19" i="11"/>
  <c r="BW773" i="11" s="1"/>
  <c r="AF19" i="11"/>
  <c r="BW799" i="11" s="1"/>
  <c r="AG19" i="11"/>
  <c r="BW825" i="11" s="1"/>
  <c r="C20" i="11"/>
  <c r="BW46" i="11" s="1"/>
  <c r="D20" i="11"/>
  <c r="BW72" i="11" s="1"/>
  <c r="E20" i="11"/>
  <c r="BW98" i="11" s="1"/>
  <c r="F20" i="11"/>
  <c r="BW124" i="11" s="1"/>
  <c r="G20" i="11"/>
  <c r="BW150" i="11" s="1"/>
  <c r="H20" i="11"/>
  <c r="BW176" i="11" s="1"/>
  <c r="I20" i="11"/>
  <c r="BW202" i="11" s="1"/>
  <c r="J20" i="11"/>
  <c r="BW228" i="11" s="1"/>
  <c r="K20" i="11"/>
  <c r="BW254" i="11" s="1"/>
  <c r="L20" i="11"/>
  <c r="BW280" i="11" s="1"/>
  <c r="M20" i="11"/>
  <c r="BW306" i="11" s="1"/>
  <c r="N20" i="11"/>
  <c r="BW332" i="11" s="1"/>
  <c r="O20" i="11"/>
  <c r="BW358" i="11" s="1"/>
  <c r="P20" i="11"/>
  <c r="BW384" i="11" s="1"/>
  <c r="Q20" i="11"/>
  <c r="BW410" i="11" s="1"/>
  <c r="R20" i="11"/>
  <c r="BW436" i="11" s="1"/>
  <c r="S20" i="11"/>
  <c r="BW462" i="11" s="1"/>
  <c r="T20" i="11"/>
  <c r="BW488" i="11" s="1"/>
  <c r="U20" i="11"/>
  <c r="BW514" i="11" s="1"/>
  <c r="V20" i="11"/>
  <c r="BW540" i="11" s="1"/>
  <c r="W20" i="11"/>
  <c r="BW566" i="11" s="1"/>
  <c r="X20" i="11"/>
  <c r="BW592" i="11" s="1"/>
  <c r="Y20" i="11"/>
  <c r="BW618" i="11" s="1"/>
  <c r="Z20" i="11"/>
  <c r="BW644" i="11" s="1"/>
  <c r="AA20" i="11"/>
  <c r="BW670" i="11" s="1"/>
  <c r="AB20" i="11"/>
  <c r="BW696" i="11" s="1"/>
  <c r="AC20" i="11"/>
  <c r="BW722" i="11" s="1"/>
  <c r="AD20" i="11"/>
  <c r="BW748" i="11" s="1"/>
  <c r="AE20" i="11"/>
  <c r="BW774" i="11" s="1"/>
  <c r="AF20" i="11"/>
  <c r="BW800" i="11" s="1"/>
  <c r="AG20" i="11"/>
  <c r="BW826" i="11" s="1"/>
  <c r="C21" i="11"/>
  <c r="BW47" i="11" s="1"/>
  <c r="D21" i="11"/>
  <c r="BW73" i="11" s="1"/>
  <c r="E21" i="11"/>
  <c r="BW99" i="11" s="1"/>
  <c r="F21" i="11"/>
  <c r="BW125" i="11" s="1"/>
  <c r="G21" i="11"/>
  <c r="BW151" i="11" s="1"/>
  <c r="H21" i="11"/>
  <c r="BW177" i="11" s="1"/>
  <c r="I21" i="11"/>
  <c r="BW203" i="11" s="1"/>
  <c r="J21" i="11"/>
  <c r="BW229" i="11" s="1"/>
  <c r="K21" i="11"/>
  <c r="BW255" i="11" s="1"/>
  <c r="L21" i="11"/>
  <c r="BW281" i="11" s="1"/>
  <c r="M21" i="11"/>
  <c r="BW307" i="11" s="1"/>
  <c r="N21" i="11"/>
  <c r="BW333" i="11" s="1"/>
  <c r="O21" i="11"/>
  <c r="BW359" i="11" s="1"/>
  <c r="P21" i="11"/>
  <c r="BW385" i="11" s="1"/>
  <c r="Q21" i="11"/>
  <c r="BW411" i="11" s="1"/>
  <c r="R21" i="11"/>
  <c r="BW437" i="11" s="1"/>
  <c r="S21" i="11"/>
  <c r="BW463" i="11" s="1"/>
  <c r="T21" i="11"/>
  <c r="BW489" i="11" s="1"/>
  <c r="U21" i="11"/>
  <c r="BW515" i="11" s="1"/>
  <c r="V21" i="11"/>
  <c r="BW541" i="11" s="1"/>
  <c r="W21" i="11"/>
  <c r="BW567" i="11" s="1"/>
  <c r="X21" i="11"/>
  <c r="BW593" i="11" s="1"/>
  <c r="Y21" i="11"/>
  <c r="BW619" i="11" s="1"/>
  <c r="Z21" i="11"/>
  <c r="BW645" i="11" s="1"/>
  <c r="AA21" i="11"/>
  <c r="BW671" i="11" s="1"/>
  <c r="AB21" i="11"/>
  <c r="BW697" i="11" s="1"/>
  <c r="AC21" i="11"/>
  <c r="BW723" i="11" s="1"/>
  <c r="AD21" i="11"/>
  <c r="BW749" i="11" s="1"/>
  <c r="AE21" i="11"/>
  <c r="BW775" i="11" s="1"/>
  <c r="AF21" i="11"/>
  <c r="BW801" i="11" s="1"/>
  <c r="AG21" i="11"/>
  <c r="BW827" i="11" s="1"/>
  <c r="C22" i="11"/>
  <c r="BW48" i="11" s="1"/>
  <c r="D22" i="11"/>
  <c r="BW74" i="11" s="1"/>
  <c r="E22" i="11"/>
  <c r="BW100" i="11" s="1"/>
  <c r="F22" i="11"/>
  <c r="BW126" i="11" s="1"/>
  <c r="G22" i="11"/>
  <c r="BW152" i="11" s="1"/>
  <c r="H22" i="11"/>
  <c r="BW178" i="11" s="1"/>
  <c r="I22" i="11"/>
  <c r="BW204" i="11" s="1"/>
  <c r="J22" i="11"/>
  <c r="BW230" i="11" s="1"/>
  <c r="K22" i="11"/>
  <c r="BW256" i="11" s="1"/>
  <c r="L22" i="11"/>
  <c r="BW282" i="11" s="1"/>
  <c r="M22" i="11"/>
  <c r="BW308" i="11" s="1"/>
  <c r="N22" i="11"/>
  <c r="BW334" i="11" s="1"/>
  <c r="O22" i="11"/>
  <c r="BW360" i="11" s="1"/>
  <c r="P22" i="11"/>
  <c r="BW386" i="11" s="1"/>
  <c r="Q22" i="11"/>
  <c r="BW412" i="11" s="1"/>
  <c r="R22" i="11"/>
  <c r="BW438" i="11" s="1"/>
  <c r="S22" i="11"/>
  <c r="BW464" i="11" s="1"/>
  <c r="T22" i="11"/>
  <c r="BW490" i="11" s="1"/>
  <c r="U22" i="11"/>
  <c r="BW516" i="11" s="1"/>
  <c r="V22" i="11"/>
  <c r="BW542" i="11" s="1"/>
  <c r="W22" i="11"/>
  <c r="BW568" i="11" s="1"/>
  <c r="X22" i="11"/>
  <c r="BW594" i="11" s="1"/>
  <c r="Y22" i="11"/>
  <c r="BW620" i="11" s="1"/>
  <c r="Z22" i="11"/>
  <c r="BW646" i="11" s="1"/>
  <c r="AA22" i="11"/>
  <c r="BW672" i="11" s="1"/>
  <c r="AB22" i="11"/>
  <c r="BW698" i="11" s="1"/>
  <c r="AC22" i="11"/>
  <c r="BW724" i="11" s="1"/>
  <c r="AD22" i="11"/>
  <c r="BW750" i="11" s="1"/>
  <c r="AE22" i="11"/>
  <c r="BW776" i="11" s="1"/>
  <c r="AF22" i="11"/>
  <c r="BW802" i="11" s="1"/>
  <c r="AG22" i="11"/>
  <c r="BW828" i="11" s="1"/>
  <c r="C23" i="11"/>
  <c r="BW49" i="11" s="1"/>
  <c r="D23" i="11"/>
  <c r="BW75" i="11" s="1"/>
  <c r="E23" i="11"/>
  <c r="F23" i="11"/>
  <c r="G23" i="11"/>
  <c r="H23" i="11"/>
  <c r="I23" i="11"/>
  <c r="J23" i="11"/>
  <c r="K23" i="11"/>
  <c r="L23" i="11"/>
  <c r="M23" i="11"/>
  <c r="N23" i="11"/>
  <c r="O23" i="11"/>
  <c r="P23" i="11"/>
  <c r="Q23" i="11"/>
  <c r="R23" i="11"/>
  <c r="S23" i="11"/>
  <c r="T23" i="11"/>
  <c r="U23" i="11"/>
  <c r="V23" i="11"/>
  <c r="W23" i="11"/>
  <c r="X23" i="11"/>
  <c r="Y23" i="11"/>
  <c r="Z23" i="11"/>
  <c r="AA23" i="11"/>
  <c r="AB23" i="11"/>
  <c r="AC23" i="11"/>
  <c r="AD23" i="11"/>
  <c r="AE23" i="11"/>
  <c r="AF23" i="11"/>
  <c r="AG23" i="11"/>
  <c r="C24" i="11"/>
  <c r="BW50" i="11" s="1"/>
  <c r="D24" i="11"/>
  <c r="BW76" i="11" s="1"/>
  <c r="E24" i="11"/>
  <c r="BW102" i="11" s="1"/>
  <c r="F24" i="11"/>
  <c r="BW128" i="11" s="1"/>
  <c r="G24" i="11"/>
  <c r="BW154" i="11" s="1"/>
  <c r="H24" i="11"/>
  <c r="BW180" i="11" s="1"/>
  <c r="I24" i="11"/>
  <c r="BW206" i="11" s="1"/>
  <c r="J24" i="11"/>
  <c r="BW232" i="11" s="1"/>
  <c r="K24" i="11"/>
  <c r="BW258" i="11" s="1"/>
  <c r="L24" i="11"/>
  <c r="BW284" i="11" s="1"/>
  <c r="M24" i="11"/>
  <c r="BW310" i="11" s="1"/>
  <c r="N24" i="11"/>
  <c r="BW336" i="11" s="1"/>
  <c r="O24" i="11"/>
  <c r="BW362" i="11" s="1"/>
  <c r="P24" i="11"/>
  <c r="BW388" i="11" s="1"/>
  <c r="Q24" i="11"/>
  <c r="BW414" i="11" s="1"/>
  <c r="R24" i="11"/>
  <c r="BW440" i="11" s="1"/>
  <c r="S24" i="11"/>
  <c r="BW466" i="11" s="1"/>
  <c r="T24" i="11"/>
  <c r="BW492" i="11" s="1"/>
  <c r="U24" i="11"/>
  <c r="BW518" i="11" s="1"/>
  <c r="V24" i="11"/>
  <c r="BW544" i="11" s="1"/>
  <c r="W24" i="11"/>
  <c r="BW570" i="11" s="1"/>
  <c r="X24" i="11"/>
  <c r="BW596" i="11" s="1"/>
  <c r="Y24" i="11"/>
  <c r="BW622" i="11" s="1"/>
  <c r="Z24" i="11"/>
  <c r="BW648" i="11" s="1"/>
  <c r="AA24" i="11"/>
  <c r="BW674" i="11" s="1"/>
  <c r="AB24" i="11"/>
  <c r="BW700" i="11" s="1"/>
  <c r="AC24" i="11"/>
  <c r="BW726" i="11" s="1"/>
  <c r="AD24" i="11"/>
  <c r="BW752" i="11" s="1"/>
  <c r="AE24" i="11"/>
  <c r="BW778" i="11" s="1"/>
  <c r="AF24" i="11"/>
  <c r="BW804" i="11" s="1"/>
  <c r="AG24" i="11"/>
  <c r="BW830" i="11" s="1"/>
  <c r="C25" i="11"/>
  <c r="BW51" i="11" s="1"/>
  <c r="D25" i="11"/>
  <c r="BW77" i="11" s="1"/>
  <c r="E25" i="11"/>
  <c r="F25" i="11"/>
  <c r="G25" i="11"/>
  <c r="H25" i="11"/>
  <c r="I25" i="11"/>
  <c r="J25" i="11"/>
  <c r="K25" i="11"/>
  <c r="L25" i="11"/>
  <c r="M25" i="11"/>
  <c r="N25" i="11"/>
  <c r="O25" i="11"/>
  <c r="P25" i="11"/>
  <c r="Q25" i="11"/>
  <c r="R25" i="11"/>
  <c r="S25" i="11"/>
  <c r="T25" i="11"/>
  <c r="U25" i="11"/>
  <c r="V25" i="11"/>
  <c r="W25" i="11"/>
  <c r="X25" i="11"/>
  <c r="Y25" i="11"/>
  <c r="Z25" i="11"/>
  <c r="AA25" i="11"/>
  <c r="AB25" i="11"/>
  <c r="AC25" i="11"/>
  <c r="AD25" i="11"/>
  <c r="AE25" i="11"/>
  <c r="AF25" i="11"/>
  <c r="AG25" i="11"/>
  <c r="C26" i="11"/>
  <c r="BW52" i="11" s="1"/>
  <c r="D26" i="11"/>
  <c r="BW78" i="11" s="1"/>
  <c r="E26" i="11"/>
  <c r="BW104" i="11" s="1"/>
  <c r="F26" i="11"/>
  <c r="BW130" i="11" s="1"/>
  <c r="G26" i="11"/>
  <c r="BW156" i="11" s="1"/>
  <c r="H26" i="11"/>
  <c r="BW182" i="11" s="1"/>
  <c r="I26" i="11"/>
  <c r="BW208" i="11" s="1"/>
  <c r="J26" i="11"/>
  <c r="BW234" i="11" s="1"/>
  <c r="K26" i="11"/>
  <c r="BW260" i="11" s="1"/>
  <c r="L26" i="11"/>
  <c r="BW286" i="11" s="1"/>
  <c r="M26" i="11"/>
  <c r="BW312" i="11" s="1"/>
  <c r="N26" i="11"/>
  <c r="BW338" i="11" s="1"/>
  <c r="O26" i="11"/>
  <c r="BW364" i="11" s="1"/>
  <c r="P26" i="11"/>
  <c r="BW390" i="11" s="1"/>
  <c r="Q26" i="11"/>
  <c r="BW416" i="11" s="1"/>
  <c r="R26" i="11"/>
  <c r="BW442" i="11" s="1"/>
  <c r="S26" i="11"/>
  <c r="BW468" i="11" s="1"/>
  <c r="T26" i="11"/>
  <c r="BW494" i="11" s="1"/>
  <c r="U26" i="11"/>
  <c r="BW520" i="11" s="1"/>
  <c r="V26" i="11"/>
  <c r="BW546" i="11" s="1"/>
  <c r="W26" i="11"/>
  <c r="BW572" i="11" s="1"/>
  <c r="X26" i="11"/>
  <c r="BW598" i="11" s="1"/>
  <c r="Y26" i="11"/>
  <c r="BW624" i="11" s="1"/>
  <c r="Z26" i="11"/>
  <c r="BW650" i="11" s="1"/>
  <c r="AA26" i="11"/>
  <c r="BW676" i="11" s="1"/>
  <c r="AB26" i="11"/>
  <c r="BW702" i="11" s="1"/>
  <c r="AC26" i="11"/>
  <c r="BW728" i="11" s="1"/>
  <c r="AD26" i="11"/>
  <c r="BW754" i="11" s="1"/>
  <c r="AE26" i="11"/>
  <c r="BW780" i="11" s="1"/>
  <c r="AF26" i="11"/>
  <c r="BW806" i="11" s="1"/>
  <c r="AG26" i="11"/>
  <c r="BW832" i="11" s="1"/>
  <c r="C27" i="11"/>
  <c r="BW53" i="11" s="1"/>
  <c r="D27" i="11"/>
  <c r="BW79" i="11" s="1"/>
  <c r="E27" i="11"/>
  <c r="BW105" i="11" s="1"/>
  <c r="F27" i="11"/>
  <c r="BW131" i="11" s="1"/>
  <c r="G27" i="11"/>
  <c r="BW157" i="11" s="1"/>
  <c r="H27" i="11"/>
  <c r="BW183" i="11" s="1"/>
  <c r="I27" i="11"/>
  <c r="BW209" i="11" s="1"/>
  <c r="J27" i="11"/>
  <c r="BW235" i="11" s="1"/>
  <c r="K27" i="11"/>
  <c r="BW261" i="11" s="1"/>
  <c r="L27" i="11"/>
  <c r="BW287" i="11" s="1"/>
  <c r="M27" i="11"/>
  <c r="BW313" i="11" s="1"/>
  <c r="N27" i="11"/>
  <c r="BW339" i="11" s="1"/>
  <c r="O27" i="11"/>
  <c r="BW365" i="11" s="1"/>
  <c r="P27" i="11"/>
  <c r="BW391" i="11" s="1"/>
  <c r="Q27" i="11"/>
  <c r="BW417" i="11" s="1"/>
  <c r="R27" i="11"/>
  <c r="BW443" i="11" s="1"/>
  <c r="S27" i="11"/>
  <c r="BW469" i="11" s="1"/>
  <c r="T27" i="11"/>
  <c r="BW495" i="11" s="1"/>
  <c r="U27" i="11"/>
  <c r="BW521" i="11" s="1"/>
  <c r="V27" i="11"/>
  <c r="BW547" i="11" s="1"/>
  <c r="W27" i="11"/>
  <c r="BW573" i="11" s="1"/>
  <c r="X27" i="11"/>
  <c r="BW599" i="11" s="1"/>
  <c r="Y27" i="11"/>
  <c r="BW625" i="11" s="1"/>
  <c r="Z27" i="11"/>
  <c r="BW651" i="11" s="1"/>
  <c r="AA27" i="11"/>
  <c r="BW677" i="11" s="1"/>
  <c r="AB27" i="11"/>
  <c r="BW703" i="11" s="1"/>
  <c r="AC27" i="11"/>
  <c r="BW729" i="11" s="1"/>
  <c r="AD27" i="11"/>
  <c r="BW755" i="11" s="1"/>
  <c r="AE27" i="11"/>
  <c r="BW781" i="11" s="1"/>
  <c r="AF27" i="11"/>
  <c r="BW807" i="11" s="1"/>
  <c r="AG27" i="11"/>
  <c r="BW833" i="11" s="1"/>
  <c r="C28" i="11"/>
  <c r="BW54" i="11" s="1"/>
  <c r="D28" i="11"/>
  <c r="BW80" i="11" s="1"/>
  <c r="E28" i="11"/>
  <c r="BW106" i="11" s="1"/>
  <c r="F28" i="11"/>
  <c r="BW132" i="11" s="1"/>
  <c r="G28" i="11"/>
  <c r="BW158" i="11" s="1"/>
  <c r="H28" i="11"/>
  <c r="BW184" i="11" s="1"/>
  <c r="I28" i="11"/>
  <c r="BW210" i="11" s="1"/>
  <c r="J28" i="11"/>
  <c r="BW236" i="11" s="1"/>
  <c r="K28" i="11"/>
  <c r="BW262" i="11" s="1"/>
  <c r="L28" i="11"/>
  <c r="BW288" i="11" s="1"/>
  <c r="M28" i="11"/>
  <c r="BW314" i="11" s="1"/>
  <c r="N28" i="11"/>
  <c r="BW340" i="11" s="1"/>
  <c r="O28" i="11"/>
  <c r="BW366" i="11" s="1"/>
  <c r="P28" i="11"/>
  <c r="BW392" i="11" s="1"/>
  <c r="Q28" i="11"/>
  <c r="BW418" i="11" s="1"/>
  <c r="R28" i="11"/>
  <c r="BW444" i="11" s="1"/>
  <c r="S28" i="11"/>
  <c r="BW470" i="11" s="1"/>
  <c r="T28" i="11"/>
  <c r="BW496" i="11" s="1"/>
  <c r="U28" i="11"/>
  <c r="BW522" i="11" s="1"/>
  <c r="V28" i="11"/>
  <c r="BW548" i="11" s="1"/>
  <c r="W28" i="11"/>
  <c r="BW574" i="11" s="1"/>
  <c r="X28" i="11"/>
  <c r="BW600" i="11" s="1"/>
  <c r="Y28" i="11"/>
  <c r="BW626" i="11" s="1"/>
  <c r="Z28" i="11"/>
  <c r="BW652" i="11" s="1"/>
  <c r="AA28" i="11"/>
  <c r="BW678" i="11" s="1"/>
  <c r="AB28" i="11"/>
  <c r="BW704" i="11" s="1"/>
  <c r="AC28" i="11"/>
  <c r="BW730" i="11" s="1"/>
  <c r="AD28" i="11"/>
  <c r="BW756" i="11" s="1"/>
  <c r="AE28" i="11"/>
  <c r="BW782" i="11" s="1"/>
  <c r="AF28" i="11"/>
  <c r="BW808" i="11" s="1"/>
  <c r="AG28" i="11"/>
  <c r="BW834" i="11" s="1"/>
  <c r="B4" i="11"/>
  <c r="B5" i="11"/>
  <c r="B6" i="11"/>
  <c r="B7" i="11"/>
  <c r="B8" i="11"/>
  <c r="B9" i="11"/>
  <c r="B10" i="11"/>
  <c r="B11" i="11"/>
  <c r="B12" i="11"/>
  <c r="B13" i="11"/>
  <c r="B14" i="11"/>
  <c r="B15" i="11"/>
  <c r="B16" i="11"/>
  <c r="B17" i="11"/>
  <c r="B18" i="11"/>
  <c r="B19" i="11"/>
  <c r="B20" i="11"/>
  <c r="B21" i="11"/>
  <c r="B22" i="11"/>
  <c r="B23" i="11"/>
  <c r="B24" i="11"/>
  <c r="B25" i="11"/>
  <c r="B26" i="11"/>
  <c r="B27" i="11"/>
  <c r="B28" i="11"/>
  <c r="B3" i="11"/>
  <c r="CF730" i="11" l="1"/>
  <c r="CH730" i="11"/>
  <c r="BZ730" i="11"/>
  <c r="CL730" i="11"/>
  <c r="CB730" i="11"/>
  <c r="BX730" i="11"/>
  <c r="CG730" i="11"/>
  <c r="CJ730" i="11"/>
  <c r="CK730" i="11"/>
  <c r="CD730" i="11"/>
  <c r="BY730" i="11"/>
  <c r="CM730" i="11"/>
  <c r="CC730" i="11"/>
  <c r="CA730" i="11"/>
  <c r="CE730" i="11"/>
  <c r="CI730" i="11"/>
  <c r="BY314" i="11"/>
  <c r="CI314" i="11"/>
  <c r="CE314" i="11"/>
  <c r="CM314" i="11"/>
  <c r="CC314" i="11"/>
  <c r="CH314" i="11"/>
  <c r="BZ314" i="11"/>
  <c r="CF314" i="11"/>
  <c r="CG314" i="11"/>
  <c r="CB314" i="11"/>
  <c r="CA314" i="11"/>
  <c r="BX314" i="11"/>
  <c r="CD314" i="11"/>
  <c r="CJ314" i="11"/>
  <c r="CL314" i="11"/>
  <c r="CK314" i="11"/>
  <c r="CE703" i="11"/>
  <c r="BY703" i="11"/>
  <c r="CA703" i="11"/>
  <c r="CI703" i="11"/>
  <c r="CK703" i="11"/>
  <c r="CJ703" i="11"/>
  <c r="CF703" i="11"/>
  <c r="BX703" i="11"/>
  <c r="CC703" i="11"/>
  <c r="CD703" i="11"/>
  <c r="CM703" i="11"/>
  <c r="BZ703" i="11"/>
  <c r="CL703" i="11"/>
  <c r="CB703" i="11"/>
  <c r="CH703" i="11"/>
  <c r="CG703" i="11"/>
  <c r="CF183" i="11"/>
  <c r="BX183" i="11"/>
  <c r="CL183" i="11"/>
  <c r="CJ183" i="11"/>
  <c r="CB183" i="11"/>
  <c r="CD183" i="11"/>
  <c r="CM183" i="11"/>
  <c r="CH183" i="11"/>
  <c r="BZ183" i="11"/>
  <c r="CC183" i="11"/>
  <c r="CG183" i="11"/>
  <c r="CK183" i="11"/>
  <c r="BY183" i="11"/>
  <c r="CA183" i="11"/>
  <c r="CE183" i="11"/>
  <c r="CI183" i="11"/>
  <c r="CJ468" i="11"/>
  <c r="CM468" i="11"/>
  <c r="CD468" i="11"/>
  <c r="BY468" i="11"/>
  <c r="CL468" i="11"/>
  <c r="CC468" i="11"/>
  <c r="BZ468" i="11"/>
  <c r="CH468" i="11"/>
  <c r="CF468" i="11"/>
  <c r="CB468" i="11"/>
  <c r="CK468" i="11"/>
  <c r="CG468" i="11"/>
  <c r="BX468" i="11"/>
  <c r="CE468" i="11"/>
  <c r="CI468" i="11"/>
  <c r="CA468" i="11"/>
  <c r="BY156" i="11"/>
  <c r="CG156" i="11"/>
  <c r="CM156" i="11"/>
  <c r="CC156" i="11"/>
  <c r="CK156" i="11"/>
  <c r="CB156" i="11"/>
  <c r="CF156" i="11"/>
  <c r="CJ156" i="11"/>
  <c r="BX156" i="11"/>
  <c r="CH156" i="11"/>
  <c r="CI156" i="11"/>
  <c r="CL156" i="11"/>
  <c r="BZ156" i="11"/>
  <c r="CA156" i="11"/>
  <c r="CE156" i="11"/>
  <c r="CD156" i="11"/>
  <c r="CF830" i="11"/>
  <c r="CA830" i="11"/>
  <c r="CB830" i="11"/>
  <c r="BX830" i="11"/>
  <c r="CJ830" i="11"/>
  <c r="CI830" i="11"/>
  <c r="CD830" i="11"/>
  <c r="CC830" i="11"/>
  <c r="CH830" i="11"/>
  <c r="BZ830" i="11"/>
  <c r="BY830" i="11"/>
  <c r="CM830" i="11"/>
  <c r="CL830" i="11"/>
  <c r="CK830" i="11"/>
  <c r="CE830" i="11"/>
  <c r="CG830" i="11"/>
  <c r="CH726" i="11"/>
  <c r="CD726" i="11"/>
  <c r="BX726" i="11"/>
  <c r="CL726" i="11"/>
  <c r="BY726" i="11"/>
  <c r="CG726" i="11"/>
  <c r="CF726" i="11"/>
  <c r="BZ726" i="11"/>
  <c r="CB726" i="11"/>
  <c r="CM726" i="11"/>
  <c r="CC726" i="11"/>
  <c r="CK726" i="11"/>
  <c r="CJ726" i="11"/>
  <c r="CE726" i="11"/>
  <c r="CI726" i="11"/>
  <c r="CA726" i="11"/>
  <c r="CB622" i="11"/>
  <c r="CM622" i="11"/>
  <c r="CJ622" i="11"/>
  <c r="BY622" i="11"/>
  <c r="CE622" i="11"/>
  <c r="BZ622" i="11"/>
  <c r="CI622" i="11"/>
  <c r="CL622" i="11"/>
  <c r="CK622" i="11"/>
  <c r="CC622" i="11"/>
  <c r="CH622" i="11"/>
  <c r="CF622" i="11"/>
  <c r="BX622" i="11"/>
  <c r="CD622" i="11"/>
  <c r="CA622" i="11"/>
  <c r="CG622" i="11"/>
  <c r="CJ518" i="11"/>
  <c r="BZ518" i="11"/>
  <c r="CL518" i="11"/>
  <c r="CE518" i="11"/>
  <c r="CA518" i="11"/>
  <c r="CK518" i="11"/>
  <c r="CB518" i="11"/>
  <c r="CF518" i="11"/>
  <c r="CG518" i="11"/>
  <c r="CH518" i="11"/>
  <c r="CI518" i="11"/>
  <c r="CC518" i="11"/>
  <c r="CM518" i="11"/>
  <c r="CD518" i="11"/>
  <c r="BY518" i="11"/>
  <c r="BX518" i="11"/>
  <c r="BY414" i="11"/>
  <c r="CL414" i="11"/>
  <c r="CK414" i="11"/>
  <c r="CA414" i="11"/>
  <c r="CI414" i="11"/>
  <c r="CE414" i="11"/>
  <c r="CD414" i="11"/>
  <c r="BZ414" i="11"/>
  <c r="CG414" i="11"/>
  <c r="BX414" i="11"/>
  <c r="CJ414" i="11"/>
  <c r="CC414" i="11"/>
  <c r="CF414" i="11"/>
  <c r="CH414" i="11"/>
  <c r="CB414" i="11"/>
  <c r="CM414" i="11"/>
  <c r="CA310" i="11"/>
  <c r="CH310" i="11"/>
  <c r="CK310" i="11"/>
  <c r="CM310" i="11"/>
  <c r="BZ310" i="11"/>
  <c r="CG310" i="11"/>
  <c r="BX310" i="11"/>
  <c r="CE310" i="11"/>
  <c r="CC310" i="11"/>
  <c r="CJ310" i="11"/>
  <c r="CI310" i="11"/>
  <c r="CL310" i="11"/>
  <c r="CF310" i="11"/>
  <c r="CD310" i="11"/>
  <c r="CB310" i="11"/>
  <c r="BY310" i="11"/>
  <c r="CL206" i="11"/>
  <c r="CA206" i="11"/>
  <c r="CG206" i="11"/>
  <c r="CF206" i="11"/>
  <c r="CH206" i="11"/>
  <c r="CD206" i="11"/>
  <c r="CE206" i="11"/>
  <c r="CB206" i="11"/>
  <c r="CM206" i="11"/>
  <c r="CI206" i="11"/>
  <c r="CK206" i="11"/>
  <c r="BX206" i="11"/>
  <c r="CJ206" i="11"/>
  <c r="BZ206" i="11"/>
  <c r="CC206" i="11"/>
  <c r="BY206" i="11"/>
  <c r="CK102" i="11"/>
  <c r="BY102" i="11"/>
  <c r="CG102" i="11"/>
  <c r="CC102" i="11"/>
  <c r="CA102" i="11"/>
  <c r="CI102" i="11"/>
  <c r="BX102" i="11"/>
  <c r="BZ102" i="11"/>
  <c r="CJ102" i="11"/>
  <c r="CL102" i="11"/>
  <c r="CE102" i="11"/>
  <c r="CF102" i="11"/>
  <c r="CH102" i="11"/>
  <c r="CM102" i="11"/>
  <c r="CB102" i="11"/>
  <c r="CD102" i="11"/>
  <c r="CD75" i="11"/>
  <c r="BZ75" i="11"/>
  <c r="CL75" i="11"/>
  <c r="CM75" i="11"/>
  <c r="BX75" i="11"/>
  <c r="CJ75" i="11"/>
  <c r="CH75" i="11"/>
  <c r="CB75" i="11"/>
  <c r="CF75" i="11"/>
  <c r="CK75" i="11"/>
  <c r="BY75" i="11"/>
  <c r="CC75" i="11"/>
  <c r="CG75" i="11"/>
  <c r="CI75" i="11"/>
  <c r="CA75" i="11"/>
  <c r="CE75" i="11"/>
  <c r="CB776" i="11"/>
  <c r="CA776" i="11"/>
  <c r="CE776" i="11"/>
  <c r="BX776" i="11"/>
  <c r="CD776" i="11"/>
  <c r="CM776" i="11"/>
  <c r="BZ776" i="11"/>
  <c r="CJ776" i="11"/>
  <c r="CL776" i="11"/>
  <c r="CK776" i="11"/>
  <c r="CF776" i="11"/>
  <c r="CI776" i="11"/>
  <c r="CG776" i="11"/>
  <c r="BY776" i="11"/>
  <c r="CH776" i="11"/>
  <c r="CC776" i="11"/>
  <c r="CK672" i="11"/>
  <c r="BY672" i="11"/>
  <c r="CL672" i="11"/>
  <c r="CJ672" i="11"/>
  <c r="CE672" i="11"/>
  <c r="CG672" i="11"/>
  <c r="CH672" i="11"/>
  <c r="CF672" i="11"/>
  <c r="CM672" i="11"/>
  <c r="CA672" i="11"/>
  <c r="CD672" i="11"/>
  <c r="CB672" i="11"/>
  <c r="CI672" i="11"/>
  <c r="CC672" i="11"/>
  <c r="BZ672" i="11"/>
  <c r="BX672" i="11"/>
  <c r="CD568" i="11"/>
  <c r="CI568" i="11"/>
  <c r="BZ568" i="11"/>
  <c r="CA568" i="11"/>
  <c r="CE568" i="11"/>
  <c r="CK568" i="11"/>
  <c r="BY568" i="11"/>
  <c r="CG568" i="11"/>
  <c r="CL568" i="11"/>
  <c r="CB568" i="11"/>
  <c r="CM568" i="11"/>
  <c r="BX568" i="11"/>
  <c r="CJ568" i="11"/>
  <c r="CC568" i="11"/>
  <c r="CF568" i="11"/>
  <c r="CH568" i="11"/>
  <c r="CJ464" i="11"/>
  <c r="BY464" i="11"/>
  <c r="CD464" i="11"/>
  <c r="CM464" i="11"/>
  <c r="CF464" i="11"/>
  <c r="CB464" i="11"/>
  <c r="CK464" i="11"/>
  <c r="CG464" i="11"/>
  <c r="BX464" i="11"/>
  <c r="CL464" i="11"/>
  <c r="CC464" i="11"/>
  <c r="BZ464" i="11"/>
  <c r="CH464" i="11"/>
  <c r="CA464" i="11"/>
  <c r="CE464" i="11"/>
  <c r="CI464" i="11"/>
  <c r="CC360" i="11"/>
  <c r="CJ360" i="11"/>
  <c r="CE360" i="11"/>
  <c r="BX360" i="11"/>
  <c r="BY360" i="11"/>
  <c r="CF360" i="11"/>
  <c r="CI360" i="11"/>
  <c r="CA360" i="11"/>
  <c r="CK360" i="11"/>
  <c r="CH360" i="11"/>
  <c r="CG360" i="11"/>
  <c r="CD360" i="11"/>
  <c r="CM360" i="11"/>
  <c r="BZ360" i="11"/>
  <c r="CL360" i="11"/>
  <c r="CB360" i="11"/>
  <c r="CA256" i="11"/>
  <c r="CC256" i="11"/>
  <c r="CF256" i="11"/>
  <c r="BX256" i="11"/>
  <c r="CK256" i="11"/>
  <c r="CJ256" i="11"/>
  <c r="CI256" i="11"/>
  <c r="CE256" i="11"/>
  <c r="BY256" i="11"/>
  <c r="CL256" i="11"/>
  <c r="CB256" i="11"/>
  <c r="CH256" i="11"/>
  <c r="CG256" i="11"/>
  <c r="CD256" i="11"/>
  <c r="CM256" i="11"/>
  <c r="BZ256" i="11"/>
  <c r="CC152" i="11"/>
  <c r="BY152" i="11"/>
  <c r="CK152" i="11"/>
  <c r="CI152" i="11"/>
  <c r="CG152" i="11"/>
  <c r="CM152" i="11"/>
  <c r="CB152" i="11"/>
  <c r="CF152" i="11"/>
  <c r="CA152" i="11"/>
  <c r="CJ152" i="11"/>
  <c r="CE152" i="11"/>
  <c r="BX152" i="11"/>
  <c r="CH152" i="11"/>
  <c r="CL152" i="11"/>
  <c r="BZ152" i="11"/>
  <c r="CD152" i="11"/>
  <c r="CL48" i="11"/>
  <c r="BX48" i="11"/>
  <c r="BY48" i="11"/>
  <c r="CA48" i="11"/>
  <c r="CJ48" i="11"/>
  <c r="CC48" i="11"/>
  <c r="CD48" i="11"/>
  <c r="CG48" i="11"/>
  <c r="CF48" i="11"/>
  <c r="CH48" i="11"/>
  <c r="CI48" i="11"/>
  <c r="CK48" i="11"/>
  <c r="CB48" i="11"/>
  <c r="BZ48" i="11"/>
  <c r="CM48" i="11"/>
  <c r="CE48" i="11"/>
  <c r="CK749" i="11"/>
  <c r="CI749" i="11"/>
  <c r="CD749" i="11"/>
  <c r="CB749" i="11"/>
  <c r="CG749" i="11"/>
  <c r="CC749" i="11"/>
  <c r="BZ749" i="11"/>
  <c r="BX749" i="11"/>
  <c r="CL749" i="11"/>
  <c r="CJ749" i="11"/>
  <c r="CE749" i="11"/>
  <c r="CA749" i="11"/>
  <c r="CH749" i="11"/>
  <c r="CF749" i="11"/>
  <c r="CM749" i="11"/>
  <c r="BY749" i="11"/>
  <c r="CH645" i="11"/>
  <c r="CG645" i="11"/>
  <c r="BZ645" i="11"/>
  <c r="CB645" i="11"/>
  <c r="BY645" i="11"/>
  <c r="BX645" i="11"/>
  <c r="CM645" i="11"/>
  <c r="CC645" i="11"/>
  <c r="CF645" i="11"/>
  <c r="CJ645" i="11"/>
  <c r="CK645" i="11"/>
  <c r="CL645" i="11"/>
  <c r="CD645" i="11"/>
  <c r="CI645" i="11"/>
  <c r="CA645" i="11"/>
  <c r="CE645" i="11"/>
  <c r="CK541" i="11"/>
  <c r="BX541" i="11"/>
  <c r="CA541" i="11"/>
  <c r="CJ541" i="11"/>
  <c r="CC541" i="11"/>
  <c r="CF541" i="11"/>
  <c r="CI541" i="11"/>
  <c r="CE541" i="11"/>
  <c r="CL541" i="11"/>
  <c r="CB541" i="11"/>
  <c r="CH541" i="11"/>
  <c r="CG541" i="11"/>
  <c r="BZ541" i="11"/>
  <c r="CM541" i="11"/>
  <c r="BY541" i="11"/>
  <c r="CD541" i="11"/>
  <c r="CE437" i="11"/>
  <c r="CB437" i="11"/>
  <c r="CM437" i="11"/>
  <c r="CD437" i="11"/>
  <c r="BX437" i="11"/>
  <c r="CG437" i="11"/>
  <c r="CJ437" i="11"/>
  <c r="BZ437" i="11"/>
  <c r="CK437" i="11"/>
  <c r="CL437" i="11"/>
  <c r="CI437" i="11"/>
  <c r="CF437" i="11"/>
  <c r="CC437" i="11"/>
  <c r="BY437" i="11"/>
  <c r="CA437" i="11"/>
  <c r="CH437" i="11"/>
  <c r="CJ333" i="11"/>
  <c r="CA333" i="11"/>
  <c r="CH333" i="11"/>
  <c r="CF333" i="11"/>
  <c r="CM333" i="11"/>
  <c r="BZ333" i="11"/>
  <c r="CB333" i="11"/>
  <c r="CG333" i="11"/>
  <c r="CD333" i="11"/>
  <c r="CC333" i="11"/>
  <c r="BX333" i="11"/>
  <c r="BY333" i="11"/>
  <c r="CE333" i="11"/>
  <c r="CK333" i="11"/>
  <c r="CI333" i="11"/>
  <c r="CL333" i="11"/>
  <c r="CL229" i="11"/>
  <c r="CA229" i="11"/>
  <c r="CF229" i="11"/>
  <c r="CK229" i="11"/>
  <c r="CB229" i="11"/>
  <c r="CI229" i="11"/>
  <c r="CE229" i="11"/>
  <c r="CG229" i="11"/>
  <c r="CH229" i="11"/>
  <c r="CJ229" i="11"/>
  <c r="CC229" i="11"/>
  <c r="CM229" i="11"/>
  <c r="BX229" i="11"/>
  <c r="BY229" i="11"/>
  <c r="CD229" i="11"/>
  <c r="BZ229" i="11"/>
  <c r="CH125" i="11"/>
  <c r="CG125" i="11"/>
  <c r="BY125" i="11"/>
  <c r="CD125" i="11"/>
  <c r="CK125" i="11"/>
  <c r="CJ125" i="11"/>
  <c r="CL125" i="11"/>
  <c r="CF125" i="11"/>
  <c r="BZ125" i="11"/>
  <c r="BX125" i="11"/>
  <c r="CB125" i="11"/>
  <c r="CM125" i="11"/>
  <c r="CC125" i="11"/>
  <c r="CA125" i="11"/>
  <c r="CE125" i="11"/>
  <c r="CI125" i="11"/>
  <c r="CI826" i="11"/>
  <c r="CJ826" i="11"/>
  <c r="CB826" i="11"/>
  <c r="BX826" i="11"/>
  <c r="CA826" i="11"/>
  <c r="CH826" i="11"/>
  <c r="CG826" i="11"/>
  <c r="CM826" i="11"/>
  <c r="CE826" i="11"/>
  <c r="CF826" i="11"/>
  <c r="CD826" i="11"/>
  <c r="CC826" i="11"/>
  <c r="CK826" i="11"/>
  <c r="BZ826" i="11"/>
  <c r="BY826" i="11"/>
  <c r="CL826" i="11"/>
  <c r="CJ722" i="11"/>
  <c r="CH722" i="11"/>
  <c r="CK722" i="11"/>
  <c r="BY722" i="11"/>
  <c r="CB722" i="11"/>
  <c r="CC722" i="11"/>
  <c r="CF722" i="11"/>
  <c r="BZ722" i="11"/>
  <c r="BX722" i="11"/>
  <c r="CL722" i="11"/>
  <c r="CG722" i="11"/>
  <c r="CM722" i="11"/>
  <c r="CD722" i="11"/>
  <c r="CA722" i="11"/>
  <c r="CE722" i="11"/>
  <c r="CI722" i="11"/>
  <c r="CJ618" i="11"/>
  <c r="CB618" i="11"/>
  <c r="BY618" i="11"/>
  <c r="CE618" i="11"/>
  <c r="CM618" i="11"/>
  <c r="CL618" i="11"/>
  <c r="CI618" i="11"/>
  <c r="CF618" i="11"/>
  <c r="CH618" i="11"/>
  <c r="CC618" i="11"/>
  <c r="CA618" i="11"/>
  <c r="CD618" i="11"/>
  <c r="BX618" i="11"/>
  <c r="CG618" i="11"/>
  <c r="BZ618" i="11"/>
  <c r="CK618" i="11"/>
  <c r="CJ514" i="11"/>
  <c r="BZ514" i="11"/>
  <c r="CE514" i="11"/>
  <c r="CL514" i="11"/>
  <c r="CA514" i="11"/>
  <c r="CC514" i="11"/>
  <c r="CM514" i="11"/>
  <c r="CF514" i="11"/>
  <c r="BY514" i="11"/>
  <c r="BX514" i="11"/>
  <c r="CK514" i="11"/>
  <c r="CB514" i="11"/>
  <c r="CD514" i="11"/>
  <c r="CH514" i="11"/>
  <c r="CI514" i="11"/>
  <c r="CG514" i="11"/>
  <c r="CG410" i="11"/>
  <c r="BX410" i="11"/>
  <c r="CI410" i="11"/>
  <c r="CA410" i="11"/>
  <c r="CC410" i="11"/>
  <c r="CJ410" i="11"/>
  <c r="CK410" i="11"/>
  <c r="CD410" i="11"/>
  <c r="CL410" i="11"/>
  <c r="CM410" i="11"/>
  <c r="CF410" i="11"/>
  <c r="CE410" i="11"/>
  <c r="BY410" i="11"/>
  <c r="CH410" i="11"/>
  <c r="CB410" i="11"/>
  <c r="BZ410" i="11"/>
  <c r="CI306" i="11"/>
  <c r="CC306" i="11"/>
  <c r="CJ306" i="11"/>
  <c r="CL306" i="11"/>
  <c r="CK306" i="11"/>
  <c r="CF306" i="11"/>
  <c r="CG306" i="11"/>
  <c r="BY306" i="11"/>
  <c r="CB306" i="11"/>
  <c r="CA306" i="11"/>
  <c r="CE306" i="11"/>
  <c r="BZ306" i="11"/>
  <c r="BX306" i="11"/>
  <c r="CD306" i="11"/>
  <c r="CM306" i="11"/>
  <c r="CH306" i="11"/>
  <c r="CL202" i="11"/>
  <c r="CK202" i="11"/>
  <c r="BZ202" i="11"/>
  <c r="CE202" i="11"/>
  <c r="BY202" i="11"/>
  <c r="CD202" i="11"/>
  <c r="CI202" i="11"/>
  <c r="CJ202" i="11"/>
  <c r="CC202" i="11"/>
  <c r="CF202" i="11"/>
  <c r="CH202" i="11"/>
  <c r="CA202" i="11"/>
  <c r="CB202" i="11"/>
  <c r="CM202" i="11"/>
  <c r="CG202" i="11"/>
  <c r="BX202" i="11"/>
  <c r="CN202" i="11" s="1"/>
  <c r="CG98" i="11"/>
  <c r="BY98" i="11"/>
  <c r="CI98" i="11"/>
  <c r="CK98" i="11"/>
  <c r="CA98" i="11"/>
  <c r="CC98" i="11"/>
  <c r="CF98" i="11"/>
  <c r="CH98" i="11"/>
  <c r="CM98" i="11"/>
  <c r="CB98" i="11"/>
  <c r="CD98" i="11"/>
  <c r="BX98" i="11"/>
  <c r="BZ98" i="11"/>
  <c r="CJ98" i="11"/>
  <c r="CL98" i="11"/>
  <c r="CE98" i="11"/>
  <c r="CG799" i="11"/>
  <c r="CB799" i="11"/>
  <c r="CI799" i="11"/>
  <c r="CM799" i="11"/>
  <c r="CA799" i="11"/>
  <c r="CD799" i="11"/>
  <c r="BY799" i="11"/>
  <c r="BZ799" i="11"/>
  <c r="CC799" i="11"/>
  <c r="CE799" i="11"/>
  <c r="BX799" i="11"/>
  <c r="CL799" i="11"/>
  <c r="CJ799" i="11"/>
  <c r="CK799" i="11"/>
  <c r="CF799" i="11"/>
  <c r="CH799" i="11"/>
  <c r="CJ695" i="11"/>
  <c r="CC695" i="11"/>
  <c r="CA695" i="11"/>
  <c r="CK695" i="11"/>
  <c r="CE695" i="11"/>
  <c r="BY695" i="11"/>
  <c r="BX695" i="11"/>
  <c r="CF695" i="11"/>
  <c r="CI695" i="11"/>
  <c r="CL695" i="11"/>
  <c r="CB695" i="11"/>
  <c r="CH695" i="11"/>
  <c r="CG695" i="11"/>
  <c r="CD695" i="11"/>
  <c r="CM695" i="11"/>
  <c r="BZ695" i="11"/>
  <c r="CH591" i="11"/>
  <c r="BZ591" i="11"/>
  <c r="CI591" i="11"/>
  <c r="CK591" i="11"/>
  <c r="CL591" i="11"/>
  <c r="CJ591" i="11"/>
  <c r="CM591" i="11"/>
  <c r="CG591" i="11"/>
  <c r="CF591" i="11"/>
  <c r="CB591" i="11"/>
  <c r="CC591" i="11"/>
  <c r="CA591" i="11"/>
  <c r="BX591" i="11"/>
  <c r="BY591" i="11"/>
  <c r="CD591" i="11"/>
  <c r="CE591" i="11"/>
  <c r="CL487" i="11"/>
  <c r="CD487" i="11"/>
  <c r="CK487" i="11"/>
  <c r="CI487" i="11"/>
  <c r="BX487" i="11"/>
  <c r="BZ487" i="11"/>
  <c r="CA487" i="11"/>
  <c r="CJ487" i="11"/>
  <c r="CC487" i="11"/>
  <c r="CM487" i="11"/>
  <c r="BY487" i="11"/>
  <c r="CE487" i="11"/>
  <c r="CG487" i="11"/>
  <c r="CF487" i="11"/>
  <c r="CB487" i="11"/>
  <c r="CH487" i="11"/>
  <c r="CG383" i="11"/>
  <c r="BY383" i="11"/>
  <c r="CJ383" i="11"/>
  <c r="BZ383" i="11"/>
  <c r="CL383" i="11"/>
  <c r="CB383" i="11"/>
  <c r="CK383" i="11"/>
  <c r="BX383" i="11"/>
  <c r="CF383" i="11"/>
  <c r="CD383" i="11"/>
  <c r="CH383" i="11"/>
  <c r="CM383" i="11"/>
  <c r="CC383" i="11"/>
  <c r="CA383" i="11"/>
  <c r="CE383" i="11"/>
  <c r="CI383" i="11"/>
  <c r="CK279" i="11"/>
  <c r="CC279" i="11"/>
  <c r="CM279" i="11"/>
  <c r="BZ279" i="11"/>
  <c r="BX279" i="11"/>
  <c r="CH279" i="11"/>
  <c r="CF279" i="11"/>
  <c r="CB279" i="11"/>
  <c r="CG279" i="11"/>
  <c r="BY279" i="11"/>
  <c r="CL279" i="11"/>
  <c r="CD279" i="11"/>
  <c r="CJ279" i="11"/>
  <c r="CA279" i="11"/>
  <c r="CE279" i="11"/>
  <c r="CI279" i="11"/>
  <c r="BX175" i="11"/>
  <c r="CH175" i="11"/>
  <c r="CD175" i="11"/>
  <c r="CJ175" i="11"/>
  <c r="CB175" i="11"/>
  <c r="CF175" i="11"/>
  <c r="BZ175" i="11"/>
  <c r="CM175" i="11"/>
  <c r="CL175" i="11"/>
  <c r="CC175" i="11"/>
  <c r="CG175" i="11"/>
  <c r="CK175" i="11"/>
  <c r="BY175" i="11"/>
  <c r="CI175" i="11"/>
  <c r="CA175" i="11"/>
  <c r="CE175" i="11"/>
  <c r="BX71" i="11"/>
  <c r="CD71" i="11"/>
  <c r="CJ71" i="11"/>
  <c r="CI71" i="11"/>
  <c r="BY71" i="11"/>
  <c r="CL71" i="11"/>
  <c r="CK71" i="11"/>
  <c r="CB71" i="11"/>
  <c r="CG71" i="11"/>
  <c r="CH71" i="11"/>
  <c r="BZ71" i="11"/>
  <c r="CF71" i="11"/>
  <c r="CM71" i="11"/>
  <c r="CC71" i="11"/>
  <c r="CE71" i="11"/>
  <c r="CA71" i="11"/>
  <c r="CM772" i="11"/>
  <c r="CH772" i="11"/>
  <c r="CK772" i="11"/>
  <c r="BZ772" i="11"/>
  <c r="CA772" i="11"/>
  <c r="CC772" i="11"/>
  <c r="CG772" i="11"/>
  <c r="BX772" i="11"/>
  <c r="CE772" i="11"/>
  <c r="BY772" i="11"/>
  <c r="CJ772" i="11"/>
  <c r="CI772" i="11"/>
  <c r="CL772" i="11"/>
  <c r="CF772" i="11"/>
  <c r="CD772" i="11"/>
  <c r="CB772" i="11"/>
  <c r="CK668" i="11"/>
  <c r="CG668" i="11"/>
  <c r="CC668" i="11"/>
  <c r="CD668" i="11"/>
  <c r="CB668" i="11"/>
  <c r="BZ668" i="11"/>
  <c r="BX668" i="11"/>
  <c r="CA668" i="11"/>
  <c r="CL668" i="11"/>
  <c r="CJ668" i="11"/>
  <c r="CE668" i="11"/>
  <c r="BY668" i="11"/>
  <c r="CI668" i="11"/>
  <c r="CH668" i="11"/>
  <c r="CF668" i="11"/>
  <c r="CM668" i="11"/>
  <c r="CD564" i="11"/>
  <c r="BY564" i="11"/>
  <c r="CG564" i="11"/>
  <c r="CK564" i="11"/>
  <c r="CL564" i="11"/>
  <c r="CA564" i="11"/>
  <c r="CI564" i="11"/>
  <c r="BZ564" i="11"/>
  <c r="CJ564" i="11"/>
  <c r="CC564" i="11"/>
  <c r="CE564" i="11"/>
  <c r="CF564" i="11"/>
  <c r="CH564" i="11"/>
  <c r="CB564" i="11"/>
  <c r="CM564" i="11"/>
  <c r="BX564" i="11"/>
  <c r="CN564" i="11" s="1"/>
  <c r="CJ460" i="11"/>
  <c r="CM460" i="11"/>
  <c r="BY460" i="11"/>
  <c r="CD460" i="11"/>
  <c r="CL460" i="11"/>
  <c r="BZ460" i="11"/>
  <c r="BX460" i="11"/>
  <c r="CF460" i="11"/>
  <c r="CB460" i="11"/>
  <c r="CC460" i="11"/>
  <c r="CK460" i="11"/>
  <c r="CG460" i="11"/>
  <c r="CH460" i="11"/>
  <c r="CE460" i="11"/>
  <c r="CI460" i="11"/>
  <c r="CA460" i="11"/>
  <c r="CA356" i="11"/>
  <c r="CB356" i="11"/>
  <c r="CF356" i="11"/>
  <c r="CK356" i="11"/>
  <c r="CM356" i="11"/>
  <c r="CL356" i="11"/>
  <c r="CJ356" i="11"/>
  <c r="CC356" i="11"/>
  <c r="CH356" i="11"/>
  <c r="CE356" i="11"/>
  <c r="BX356" i="11"/>
  <c r="CD356" i="11"/>
  <c r="BY356" i="11"/>
  <c r="CG356" i="11"/>
  <c r="BZ356" i="11"/>
  <c r="CI356" i="11"/>
  <c r="CK252" i="11"/>
  <c r="CJ252" i="11"/>
  <c r="BY252" i="11"/>
  <c r="CI252" i="11"/>
  <c r="BX252" i="11"/>
  <c r="CA252" i="11"/>
  <c r="CF252" i="11"/>
  <c r="CC252" i="11"/>
  <c r="CE252" i="11"/>
  <c r="BZ252" i="11"/>
  <c r="CL252" i="11"/>
  <c r="CB252" i="11"/>
  <c r="CH252" i="11"/>
  <c r="CG252" i="11"/>
  <c r="CD252" i="11"/>
  <c r="CM252" i="11"/>
  <c r="BY148" i="11"/>
  <c r="CK148" i="11"/>
  <c r="CG148" i="11"/>
  <c r="CI148" i="11"/>
  <c r="CC148" i="11"/>
  <c r="CM148" i="11"/>
  <c r="CB148" i="11"/>
  <c r="CF148" i="11"/>
  <c r="CA148" i="11"/>
  <c r="CJ148" i="11"/>
  <c r="CE148" i="11"/>
  <c r="BX148" i="11"/>
  <c r="CH148" i="11"/>
  <c r="CL148" i="11"/>
  <c r="BZ148" i="11"/>
  <c r="CD148" i="11"/>
  <c r="BZ44" i="11"/>
  <c r="CG44" i="11"/>
  <c r="CL44" i="11"/>
  <c r="CA44" i="11"/>
  <c r="CD44" i="11"/>
  <c r="CI44" i="11"/>
  <c r="CK44" i="11"/>
  <c r="BY44" i="11"/>
  <c r="CE44" i="11"/>
  <c r="CB44" i="11"/>
  <c r="CM44" i="11"/>
  <c r="BX44" i="11"/>
  <c r="CJ44" i="11"/>
  <c r="CC44" i="11"/>
  <c r="CF44" i="11"/>
  <c r="CH44" i="11"/>
  <c r="CK745" i="11"/>
  <c r="CI745" i="11"/>
  <c r="CL745" i="11"/>
  <c r="CJ745" i="11"/>
  <c r="CE745" i="11"/>
  <c r="CG745" i="11"/>
  <c r="CH745" i="11"/>
  <c r="CF745" i="11"/>
  <c r="CM745" i="11"/>
  <c r="CD745" i="11"/>
  <c r="CB745" i="11"/>
  <c r="CA745" i="11"/>
  <c r="CC745" i="11"/>
  <c r="BZ745" i="11"/>
  <c r="BX745" i="11"/>
  <c r="BY745" i="11"/>
  <c r="CM641" i="11"/>
  <c r="BZ641" i="11"/>
  <c r="BX641" i="11"/>
  <c r="CK641" i="11"/>
  <c r="CF641" i="11"/>
  <c r="BY641" i="11"/>
  <c r="CD641" i="11"/>
  <c r="CH641" i="11"/>
  <c r="CJ641" i="11"/>
  <c r="CC641" i="11"/>
  <c r="CG641" i="11"/>
  <c r="CL641" i="11"/>
  <c r="CB641" i="11"/>
  <c r="CA641" i="11"/>
  <c r="CE641" i="11"/>
  <c r="CI641" i="11"/>
  <c r="CE537" i="11"/>
  <c r="CC537" i="11"/>
  <c r="BY537" i="11"/>
  <c r="BX537" i="11"/>
  <c r="CI537" i="11"/>
  <c r="CF537" i="11"/>
  <c r="CK537" i="11"/>
  <c r="CA537" i="11"/>
  <c r="CJ537" i="11"/>
  <c r="BZ537" i="11"/>
  <c r="CL537" i="11"/>
  <c r="CB537" i="11"/>
  <c r="CH537" i="11"/>
  <c r="CG537" i="11"/>
  <c r="CM537" i="11"/>
  <c r="CD537" i="11"/>
  <c r="CE433" i="11"/>
  <c r="CM433" i="11"/>
  <c r="CB433" i="11"/>
  <c r="CH433" i="11"/>
  <c r="CF433" i="11"/>
  <c r="BX433" i="11"/>
  <c r="CD433" i="11"/>
  <c r="CA433" i="11"/>
  <c r="CG433" i="11"/>
  <c r="BY433" i="11"/>
  <c r="BZ433" i="11"/>
  <c r="CI433" i="11"/>
  <c r="CJ433" i="11"/>
  <c r="CL433" i="11"/>
  <c r="CK433" i="11"/>
  <c r="CC433" i="11"/>
  <c r="CJ329" i="11"/>
  <c r="CH329" i="11"/>
  <c r="CA329" i="11"/>
  <c r="BZ329" i="11"/>
  <c r="CF329" i="11"/>
  <c r="CM329" i="11"/>
  <c r="BY329" i="11"/>
  <c r="CE329" i="11"/>
  <c r="CK329" i="11"/>
  <c r="CI329" i="11"/>
  <c r="CL329" i="11"/>
  <c r="CB329" i="11"/>
  <c r="CG329" i="11"/>
  <c r="CD329" i="11"/>
  <c r="CC329" i="11"/>
  <c r="BX329" i="11"/>
  <c r="CN329" i="11" s="1"/>
  <c r="CL225" i="11"/>
  <c r="CA225" i="11"/>
  <c r="CF225" i="11"/>
  <c r="CC225" i="11"/>
  <c r="CM225" i="11"/>
  <c r="BX225" i="11"/>
  <c r="BY225" i="11"/>
  <c r="CD225" i="11"/>
  <c r="BZ225" i="11"/>
  <c r="CK225" i="11"/>
  <c r="CB225" i="11"/>
  <c r="CI225" i="11"/>
  <c r="CE225" i="11"/>
  <c r="CG225" i="11"/>
  <c r="CH225" i="11"/>
  <c r="CJ225" i="11"/>
  <c r="CH121" i="11"/>
  <c r="CF121" i="11"/>
  <c r="CL121" i="11"/>
  <c r="BZ121" i="11"/>
  <c r="BY121" i="11"/>
  <c r="CM121" i="11"/>
  <c r="CC121" i="11"/>
  <c r="BX121" i="11"/>
  <c r="CG121" i="11"/>
  <c r="CB121" i="11"/>
  <c r="CK121" i="11"/>
  <c r="CJ121" i="11"/>
  <c r="CD121" i="11"/>
  <c r="CE121" i="11"/>
  <c r="CI121" i="11"/>
  <c r="CA121" i="11"/>
  <c r="CC822" i="11"/>
  <c r="BX822" i="11"/>
  <c r="CB822" i="11"/>
  <c r="CI822" i="11"/>
  <c r="CM822" i="11"/>
  <c r="CH822" i="11"/>
  <c r="CF822" i="11"/>
  <c r="BY822" i="11"/>
  <c r="CE822" i="11"/>
  <c r="CD822" i="11"/>
  <c r="CA822" i="11"/>
  <c r="CG822" i="11"/>
  <c r="CK822" i="11"/>
  <c r="BZ822" i="11"/>
  <c r="CJ822" i="11"/>
  <c r="CL822" i="11"/>
  <c r="CH718" i="11"/>
  <c r="CG718" i="11"/>
  <c r="CF718" i="11"/>
  <c r="CD718" i="11"/>
  <c r="BZ718" i="11"/>
  <c r="CL718" i="11"/>
  <c r="CM718" i="11"/>
  <c r="CC718" i="11"/>
  <c r="CB718" i="11"/>
  <c r="CK718" i="11"/>
  <c r="CJ718" i="11"/>
  <c r="BY718" i="11"/>
  <c r="BX718" i="11"/>
  <c r="CE718" i="11"/>
  <c r="CI718" i="11"/>
  <c r="CA718" i="11"/>
  <c r="BY614" i="11"/>
  <c r="CB614" i="11"/>
  <c r="CJ614" i="11"/>
  <c r="CE614" i="11"/>
  <c r="CM614" i="11"/>
  <c r="CH614" i="11"/>
  <c r="CF614" i="11"/>
  <c r="BX614" i="11"/>
  <c r="CD614" i="11"/>
  <c r="CA614" i="11"/>
  <c r="CG614" i="11"/>
  <c r="BZ614" i="11"/>
  <c r="CI614" i="11"/>
  <c r="CL614" i="11"/>
  <c r="CK614" i="11"/>
  <c r="CC614" i="11"/>
  <c r="CL510" i="11"/>
  <c r="CJ510" i="11"/>
  <c r="BZ510" i="11"/>
  <c r="CE510" i="11"/>
  <c r="CA510" i="11"/>
  <c r="CK510" i="11"/>
  <c r="CB510" i="11"/>
  <c r="CF510" i="11"/>
  <c r="CG510" i="11"/>
  <c r="CH510" i="11"/>
  <c r="CI510" i="11"/>
  <c r="CC510" i="11"/>
  <c r="CM510" i="11"/>
  <c r="BY510" i="11"/>
  <c r="BX510" i="11"/>
  <c r="CD510" i="11"/>
  <c r="CG406" i="11"/>
  <c r="CD406" i="11"/>
  <c r="CI406" i="11"/>
  <c r="CL406" i="11"/>
  <c r="CA406" i="11"/>
  <c r="BZ406" i="11"/>
  <c r="CE406" i="11"/>
  <c r="CK406" i="11"/>
  <c r="BY406" i="11"/>
  <c r="CB406" i="11"/>
  <c r="CM406" i="11"/>
  <c r="BX406" i="11"/>
  <c r="CJ406" i="11"/>
  <c r="CC406" i="11"/>
  <c r="CF406" i="11"/>
  <c r="CH406" i="11"/>
  <c r="CG302" i="11"/>
  <c r="BZ302" i="11"/>
  <c r="CM302" i="11"/>
  <c r="CK302" i="11"/>
  <c r="CA302" i="11"/>
  <c r="CH302" i="11"/>
  <c r="CC302" i="11"/>
  <c r="BX302" i="11"/>
  <c r="CE302" i="11"/>
  <c r="CJ302" i="11"/>
  <c r="CI302" i="11"/>
  <c r="CL302" i="11"/>
  <c r="CF302" i="11"/>
  <c r="CD302" i="11"/>
  <c r="CB302" i="11"/>
  <c r="BY302" i="11"/>
  <c r="CL198" i="11"/>
  <c r="CG198" i="11"/>
  <c r="CA198" i="11"/>
  <c r="BX198" i="11"/>
  <c r="CK198" i="11"/>
  <c r="CJ198" i="11"/>
  <c r="CC198" i="11"/>
  <c r="BY198" i="11"/>
  <c r="CF198" i="11"/>
  <c r="CH198" i="11"/>
  <c r="CD198" i="11"/>
  <c r="BZ198" i="11"/>
  <c r="CB198" i="11"/>
  <c r="CE198" i="11"/>
  <c r="CM198" i="11"/>
  <c r="CI198" i="11"/>
  <c r="CG94" i="11"/>
  <c r="BY94" i="11"/>
  <c r="CK94" i="11"/>
  <c r="CI94" i="11"/>
  <c r="CA94" i="11"/>
  <c r="CC94" i="11"/>
  <c r="CF94" i="11"/>
  <c r="CH94" i="11"/>
  <c r="CM94" i="11"/>
  <c r="CB94" i="11"/>
  <c r="CD94" i="11"/>
  <c r="BX94" i="11"/>
  <c r="BZ94" i="11"/>
  <c r="CJ94" i="11"/>
  <c r="CL94" i="11"/>
  <c r="CE94" i="11"/>
  <c r="CK795" i="11"/>
  <c r="CJ795" i="11"/>
  <c r="CE795" i="11"/>
  <c r="BX795" i="11"/>
  <c r="CC795" i="11"/>
  <c r="CI795" i="11"/>
  <c r="CF795" i="11"/>
  <c r="BY795" i="11"/>
  <c r="CA795" i="11"/>
  <c r="CL795" i="11"/>
  <c r="CB795" i="11"/>
  <c r="BZ795" i="11"/>
  <c r="CH795" i="11"/>
  <c r="CG795" i="11"/>
  <c r="CD795" i="11"/>
  <c r="CM795" i="11"/>
  <c r="CG691" i="11"/>
  <c r="CF691" i="11"/>
  <c r="CB691" i="11"/>
  <c r="BX691" i="11"/>
  <c r="CI691" i="11"/>
  <c r="CM691" i="11"/>
  <c r="CD691" i="11"/>
  <c r="BY691" i="11"/>
  <c r="CA691" i="11"/>
  <c r="BZ691" i="11"/>
  <c r="CC691" i="11"/>
  <c r="CL691" i="11"/>
  <c r="CJ691" i="11"/>
  <c r="CK691" i="11"/>
  <c r="CH691" i="11"/>
  <c r="CE691" i="11"/>
  <c r="CM587" i="11"/>
  <c r="CI587" i="11"/>
  <c r="BZ587" i="11"/>
  <c r="CC587" i="11"/>
  <c r="CE587" i="11"/>
  <c r="CA587" i="11"/>
  <c r="CK587" i="11"/>
  <c r="BY587" i="11"/>
  <c r="BX587" i="11"/>
  <c r="CJ587" i="11"/>
  <c r="CF587" i="11"/>
  <c r="CL587" i="11"/>
  <c r="CB587" i="11"/>
  <c r="CD587" i="11"/>
  <c r="CG587" i="11"/>
  <c r="CH587" i="11"/>
  <c r="CE483" i="11"/>
  <c r="CL483" i="11"/>
  <c r="CK483" i="11"/>
  <c r="BZ483" i="11"/>
  <c r="CJ483" i="11"/>
  <c r="CC483" i="11"/>
  <c r="CF483" i="11"/>
  <c r="CH483" i="11"/>
  <c r="BY483" i="11"/>
  <c r="CA483" i="11"/>
  <c r="CB483" i="11"/>
  <c r="CM483" i="11"/>
  <c r="CD483" i="11"/>
  <c r="CG483" i="11"/>
  <c r="BX483" i="11"/>
  <c r="CI483" i="11"/>
  <c r="CH379" i="11"/>
  <c r="BZ379" i="11"/>
  <c r="CG379" i="11"/>
  <c r="CB379" i="11"/>
  <c r="CJ379" i="11"/>
  <c r="CK379" i="11"/>
  <c r="CD379" i="11"/>
  <c r="BX379" i="11"/>
  <c r="BY379" i="11"/>
  <c r="CF379" i="11"/>
  <c r="CM379" i="11"/>
  <c r="CC379" i="11"/>
  <c r="CL379" i="11"/>
  <c r="CI379" i="11"/>
  <c r="CA379" i="11"/>
  <c r="CE379" i="11"/>
  <c r="CK275" i="11"/>
  <c r="CD275" i="11"/>
  <c r="CF275" i="11"/>
  <c r="BX275" i="11"/>
  <c r="CM275" i="11"/>
  <c r="BY275" i="11"/>
  <c r="BZ275" i="11"/>
  <c r="CH275" i="11"/>
  <c r="CC275" i="11"/>
  <c r="CJ275" i="11"/>
  <c r="CB275" i="11"/>
  <c r="CG275" i="11"/>
  <c r="CL275" i="11"/>
  <c r="CI275" i="11"/>
  <c r="CA275" i="11"/>
  <c r="CE275" i="11"/>
  <c r="BZ171" i="11"/>
  <c r="CH171" i="11"/>
  <c r="CL171" i="11"/>
  <c r="CD171" i="11"/>
  <c r="BX171" i="11"/>
  <c r="CB171" i="11"/>
  <c r="CF171" i="11"/>
  <c r="CM171" i="11"/>
  <c r="CJ171" i="11"/>
  <c r="CK171" i="11"/>
  <c r="BY171" i="11"/>
  <c r="CC171" i="11"/>
  <c r="CG171" i="11"/>
  <c r="CA171" i="11"/>
  <c r="CE171" i="11"/>
  <c r="CI171" i="11"/>
  <c r="CD67" i="11"/>
  <c r="CI67" i="11"/>
  <c r="BX67" i="11"/>
  <c r="BY67" i="11"/>
  <c r="BZ67" i="11"/>
  <c r="CK67" i="11"/>
  <c r="CB67" i="11"/>
  <c r="CE67" i="11"/>
  <c r="CG67" i="11"/>
  <c r="CH67" i="11"/>
  <c r="CJ67" i="11"/>
  <c r="CA67" i="11"/>
  <c r="CC67" i="11"/>
  <c r="CF67" i="11"/>
  <c r="CM67" i="11"/>
  <c r="CL67" i="11"/>
  <c r="CI768" i="11"/>
  <c r="CC768" i="11"/>
  <c r="CM768" i="11"/>
  <c r="BY768" i="11"/>
  <c r="CE768" i="11"/>
  <c r="CF768" i="11"/>
  <c r="CG768" i="11"/>
  <c r="BZ768" i="11"/>
  <c r="CB768" i="11"/>
  <c r="CA768" i="11"/>
  <c r="BX768" i="11"/>
  <c r="CD768" i="11"/>
  <c r="CL768" i="11"/>
  <c r="CJ768" i="11"/>
  <c r="CK768" i="11"/>
  <c r="CH768" i="11"/>
  <c r="CK664" i="11"/>
  <c r="CL664" i="11"/>
  <c r="CJ664" i="11"/>
  <c r="CE664" i="11"/>
  <c r="CC664" i="11"/>
  <c r="CH664" i="11"/>
  <c r="CF664" i="11"/>
  <c r="CM664" i="11"/>
  <c r="BY664" i="11"/>
  <c r="CA664" i="11"/>
  <c r="CD664" i="11"/>
  <c r="CB664" i="11"/>
  <c r="CG664" i="11"/>
  <c r="CI664" i="11"/>
  <c r="BZ664" i="11"/>
  <c r="BX664" i="11"/>
  <c r="CN664" i="11" s="1"/>
  <c r="CD560" i="11"/>
  <c r="CA560" i="11"/>
  <c r="CI560" i="11"/>
  <c r="CL560" i="11"/>
  <c r="CK560" i="11"/>
  <c r="BY560" i="11"/>
  <c r="CG560" i="11"/>
  <c r="BZ560" i="11"/>
  <c r="CE560" i="11"/>
  <c r="CJ560" i="11"/>
  <c r="CC560" i="11"/>
  <c r="CF560" i="11"/>
  <c r="CH560" i="11"/>
  <c r="CB560" i="11"/>
  <c r="CM560" i="11"/>
  <c r="BX560" i="11"/>
  <c r="CN560" i="11" s="1"/>
  <c r="CJ456" i="11"/>
  <c r="CM456" i="11"/>
  <c r="BY456" i="11"/>
  <c r="CD456" i="11"/>
  <c r="CF456" i="11"/>
  <c r="CB456" i="11"/>
  <c r="CK456" i="11"/>
  <c r="CG456" i="11"/>
  <c r="BX456" i="11"/>
  <c r="CL456" i="11"/>
  <c r="CC456" i="11"/>
  <c r="BZ456" i="11"/>
  <c r="CH456" i="11"/>
  <c r="CA456" i="11"/>
  <c r="CE456" i="11"/>
  <c r="CI456" i="11"/>
  <c r="CE352" i="11"/>
  <c r="BX352" i="11"/>
  <c r="CK352" i="11"/>
  <c r="CF352" i="11"/>
  <c r="CA352" i="11"/>
  <c r="CJ352" i="11"/>
  <c r="CI352" i="11"/>
  <c r="BY352" i="11"/>
  <c r="CC352" i="11"/>
  <c r="CH352" i="11"/>
  <c r="CG352" i="11"/>
  <c r="CD352" i="11"/>
  <c r="CM352" i="11"/>
  <c r="BZ352" i="11"/>
  <c r="CB352" i="11"/>
  <c r="CL352" i="11"/>
  <c r="CA248" i="11"/>
  <c r="CF248" i="11"/>
  <c r="BX248" i="11"/>
  <c r="CC248" i="11"/>
  <c r="CK248" i="11"/>
  <c r="CJ248" i="11"/>
  <c r="CI248" i="11"/>
  <c r="CE248" i="11"/>
  <c r="BY248" i="11"/>
  <c r="CL248" i="11"/>
  <c r="CB248" i="11"/>
  <c r="CH248" i="11"/>
  <c r="CG248" i="11"/>
  <c r="CD248" i="11"/>
  <c r="CM248" i="11"/>
  <c r="BZ248" i="11"/>
  <c r="CG144" i="11"/>
  <c r="CC144" i="11"/>
  <c r="CK144" i="11"/>
  <c r="CI144" i="11"/>
  <c r="BY144" i="11"/>
  <c r="CA144" i="11"/>
  <c r="CB144" i="11"/>
  <c r="CE144" i="11"/>
  <c r="CF144" i="11"/>
  <c r="CM144" i="11"/>
  <c r="CJ144" i="11"/>
  <c r="BX144" i="11"/>
  <c r="CH144" i="11"/>
  <c r="CL144" i="11"/>
  <c r="BZ144" i="11"/>
  <c r="CD144" i="11"/>
  <c r="CL40" i="11"/>
  <c r="CG40" i="11"/>
  <c r="CF40" i="11"/>
  <c r="CH40" i="11"/>
  <c r="CI40" i="11"/>
  <c r="CB40" i="11"/>
  <c r="CM40" i="11"/>
  <c r="BX40" i="11"/>
  <c r="BY40" i="11"/>
  <c r="CK40" i="11"/>
  <c r="CA40" i="11"/>
  <c r="CJ40" i="11"/>
  <c r="BZ40" i="11"/>
  <c r="CC40" i="11"/>
  <c r="CD40" i="11"/>
  <c r="CE40" i="11"/>
  <c r="CK741" i="11"/>
  <c r="CI741" i="11"/>
  <c r="CD741" i="11"/>
  <c r="CB741" i="11"/>
  <c r="CG741" i="11"/>
  <c r="CC741" i="11"/>
  <c r="BZ741" i="11"/>
  <c r="BX741" i="11"/>
  <c r="CL741" i="11"/>
  <c r="CJ741" i="11"/>
  <c r="CE741" i="11"/>
  <c r="CA741" i="11"/>
  <c r="CH741" i="11"/>
  <c r="CF741" i="11"/>
  <c r="CM741" i="11"/>
  <c r="BY741" i="11"/>
  <c r="CL637" i="11"/>
  <c r="BX637" i="11"/>
  <c r="CH637" i="11"/>
  <c r="CF637" i="11"/>
  <c r="CB637" i="11"/>
  <c r="CD637" i="11"/>
  <c r="BY637" i="11"/>
  <c r="BZ637" i="11"/>
  <c r="CM637" i="11"/>
  <c r="CC637" i="11"/>
  <c r="CG637" i="11"/>
  <c r="CJ637" i="11"/>
  <c r="CK637" i="11"/>
  <c r="CI637" i="11"/>
  <c r="CA637" i="11"/>
  <c r="CE637" i="11"/>
  <c r="CC533" i="11"/>
  <c r="CF533" i="11"/>
  <c r="CA533" i="11"/>
  <c r="CK533" i="11"/>
  <c r="CJ533" i="11"/>
  <c r="CI533" i="11"/>
  <c r="BX533" i="11"/>
  <c r="CE533" i="11"/>
  <c r="CL533" i="11"/>
  <c r="CB533" i="11"/>
  <c r="CH533" i="11"/>
  <c r="CG533" i="11"/>
  <c r="BZ533" i="11"/>
  <c r="CM533" i="11"/>
  <c r="BY533" i="11"/>
  <c r="CD533" i="11"/>
  <c r="CM429" i="11"/>
  <c r="CE429" i="11"/>
  <c r="CB429" i="11"/>
  <c r="CL429" i="11"/>
  <c r="CI429" i="11"/>
  <c r="CF429" i="11"/>
  <c r="CJ429" i="11"/>
  <c r="CH429" i="11"/>
  <c r="CC429" i="11"/>
  <c r="CA429" i="11"/>
  <c r="CD429" i="11"/>
  <c r="BX429" i="11"/>
  <c r="CG429" i="11"/>
  <c r="BZ429" i="11"/>
  <c r="CK429" i="11"/>
  <c r="BY429" i="11"/>
  <c r="CJ325" i="11"/>
  <c r="CH325" i="11"/>
  <c r="CA325" i="11"/>
  <c r="CF325" i="11"/>
  <c r="CM325" i="11"/>
  <c r="BZ325" i="11"/>
  <c r="CB325" i="11"/>
  <c r="CG325" i="11"/>
  <c r="CD325" i="11"/>
  <c r="CC325" i="11"/>
  <c r="BX325" i="11"/>
  <c r="BY325" i="11"/>
  <c r="CE325" i="11"/>
  <c r="CI325" i="11"/>
  <c r="CL325" i="11"/>
  <c r="CK325" i="11"/>
  <c r="CL221" i="11"/>
  <c r="CA221" i="11"/>
  <c r="CF221" i="11"/>
  <c r="CK221" i="11"/>
  <c r="CB221" i="11"/>
  <c r="CI221" i="11"/>
  <c r="CE221" i="11"/>
  <c r="CG221" i="11"/>
  <c r="CH221" i="11"/>
  <c r="CJ221" i="11"/>
  <c r="CC221" i="11"/>
  <c r="CM221" i="11"/>
  <c r="BX221" i="11"/>
  <c r="BY221" i="11"/>
  <c r="CD221" i="11"/>
  <c r="BZ221" i="11"/>
  <c r="CG117" i="11"/>
  <c r="CH117" i="11"/>
  <c r="BY117" i="11"/>
  <c r="CL117" i="11"/>
  <c r="BZ117" i="11"/>
  <c r="CB117" i="11"/>
  <c r="CM117" i="11"/>
  <c r="CC117" i="11"/>
  <c r="BX117" i="11"/>
  <c r="CK117" i="11"/>
  <c r="CJ117" i="11"/>
  <c r="CD117" i="11"/>
  <c r="CF117" i="11"/>
  <c r="CA117" i="11"/>
  <c r="CE117" i="11"/>
  <c r="CI117" i="11"/>
  <c r="CF818" i="11"/>
  <c r="CJ818" i="11"/>
  <c r="BY818" i="11"/>
  <c r="CK818" i="11"/>
  <c r="CA818" i="11"/>
  <c r="CE818" i="11"/>
  <c r="CH818" i="11"/>
  <c r="CG818" i="11"/>
  <c r="CI818" i="11"/>
  <c r="CB818" i="11"/>
  <c r="CC818" i="11"/>
  <c r="CD818" i="11"/>
  <c r="CM818" i="11"/>
  <c r="BZ818" i="11"/>
  <c r="BX818" i="11"/>
  <c r="CL818" i="11"/>
  <c r="CG714" i="11"/>
  <c r="CJ714" i="11"/>
  <c r="CB714" i="11"/>
  <c r="BX714" i="11"/>
  <c r="BY714" i="11"/>
  <c r="CM714" i="11"/>
  <c r="CD714" i="11"/>
  <c r="CF714" i="11"/>
  <c r="CH714" i="11"/>
  <c r="CK714" i="11"/>
  <c r="CL714" i="11"/>
  <c r="CC714" i="11"/>
  <c r="BZ714" i="11"/>
  <c r="CA714" i="11"/>
  <c r="CE714" i="11"/>
  <c r="CI714" i="11"/>
  <c r="CJ610" i="11"/>
  <c r="BY610" i="11"/>
  <c r="CL610" i="11"/>
  <c r="CI610" i="11"/>
  <c r="CK610" i="11"/>
  <c r="CF610" i="11"/>
  <c r="CA610" i="11"/>
  <c r="CH610" i="11"/>
  <c r="CC610" i="11"/>
  <c r="CM610" i="11"/>
  <c r="CG610" i="11"/>
  <c r="CD610" i="11"/>
  <c r="BX610" i="11"/>
  <c r="CB610" i="11"/>
  <c r="BZ610" i="11"/>
  <c r="CE610" i="11"/>
  <c r="CL506" i="11"/>
  <c r="CE506" i="11"/>
  <c r="CJ506" i="11"/>
  <c r="BZ506" i="11"/>
  <c r="CA506" i="11"/>
  <c r="CC506" i="11"/>
  <c r="CM506" i="11"/>
  <c r="CF506" i="11"/>
  <c r="BY506" i="11"/>
  <c r="BX506" i="11"/>
  <c r="CK506" i="11"/>
  <c r="CB506" i="11"/>
  <c r="CD506" i="11"/>
  <c r="CG506" i="11"/>
  <c r="CH506" i="11"/>
  <c r="CI506" i="11"/>
  <c r="CG402" i="11"/>
  <c r="CA402" i="11"/>
  <c r="CB402" i="11"/>
  <c r="BZ402" i="11"/>
  <c r="CH402" i="11"/>
  <c r="CL402" i="11"/>
  <c r="CC402" i="11"/>
  <c r="BX402" i="11"/>
  <c r="CI402" i="11"/>
  <c r="CM402" i="11"/>
  <c r="CJ402" i="11"/>
  <c r="CK402" i="11"/>
  <c r="CD402" i="11"/>
  <c r="BY402" i="11"/>
  <c r="CF402" i="11"/>
  <c r="CE402" i="11"/>
  <c r="CG298" i="11"/>
  <c r="BZ298" i="11"/>
  <c r="CD298" i="11"/>
  <c r="BY298" i="11"/>
  <c r="CM298" i="11"/>
  <c r="CK298" i="11"/>
  <c r="CE298" i="11"/>
  <c r="CI298" i="11"/>
  <c r="CA298" i="11"/>
  <c r="CJ298" i="11"/>
  <c r="CL298" i="11"/>
  <c r="CF298" i="11"/>
  <c r="CC298" i="11"/>
  <c r="CB298" i="11"/>
  <c r="CH298" i="11"/>
  <c r="BX298" i="11"/>
  <c r="CN298" i="11" s="1"/>
  <c r="BZ194" i="11"/>
  <c r="CE194" i="11"/>
  <c r="CK194" i="11"/>
  <c r="CL194" i="11"/>
  <c r="BY194" i="11"/>
  <c r="CD194" i="11"/>
  <c r="CI194" i="11"/>
  <c r="CJ194" i="11"/>
  <c r="CC194" i="11"/>
  <c r="CF194" i="11"/>
  <c r="CH194" i="11"/>
  <c r="CA194" i="11"/>
  <c r="CB194" i="11"/>
  <c r="CM194" i="11"/>
  <c r="BX194" i="11"/>
  <c r="CG194" i="11"/>
  <c r="CG90" i="11"/>
  <c r="CA90" i="11"/>
  <c r="CC90" i="11"/>
  <c r="CI90" i="11"/>
  <c r="CK90" i="11"/>
  <c r="BY90" i="11"/>
  <c r="CF90" i="11"/>
  <c r="CH90" i="11"/>
  <c r="CM90" i="11"/>
  <c r="CB90" i="11"/>
  <c r="CD90" i="11"/>
  <c r="BX90" i="11"/>
  <c r="BZ90" i="11"/>
  <c r="CJ90" i="11"/>
  <c r="CL90" i="11"/>
  <c r="CE90" i="11"/>
  <c r="CF791" i="11"/>
  <c r="BX791" i="11"/>
  <c r="CB791" i="11"/>
  <c r="CI791" i="11"/>
  <c r="CG791" i="11"/>
  <c r="CA791" i="11"/>
  <c r="CM791" i="11"/>
  <c r="CD791" i="11"/>
  <c r="BY791" i="11"/>
  <c r="CE791" i="11"/>
  <c r="BZ791" i="11"/>
  <c r="CC791" i="11"/>
  <c r="CH791" i="11"/>
  <c r="CL791" i="11"/>
  <c r="CJ791" i="11"/>
  <c r="CK791" i="11"/>
  <c r="CJ687" i="11"/>
  <c r="CI687" i="11"/>
  <c r="CA687" i="11"/>
  <c r="CK687" i="11"/>
  <c r="CF687" i="11"/>
  <c r="CC687" i="11"/>
  <c r="BX687" i="11"/>
  <c r="BY687" i="11"/>
  <c r="CE687" i="11"/>
  <c r="CD687" i="11"/>
  <c r="CM687" i="11"/>
  <c r="BZ687" i="11"/>
  <c r="CL687" i="11"/>
  <c r="CB687" i="11"/>
  <c r="CH687" i="11"/>
  <c r="CG687" i="11"/>
  <c r="CL583" i="11"/>
  <c r="BX583" i="11"/>
  <c r="CJ583" i="11"/>
  <c r="CG583" i="11"/>
  <c r="CH583" i="11"/>
  <c r="CD583" i="11"/>
  <c r="CA583" i="11"/>
  <c r="CC583" i="11"/>
  <c r="CM583" i="11"/>
  <c r="CI583" i="11"/>
  <c r="BZ583" i="11"/>
  <c r="CF583" i="11"/>
  <c r="BY583" i="11"/>
  <c r="CE583" i="11"/>
  <c r="CK583" i="11"/>
  <c r="CB583" i="11"/>
  <c r="CL479" i="11"/>
  <c r="CD479" i="11"/>
  <c r="CK479" i="11"/>
  <c r="CI479" i="11"/>
  <c r="CF479" i="11"/>
  <c r="CH479" i="11"/>
  <c r="BZ479" i="11"/>
  <c r="CA479" i="11"/>
  <c r="CB479" i="11"/>
  <c r="CM479" i="11"/>
  <c r="CE479" i="11"/>
  <c r="CC479" i="11"/>
  <c r="CG479" i="11"/>
  <c r="BY479" i="11"/>
  <c r="CJ479" i="11"/>
  <c r="BX479" i="11"/>
  <c r="CN479" i="11" s="1"/>
  <c r="CH375" i="11"/>
  <c r="CM375" i="11"/>
  <c r="CC375" i="11"/>
  <c r="BX375" i="11"/>
  <c r="BY375" i="11"/>
  <c r="CK375" i="11"/>
  <c r="CJ375" i="11"/>
  <c r="CD375" i="11"/>
  <c r="CG375" i="11"/>
  <c r="CB375" i="11"/>
  <c r="CF375" i="11"/>
  <c r="CL375" i="11"/>
  <c r="BZ375" i="11"/>
  <c r="CA375" i="11"/>
  <c r="CE375" i="11"/>
  <c r="CI375" i="11"/>
  <c r="CM271" i="11"/>
  <c r="BZ271" i="11"/>
  <c r="BX271" i="11"/>
  <c r="CH271" i="11"/>
  <c r="CK271" i="11"/>
  <c r="CF271" i="11"/>
  <c r="CC271" i="11"/>
  <c r="CG271" i="11"/>
  <c r="CL271" i="11"/>
  <c r="BY271" i="11"/>
  <c r="CD271" i="11"/>
  <c r="CB271" i="11"/>
  <c r="CJ271" i="11"/>
  <c r="CA271" i="11"/>
  <c r="CE271" i="11"/>
  <c r="CI271" i="11"/>
  <c r="BX167" i="11"/>
  <c r="CD167" i="11"/>
  <c r="CH167" i="11"/>
  <c r="CF167" i="11"/>
  <c r="BZ167" i="11"/>
  <c r="CM167" i="11"/>
  <c r="CL167" i="11"/>
  <c r="CJ167" i="11"/>
  <c r="CB167" i="11"/>
  <c r="CC167" i="11"/>
  <c r="CG167" i="11"/>
  <c r="CK167" i="11"/>
  <c r="BY167" i="11"/>
  <c r="CI167" i="11"/>
  <c r="CA167" i="11"/>
  <c r="CE167" i="11"/>
  <c r="BX63" i="11"/>
  <c r="CI63" i="11"/>
  <c r="CD63" i="11"/>
  <c r="CG63" i="11"/>
  <c r="CH63" i="11"/>
  <c r="CJ63" i="11"/>
  <c r="CC63" i="11"/>
  <c r="CM63" i="11"/>
  <c r="BY63" i="11"/>
  <c r="BZ63" i="11"/>
  <c r="CF63" i="11"/>
  <c r="CL63" i="11"/>
  <c r="CK63" i="11"/>
  <c r="CB63" i="11"/>
  <c r="CE63" i="11"/>
  <c r="CA63" i="11"/>
  <c r="CH764" i="11"/>
  <c r="CE764" i="11"/>
  <c r="CA764" i="11"/>
  <c r="BX764" i="11"/>
  <c r="CK764" i="11"/>
  <c r="BZ764" i="11"/>
  <c r="CJ764" i="11"/>
  <c r="CI764" i="11"/>
  <c r="CC764" i="11"/>
  <c r="CL764" i="11"/>
  <c r="CF764" i="11"/>
  <c r="CD764" i="11"/>
  <c r="CM764" i="11"/>
  <c r="CB764" i="11"/>
  <c r="BY764" i="11"/>
  <c r="CG764" i="11"/>
  <c r="CK660" i="11"/>
  <c r="CD660" i="11"/>
  <c r="CB660" i="11"/>
  <c r="BY660" i="11"/>
  <c r="BZ660" i="11"/>
  <c r="BX660" i="11"/>
  <c r="CG660" i="11"/>
  <c r="CA660" i="11"/>
  <c r="CC660" i="11"/>
  <c r="CL660" i="11"/>
  <c r="CJ660" i="11"/>
  <c r="CE660" i="11"/>
  <c r="CI660" i="11"/>
  <c r="CH660" i="11"/>
  <c r="CF660" i="11"/>
  <c r="CM660" i="11"/>
  <c r="CA556" i="11"/>
  <c r="CG556" i="11"/>
  <c r="CI556" i="11"/>
  <c r="BY556" i="11"/>
  <c r="CD556" i="11"/>
  <c r="CL556" i="11"/>
  <c r="CK556" i="11"/>
  <c r="CJ556" i="11"/>
  <c r="CC556" i="11"/>
  <c r="CF556" i="11"/>
  <c r="CH556" i="11"/>
  <c r="BZ556" i="11"/>
  <c r="CB556" i="11"/>
  <c r="CM556" i="11"/>
  <c r="CE556" i="11"/>
  <c r="BX556" i="11"/>
  <c r="CN556" i="11" s="1"/>
  <c r="CJ452" i="11"/>
  <c r="CM452" i="11"/>
  <c r="BY452" i="11"/>
  <c r="CD452" i="11"/>
  <c r="CL452" i="11"/>
  <c r="BZ452" i="11"/>
  <c r="BX452" i="11"/>
  <c r="CF452" i="11"/>
  <c r="CB452" i="11"/>
  <c r="CC452" i="11"/>
  <c r="CK452" i="11"/>
  <c r="CG452" i="11"/>
  <c r="CH452" i="11"/>
  <c r="CE452" i="11"/>
  <c r="CI452" i="11"/>
  <c r="CA452" i="11"/>
  <c r="CB348" i="11"/>
  <c r="CF348" i="11"/>
  <c r="CA348" i="11"/>
  <c r="CK348" i="11"/>
  <c r="CM348" i="11"/>
  <c r="CH348" i="11"/>
  <c r="CE348" i="11"/>
  <c r="BX348" i="11"/>
  <c r="CD348" i="11"/>
  <c r="BY348" i="11"/>
  <c r="CG348" i="11"/>
  <c r="BZ348" i="11"/>
  <c r="CI348" i="11"/>
  <c r="CL348" i="11"/>
  <c r="CJ348" i="11"/>
  <c r="CC348" i="11"/>
  <c r="CE244" i="11"/>
  <c r="CA244" i="11"/>
  <c r="BY244" i="11"/>
  <c r="CK244" i="11"/>
  <c r="CF244" i="11"/>
  <c r="CC244" i="11"/>
  <c r="BX244" i="11"/>
  <c r="CI244" i="11"/>
  <c r="CJ244" i="11"/>
  <c r="BZ244" i="11"/>
  <c r="CL244" i="11"/>
  <c r="CB244" i="11"/>
  <c r="CH244" i="11"/>
  <c r="CG244" i="11"/>
  <c r="CD244" i="11"/>
  <c r="CM244" i="11"/>
  <c r="CI140" i="11"/>
  <c r="CG140" i="11"/>
  <c r="CC140" i="11"/>
  <c r="BY140" i="11"/>
  <c r="CK140" i="11"/>
  <c r="CM140" i="11"/>
  <c r="CB140" i="11"/>
  <c r="CF140" i="11"/>
  <c r="CJ140" i="11"/>
  <c r="CE140" i="11"/>
  <c r="BX140" i="11"/>
  <c r="CH140" i="11"/>
  <c r="CL140" i="11"/>
  <c r="BZ140" i="11"/>
  <c r="CA140" i="11"/>
  <c r="CD140" i="11"/>
  <c r="CL36" i="11"/>
  <c r="CG36" i="11"/>
  <c r="BZ36" i="11"/>
  <c r="CK36" i="11"/>
  <c r="BY36" i="11"/>
  <c r="CA36" i="11"/>
  <c r="CE36" i="11"/>
  <c r="CI36" i="11"/>
  <c r="CD36" i="11"/>
  <c r="CB36" i="11"/>
  <c r="CM36" i="11"/>
  <c r="BX36" i="11"/>
  <c r="CJ36" i="11"/>
  <c r="CC36" i="11"/>
  <c r="CF36" i="11"/>
  <c r="CH36" i="11"/>
  <c r="CK737" i="11"/>
  <c r="CI737" i="11"/>
  <c r="CL737" i="11"/>
  <c r="CJ737" i="11"/>
  <c r="CE737" i="11"/>
  <c r="CG737" i="11"/>
  <c r="CH737" i="11"/>
  <c r="CF737" i="11"/>
  <c r="CM737" i="11"/>
  <c r="CD737" i="11"/>
  <c r="CB737" i="11"/>
  <c r="CA737" i="11"/>
  <c r="CC737" i="11"/>
  <c r="BZ737" i="11"/>
  <c r="BX737" i="11"/>
  <c r="BY737" i="11"/>
  <c r="CF633" i="11"/>
  <c r="BY633" i="11"/>
  <c r="CC633" i="11"/>
  <c r="CD633" i="11"/>
  <c r="BZ633" i="11"/>
  <c r="BX633" i="11"/>
  <c r="CM633" i="11"/>
  <c r="CJ633" i="11"/>
  <c r="CK633" i="11"/>
  <c r="CH633" i="11"/>
  <c r="CG633" i="11"/>
  <c r="CL633" i="11"/>
  <c r="CB633" i="11"/>
  <c r="CA633" i="11"/>
  <c r="CE633" i="11"/>
  <c r="CI633" i="11"/>
  <c r="BY529" i="11"/>
  <c r="CE529" i="11"/>
  <c r="CK529" i="11"/>
  <c r="CI529" i="11"/>
  <c r="CJ529" i="11"/>
  <c r="CA529" i="11"/>
  <c r="CF529" i="11"/>
  <c r="CC529" i="11"/>
  <c r="BX529" i="11"/>
  <c r="BZ529" i="11"/>
  <c r="CL529" i="11"/>
  <c r="CB529" i="11"/>
  <c r="CH529" i="11"/>
  <c r="CG529" i="11"/>
  <c r="CD529" i="11"/>
  <c r="CM529" i="11"/>
  <c r="BX425" i="11"/>
  <c r="CF425" i="11"/>
  <c r="CB425" i="11"/>
  <c r="CM425" i="11"/>
  <c r="CJ425" i="11"/>
  <c r="BZ425" i="11"/>
  <c r="CH425" i="11"/>
  <c r="CD425" i="11"/>
  <c r="CL425" i="11"/>
  <c r="CG425" i="11"/>
  <c r="CE425" i="11"/>
  <c r="CK425" i="11"/>
  <c r="CI425" i="11"/>
  <c r="BY425" i="11"/>
  <c r="CC425" i="11"/>
  <c r="CA425" i="11"/>
  <c r="CJ321" i="11"/>
  <c r="CH321" i="11"/>
  <c r="CA321" i="11"/>
  <c r="BZ321" i="11"/>
  <c r="CF321" i="11"/>
  <c r="CM321" i="11"/>
  <c r="BY321" i="11"/>
  <c r="CE321" i="11"/>
  <c r="CK321" i="11"/>
  <c r="CI321" i="11"/>
  <c r="CL321" i="11"/>
  <c r="CB321" i="11"/>
  <c r="CG321" i="11"/>
  <c r="CD321" i="11"/>
  <c r="BX321" i="11"/>
  <c r="CC321" i="11"/>
  <c r="CL217" i="11"/>
  <c r="CA217" i="11"/>
  <c r="CF217" i="11"/>
  <c r="CC217" i="11"/>
  <c r="CM217" i="11"/>
  <c r="BX217" i="11"/>
  <c r="BY217" i="11"/>
  <c r="CD217" i="11"/>
  <c r="BZ217" i="11"/>
  <c r="CK217" i="11"/>
  <c r="CB217" i="11"/>
  <c r="CI217" i="11"/>
  <c r="CE217" i="11"/>
  <c r="CG217" i="11"/>
  <c r="CH217" i="11"/>
  <c r="CJ217" i="11"/>
  <c r="CH113" i="11"/>
  <c r="CM113" i="11"/>
  <c r="CC113" i="11"/>
  <c r="BX113" i="11"/>
  <c r="CG113" i="11"/>
  <c r="CK113" i="11"/>
  <c r="CJ113" i="11"/>
  <c r="CD113" i="11"/>
  <c r="CB113" i="11"/>
  <c r="CF113" i="11"/>
  <c r="CL113" i="11"/>
  <c r="BZ113" i="11"/>
  <c r="BY113" i="11"/>
  <c r="CE113" i="11"/>
  <c r="CI113" i="11"/>
  <c r="CA113" i="11"/>
  <c r="CC814" i="11"/>
  <c r="CB814" i="11"/>
  <c r="CH814" i="11"/>
  <c r="BX814" i="11"/>
  <c r="CL814" i="11"/>
  <c r="BY814" i="11"/>
  <c r="CG814" i="11"/>
  <c r="CM814" i="11"/>
  <c r="CK814" i="11"/>
  <c r="CJ814" i="11"/>
  <c r="CF814" i="11"/>
  <c r="CD814" i="11"/>
  <c r="BZ814" i="11"/>
  <c r="CA814" i="11"/>
  <c r="CE814" i="11"/>
  <c r="CI814" i="11"/>
  <c r="CH710" i="11"/>
  <c r="CB710" i="11"/>
  <c r="CG710" i="11"/>
  <c r="CD710" i="11"/>
  <c r="CM710" i="11"/>
  <c r="CC710" i="11"/>
  <c r="CL710" i="11"/>
  <c r="CK710" i="11"/>
  <c r="CJ710" i="11"/>
  <c r="BY710" i="11"/>
  <c r="CF710" i="11"/>
  <c r="BX710" i="11"/>
  <c r="BZ710" i="11"/>
  <c r="CE710" i="11"/>
  <c r="CI710" i="11"/>
  <c r="CA710" i="11"/>
  <c r="BY606" i="11"/>
  <c r="CG606" i="11"/>
  <c r="CI606" i="11"/>
  <c r="CH606" i="11"/>
  <c r="CF606" i="11"/>
  <c r="CB606" i="11"/>
  <c r="CD606" i="11"/>
  <c r="CA606" i="11"/>
  <c r="BX606" i="11"/>
  <c r="BZ606" i="11"/>
  <c r="CC606" i="11"/>
  <c r="CE606" i="11"/>
  <c r="CL606" i="11"/>
  <c r="CK606" i="11"/>
  <c r="CJ606" i="11"/>
  <c r="CM606" i="11"/>
  <c r="CJ502" i="11"/>
  <c r="BZ502" i="11"/>
  <c r="CL502" i="11"/>
  <c r="CE502" i="11"/>
  <c r="CA502" i="11"/>
  <c r="CK502" i="11"/>
  <c r="CB502" i="11"/>
  <c r="CF502" i="11"/>
  <c r="CG502" i="11"/>
  <c r="CH502" i="11"/>
  <c r="CI502" i="11"/>
  <c r="CC502" i="11"/>
  <c r="CM502" i="11"/>
  <c r="CD502" i="11"/>
  <c r="BY502" i="11"/>
  <c r="BX502" i="11"/>
  <c r="CN502" i="11" s="1"/>
  <c r="CK398" i="11"/>
  <c r="CL398" i="11"/>
  <c r="BY398" i="11"/>
  <c r="CE398" i="11"/>
  <c r="CI398" i="11"/>
  <c r="CA398" i="11"/>
  <c r="BZ398" i="11"/>
  <c r="CG398" i="11"/>
  <c r="CD398" i="11"/>
  <c r="CB398" i="11"/>
  <c r="CM398" i="11"/>
  <c r="BX398" i="11"/>
  <c r="CJ398" i="11"/>
  <c r="CC398" i="11"/>
  <c r="CH398" i="11"/>
  <c r="CF398" i="11"/>
  <c r="CG294" i="11"/>
  <c r="BY294" i="11"/>
  <c r="CK294" i="11"/>
  <c r="CL294" i="11"/>
  <c r="CD294" i="11"/>
  <c r="CA294" i="11"/>
  <c r="CI294" i="11"/>
  <c r="CE294" i="11"/>
  <c r="BZ294" i="11"/>
  <c r="CF294" i="11"/>
  <c r="CH294" i="11"/>
  <c r="CB294" i="11"/>
  <c r="CM294" i="11"/>
  <c r="BX294" i="11"/>
  <c r="CJ294" i="11"/>
  <c r="CC294" i="11"/>
  <c r="CC190" i="11"/>
  <c r="CJ190" i="11"/>
  <c r="CK190" i="11"/>
  <c r="CD190" i="11"/>
  <c r="CA190" i="11"/>
  <c r="CF190" i="11"/>
  <c r="CE190" i="11"/>
  <c r="BY190" i="11"/>
  <c r="CB190" i="11"/>
  <c r="BZ190" i="11"/>
  <c r="CL190" i="11"/>
  <c r="CG190" i="11"/>
  <c r="CM190" i="11"/>
  <c r="BX190" i="11"/>
  <c r="CI190" i="11"/>
  <c r="CH190" i="11"/>
  <c r="CK86" i="11"/>
  <c r="CG86" i="11"/>
  <c r="CC86" i="11"/>
  <c r="CA86" i="11"/>
  <c r="BY86" i="11"/>
  <c r="CI86" i="11"/>
  <c r="CF86" i="11"/>
  <c r="CH86" i="11"/>
  <c r="CM86" i="11"/>
  <c r="CB86" i="11"/>
  <c r="CD86" i="11"/>
  <c r="BX86" i="11"/>
  <c r="BZ86" i="11"/>
  <c r="CJ86" i="11"/>
  <c r="CL86" i="11"/>
  <c r="CE86" i="11"/>
  <c r="CF787" i="11"/>
  <c r="CJ787" i="11"/>
  <c r="BX787" i="11"/>
  <c r="CI787" i="11"/>
  <c r="CK787" i="11"/>
  <c r="BY787" i="11"/>
  <c r="CA787" i="11"/>
  <c r="CE787" i="11"/>
  <c r="CC787" i="11"/>
  <c r="CD787" i="11"/>
  <c r="CM787" i="11"/>
  <c r="CH787" i="11"/>
  <c r="BZ787" i="11"/>
  <c r="CG787" i="11"/>
  <c r="CL787" i="11"/>
  <c r="CB787" i="11"/>
  <c r="CK683" i="11"/>
  <c r="CL683" i="11"/>
  <c r="CJ683" i="11"/>
  <c r="CB683" i="11"/>
  <c r="CF683" i="11"/>
  <c r="CC683" i="11"/>
  <c r="CH683" i="11"/>
  <c r="CE683" i="11"/>
  <c r="CG683" i="11"/>
  <c r="BX683" i="11"/>
  <c r="CD683" i="11"/>
  <c r="BY683" i="11"/>
  <c r="CA683" i="11"/>
  <c r="BZ683" i="11"/>
  <c r="CI683" i="11"/>
  <c r="CM683" i="11"/>
  <c r="CM579" i="11"/>
  <c r="CH579" i="11"/>
  <c r="CB579" i="11"/>
  <c r="CK579" i="11"/>
  <c r="CL579" i="11"/>
  <c r="CE579" i="11"/>
  <c r="BX579" i="11"/>
  <c r="CG579" i="11"/>
  <c r="CF579" i="11"/>
  <c r="BZ579" i="11"/>
  <c r="CJ579" i="11"/>
  <c r="CC579" i="11"/>
  <c r="CI579" i="11"/>
  <c r="BY579" i="11"/>
  <c r="CD579" i="11"/>
  <c r="CA579" i="11"/>
  <c r="CL475" i="11"/>
  <c r="CE475" i="11"/>
  <c r="CK475" i="11"/>
  <c r="BZ475" i="11"/>
  <c r="CJ475" i="11"/>
  <c r="CC475" i="11"/>
  <c r="CF475" i="11"/>
  <c r="CH475" i="11"/>
  <c r="BY475" i="11"/>
  <c r="CA475" i="11"/>
  <c r="CB475" i="11"/>
  <c r="CM475" i="11"/>
  <c r="CD475" i="11"/>
  <c r="BX475" i="11"/>
  <c r="CG475" i="11"/>
  <c r="CI475" i="11"/>
  <c r="CH371" i="11"/>
  <c r="CC371" i="11"/>
  <c r="CK371" i="11"/>
  <c r="BZ371" i="11"/>
  <c r="CM371" i="11"/>
  <c r="CD371" i="11"/>
  <c r="CF371" i="11"/>
  <c r="BX371" i="11"/>
  <c r="BY371" i="11"/>
  <c r="CJ371" i="11"/>
  <c r="CB371" i="11"/>
  <c r="CG371" i="11"/>
  <c r="CL371" i="11"/>
  <c r="CI371" i="11"/>
  <c r="CA371" i="11"/>
  <c r="CE371" i="11"/>
  <c r="CD267" i="11"/>
  <c r="CF267" i="11"/>
  <c r="BY267" i="11"/>
  <c r="CM267" i="11"/>
  <c r="CK267" i="11"/>
  <c r="BX267" i="11"/>
  <c r="CH267" i="11"/>
  <c r="CC267" i="11"/>
  <c r="BZ267" i="11"/>
  <c r="CJ267" i="11"/>
  <c r="CB267" i="11"/>
  <c r="CG267" i="11"/>
  <c r="CL267" i="11"/>
  <c r="CI267" i="11"/>
  <c r="CA267" i="11"/>
  <c r="CE267" i="11"/>
  <c r="BZ163" i="11"/>
  <c r="CD163" i="11"/>
  <c r="CL163" i="11"/>
  <c r="BX163" i="11"/>
  <c r="CH163" i="11"/>
  <c r="CF163" i="11"/>
  <c r="CM163" i="11"/>
  <c r="CJ163" i="11"/>
  <c r="CB163" i="11"/>
  <c r="CK163" i="11"/>
  <c r="BY163" i="11"/>
  <c r="CC163" i="11"/>
  <c r="CG163" i="11"/>
  <c r="CA163" i="11"/>
  <c r="CE163" i="11"/>
  <c r="CI163" i="11"/>
  <c r="CD59" i="11"/>
  <c r="BX59" i="11"/>
  <c r="CI59" i="11"/>
  <c r="BY59" i="11"/>
  <c r="BZ59" i="11"/>
  <c r="CK59" i="11"/>
  <c r="CB59" i="11"/>
  <c r="CE59" i="11"/>
  <c r="CG59" i="11"/>
  <c r="CH59" i="11"/>
  <c r="CJ59" i="11"/>
  <c r="CM59" i="11"/>
  <c r="CA59" i="11"/>
  <c r="CF59" i="11"/>
  <c r="CC59" i="11"/>
  <c r="CL59" i="11"/>
  <c r="CH760" i="11"/>
  <c r="BZ760" i="11"/>
  <c r="CG760" i="11"/>
  <c r="CK760" i="11"/>
  <c r="CA760" i="11"/>
  <c r="CM760" i="11"/>
  <c r="CC760" i="11"/>
  <c r="CJ760" i="11"/>
  <c r="CI760" i="11"/>
  <c r="CL760" i="11"/>
  <c r="CF760" i="11"/>
  <c r="CD760" i="11"/>
  <c r="CB760" i="11"/>
  <c r="BY760" i="11"/>
  <c r="BX760" i="11"/>
  <c r="CE760" i="11"/>
  <c r="CK656" i="11"/>
  <c r="BY656" i="11"/>
  <c r="CL656" i="11"/>
  <c r="CJ656" i="11"/>
  <c r="CE656" i="11"/>
  <c r="CG656" i="11"/>
  <c r="CH656" i="11"/>
  <c r="CF656" i="11"/>
  <c r="CM656" i="11"/>
  <c r="CA656" i="11"/>
  <c r="CD656" i="11"/>
  <c r="CB656" i="11"/>
  <c r="CI656" i="11"/>
  <c r="CC656" i="11"/>
  <c r="BZ656" i="11"/>
  <c r="BX656" i="11"/>
  <c r="CN656" i="11" s="1"/>
  <c r="CC552" i="11"/>
  <c r="BX552" i="11"/>
  <c r="CH552" i="11"/>
  <c r="CM552" i="11"/>
  <c r="CF552" i="11"/>
  <c r="CK552" i="11"/>
  <c r="BZ552" i="11"/>
  <c r="CD552" i="11"/>
  <c r="BY552" i="11"/>
  <c r="CJ552" i="11"/>
  <c r="CB552" i="11"/>
  <c r="CG552" i="11"/>
  <c r="CL552" i="11"/>
  <c r="CA552" i="11"/>
  <c r="CE552" i="11"/>
  <c r="CI552" i="11"/>
  <c r="CD448" i="11"/>
  <c r="BY448" i="11"/>
  <c r="CL448" i="11"/>
  <c r="CJ448" i="11"/>
  <c r="CC448" i="11"/>
  <c r="BZ448" i="11"/>
  <c r="CB448" i="11"/>
  <c r="BX448" i="11"/>
  <c r="CG448" i="11"/>
  <c r="CM448" i="11"/>
  <c r="CK448" i="11"/>
  <c r="CH448" i="11"/>
  <c r="CF448" i="11"/>
  <c r="CA448" i="11"/>
  <c r="CE448" i="11"/>
  <c r="CI448" i="11"/>
  <c r="BX344" i="11"/>
  <c r="CF344" i="11"/>
  <c r="CC344" i="11"/>
  <c r="CK344" i="11"/>
  <c r="CI344" i="11"/>
  <c r="BY344" i="11"/>
  <c r="CA344" i="11"/>
  <c r="CJ344" i="11"/>
  <c r="CE344" i="11"/>
  <c r="CH344" i="11"/>
  <c r="CG344" i="11"/>
  <c r="CD344" i="11"/>
  <c r="CM344" i="11"/>
  <c r="BZ344" i="11"/>
  <c r="CL344" i="11"/>
  <c r="CB344" i="11"/>
  <c r="CF240" i="11"/>
  <c r="CA240" i="11"/>
  <c r="CC240" i="11"/>
  <c r="BX240" i="11"/>
  <c r="CK240" i="11"/>
  <c r="CJ240" i="11"/>
  <c r="CI240" i="11"/>
  <c r="CE240" i="11"/>
  <c r="BY240" i="11"/>
  <c r="CL240" i="11"/>
  <c r="CB240" i="11"/>
  <c r="CH240" i="11"/>
  <c r="CG240" i="11"/>
  <c r="CD240" i="11"/>
  <c r="CM240" i="11"/>
  <c r="BZ240" i="11"/>
  <c r="BY136" i="11"/>
  <c r="CK136" i="11"/>
  <c r="CE136" i="11"/>
  <c r="CC136" i="11"/>
  <c r="CG136" i="11"/>
  <c r="CI136" i="11"/>
  <c r="CB136" i="11"/>
  <c r="CM136" i="11"/>
  <c r="CF136" i="11"/>
  <c r="CJ136" i="11"/>
  <c r="CA136" i="11"/>
  <c r="BX136" i="11"/>
  <c r="CH136" i="11"/>
  <c r="CL136" i="11"/>
  <c r="BZ136" i="11"/>
  <c r="CD136" i="11"/>
  <c r="CL32" i="11"/>
  <c r="CF32" i="11"/>
  <c r="CH32" i="11"/>
  <c r="BY32" i="11"/>
  <c r="CA32" i="11"/>
  <c r="CB32" i="11"/>
  <c r="CM32" i="11"/>
  <c r="CD32" i="11"/>
  <c r="CG32" i="11"/>
  <c r="BX32" i="11"/>
  <c r="CI32" i="11"/>
  <c r="CJ32" i="11"/>
  <c r="CK32" i="11"/>
  <c r="CC32" i="11"/>
  <c r="BZ32" i="11"/>
  <c r="CE32" i="11"/>
  <c r="CK733" i="11"/>
  <c r="CI733" i="11"/>
  <c r="CD733" i="11"/>
  <c r="CB733" i="11"/>
  <c r="CG733" i="11"/>
  <c r="CC733" i="11"/>
  <c r="BZ733" i="11"/>
  <c r="BX733" i="11"/>
  <c r="CL733" i="11"/>
  <c r="CJ733" i="11"/>
  <c r="CE733" i="11"/>
  <c r="CA733" i="11"/>
  <c r="CH733" i="11"/>
  <c r="CF733" i="11"/>
  <c r="CM733" i="11"/>
  <c r="BY733" i="11"/>
  <c r="CM629" i="11"/>
  <c r="CG629" i="11"/>
  <c r="BX629" i="11"/>
  <c r="CJ629" i="11"/>
  <c r="BZ629" i="11"/>
  <c r="CH629" i="11"/>
  <c r="CD629" i="11"/>
  <c r="CL629" i="11"/>
  <c r="CB629" i="11"/>
  <c r="BY629" i="11"/>
  <c r="CF629" i="11"/>
  <c r="CK629" i="11"/>
  <c r="CC629" i="11"/>
  <c r="CI629" i="11"/>
  <c r="CA629" i="11"/>
  <c r="CE629" i="11"/>
  <c r="CK525" i="11"/>
  <c r="CC525" i="11"/>
  <c r="CJ525" i="11"/>
  <c r="CI525" i="11"/>
  <c r="BX525" i="11"/>
  <c r="CF525" i="11"/>
  <c r="CA525" i="11"/>
  <c r="CE525" i="11"/>
  <c r="CL525" i="11"/>
  <c r="CB525" i="11"/>
  <c r="CH525" i="11"/>
  <c r="CG525" i="11"/>
  <c r="BY525" i="11"/>
  <c r="BZ525" i="11"/>
  <c r="CM525" i="11"/>
  <c r="CD525" i="11"/>
  <c r="BX421" i="11"/>
  <c r="CJ421" i="11"/>
  <c r="CE421" i="11"/>
  <c r="CL421" i="11"/>
  <c r="CA421" i="11"/>
  <c r="CI421" i="11"/>
  <c r="CF421" i="11"/>
  <c r="CD421" i="11"/>
  <c r="BZ421" i="11"/>
  <c r="BY421" i="11"/>
  <c r="CK421" i="11"/>
  <c r="CB421" i="11"/>
  <c r="CG421" i="11"/>
  <c r="CH421" i="11"/>
  <c r="CC421" i="11"/>
  <c r="CM421" i="11"/>
  <c r="CH317" i="11"/>
  <c r="CA317" i="11"/>
  <c r="CJ317" i="11"/>
  <c r="CF317" i="11"/>
  <c r="CM317" i="11"/>
  <c r="BZ317" i="11"/>
  <c r="CB317" i="11"/>
  <c r="CG317" i="11"/>
  <c r="CD317" i="11"/>
  <c r="CC317" i="11"/>
  <c r="BX317" i="11"/>
  <c r="BY317" i="11"/>
  <c r="CE317" i="11"/>
  <c r="CL317" i="11"/>
  <c r="CK317" i="11"/>
  <c r="CI317" i="11"/>
  <c r="CL213" i="11"/>
  <c r="CA213" i="11"/>
  <c r="CF213" i="11"/>
  <c r="CK213" i="11"/>
  <c r="CB213" i="11"/>
  <c r="CI213" i="11"/>
  <c r="CE213" i="11"/>
  <c r="CG213" i="11"/>
  <c r="CH213" i="11"/>
  <c r="CJ213" i="11"/>
  <c r="CC213" i="11"/>
  <c r="CM213" i="11"/>
  <c r="BX213" i="11"/>
  <c r="BZ213" i="11"/>
  <c r="BY213" i="11"/>
  <c r="CD213" i="11"/>
  <c r="BY109" i="11"/>
  <c r="CH109" i="11"/>
  <c r="CG109" i="11"/>
  <c r="CK109" i="11"/>
  <c r="CJ109" i="11"/>
  <c r="BX109" i="11"/>
  <c r="CF109" i="11"/>
  <c r="CD109" i="11"/>
  <c r="BZ109" i="11"/>
  <c r="CL109" i="11"/>
  <c r="CB109" i="11"/>
  <c r="CM109" i="11"/>
  <c r="CC109" i="11"/>
  <c r="CA109" i="11"/>
  <c r="CE109" i="11"/>
  <c r="CI109" i="11"/>
  <c r="CH810" i="11"/>
  <c r="CB810" i="11"/>
  <c r="BZ810" i="11"/>
  <c r="BY810" i="11"/>
  <c r="CM810" i="11"/>
  <c r="CC810" i="11"/>
  <c r="BX810" i="11"/>
  <c r="CG810" i="11"/>
  <c r="CK810" i="11"/>
  <c r="CJ810" i="11"/>
  <c r="CD810" i="11"/>
  <c r="CL810" i="11"/>
  <c r="CF810" i="11"/>
  <c r="CI810" i="11"/>
  <c r="CE810" i="11"/>
  <c r="CA810" i="11"/>
  <c r="CF706" i="11"/>
  <c r="BY706" i="11"/>
  <c r="CJ706" i="11"/>
  <c r="CB706" i="11"/>
  <c r="CG706" i="11"/>
  <c r="BZ706" i="11"/>
  <c r="CL706" i="11"/>
  <c r="CH706" i="11"/>
  <c r="CK706" i="11"/>
  <c r="CC706" i="11"/>
  <c r="BX706" i="11"/>
  <c r="CM706" i="11"/>
  <c r="CD706" i="11"/>
  <c r="CA706" i="11"/>
  <c r="CE706" i="11"/>
  <c r="CI706" i="11"/>
  <c r="CG602" i="11"/>
  <c r="CM602" i="11"/>
  <c r="CB602" i="11"/>
  <c r="CA602" i="11"/>
  <c r="CJ602" i="11"/>
  <c r="CF602" i="11"/>
  <c r="BY602" i="11"/>
  <c r="CD602" i="11"/>
  <c r="BX602" i="11"/>
  <c r="BZ602" i="11"/>
  <c r="CE602" i="11"/>
  <c r="CL602" i="11"/>
  <c r="CI602" i="11"/>
  <c r="CK602" i="11"/>
  <c r="CH602" i="11"/>
  <c r="CC602" i="11"/>
  <c r="CJ498" i="11"/>
  <c r="CL498" i="11"/>
  <c r="BZ498" i="11"/>
  <c r="CE498" i="11"/>
  <c r="CA498" i="11"/>
  <c r="CC498" i="11"/>
  <c r="CM498" i="11"/>
  <c r="CF498" i="11"/>
  <c r="BY498" i="11"/>
  <c r="BX498" i="11"/>
  <c r="CK498" i="11"/>
  <c r="CB498" i="11"/>
  <c r="CD498" i="11"/>
  <c r="CG498" i="11"/>
  <c r="CI498" i="11"/>
  <c r="CH498" i="11"/>
  <c r="CM394" i="11"/>
  <c r="CG394" i="11"/>
  <c r="CC394" i="11"/>
  <c r="CL394" i="11"/>
  <c r="CF394" i="11"/>
  <c r="CE394" i="11"/>
  <c r="BY394" i="11"/>
  <c r="CB394" i="11"/>
  <c r="BZ394" i="11"/>
  <c r="CH394" i="11"/>
  <c r="BX394" i="11"/>
  <c r="CI394" i="11"/>
  <c r="CA394" i="11"/>
  <c r="CD394" i="11"/>
  <c r="CJ394" i="11"/>
  <c r="CK394" i="11"/>
  <c r="CK290" i="11"/>
  <c r="BZ290" i="11"/>
  <c r="CE290" i="11"/>
  <c r="CD290" i="11"/>
  <c r="CI290" i="11"/>
  <c r="CG290" i="11"/>
  <c r="CA290" i="11"/>
  <c r="BY290" i="11"/>
  <c r="CL290" i="11"/>
  <c r="CJ290" i="11"/>
  <c r="CC290" i="11"/>
  <c r="CF290" i="11"/>
  <c r="CH290" i="11"/>
  <c r="CB290" i="11"/>
  <c r="CM290" i="11"/>
  <c r="BX290" i="11"/>
  <c r="CN290" i="11" s="1"/>
  <c r="CE186" i="11"/>
  <c r="CL186" i="11"/>
  <c r="BZ186" i="11"/>
  <c r="CK186" i="11"/>
  <c r="CI186" i="11"/>
  <c r="BY186" i="11"/>
  <c r="CD186" i="11"/>
  <c r="CF186" i="11"/>
  <c r="CH186" i="11"/>
  <c r="CA186" i="11"/>
  <c r="CB186" i="11"/>
  <c r="CM186" i="11"/>
  <c r="CG186" i="11"/>
  <c r="BX186" i="11"/>
  <c r="CJ186" i="11"/>
  <c r="CC186" i="11"/>
  <c r="CG82" i="11"/>
  <c r="BY82" i="11"/>
  <c r="CI82" i="11"/>
  <c r="CK82" i="11"/>
  <c r="CC82" i="11"/>
  <c r="CA82" i="11"/>
  <c r="CF82" i="11"/>
  <c r="CH82" i="11"/>
  <c r="CM82" i="11"/>
  <c r="CB82" i="11"/>
  <c r="CD82" i="11"/>
  <c r="BX82" i="11"/>
  <c r="BZ82" i="11"/>
  <c r="CJ82" i="11"/>
  <c r="CL82" i="11"/>
  <c r="CE82" i="11"/>
  <c r="CL783" i="11"/>
  <c r="CD783" i="11"/>
  <c r="CJ783" i="11"/>
  <c r="CA783" i="11"/>
  <c r="BX783" i="11"/>
  <c r="CF783" i="11"/>
  <c r="CI783" i="11"/>
  <c r="BZ783" i="11"/>
  <c r="CE783" i="11"/>
  <c r="BY783" i="11"/>
  <c r="CK783" i="11"/>
  <c r="CB783" i="11"/>
  <c r="CM783" i="11"/>
  <c r="CG783" i="11"/>
  <c r="CH783" i="11"/>
  <c r="CC783" i="11"/>
  <c r="CJ679" i="11"/>
  <c r="CA679" i="11"/>
  <c r="CI679" i="11"/>
  <c r="BX679" i="11"/>
  <c r="CE679" i="11"/>
  <c r="BY679" i="11"/>
  <c r="CK679" i="11"/>
  <c r="CF679" i="11"/>
  <c r="CC679" i="11"/>
  <c r="CL679" i="11"/>
  <c r="CB679" i="11"/>
  <c r="CH679" i="11"/>
  <c r="CG679" i="11"/>
  <c r="CD679" i="11"/>
  <c r="CM679" i="11"/>
  <c r="BZ679" i="11"/>
  <c r="CM575" i="11"/>
  <c r="CB575" i="11"/>
  <c r="CH575" i="11"/>
  <c r="BY575" i="11"/>
  <c r="CJ575" i="11"/>
  <c r="CD575" i="11"/>
  <c r="CK575" i="11"/>
  <c r="CL575" i="11"/>
  <c r="CE575" i="11"/>
  <c r="BX575" i="11"/>
  <c r="CG575" i="11"/>
  <c r="CF575" i="11"/>
  <c r="BZ575" i="11"/>
  <c r="CC575" i="11"/>
  <c r="CA575" i="11"/>
  <c r="CI575" i="11"/>
  <c r="CL471" i="11"/>
  <c r="CD471" i="11"/>
  <c r="CK471" i="11"/>
  <c r="CI471" i="11"/>
  <c r="BX471" i="11"/>
  <c r="BZ471" i="11"/>
  <c r="CA471" i="11"/>
  <c r="CJ471" i="11"/>
  <c r="CC471" i="11"/>
  <c r="CB471" i="11"/>
  <c r="CG471" i="11"/>
  <c r="CH471" i="11"/>
  <c r="CM471" i="11"/>
  <c r="BY471" i="11"/>
  <c r="CE471" i="11"/>
  <c r="CF471" i="11"/>
  <c r="CJ367" i="11"/>
  <c r="BY367" i="11"/>
  <c r="CC367" i="11"/>
  <c r="CF367" i="11"/>
  <c r="CB367" i="11"/>
  <c r="BX367" i="11"/>
  <c r="CL367" i="11"/>
  <c r="BZ367" i="11"/>
  <c r="CM367" i="11"/>
  <c r="CD367" i="11"/>
  <c r="CG367" i="11"/>
  <c r="CH367" i="11"/>
  <c r="CK367" i="11"/>
  <c r="CA367" i="11"/>
  <c r="CE367" i="11"/>
  <c r="CI367" i="11"/>
  <c r="CM263" i="11"/>
  <c r="CH263" i="11"/>
  <c r="CL263" i="11"/>
  <c r="CJ263" i="11"/>
  <c r="CB263" i="11"/>
  <c r="CD263" i="11"/>
  <c r="BY263" i="11"/>
  <c r="CG263" i="11"/>
  <c r="CC263" i="11"/>
  <c r="BZ263" i="11"/>
  <c r="CK263" i="11"/>
  <c r="CF263" i="11"/>
  <c r="BX263" i="11"/>
  <c r="CA263" i="11"/>
  <c r="CE263" i="11"/>
  <c r="CI263" i="11"/>
  <c r="BX159" i="11"/>
  <c r="CD159" i="11"/>
  <c r="CH159" i="11"/>
  <c r="CM159" i="11"/>
  <c r="CJ159" i="11"/>
  <c r="BZ159" i="11"/>
  <c r="CB159" i="11"/>
  <c r="CL159" i="11"/>
  <c r="CF159" i="11"/>
  <c r="CC159" i="11"/>
  <c r="CG159" i="11"/>
  <c r="CK159" i="11"/>
  <c r="BY159" i="11"/>
  <c r="CI159" i="11"/>
  <c r="CA159" i="11"/>
  <c r="CE159" i="11"/>
  <c r="CD55" i="11"/>
  <c r="BX55" i="11"/>
  <c r="CI55" i="11"/>
  <c r="CG55" i="11"/>
  <c r="CH55" i="11"/>
  <c r="CJ55" i="11"/>
  <c r="CC55" i="11"/>
  <c r="CM55" i="11"/>
  <c r="BY55" i="11"/>
  <c r="BZ55" i="11"/>
  <c r="CB55" i="11"/>
  <c r="CE55" i="11"/>
  <c r="CF55" i="11"/>
  <c r="CL55" i="11"/>
  <c r="CK55" i="11"/>
  <c r="CA55" i="11"/>
  <c r="BW129" i="11"/>
  <c r="BW103" i="11"/>
  <c r="CJ834" i="11"/>
  <c r="CC834" i="11"/>
  <c r="CL834" i="11"/>
  <c r="CM834" i="11"/>
  <c r="CI834" i="11"/>
  <c r="CG834" i="11"/>
  <c r="BZ834" i="11"/>
  <c r="CA834" i="11"/>
  <c r="BX834" i="11"/>
  <c r="BY834" i="11"/>
  <c r="CH834" i="11"/>
  <c r="CK834" i="11"/>
  <c r="CD834" i="11"/>
  <c r="CE834" i="11"/>
  <c r="CB834" i="11"/>
  <c r="CF834" i="11"/>
  <c r="CM418" i="11"/>
  <c r="CH418" i="11"/>
  <c r="CF418" i="11"/>
  <c r="CE418" i="11"/>
  <c r="BY418" i="11"/>
  <c r="CB418" i="11"/>
  <c r="BZ418" i="11"/>
  <c r="CL418" i="11"/>
  <c r="CC418" i="11"/>
  <c r="BX418" i="11"/>
  <c r="CI418" i="11"/>
  <c r="CG418" i="11"/>
  <c r="CJ418" i="11"/>
  <c r="CK418" i="11"/>
  <c r="CD418" i="11"/>
  <c r="CA418" i="11"/>
  <c r="CG807" i="11"/>
  <c r="CB807" i="11"/>
  <c r="CI807" i="11"/>
  <c r="CH807" i="11"/>
  <c r="CJ807" i="11"/>
  <c r="CM807" i="11"/>
  <c r="BX807" i="11"/>
  <c r="CK807" i="11"/>
  <c r="CA807" i="11"/>
  <c r="CD807" i="11"/>
  <c r="CE807" i="11"/>
  <c r="CF807" i="11"/>
  <c r="CL807" i="11"/>
  <c r="BZ807" i="11"/>
  <c r="BY807" i="11"/>
  <c r="CC807" i="11"/>
  <c r="CJ391" i="11"/>
  <c r="CL391" i="11"/>
  <c r="BY391" i="11"/>
  <c r="CB391" i="11"/>
  <c r="CD391" i="11"/>
  <c r="CC391" i="11"/>
  <c r="BZ391" i="11"/>
  <c r="BX391" i="11"/>
  <c r="CG391" i="11"/>
  <c r="CM391" i="11"/>
  <c r="CK391" i="11"/>
  <c r="CH391" i="11"/>
  <c r="CF391" i="11"/>
  <c r="CI391" i="11"/>
  <c r="CA391" i="11"/>
  <c r="CE391" i="11"/>
  <c r="CK780" i="11"/>
  <c r="CH780" i="11"/>
  <c r="CF780" i="11"/>
  <c r="CD780" i="11"/>
  <c r="CB780" i="11"/>
  <c r="CC780" i="11"/>
  <c r="BX780" i="11"/>
  <c r="CL780" i="11"/>
  <c r="CM780" i="11"/>
  <c r="CI780" i="11"/>
  <c r="BZ780" i="11"/>
  <c r="CJ780" i="11"/>
  <c r="CA780" i="11"/>
  <c r="BY780" i="11"/>
  <c r="CG780" i="11"/>
  <c r="CE780" i="11"/>
  <c r="CC260" i="11"/>
  <c r="BX260" i="11"/>
  <c r="CI260" i="11"/>
  <c r="CJ260" i="11"/>
  <c r="CA260" i="11"/>
  <c r="BY260" i="11"/>
  <c r="CK260" i="11"/>
  <c r="CF260" i="11"/>
  <c r="CE260" i="11"/>
  <c r="CH260" i="11"/>
  <c r="CG260" i="11"/>
  <c r="CD260" i="11"/>
  <c r="CM260" i="11"/>
  <c r="BZ260" i="11"/>
  <c r="CL260" i="11"/>
  <c r="CB260" i="11"/>
  <c r="CI808" i="11"/>
  <c r="CA808" i="11"/>
  <c r="CK808" i="11"/>
  <c r="CD808" i="11"/>
  <c r="BZ808" i="11"/>
  <c r="CE808" i="11"/>
  <c r="BY808" i="11"/>
  <c r="CG808" i="11"/>
  <c r="CL808" i="11"/>
  <c r="CB808" i="11"/>
  <c r="CM808" i="11"/>
  <c r="CF808" i="11"/>
  <c r="BX808" i="11"/>
  <c r="CJ808" i="11"/>
  <c r="CC808" i="11"/>
  <c r="CH808" i="11"/>
  <c r="CJ496" i="11"/>
  <c r="CE496" i="11"/>
  <c r="BY496" i="11"/>
  <c r="CK496" i="11"/>
  <c r="CF496" i="11"/>
  <c r="CC496" i="11"/>
  <c r="CA496" i="11"/>
  <c r="BX496" i="11"/>
  <c r="CI496" i="11"/>
  <c r="BZ496" i="11"/>
  <c r="CL496" i="11"/>
  <c r="CB496" i="11"/>
  <c r="CH496" i="11"/>
  <c r="CG496" i="11"/>
  <c r="CM496" i="11"/>
  <c r="CD496" i="11"/>
  <c r="BZ184" i="11"/>
  <c r="CJ184" i="11"/>
  <c r="CL184" i="11"/>
  <c r="CE184" i="11"/>
  <c r="CD184" i="11"/>
  <c r="CI184" i="11"/>
  <c r="BX184" i="11"/>
  <c r="CF184" i="11"/>
  <c r="CK184" i="11"/>
  <c r="CB184" i="11"/>
  <c r="CG184" i="11"/>
  <c r="CH184" i="11"/>
  <c r="CC184" i="11"/>
  <c r="CM184" i="11"/>
  <c r="BY184" i="11"/>
  <c r="CA184" i="11"/>
  <c r="CE677" i="11"/>
  <c r="CK677" i="11"/>
  <c r="BZ677" i="11"/>
  <c r="BX677" i="11"/>
  <c r="CL677" i="11"/>
  <c r="CM677" i="11"/>
  <c r="CJ677" i="11"/>
  <c r="CI677" i="11"/>
  <c r="CG677" i="11"/>
  <c r="CF677" i="11"/>
  <c r="CD677" i="11"/>
  <c r="CA677" i="11"/>
  <c r="CB677" i="11"/>
  <c r="BY677" i="11"/>
  <c r="CH677" i="11"/>
  <c r="CC677" i="11"/>
  <c r="CB573" i="11"/>
  <c r="CM573" i="11"/>
  <c r="CG573" i="11"/>
  <c r="CL573" i="11"/>
  <c r="CK573" i="11"/>
  <c r="CE573" i="11"/>
  <c r="BX573" i="11"/>
  <c r="CH573" i="11"/>
  <c r="CF573" i="11"/>
  <c r="BY573" i="11"/>
  <c r="CD573" i="11"/>
  <c r="CA573" i="11"/>
  <c r="CI573" i="11"/>
  <c r="BZ573" i="11"/>
  <c r="CJ573" i="11"/>
  <c r="CC573" i="11"/>
  <c r="BY261" i="11"/>
  <c r="CG261" i="11"/>
  <c r="CK261" i="11"/>
  <c r="CD261" i="11"/>
  <c r="CI261" i="11"/>
  <c r="CA261" i="11"/>
  <c r="CL261" i="11"/>
  <c r="BZ261" i="11"/>
  <c r="CE261" i="11"/>
  <c r="CB261" i="11"/>
  <c r="CM261" i="11"/>
  <c r="BX261" i="11"/>
  <c r="CJ261" i="11"/>
  <c r="CC261" i="11"/>
  <c r="CH261" i="11"/>
  <c r="CF261" i="11"/>
  <c r="CC754" i="11"/>
  <c r="CF754" i="11"/>
  <c r="CJ754" i="11"/>
  <c r="BX754" i="11"/>
  <c r="CK754" i="11"/>
  <c r="CA754" i="11"/>
  <c r="CI754" i="11"/>
  <c r="CH754" i="11"/>
  <c r="CG754" i="11"/>
  <c r="CD754" i="11"/>
  <c r="CM754" i="11"/>
  <c r="BY754" i="11"/>
  <c r="BZ754" i="11"/>
  <c r="CE754" i="11"/>
  <c r="CL754" i="11"/>
  <c r="CB754" i="11"/>
  <c r="CH442" i="11"/>
  <c r="CJ442" i="11"/>
  <c r="CI442" i="11"/>
  <c r="CG442" i="11"/>
  <c r="CK442" i="11"/>
  <c r="CF442" i="11"/>
  <c r="CD442" i="11"/>
  <c r="CA442" i="11"/>
  <c r="BZ442" i="11"/>
  <c r="CB442" i="11"/>
  <c r="BY442" i="11"/>
  <c r="CM442" i="11"/>
  <c r="CE442" i="11"/>
  <c r="BX442" i="11"/>
  <c r="CN442" i="11" s="1"/>
  <c r="CL442" i="11"/>
  <c r="CC442" i="11"/>
  <c r="CM130" i="11"/>
  <c r="CB130" i="11"/>
  <c r="BX130" i="11"/>
  <c r="CF130" i="11"/>
  <c r="CJ130" i="11"/>
  <c r="CD130" i="11"/>
  <c r="BZ130" i="11"/>
  <c r="CL130" i="11"/>
  <c r="CH130" i="11"/>
  <c r="BY130" i="11"/>
  <c r="CC130" i="11"/>
  <c r="CG130" i="11"/>
  <c r="CK130" i="11"/>
  <c r="CA130" i="11"/>
  <c r="CE130" i="11"/>
  <c r="CI130" i="11"/>
  <c r="CG804" i="11"/>
  <c r="BY804" i="11"/>
  <c r="CI804" i="11"/>
  <c r="CA804" i="11"/>
  <c r="CM804" i="11"/>
  <c r="CC804" i="11"/>
  <c r="CH804" i="11"/>
  <c r="CF804" i="11"/>
  <c r="CE804" i="11"/>
  <c r="CK804" i="11"/>
  <c r="CB804" i="11"/>
  <c r="BZ804" i="11"/>
  <c r="CL804" i="11"/>
  <c r="BX804" i="11"/>
  <c r="CN804" i="11" s="1"/>
  <c r="CD804" i="11"/>
  <c r="CJ804" i="11"/>
  <c r="CK700" i="11"/>
  <c r="CL700" i="11"/>
  <c r="BZ700" i="11"/>
  <c r="BY700" i="11"/>
  <c r="CD700" i="11"/>
  <c r="CG700" i="11"/>
  <c r="CI700" i="11"/>
  <c r="CA700" i="11"/>
  <c r="CE700" i="11"/>
  <c r="CF700" i="11"/>
  <c r="CH700" i="11"/>
  <c r="CB700" i="11"/>
  <c r="CM700" i="11"/>
  <c r="BX700" i="11"/>
  <c r="CN700" i="11" s="1"/>
  <c r="CJ700" i="11"/>
  <c r="CC700" i="11"/>
  <c r="CL596" i="11"/>
  <c r="CB596" i="11"/>
  <c r="CH596" i="11"/>
  <c r="CG596" i="11"/>
  <c r="BX596" i="11"/>
  <c r="BZ596" i="11"/>
  <c r="CF596" i="11"/>
  <c r="BY596" i="11"/>
  <c r="CM596" i="11"/>
  <c r="CC596" i="11"/>
  <c r="CJ596" i="11"/>
  <c r="CK596" i="11"/>
  <c r="CD596" i="11"/>
  <c r="CI596" i="11"/>
  <c r="CA596" i="11"/>
  <c r="CE596" i="11"/>
  <c r="CA492" i="11"/>
  <c r="CJ492" i="11"/>
  <c r="CK492" i="11"/>
  <c r="BX492" i="11"/>
  <c r="CC492" i="11"/>
  <c r="CI492" i="11"/>
  <c r="CF492" i="11"/>
  <c r="CL492" i="11"/>
  <c r="CB492" i="11"/>
  <c r="BY492" i="11"/>
  <c r="CH492" i="11"/>
  <c r="CG492" i="11"/>
  <c r="BZ492" i="11"/>
  <c r="CE492" i="11"/>
  <c r="CM492" i="11"/>
  <c r="CD492" i="11"/>
  <c r="CM388" i="11"/>
  <c r="CF388" i="11"/>
  <c r="CB388" i="11"/>
  <c r="CA388" i="11"/>
  <c r="CL388" i="11"/>
  <c r="CC388" i="11"/>
  <c r="BZ388" i="11"/>
  <c r="CH388" i="11"/>
  <c r="BY388" i="11"/>
  <c r="CI388" i="11"/>
  <c r="CK388" i="11"/>
  <c r="CJ388" i="11"/>
  <c r="CD388" i="11"/>
  <c r="CE388" i="11"/>
  <c r="BX388" i="11"/>
  <c r="CG388" i="11"/>
  <c r="CF284" i="11"/>
  <c r="CD284" i="11"/>
  <c r="BZ284" i="11"/>
  <c r="CL284" i="11"/>
  <c r="CE284" i="11"/>
  <c r="CI284" i="11"/>
  <c r="BX284" i="11"/>
  <c r="CA284" i="11"/>
  <c r="CJ284" i="11"/>
  <c r="BY284" i="11"/>
  <c r="CK284" i="11"/>
  <c r="CB284" i="11"/>
  <c r="CG284" i="11"/>
  <c r="CH284" i="11"/>
  <c r="CC284" i="11"/>
  <c r="CM284" i="11"/>
  <c r="CH180" i="11"/>
  <c r="BZ180" i="11"/>
  <c r="CG180" i="11"/>
  <c r="CJ180" i="11"/>
  <c r="CK180" i="11"/>
  <c r="BX180" i="11"/>
  <c r="CD180" i="11"/>
  <c r="CF180" i="11"/>
  <c r="CB180" i="11"/>
  <c r="BY180" i="11"/>
  <c r="CL180" i="11"/>
  <c r="CM180" i="11"/>
  <c r="CC180" i="11"/>
  <c r="CA180" i="11"/>
  <c r="CE180" i="11"/>
  <c r="CI180" i="11"/>
  <c r="BX76" i="11"/>
  <c r="CG76" i="11"/>
  <c r="BZ76" i="11"/>
  <c r="CF76" i="11"/>
  <c r="CL76" i="11"/>
  <c r="CB76" i="11"/>
  <c r="CH76" i="11"/>
  <c r="CM76" i="11"/>
  <c r="CC76" i="11"/>
  <c r="CJ76" i="11"/>
  <c r="CK76" i="11"/>
  <c r="CD76" i="11"/>
  <c r="BY76" i="11"/>
  <c r="CA76" i="11"/>
  <c r="CE76" i="11"/>
  <c r="CI76" i="11"/>
  <c r="CJ49" i="11"/>
  <c r="CA49" i="11"/>
  <c r="CK49" i="11"/>
  <c r="CE49" i="11"/>
  <c r="BY49" i="11"/>
  <c r="CF49" i="11"/>
  <c r="CH49" i="11"/>
  <c r="CG49" i="11"/>
  <c r="CD49" i="11"/>
  <c r="CM49" i="11"/>
  <c r="BZ49" i="11"/>
  <c r="BX49" i="11"/>
  <c r="CL49" i="11"/>
  <c r="CC49" i="11"/>
  <c r="CB49" i="11"/>
  <c r="CI49" i="11"/>
  <c r="CF750" i="11"/>
  <c r="BY750" i="11"/>
  <c r="CE750" i="11"/>
  <c r="CK750" i="11"/>
  <c r="BX750" i="11"/>
  <c r="CJ750" i="11"/>
  <c r="CI750" i="11"/>
  <c r="CC750" i="11"/>
  <c r="CA750" i="11"/>
  <c r="CL750" i="11"/>
  <c r="CB750" i="11"/>
  <c r="CH750" i="11"/>
  <c r="CG750" i="11"/>
  <c r="CD750" i="11"/>
  <c r="CM750" i="11"/>
  <c r="BZ750" i="11"/>
  <c r="CD646" i="11"/>
  <c r="CE646" i="11"/>
  <c r="CJ646" i="11"/>
  <c r="BX646" i="11"/>
  <c r="BZ646" i="11"/>
  <c r="CF646" i="11"/>
  <c r="CI646" i="11"/>
  <c r="CL646" i="11"/>
  <c r="CA646" i="11"/>
  <c r="CG646" i="11"/>
  <c r="CH646" i="11"/>
  <c r="CC646" i="11"/>
  <c r="CM646" i="11"/>
  <c r="BY646" i="11"/>
  <c r="CK646" i="11"/>
  <c r="CB646" i="11"/>
  <c r="BY542" i="11"/>
  <c r="CD542" i="11"/>
  <c r="CL542" i="11"/>
  <c r="CA542" i="11"/>
  <c r="CI542" i="11"/>
  <c r="CK542" i="11"/>
  <c r="BZ542" i="11"/>
  <c r="CE542" i="11"/>
  <c r="CG542" i="11"/>
  <c r="BX542" i="11"/>
  <c r="CJ542" i="11"/>
  <c r="CC542" i="11"/>
  <c r="CF542" i="11"/>
  <c r="CH542" i="11"/>
  <c r="CM542" i="11"/>
  <c r="CB542" i="11"/>
  <c r="CH438" i="11"/>
  <c r="CF438" i="11"/>
  <c r="CG438" i="11"/>
  <c r="BY438" i="11"/>
  <c r="BZ438" i="11"/>
  <c r="CB438" i="11"/>
  <c r="CA438" i="11"/>
  <c r="CM438" i="11"/>
  <c r="CE438" i="11"/>
  <c r="BX438" i="11"/>
  <c r="CI438" i="11"/>
  <c r="CC438" i="11"/>
  <c r="CL438" i="11"/>
  <c r="CD438" i="11"/>
  <c r="CK438" i="11"/>
  <c r="CJ438" i="11"/>
  <c r="CK334" i="11"/>
  <c r="BX334" i="11"/>
  <c r="CF334" i="11"/>
  <c r="CH334" i="11"/>
  <c r="BY334" i="11"/>
  <c r="BZ334" i="11"/>
  <c r="CD334" i="11"/>
  <c r="CJ334" i="11"/>
  <c r="CC334" i="11"/>
  <c r="CM334" i="11"/>
  <c r="CG334" i="11"/>
  <c r="CL334" i="11"/>
  <c r="CB334" i="11"/>
  <c r="CA334" i="11"/>
  <c r="CE334" i="11"/>
  <c r="CI334" i="11"/>
  <c r="BZ230" i="11"/>
  <c r="CC230" i="11"/>
  <c r="CJ230" i="11"/>
  <c r="CH230" i="11"/>
  <c r="CK230" i="11"/>
  <c r="BX230" i="11"/>
  <c r="BY230" i="11"/>
  <c r="CD230" i="11"/>
  <c r="CM230" i="11"/>
  <c r="CF230" i="11"/>
  <c r="CG230" i="11"/>
  <c r="CL230" i="11"/>
  <c r="CB230" i="11"/>
  <c r="CA230" i="11"/>
  <c r="CE230" i="11"/>
  <c r="CI230" i="11"/>
  <c r="CD126" i="11"/>
  <c r="CM126" i="11"/>
  <c r="BX126" i="11"/>
  <c r="CH126" i="11"/>
  <c r="CJ126" i="11"/>
  <c r="CB126" i="11"/>
  <c r="BZ126" i="11"/>
  <c r="CL126" i="11"/>
  <c r="CF126" i="11"/>
  <c r="BY126" i="11"/>
  <c r="CC126" i="11"/>
  <c r="CG126" i="11"/>
  <c r="CK126" i="11"/>
  <c r="CI126" i="11"/>
  <c r="CA126" i="11"/>
  <c r="CE126" i="11"/>
  <c r="CJ827" i="11"/>
  <c r="CG827" i="11"/>
  <c r="BY827" i="11"/>
  <c r="BZ827" i="11"/>
  <c r="CH827" i="11"/>
  <c r="CL827" i="11"/>
  <c r="CC827" i="11"/>
  <c r="CK827" i="11"/>
  <c r="CD827" i="11"/>
  <c r="CE827" i="11"/>
  <c r="CB827" i="11"/>
  <c r="CA827" i="11"/>
  <c r="BX827" i="11"/>
  <c r="CI827" i="11"/>
  <c r="CF827" i="11"/>
  <c r="CM827" i="11"/>
  <c r="CE723" i="11"/>
  <c r="CL723" i="11"/>
  <c r="CA723" i="11"/>
  <c r="BX723" i="11"/>
  <c r="CI723" i="11"/>
  <c r="CJ723" i="11"/>
  <c r="BZ723" i="11"/>
  <c r="CF723" i="11"/>
  <c r="CD723" i="11"/>
  <c r="CK723" i="11"/>
  <c r="CB723" i="11"/>
  <c r="CG723" i="11"/>
  <c r="CH723" i="11"/>
  <c r="CC723" i="11"/>
  <c r="CM723" i="11"/>
  <c r="BY723" i="11"/>
  <c r="CE619" i="11"/>
  <c r="CK619" i="11"/>
  <c r="CC619" i="11"/>
  <c r="BX619" i="11"/>
  <c r="CI619" i="11"/>
  <c r="CM619" i="11"/>
  <c r="CJ619" i="11"/>
  <c r="CL619" i="11"/>
  <c r="CD619" i="11"/>
  <c r="CF619" i="11"/>
  <c r="CG619" i="11"/>
  <c r="BY619" i="11"/>
  <c r="BZ619" i="11"/>
  <c r="CB619" i="11"/>
  <c r="CA619" i="11"/>
  <c r="CH619" i="11"/>
  <c r="CH515" i="11"/>
  <c r="CF515" i="11"/>
  <c r="CB515" i="11"/>
  <c r="CG515" i="11"/>
  <c r="CL515" i="11"/>
  <c r="BX515" i="11"/>
  <c r="BZ515" i="11"/>
  <c r="CM515" i="11"/>
  <c r="CJ515" i="11"/>
  <c r="CD515" i="11"/>
  <c r="BY515" i="11"/>
  <c r="CC515" i="11"/>
  <c r="CK515" i="11"/>
  <c r="CA515" i="11"/>
  <c r="CE515" i="11"/>
  <c r="CI515" i="11"/>
  <c r="CF411" i="11"/>
  <c r="BY411" i="11"/>
  <c r="CE411" i="11"/>
  <c r="CJ411" i="11"/>
  <c r="CK411" i="11"/>
  <c r="CA411" i="11"/>
  <c r="CH411" i="11"/>
  <c r="CG411" i="11"/>
  <c r="CC411" i="11"/>
  <c r="CD411" i="11"/>
  <c r="CM411" i="11"/>
  <c r="CI411" i="11"/>
  <c r="BZ411" i="11"/>
  <c r="BX411" i="11"/>
  <c r="CN411" i="11" s="1"/>
  <c r="CL411" i="11"/>
  <c r="CB411" i="11"/>
  <c r="CI307" i="11"/>
  <c r="CG307" i="11"/>
  <c r="CA307" i="11"/>
  <c r="CF307" i="11"/>
  <c r="CM307" i="11"/>
  <c r="BX307" i="11"/>
  <c r="CB307" i="11"/>
  <c r="CL307" i="11"/>
  <c r="CJ307" i="11"/>
  <c r="CK307" i="11"/>
  <c r="CH307" i="11"/>
  <c r="CE307" i="11"/>
  <c r="CD307" i="11"/>
  <c r="BY307" i="11"/>
  <c r="BZ307" i="11"/>
  <c r="CC307" i="11"/>
  <c r="CE203" i="11"/>
  <c r="CC203" i="11"/>
  <c r="CA203" i="11"/>
  <c r="BX203" i="11"/>
  <c r="CJ203" i="11"/>
  <c r="CK203" i="11"/>
  <c r="BY203" i="11"/>
  <c r="CI203" i="11"/>
  <c r="CF203" i="11"/>
  <c r="CH203" i="11"/>
  <c r="CG203" i="11"/>
  <c r="CD203" i="11"/>
  <c r="CM203" i="11"/>
  <c r="BZ203" i="11"/>
  <c r="CL203" i="11"/>
  <c r="CB203" i="11"/>
  <c r="BY99" i="11"/>
  <c r="CG99" i="11"/>
  <c r="CH99" i="11"/>
  <c r="CF99" i="11"/>
  <c r="CM99" i="11"/>
  <c r="CD99" i="11"/>
  <c r="CB99" i="11"/>
  <c r="BZ99" i="11"/>
  <c r="BX99" i="11"/>
  <c r="CE99" i="11"/>
  <c r="CI99" i="11"/>
  <c r="CC99" i="11"/>
  <c r="CL99" i="11"/>
  <c r="CK99" i="11"/>
  <c r="CJ99" i="11"/>
  <c r="CA99" i="11"/>
  <c r="CK800" i="11"/>
  <c r="CL800" i="11"/>
  <c r="CI800" i="11"/>
  <c r="BY800" i="11"/>
  <c r="CA800" i="11"/>
  <c r="CE800" i="11"/>
  <c r="CG800" i="11"/>
  <c r="BZ800" i="11"/>
  <c r="CD800" i="11"/>
  <c r="CF800" i="11"/>
  <c r="CH800" i="11"/>
  <c r="CB800" i="11"/>
  <c r="CM800" i="11"/>
  <c r="CC800" i="11"/>
  <c r="BX800" i="11"/>
  <c r="CJ800" i="11"/>
  <c r="CI696" i="11"/>
  <c r="CM696" i="11"/>
  <c r="CF696" i="11"/>
  <c r="CE696" i="11"/>
  <c r="CA696" i="11"/>
  <c r="CC696" i="11"/>
  <c r="CB696" i="11"/>
  <c r="BZ696" i="11"/>
  <c r="BY696" i="11"/>
  <c r="CH696" i="11"/>
  <c r="BX696" i="11"/>
  <c r="CD696" i="11"/>
  <c r="CG696" i="11"/>
  <c r="CJ696" i="11"/>
  <c r="CK696" i="11"/>
  <c r="CL696" i="11"/>
  <c r="CL592" i="11"/>
  <c r="BZ592" i="11"/>
  <c r="CG592" i="11"/>
  <c r="CF592" i="11"/>
  <c r="CB592" i="11"/>
  <c r="CH592" i="11"/>
  <c r="BX592" i="11"/>
  <c r="BY592" i="11"/>
  <c r="CM592" i="11"/>
  <c r="CC592" i="11"/>
  <c r="CJ592" i="11"/>
  <c r="CK592" i="11"/>
  <c r="CD592" i="11"/>
  <c r="CA592" i="11"/>
  <c r="CE592" i="11"/>
  <c r="CI592" i="11"/>
  <c r="CJ488" i="11"/>
  <c r="BY488" i="11"/>
  <c r="CA488" i="11"/>
  <c r="CC488" i="11"/>
  <c r="BX488" i="11"/>
  <c r="CF488" i="11"/>
  <c r="CI488" i="11"/>
  <c r="CE488" i="11"/>
  <c r="CK488" i="11"/>
  <c r="CD488" i="11"/>
  <c r="CM488" i="11"/>
  <c r="BZ488" i="11"/>
  <c r="CL488" i="11"/>
  <c r="CB488" i="11"/>
  <c r="CH488" i="11"/>
  <c r="CG488" i="11"/>
  <c r="CF384" i="11"/>
  <c r="BY384" i="11"/>
  <c r="CI384" i="11"/>
  <c r="CA384" i="11"/>
  <c r="CB384" i="11"/>
  <c r="CK384" i="11"/>
  <c r="CJ384" i="11"/>
  <c r="CD384" i="11"/>
  <c r="CL384" i="11"/>
  <c r="CM384" i="11"/>
  <c r="CG384" i="11"/>
  <c r="CE384" i="11"/>
  <c r="BX384" i="11"/>
  <c r="BZ384" i="11"/>
  <c r="CH384" i="11"/>
  <c r="CC384" i="11"/>
  <c r="BZ280" i="11"/>
  <c r="CF280" i="11"/>
  <c r="CD280" i="11"/>
  <c r="CE280" i="11"/>
  <c r="CJ280" i="11"/>
  <c r="BX280" i="11"/>
  <c r="CI280" i="11"/>
  <c r="CL280" i="11"/>
  <c r="CA280" i="11"/>
  <c r="CG280" i="11"/>
  <c r="CH280" i="11"/>
  <c r="CC280" i="11"/>
  <c r="CM280" i="11"/>
  <c r="BY280" i="11"/>
  <c r="CK280" i="11"/>
  <c r="CB280" i="11"/>
  <c r="CJ176" i="11"/>
  <c r="CK176" i="11"/>
  <c r="CD176" i="11"/>
  <c r="BY176" i="11"/>
  <c r="CM176" i="11"/>
  <c r="CC176" i="11"/>
  <c r="CF176" i="11"/>
  <c r="CB176" i="11"/>
  <c r="CL176" i="11"/>
  <c r="BZ176" i="11"/>
  <c r="CH176" i="11"/>
  <c r="CG176" i="11"/>
  <c r="BX176" i="11"/>
  <c r="CE176" i="11"/>
  <c r="CI176" i="11"/>
  <c r="CA176" i="11"/>
  <c r="CF72" i="11"/>
  <c r="BZ72" i="11"/>
  <c r="CH72" i="11"/>
  <c r="CL72" i="11"/>
  <c r="BY72" i="11"/>
  <c r="CD72" i="11"/>
  <c r="CC72" i="11"/>
  <c r="CK72" i="11"/>
  <c r="BX72" i="11"/>
  <c r="CM72" i="11"/>
  <c r="CJ72" i="11"/>
  <c r="CB72" i="11"/>
  <c r="CG72" i="11"/>
  <c r="CE72" i="11"/>
  <c r="CI72" i="11"/>
  <c r="CA72" i="11"/>
  <c r="CJ773" i="11"/>
  <c r="BX773" i="11"/>
  <c r="CF773" i="11"/>
  <c r="CA773" i="11"/>
  <c r="CK773" i="11"/>
  <c r="BY773" i="11"/>
  <c r="CE773" i="11"/>
  <c r="CI773" i="11"/>
  <c r="CC773" i="11"/>
  <c r="CL773" i="11"/>
  <c r="CB773" i="11"/>
  <c r="BZ773" i="11"/>
  <c r="CH773" i="11"/>
  <c r="CG773" i="11"/>
  <c r="CD773" i="11"/>
  <c r="CM773" i="11"/>
  <c r="CK669" i="11"/>
  <c r="CC669" i="11"/>
  <c r="CG669" i="11"/>
  <c r="BY669" i="11"/>
  <c r="BX669" i="11"/>
  <c r="BZ669" i="11"/>
  <c r="CJ669" i="11"/>
  <c r="CL669" i="11"/>
  <c r="CE669" i="11"/>
  <c r="CA669" i="11"/>
  <c r="CF669" i="11"/>
  <c r="CH669" i="11"/>
  <c r="CM669" i="11"/>
  <c r="CI669" i="11"/>
  <c r="CB669" i="11"/>
  <c r="CD669" i="11"/>
  <c r="CB565" i="11"/>
  <c r="CG565" i="11"/>
  <c r="CM565" i="11"/>
  <c r="CL565" i="11"/>
  <c r="CK565" i="11"/>
  <c r="CE565" i="11"/>
  <c r="BX565" i="11"/>
  <c r="CH565" i="11"/>
  <c r="CF565" i="11"/>
  <c r="BY565" i="11"/>
  <c r="CD565" i="11"/>
  <c r="CA565" i="11"/>
  <c r="CI565" i="11"/>
  <c r="BZ565" i="11"/>
  <c r="CJ565" i="11"/>
  <c r="CC565" i="11"/>
  <c r="CI461" i="11"/>
  <c r="CJ461" i="11"/>
  <c r="CD461" i="11"/>
  <c r="BX461" i="11"/>
  <c r="CA461" i="11"/>
  <c r="CF461" i="11"/>
  <c r="CL461" i="11"/>
  <c r="BZ461" i="11"/>
  <c r="CK461" i="11"/>
  <c r="CB461" i="11"/>
  <c r="CE461" i="11"/>
  <c r="CG461" i="11"/>
  <c r="CH461" i="11"/>
  <c r="BY461" i="11"/>
  <c r="CM461" i="11"/>
  <c r="CC461" i="11"/>
  <c r="CD357" i="11"/>
  <c r="BZ357" i="11"/>
  <c r="CE357" i="11"/>
  <c r="CI357" i="11"/>
  <c r="CA357" i="11"/>
  <c r="BY357" i="11"/>
  <c r="CK357" i="11"/>
  <c r="CG357" i="11"/>
  <c r="CL357" i="11"/>
  <c r="BX357" i="11"/>
  <c r="CJ357" i="11"/>
  <c r="CC357" i="11"/>
  <c r="CF357" i="11"/>
  <c r="CH357" i="11"/>
  <c r="CB357" i="11"/>
  <c r="CM357" i="11"/>
  <c r="CG253" i="11"/>
  <c r="CD253" i="11"/>
  <c r="CK253" i="11"/>
  <c r="CI253" i="11"/>
  <c r="BY253" i="11"/>
  <c r="CL253" i="11"/>
  <c r="CA253" i="11"/>
  <c r="BZ253" i="11"/>
  <c r="CE253" i="11"/>
  <c r="CJ253" i="11"/>
  <c r="CC253" i="11"/>
  <c r="CF253" i="11"/>
  <c r="CH253" i="11"/>
  <c r="CB253" i="11"/>
  <c r="CM253" i="11"/>
  <c r="BX253" i="11"/>
  <c r="CE149" i="11"/>
  <c r="CI149" i="11"/>
  <c r="CF149" i="11"/>
  <c r="CH149" i="11"/>
  <c r="CG149" i="11"/>
  <c r="CB149" i="11"/>
  <c r="CD149" i="11"/>
  <c r="CC149" i="11"/>
  <c r="CA149" i="11"/>
  <c r="BX149" i="11"/>
  <c r="BZ149" i="11"/>
  <c r="BY149" i="11"/>
  <c r="CJ149" i="11"/>
  <c r="CL149" i="11"/>
  <c r="CK149" i="11"/>
  <c r="CM149" i="11"/>
  <c r="CI45" i="11"/>
  <c r="BX45" i="11"/>
  <c r="CC45" i="11"/>
  <c r="CD45" i="11"/>
  <c r="CM45" i="11"/>
  <c r="CJ45" i="11"/>
  <c r="BZ45" i="11"/>
  <c r="CL45" i="11"/>
  <c r="CB45" i="11"/>
  <c r="BY45" i="11"/>
  <c r="CH45" i="11"/>
  <c r="CA45" i="11"/>
  <c r="CG45" i="11"/>
  <c r="CF45" i="11"/>
  <c r="CE45" i="11"/>
  <c r="CK45" i="11"/>
  <c r="CK746" i="11"/>
  <c r="CC746" i="11"/>
  <c r="BY746" i="11"/>
  <c r="CI746" i="11"/>
  <c r="CG746" i="11"/>
  <c r="CA746" i="11"/>
  <c r="BX746" i="11"/>
  <c r="BZ746" i="11"/>
  <c r="CJ746" i="11"/>
  <c r="CL746" i="11"/>
  <c r="CE746" i="11"/>
  <c r="CF746" i="11"/>
  <c r="CH746" i="11"/>
  <c r="CM746" i="11"/>
  <c r="CB746" i="11"/>
  <c r="CD746" i="11"/>
  <c r="CL642" i="11"/>
  <c r="CE642" i="11"/>
  <c r="CF642" i="11"/>
  <c r="BZ642" i="11"/>
  <c r="CI642" i="11"/>
  <c r="CJ642" i="11"/>
  <c r="CD642" i="11"/>
  <c r="CA642" i="11"/>
  <c r="BX642" i="11"/>
  <c r="CK642" i="11"/>
  <c r="CB642" i="11"/>
  <c r="CG642" i="11"/>
  <c r="CH642" i="11"/>
  <c r="CC642" i="11"/>
  <c r="CM642" i="11"/>
  <c r="BY642" i="11"/>
  <c r="CL538" i="11"/>
  <c r="BY538" i="11"/>
  <c r="CD538" i="11"/>
  <c r="CA538" i="11"/>
  <c r="CG538" i="11"/>
  <c r="CK538" i="11"/>
  <c r="CI538" i="11"/>
  <c r="BZ538" i="11"/>
  <c r="CE538" i="11"/>
  <c r="CJ538" i="11"/>
  <c r="CC538" i="11"/>
  <c r="CF538" i="11"/>
  <c r="CH538" i="11"/>
  <c r="CB538" i="11"/>
  <c r="BX538" i="11"/>
  <c r="CM538" i="11"/>
  <c r="CJ434" i="11"/>
  <c r="CI434" i="11"/>
  <c r="CG434" i="11"/>
  <c r="CK434" i="11"/>
  <c r="CF434" i="11"/>
  <c r="CD434" i="11"/>
  <c r="CA434" i="11"/>
  <c r="BZ434" i="11"/>
  <c r="CH434" i="11"/>
  <c r="CB434" i="11"/>
  <c r="BY434" i="11"/>
  <c r="CM434" i="11"/>
  <c r="CE434" i="11"/>
  <c r="BX434" i="11"/>
  <c r="CN434" i="11" s="1"/>
  <c r="CL434" i="11"/>
  <c r="CC434" i="11"/>
  <c r="CH330" i="11"/>
  <c r="BZ330" i="11"/>
  <c r="CK330" i="11"/>
  <c r="CJ330" i="11"/>
  <c r="CC330" i="11"/>
  <c r="BX330" i="11"/>
  <c r="BY330" i="11"/>
  <c r="CD330" i="11"/>
  <c r="CM330" i="11"/>
  <c r="CF330" i="11"/>
  <c r="CB330" i="11"/>
  <c r="CG330" i="11"/>
  <c r="CL330" i="11"/>
  <c r="CI330" i="11"/>
  <c r="CA330" i="11"/>
  <c r="CE330" i="11"/>
  <c r="BZ226" i="11"/>
  <c r="CC226" i="11"/>
  <c r="CF226" i="11"/>
  <c r="CJ226" i="11"/>
  <c r="BY226" i="11"/>
  <c r="CD226" i="11"/>
  <c r="CK226" i="11"/>
  <c r="CM226" i="11"/>
  <c r="BX226" i="11"/>
  <c r="CH226" i="11"/>
  <c r="CB226" i="11"/>
  <c r="CG226" i="11"/>
  <c r="CL226" i="11"/>
  <c r="CI226" i="11"/>
  <c r="CA226" i="11"/>
  <c r="CE226" i="11"/>
  <c r="CD122" i="11"/>
  <c r="CL122" i="11"/>
  <c r="CB122" i="11"/>
  <c r="BX122" i="11"/>
  <c r="CH122" i="11"/>
  <c r="CJ122" i="11"/>
  <c r="BZ122" i="11"/>
  <c r="CF122" i="11"/>
  <c r="CM122" i="11"/>
  <c r="CG122" i="11"/>
  <c r="CK122" i="11"/>
  <c r="BY122" i="11"/>
  <c r="CC122" i="11"/>
  <c r="CA122" i="11"/>
  <c r="CE122" i="11"/>
  <c r="CI122" i="11"/>
  <c r="CL823" i="11"/>
  <c r="BZ823" i="11"/>
  <c r="CK823" i="11"/>
  <c r="CE823" i="11"/>
  <c r="CG823" i="11"/>
  <c r="CA823" i="11"/>
  <c r="CB823" i="11"/>
  <c r="CM823" i="11"/>
  <c r="BY823" i="11"/>
  <c r="CH823" i="11"/>
  <c r="BX823" i="11"/>
  <c r="CD823" i="11"/>
  <c r="CF823" i="11"/>
  <c r="CJ823" i="11"/>
  <c r="CC823" i="11"/>
  <c r="CI823" i="11"/>
  <c r="CI719" i="11"/>
  <c r="CA719" i="11"/>
  <c r="CJ719" i="11"/>
  <c r="BX719" i="11"/>
  <c r="CD719" i="11"/>
  <c r="CL719" i="11"/>
  <c r="CF719" i="11"/>
  <c r="BZ719" i="11"/>
  <c r="CE719" i="11"/>
  <c r="CC719" i="11"/>
  <c r="CM719" i="11"/>
  <c r="BY719" i="11"/>
  <c r="CK719" i="11"/>
  <c r="CB719" i="11"/>
  <c r="CG719" i="11"/>
  <c r="CH719" i="11"/>
  <c r="CE615" i="11"/>
  <c r="CB615" i="11"/>
  <c r="BY615" i="11"/>
  <c r="CH615" i="11"/>
  <c r="BX615" i="11"/>
  <c r="CL615" i="11"/>
  <c r="BZ615" i="11"/>
  <c r="CC615" i="11"/>
  <c r="CJ615" i="11"/>
  <c r="CI615" i="11"/>
  <c r="CG615" i="11"/>
  <c r="CK615" i="11"/>
  <c r="CM615" i="11"/>
  <c r="CF615" i="11"/>
  <c r="CD615" i="11"/>
  <c r="CA615" i="11"/>
  <c r="CH511" i="11"/>
  <c r="CK511" i="11"/>
  <c r="BZ511" i="11"/>
  <c r="BX511" i="11"/>
  <c r="BY511" i="11"/>
  <c r="CD511" i="11"/>
  <c r="CM511" i="11"/>
  <c r="CF511" i="11"/>
  <c r="CC511" i="11"/>
  <c r="CJ511" i="11"/>
  <c r="CL511" i="11"/>
  <c r="CB511" i="11"/>
  <c r="CG511" i="11"/>
  <c r="CI511" i="11"/>
  <c r="CA511" i="11"/>
  <c r="CE511" i="11"/>
  <c r="CC407" i="11"/>
  <c r="CD407" i="11"/>
  <c r="CA407" i="11"/>
  <c r="CG407" i="11"/>
  <c r="CI407" i="11"/>
  <c r="CM407" i="11"/>
  <c r="BZ407" i="11"/>
  <c r="CJ407" i="11"/>
  <c r="CL407" i="11"/>
  <c r="CK407" i="11"/>
  <c r="CE407" i="11"/>
  <c r="CH407" i="11"/>
  <c r="CB407" i="11"/>
  <c r="CF407" i="11"/>
  <c r="BY407" i="11"/>
  <c r="BX407" i="11"/>
  <c r="CI303" i="11"/>
  <c r="BX303" i="11"/>
  <c r="CC303" i="11"/>
  <c r="CK303" i="11"/>
  <c r="CA303" i="11"/>
  <c r="CJ303" i="11"/>
  <c r="BY303" i="11"/>
  <c r="CE303" i="11"/>
  <c r="CF303" i="11"/>
  <c r="CL303" i="11"/>
  <c r="CB303" i="11"/>
  <c r="CH303" i="11"/>
  <c r="CG303" i="11"/>
  <c r="CD303" i="11"/>
  <c r="CM303" i="11"/>
  <c r="BZ303" i="11"/>
  <c r="CK199" i="11"/>
  <c r="CA199" i="11"/>
  <c r="BX199" i="11"/>
  <c r="CF199" i="11"/>
  <c r="CJ199" i="11"/>
  <c r="CC199" i="11"/>
  <c r="CI199" i="11"/>
  <c r="BY199" i="11"/>
  <c r="CE199" i="11"/>
  <c r="CL199" i="11"/>
  <c r="CB199" i="11"/>
  <c r="CH199" i="11"/>
  <c r="CG199" i="11"/>
  <c r="CD199" i="11"/>
  <c r="CM199" i="11"/>
  <c r="BZ199" i="11"/>
  <c r="BY95" i="11"/>
  <c r="CG95" i="11"/>
  <c r="CL95" i="11"/>
  <c r="CJ95" i="11"/>
  <c r="CE95" i="11"/>
  <c r="CH95" i="11"/>
  <c r="CF95" i="11"/>
  <c r="CM95" i="11"/>
  <c r="CA95" i="11"/>
  <c r="CD95" i="11"/>
  <c r="CB95" i="11"/>
  <c r="CI95" i="11"/>
  <c r="BZ95" i="11"/>
  <c r="BX95" i="11"/>
  <c r="CN95" i="11" s="1"/>
  <c r="CC95" i="11"/>
  <c r="CK95" i="11"/>
  <c r="CM796" i="11"/>
  <c r="CG796" i="11"/>
  <c r="BY796" i="11"/>
  <c r="CD796" i="11"/>
  <c r="CJ796" i="11"/>
  <c r="CK796" i="11"/>
  <c r="CA796" i="11"/>
  <c r="BX796" i="11"/>
  <c r="CL796" i="11"/>
  <c r="CF796" i="11"/>
  <c r="CE796" i="11"/>
  <c r="CI796" i="11"/>
  <c r="CB796" i="11"/>
  <c r="BZ796" i="11"/>
  <c r="CC796" i="11"/>
  <c r="CH796" i="11"/>
  <c r="CL692" i="11"/>
  <c r="BY692" i="11"/>
  <c r="CI692" i="11"/>
  <c r="CK692" i="11"/>
  <c r="CA692" i="11"/>
  <c r="CD692" i="11"/>
  <c r="CG692" i="11"/>
  <c r="BZ692" i="11"/>
  <c r="CE692" i="11"/>
  <c r="BX692" i="11"/>
  <c r="CJ692" i="11"/>
  <c r="CC692" i="11"/>
  <c r="CF692" i="11"/>
  <c r="CH692" i="11"/>
  <c r="CB692" i="11"/>
  <c r="CM692" i="11"/>
  <c r="BX588" i="11"/>
  <c r="CF588" i="11"/>
  <c r="CL588" i="11"/>
  <c r="CB588" i="11"/>
  <c r="CH588" i="11"/>
  <c r="CG588" i="11"/>
  <c r="BZ588" i="11"/>
  <c r="BY588" i="11"/>
  <c r="CM588" i="11"/>
  <c r="CC588" i="11"/>
  <c r="CJ588" i="11"/>
  <c r="CK588" i="11"/>
  <c r="CD588" i="11"/>
  <c r="CI588" i="11"/>
  <c r="CA588" i="11"/>
  <c r="CE588" i="11"/>
  <c r="CJ484" i="11"/>
  <c r="CK484" i="11"/>
  <c r="CA484" i="11"/>
  <c r="CC484" i="11"/>
  <c r="BX484" i="11"/>
  <c r="CF484" i="11"/>
  <c r="CI484" i="11"/>
  <c r="BY484" i="11"/>
  <c r="CE484" i="11"/>
  <c r="CH484" i="11"/>
  <c r="CG484" i="11"/>
  <c r="CD484" i="11"/>
  <c r="CM484" i="11"/>
  <c r="CL484" i="11"/>
  <c r="BZ484" i="11"/>
  <c r="CB484" i="11"/>
  <c r="CM380" i="11"/>
  <c r="CF380" i="11"/>
  <c r="CB380" i="11"/>
  <c r="CL380" i="11"/>
  <c r="CA380" i="11"/>
  <c r="BY380" i="11"/>
  <c r="CI380" i="11"/>
  <c r="CK380" i="11"/>
  <c r="CJ380" i="11"/>
  <c r="CD380" i="11"/>
  <c r="CG380" i="11"/>
  <c r="CE380" i="11"/>
  <c r="BX380" i="11"/>
  <c r="CC380" i="11"/>
  <c r="BZ380" i="11"/>
  <c r="CH380" i="11"/>
  <c r="CL276" i="11"/>
  <c r="CF276" i="11"/>
  <c r="CE276" i="11"/>
  <c r="CI276" i="11"/>
  <c r="BX276" i="11"/>
  <c r="CA276" i="11"/>
  <c r="CJ276" i="11"/>
  <c r="BZ276" i="11"/>
  <c r="CD276" i="11"/>
  <c r="BY276" i="11"/>
  <c r="CK276" i="11"/>
  <c r="CB276" i="11"/>
  <c r="CG276" i="11"/>
  <c r="CH276" i="11"/>
  <c r="CC276" i="11"/>
  <c r="CM276" i="11"/>
  <c r="CG172" i="11"/>
  <c r="CH172" i="11"/>
  <c r="BZ172" i="11"/>
  <c r="CB172" i="11"/>
  <c r="BY172" i="11"/>
  <c r="CL172" i="11"/>
  <c r="CM172" i="11"/>
  <c r="CC172" i="11"/>
  <c r="CJ172" i="11"/>
  <c r="CK172" i="11"/>
  <c r="BX172" i="11"/>
  <c r="CD172" i="11"/>
  <c r="CF172" i="11"/>
  <c r="CA172" i="11"/>
  <c r="CE172" i="11"/>
  <c r="CI172" i="11"/>
  <c r="CM68" i="11"/>
  <c r="CC68" i="11"/>
  <c r="CH68" i="11"/>
  <c r="BX68" i="11"/>
  <c r="CF68" i="11"/>
  <c r="BZ68" i="11"/>
  <c r="CK68" i="11"/>
  <c r="CL68" i="11"/>
  <c r="CJ68" i="11"/>
  <c r="CB68" i="11"/>
  <c r="BY68" i="11"/>
  <c r="CG68" i="11"/>
  <c r="CD68" i="11"/>
  <c r="CA68" i="11"/>
  <c r="CE68" i="11"/>
  <c r="CI68" i="11"/>
  <c r="CG769" i="11"/>
  <c r="CI769" i="11"/>
  <c r="CF769" i="11"/>
  <c r="CA769" i="11"/>
  <c r="BX769" i="11"/>
  <c r="CM769" i="11"/>
  <c r="CB769" i="11"/>
  <c r="CD769" i="11"/>
  <c r="BY769" i="11"/>
  <c r="CL769" i="11"/>
  <c r="CE769" i="11"/>
  <c r="CJ769" i="11"/>
  <c r="CH769" i="11"/>
  <c r="CC769" i="11"/>
  <c r="BZ769" i="11"/>
  <c r="CK769" i="11"/>
  <c r="CK665" i="11"/>
  <c r="CG665" i="11"/>
  <c r="BY665" i="11"/>
  <c r="CC665" i="11"/>
  <c r="CJ665" i="11"/>
  <c r="CL665" i="11"/>
  <c r="CE665" i="11"/>
  <c r="CF665" i="11"/>
  <c r="CH665" i="11"/>
  <c r="CM665" i="11"/>
  <c r="CB665" i="11"/>
  <c r="CD665" i="11"/>
  <c r="CA665" i="11"/>
  <c r="BX665" i="11"/>
  <c r="CN665" i="11" s="1"/>
  <c r="BZ665" i="11"/>
  <c r="CI665" i="11"/>
  <c r="CJ561" i="11"/>
  <c r="CK561" i="11"/>
  <c r="CE561" i="11"/>
  <c r="BY561" i="11"/>
  <c r="CF561" i="11"/>
  <c r="CD561" i="11"/>
  <c r="CM561" i="11"/>
  <c r="BZ561" i="11"/>
  <c r="BX561" i="11"/>
  <c r="CL561" i="11"/>
  <c r="CB561" i="11"/>
  <c r="CC561" i="11"/>
  <c r="CA561" i="11"/>
  <c r="CH561" i="11"/>
  <c r="CG561" i="11"/>
  <c r="CI561" i="11"/>
  <c r="CI457" i="11"/>
  <c r="BX457" i="11"/>
  <c r="CD457" i="11"/>
  <c r="CJ457" i="11"/>
  <c r="CF457" i="11"/>
  <c r="CA457" i="11"/>
  <c r="CL457" i="11"/>
  <c r="BZ457" i="11"/>
  <c r="CC457" i="11"/>
  <c r="CM457" i="11"/>
  <c r="CE457" i="11"/>
  <c r="BY457" i="11"/>
  <c r="CG457" i="11"/>
  <c r="CB457" i="11"/>
  <c r="CH457" i="11"/>
  <c r="CK457" i="11"/>
  <c r="CG353" i="11"/>
  <c r="CJ353" i="11"/>
  <c r="CK353" i="11"/>
  <c r="CD353" i="11"/>
  <c r="CM353" i="11"/>
  <c r="CF353" i="11"/>
  <c r="CE353" i="11"/>
  <c r="BY353" i="11"/>
  <c r="CB353" i="11"/>
  <c r="BZ353" i="11"/>
  <c r="CH353" i="11"/>
  <c r="CA353" i="11"/>
  <c r="CI353" i="11"/>
  <c r="CL353" i="11"/>
  <c r="BX353" i="11"/>
  <c r="CC353" i="11"/>
  <c r="CK249" i="11"/>
  <c r="CL249" i="11"/>
  <c r="CA249" i="11"/>
  <c r="CE249" i="11"/>
  <c r="BY249" i="11"/>
  <c r="CD249" i="11"/>
  <c r="CG249" i="11"/>
  <c r="CI249" i="11"/>
  <c r="BZ249" i="11"/>
  <c r="BX249" i="11"/>
  <c r="CJ249" i="11"/>
  <c r="CC249" i="11"/>
  <c r="CF249" i="11"/>
  <c r="CH249" i="11"/>
  <c r="CB249" i="11"/>
  <c r="CM249" i="11"/>
  <c r="CE145" i="11"/>
  <c r="CI145" i="11"/>
  <c r="BX145" i="11"/>
  <c r="BZ145" i="11"/>
  <c r="BY145" i="11"/>
  <c r="CJ145" i="11"/>
  <c r="CL145" i="11"/>
  <c r="CK145" i="11"/>
  <c r="CM145" i="11"/>
  <c r="CF145" i="11"/>
  <c r="CH145" i="11"/>
  <c r="CG145" i="11"/>
  <c r="CB145" i="11"/>
  <c r="CD145" i="11"/>
  <c r="CC145" i="11"/>
  <c r="CA145" i="11"/>
  <c r="CJ41" i="11"/>
  <c r="CA41" i="11"/>
  <c r="CK41" i="11"/>
  <c r="BY41" i="11"/>
  <c r="CF41" i="11"/>
  <c r="CE41" i="11"/>
  <c r="BZ41" i="11"/>
  <c r="CL41" i="11"/>
  <c r="CB41" i="11"/>
  <c r="CH41" i="11"/>
  <c r="CG41" i="11"/>
  <c r="CD41" i="11"/>
  <c r="CM41" i="11"/>
  <c r="BX41" i="11"/>
  <c r="CN41" i="11" s="1"/>
  <c r="CC41" i="11"/>
  <c r="CI41" i="11"/>
  <c r="CI742" i="11"/>
  <c r="BY742" i="11"/>
  <c r="CC742" i="11"/>
  <c r="CG742" i="11"/>
  <c r="CK742" i="11"/>
  <c r="BX742" i="11"/>
  <c r="BZ742" i="11"/>
  <c r="CJ742" i="11"/>
  <c r="CL742" i="11"/>
  <c r="CE742" i="11"/>
  <c r="CA742" i="11"/>
  <c r="CF742" i="11"/>
  <c r="CH742" i="11"/>
  <c r="CM742" i="11"/>
  <c r="CB742" i="11"/>
  <c r="CD742" i="11"/>
  <c r="CA638" i="11"/>
  <c r="CJ638" i="11"/>
  <c r="CD638" i="11"/>
  <c r="BZ638" i="11"/>
  <c r="CI638" i="11"/>
  <c r="CE638" i="11"/>
  <c r="BX638" i="11"/>
  <c r="CF638" i="11"/>
  <c r="CL638" i="11"/>
  <c r="CC638" i="11"/>
  <c r="CM638" i="11"/>
  <c r="BY638" i="11"/>
  <c r="CK638" i="11"/>
  <c r="CB638" i="11"/>
  <c r="CG638" i="11"/>
  <c r="CH638" i="11"/>
  <c r="CE534" i="11"/>
  <c r="CA534" i="11"/>
  <c r="CK534" i="11"/>
  <c r="BY534" i="11"/>
  <c r="BZ534" i="11"/>
  <c r="CL534" i="11"/>
  <c r="CD534" i="11"/>
  <c r="CG534" i="11"/>
  <c r="CI534" i="11"/>
  <c r="BX534" i="11"/>
  <c r="CJ534" i="11"/>
  <c r="CC534" i="11"/>
  <c r="CF534" i="11"/>
  <c r="CH534" i="11"/>
  <c r="CB534" i="11"/>
  <c r="CM534" i="11"/>
  <c r="CH430" i="11"/>
  <c r="CB430" i="11"/>
  <c r="CA430" i="11"/>
  <c r="CM430" i="11"/>
  <c r="CE430" i="11"/>
  <c r="BX430" i="11"/>
  <c r="CI430" i="11"/>
  <c r="CC430" i="11"/>
  <c r="CJ430" i="11"/>
  <c r="CL430" i="11"/>
  <c r="CD430" i="11"/>
  <c r="CK430" i="11"/>
  <c r="CF430" i="11"/>
  <c r="CG430" i="11"/>
  <c r="BY430" i="11"/>
  <c r="BZ430" i="11"/>
  <c r="CJ326" i="11"/>
  <c r="CC326" i="11"/>
  <c r="BY326" i="11"/>
  <c r="CK326" i="11"/>
  <c r="BX326" i="11"/>
  <c r="CH326" i="11"/>
  <c r="BZ326" i="11"/>
  <c r="CM326" i="11"/>
  <c r="CD326" i="11"/>
  <c r="CF326" i="11"/>
  <c r="CG326" i="11"/>
  <c r="CL326" i="11"/>
  <c r="CB326" i="11"/>
  <c r="CA326" i="11"/>
  <c r="CE326" i="11"/>
  <c r="CI326" i="11"/>
  <c r="CF222" i="11"/>
  <c r="BY222" i="11"/>
  <c r="CK222" i="11"/>
  <c r="CC222" i="11"/>
  <c r="CJ222" i="11"/>
  <c r="BX222" i="11"/>
  <c r="CM222" i="11"/>
  <c r="CH222" i="11"/>
  <c r="BZ222" i="11"/>
  <c r="CD222" i="11"/>
  <c r="CB222" i="11"/>
  <c r="CG222" i="11"/>
  <c r="CL222" i="11"/>
  <c r="CA222" i="11"/>
  <c r="CE222" i="11"/>
  <c r="CI222" i="11"/>
  <c r="CD118" i="11"/>
  <c r="BZ118" i="11"/>
  <c r="CL118" i="11"/>
  <c r="CF118" i="11"/>
  <c r="CM118" i="11"/>
  <c r="BX118" i="11"/>
  <c r="CH118" i="11"/>
  <c r="CJ118" i="11"/>
  <c r="CB118" i="11"/>
  <c r="BY118" i="11"/>
  <c r="CC118" i="11"/>
  <c r="CG118" i="11"/>
  <c r="CK118" i="11"/>
  <c r="CI118" i="11"/>
  <c r="CA118" i="11"/>
  <c r="CE118" i="11"/>
  <c r="CI819" i="11"/>
  <c r="CC819" i="11"/>
  <c r="CD819" i="11"/>
  <c r="CM819" i="11"/>
  <c r="BY819" i="11"/>
  <c r="CB819" i="11"/>
  <c r="CA819" i="11"/>
  <c r="CH819" i="11"/>
  <c r="BZ819" i="11"/>
  <c r="BX819" i="11"/>
  <c r="CK819" i="11"/>
  <c r="CG819" i="11"/>
  <c r="CJ819" i="11"/>
  <c r="CL819" i="11"/>
  <c r="CE819" i="11"/>
  <c r="CF819" i="11"/>
  <c r="CE715" i="11"/>
  <c r="CA715" i="11"/>
  <c r="BX715" i="11"/>
  <c r="BZ715" i="11"/>
  <c r="CI715" i="11"/>
  <c r="CL715" i="11"/>
  <c r="CJ715" i="11"/>
  <c r="CF715" i="11"/>
  <c r="CD715" i="11"/>
  <c r="CK715" i="11"/>
  <c r="CB715" i="11"/>
  <c r="CG715" i="11"/>
  <c r="CH715" i="11"/>
  <c r="CC715" i="11"/>
  <c r="CM715" i="11"/>
  <c r="BY715" i="11"/>
  <c r="CI611" i="11"/>
  <c r="CH611" i="11"/>
  <c r="BZ611" i="11"/>
  <c r="CF611" i="11"/>
  <c r="CG611" i="11"/>
  <c r="BY611" i="11"/>
  <c r="CB611" i="11"/>
  <c r="CA611" i="11"/>
  <c r="CE611" i="11"/>
  <c r="BX611" i="11"/>
  <c r="CD611" i="11"/>
  <c r="CM611" i="11"/>
  <c r="CC611" i="11"/>
  <c r="CJ611" i="11"/>
  <c r="CL611" i="11"/>
  <c r="CK611" i="11"/>
  <c r="CM507" i="11"/>
  <c r="BY507" i="11"/>
  <c r="CH507" i="11"/>
  <c r="CK507" i="11"/>
  <c r="BZ507" i="11"/>
  <c r="BX507" i="11"/>
  <c r="CD507" i="11"/>
  <c r="CF507" i="11"/>
  <c r="CC507" i="11"/>
  <c r="CJ507" i="11"/>
  <c r="CL507" i="11"/>
  <c r="CB507" i="11"/>
  <c r="CG507" i="11"/>
  <c r="CA507" i="11"/>
  <c r="CE507" i="11"/>
  <c r="CI507" i="11"/>
  <c r="CK403" i="11"/>
  <c r="CF403" i="11"/>
  <c r="BY403" i="11"/>
  <c r="CA403" i="11"/>
  <c r="CE403" i="11"/>
  <c r="CJ403" i="11"/>
  <c r="BZ403" i="11"/>
  <c r="CC403" i="11"/>
  <c r="CL403" i="11"/>
  <c r="CB403" i="11"/>
  <c r="CI403" i="11"/>
  <c r="CH403" i="11"/>
  <c r="CG403" i="11"/>
  <c r="CD403" i="11"/>
  <c r="CM403" i="11"/>
  <c r="BX403" i="11"/>
  <c r="CM299" i="11"/>
  <c r="CA299" i="11"/>
  <c r="CB299" i="11"/>
  <c r="CF299" i="11"/>
  <c r="CG299" i="11"/>
  <c r="BX299" i="11"/>
  <c r="CI299" i="11"/>
  <c r="CH299" i="11"/>
  <c r="CE299" i="11"/>
  <c r="CD299" i="11"/>
  <c r="BY299" i="11"/>
  <c r="BZ299" i="11"/>
  <c r="CC299" i="11"/>
  <c r="CL299" i="11"/>
  <c r="CJ299" i="11"/>
  <c r="CK299" i="11"/>
  <c r="CC195" i="11"/>
  <c r="BX195" i="11"/>
  <c r="CF195" i="11"/>
  <c r="CK195" i="11"/>
  <c r="BY195" i="11"/>
  <c r="CJ195" i="11"/>
  <c r="CI195" i="11"/>
  <c r="CA195" i="11"/>
  <c r="CE195" i="11"/>
  <c r="CH195" i="11"/>
  <c r="CG195" i="11"/>
  <c r="CD195" i="11"/>
  <c r="CM195" i="11"/>
  <c r="BZ195" i="11"/>
  <c r="CL195" i="11"/>
  <c r="CB195" i="11"/>
  <c r="BY91" i="11"/>
  <c r="CG91" i="11"/>
  <c r="BZ91" i="11"/>
  <c r="BX91" i="11"/>
  <c r="CI91" i="11"/>
  <c r="CL91" i="11"/>
  <c r="CJ91" i="11"/>
  <c r="CE91" i="11"/>
  <c r="CH91" i="11"/>
  <c r="CF91" i="11"/>
  <c r="CM91" i="11"/>
  <c r="CA91" i="11"/>
  <c r="CD91" i="11"/>
  <c r="CC91" i="11"/>
  <c r="CB91" i="11"/>
  <c r="CK91" i="11"/>
  <c r="CK792" i="11"/>
  <c r="BZ792" i="11"/>
  <c r="CI792" i="11"/>
  <c r="CL792" i="11"/>
  <c r="BY792" i="11"/>
  <c r="CE792" i="11"/>
  <c r="CG792" i="11"/>
  <c r="CA792" i="11"/>
  <c r="CD792" i="11"/>
  <c r="BX792" i="11"/>
  <c r="CJ792" i="11"/>
  <c r="CC792" i="11"/>
  <c r="CM792" i="11"/>
  <c r="CF792" i="11"/>
  <c r="CH792" i="11"/>
  <c r="CB792" i="11"/>
  <c r="CG688" i="11"/>
  <c r="BY688" i="11"/>
  <c r="CH688" i="11"/>
  <c r="CA688" i="11"/>
  <c r="CI688" i="11"/>
  <c r="CC688" i="11"/>
  <c r="CM688" i="11"/>
  <c r="CB688" i="11"/>
  <c r="BZ688" i="11"/>
  <c r="BX688" i="11"/>
  <c r="CD688" i="11"/>
  <c r="CJ688" i="11"/>
  <c r="CK688" i="11"/>
  <c r="CL688" i="11"/>
  <c r="CF688" i="11"/>
  <c r="CE688" i="11"/>
  <c r="CL584" i="11"/>
  <c r="CK584" i="11"/>
  <c r="BX584" i="11"/>
  <c r="CC584" i="11"/>
  <c r="CB584" i="11"/>
  <c r="CH584" i="11"/>
  <c r="CD584" i="11"/>
  <c r="CF584" i="11"/>
  <c r="BY584" i="11"/>
  <c r="CM584" i="11"/>
  <c r="CG584" i="11"/>
  <c r="CJ584" i="11"/>
  <c r="BZ584" i="11"/>
  <c r="CA584" i="11"/>
  <c r="CE584" i="11"/>
  <c r="CI584" i="11"/>
  <c r="CJ480" i="11"/>
  <c r="BY480" i="11"/>
  <c r="BX480" i="11"/>
  <c r="CF480" i="11"/>
  <c r="CA480" i="11"/>
  <c r="CE480" i="11"/>
  <c r="CI480" i="11"/>
  <c r="CK480" i="11"/>
  <c r="CC480" i="11"/>
  <c r="CD480" i="11"/>
  <c r="CM480" i="11"/>
  <c r="BZ480" i="11"/>
  <c r="CL480" i="11"/>
  <c r="CB480" i="11"/>
  <c r="CG480" i="11"/>
  <c r="CH480" i="11"/>
  <c r="CF376" i="11"/>
  <c r="CC376" i="11"/>
  <c r="BZ376" i="11"/>
  <c r="CH376" i="11"/>
  <c r="CM376" i="11"/>
  <c r="BY376" i="11"/>
  <c r="CI376" i="11"/>
  <c r="CA376" i="11"/>
  <c r="CK376" i="11"/>
  <c r="CJ376" i="11"/>
  <c r="CD376" i="11"/>
  <c r="CL376" i="11"/>
  <c r="CG376" i="11"/>
  <c r="CE376" i="11"/>
  <c r="BX376" i="11"/>
  <c r="CB376" i="11"/>
  <c r="CL272" i="11"/>
  <c r="CA272" i="11"/>
  <c r="CD272" i="11"/>
  <c r="CE272" i="11"/>
  <c r="CJ272" i="11"/>
  <c r="CF272" i="11"/>
  <c r="BX272" i="11"/>
  <c r="BZ272" i="11"/>
  <c r="CI272" i="11"/>
  <c r="CG272" i="11"/>
  <c r="CH272" i="11"/>
  <c r="CC272" i="11"/>
  <c r="CM272" i="11"/>
  <c r="BY272" i="11"/>
  <c r="CK272" i="11"/>
  <c r="CB272" i="11"/>
  <c r="BY168" i="11"/>
  <c r="CM168" i="11"/>
  <c r="CC168" i="11"/>
  <c r="CJ168" i="11"/>
  <c r="CK168" i="11"/>
  <c r="CD168" i="11"/>
  <c r="CG168" i="11"/>
  <c r="BX168" i="11"/>
  <c r="CF168" i="11"/>
  <c r="CB168" i="11"/>
  <c r="CL168" i="11"/>
  <c r="BZ168" i="11"/>
  <c r="CH168" i="11"/>
  <c r="CE168" i="11"/>
  <c r="CI168" i="11"/>
  <c r="CA168" i="11"/>
  <c r="CM64" i="11"/>
  <c r="BX64" i="11"/>
  <c r="CD64" i="11"/>
  <c r="CK64" i="11"/>
  <c r="CH64" i="11"/>
  <c r="CC64" i="11"/>
  <c r="BZ64" i="11"/>
  <c r="CJ64" i="11"/>
  <c r="BY64" i="11"/>
  <c r="CF64" i="11"/>
  <c r="CB64" i="11"/>
  <c r="CG64" i="11"/>
  <c r="CL64" i="11"/>
  <c r="CE64" i="11"/>
  <c r="CI64" i="11"/>
  <c r="CA64" i="11"/>
  <c r="CI765" i="11"/>
  <c r="CA765" i="11"/>
  <c r="CC765" i="11"/>
  <c r="BY765" i="11"/>
  <c r="CJ765" i="11"/>
  <c r="CK765" i="11"/>
  <c r="CE765" i="11"/>
  <c r="CF765" i="11"/>
  <c r="BX765" i="11"/>
  <c r="CD765" i="11"/>
  <c r="CM765" i="11"/>
  <c r="CG765" i="11"/>
  <c r="BZ765" i="11"/>
  <c r="CL765" i="11"/>
  <c r="CB765" i="11"/>
  <c r="CH765" i="11"/>
  <c r="CK661" i="11"/>
  <c r="BY661" i="11"/>
  <c r="CG661" i="11"/>
  <c r="CC661" i="11"/>
  <c r="CF661" i="11"/>
  <c r="CH661" i="11"/>
  <c r="CM661" i="11"/>
  <c r="CI661" i="11"/>
  <c r="CB661" i="11"/>
  <c r="CD661" i="11"/>
  <c r="BX661" i="11"/>
  <c r="BZ661" i="11"/>
  <c r="CJ661" i="11"/>
  <c r="CL661" i="11"/>
  <c r="CE661" i="11"/>
  <c r="CA661" i="11"/>
  <c r="CE557" i="11"/>
  <c r="BY557" i="11"/>
  <c r="CJ557" i="11"/>
  <c r="CB557" i="11"/>
  <c r="CM557" i="11"/>
  <c r="CD557" i="11"/>
  <c r="CA557" i="11"/>
  <c r="CG557" i="11"/>
  <c r="BZ557" i="11"/>
  <c r="CI557" i="11"/>
  <c r="CL557" i="11"/>
  <c r="CK557" i="11"/>
  <c r="CC557" i="11"/>
  <c r="CH557" i="11"/>
  <c r="CF557" i="11"/>
  <c r="BX557" i="11"/>
  <c r="CI453" i="11"/>
  <c r="CD453" i="11"/>
  <c r="CJ453" i="11"/>
  <c r="BX453" i="11"/>
  <c r="CA453" i="11"/>
  <c r="CF453" i="11"/>
  <c r="CL453" i="11"/>
  <c r="BZ453" i="11"/>
  <c r="CK453" i="11"/>
  <c r="CB453" i="11"/>
  <c r="CE453" i="11"/>
  <c r="CG453" i="11"/>
  <c r="CH453" i="11"/>
  <c r="CC453" i="11"/>
  <c r="BY453" i="11"/>
  <c r="CM453" i="11"/>
  <c r="CG349" i="11"/>
  <c r="CA349" i="11"/>
  <c r="BY349" i="11"/>
  <c r="CK349" i="11"/>
  <c r="CL349" i="11"/>
  <c r="BZ349" i="11"/>
  <c r="CI349" i="11"/>
  <c r="CE349" i="11"/>
  <c r="CD349" i="11"/>
  <c r="BX349" i="11"/>
  <c r="CJ349" i="11"/>
  <c r="CC349" i="11"/>
  <c r="CF349" i="11"/>
  <c r="CH349" i="11"/>
  <c r="CB349" i="11"/>
  <c r="CM349" i="11"/>
  <c r="CL245" i="11"/>
  <c r="CG245" i="11"/>
  <c r="CK245" i="11"/>
  <c r="CD245" i="11"/>
  <c r="CI245" i="11"/>
  <c r="CA245" i="11"/>
  <c r="BY245" i="11"/>
  <c r="BZ245" i="11"/>
  <c r="CE245" i="11"/>
  <c r="CJ245" i="11"/>
  <c r="CC245" i="11"/>
  <c r="CF245" i="11"/>
  <c r="CH245" i="11"/>
  <c r="CB245" i="11"/>
  <c r="CM245" i="11"/>
  <c r="BX245" i="11"/>
  <c r="CI141" i="11"/>
  <c r="CE141" i="11"/>
  <c r="CG141" i="11"/>
  <c r="CF141" i="11"/>
  <c r="CH141" i="11"/>
  <c r="CC141" i="11"/>
  <c r="CB141" i="11"/>
  <c r="CD141" i="11"/>
  <c r="CA141" i="11"/>
  <c r="BY141" i="11"/>
  <c r="BX141" i="11"/>
  <c r="BZ141" i="11"/>
  <c r="CK141" i="11"/>
  <c r="CJ141" i="11"/>
  <c r="CL141" i="11"/>
  <c r="CM141" i="11"/>
  <c r="CI37" i="11"/>
  <c r="BX37" i="11"/>
  <c r="CC37" i="11"/>
  <c r="CL37" i="11"/>
  <c r="CB37" i="11"/>
  <c r="BY37" i="11"/>
  <c r="CH37" i="11"/>
  <c r="CG37" i="11"/>
  <c r="CE37" i="11"/>
  <c r="CD37" i="11"/>
  <c r="CM37" i="11"/>
  <c r="CJ37" i="11"/>
  <c r="BZ37" i="11"/>
  <c r="CA37" i="11"/>
  <c r="CF37" i="11"/>
  <c r="CK37" i="11"/>
  <c r="CK738" i="11"/>
  <c r="CG738" i="11"/>
  <c r="CI738" i="11"/>
  <c r="BY738" i="11"/>
  <c r="CC738" i="11"/>
  <c r="CA738" i="11"/>
  <c r="BX738" i="11"/>
  <c r="BZ738" i="11"/>
  <c r="CJ738" i="11"/>
  <c r="CL738" i="11"/>
  <c r="CE738" i="11"/>
  <c r="CF738" i="11"/>
  <c r="CH738" i="11"/>
  <c r="CM738" i="11"/>
  <c r="CB738" i="11"/>
  <c r="CD738" i="11"/>
  <c r="CF634" i="11"/>
  <c r="CJ634" i="11"/>
  <c r="CD634" i="11"/>
  <c r="CL634" i="11"/>
  <c r="BZ634" i="11"/>
  <c r="BX634" i="11"/>
  <c r="CI634" i="11"/>
  <c r="CA634" i="11"/>
  <c r="CE634" i="11"/>
  <c r="CK634" i="11"/>
  <c r="CB634" i="11"/>
  <c r="CG634" i="11"/>
  <c r="CH634" i="11"/>
  <c r="CC634" i="11"/>
  <c r="CM634" i="11"/>
  <c r="BY634" i="11"/>
  <c r="CD530" i="11"/>
  <c r="CL530" i="11"/>
  <c r="CG530" i="11"/>
  <c r="CI530" i="11"/>
  <c r="BY530" i="11"/>
  <c r="CA530" i="11"/>
  <c r="CK530" i="11"/>
  <c r="BZ530" i="11"/>
  <c r="CE530" i="11"/>
  <c r="CJ530" i="11"/>
  <c r="CC530" i="11"/>
  <c r="CF530" i="11"/>
  <c r="CH530" i="11"/>
  <c r="CB530" i="11"/>
  <c r="BX530" i="11"/>
  <c r="CM530" i="11"/>
  <c r="CD426" i="11"/>
  <c r="BY426" i="11"/>
  <c r="CC426" i="11"/>
  <c r="BZ426" i="11"/>
  <c r="CJ426" i="11"/>
  <c r="CB426" i="11"/>
  <c r="BX426" i="11"/>
  <c r="CG426" i="11"/>
  <c r="CL426" i="11"/>
  <c r="CM426" i="11"/>
  <c r="CK426" i="11"/>
  <c r="CH426" i="11"/>
  <c r="CF426" i="11"/>
  <c r="CI426" i="11"/>
  <c r="CA426" i="11"/>
  <c r="CE426" i="11"/>
  <c r="CM322" i="11"/>
  <c r="CF322" i="11"/>
  <c r="BZ322" i="11"/>
  <c r="CC322" i="11"/>
  <c r="BX322" i="11"/>
  <c r="CH322" i="11"/>
  <c r="CJ322" i="11"/>
  <c r="CD322" i="11"/>
  <c r="CK322" i="11"/>
  <c r="BY322" i="11"/>
  <c r="CB322" i="11"/>
  <c r="CG322" i="11"/>
  <c r="CL322" i="11"/>
  <c r="CI322" i="11"/>
  <c r="CA322" i="11"/>
  <c r="CE322" i="11"/>
  <c r="CF218" i="11"/>
  <c r="CM218" i="11"/>
  <c r="BX218" i="11"/>
  <c r="CK218" i="11"/>
  <c r="BZ218" i="11"/>
  <c r="BY218" i="11"/>
  <c r="CH218" i="11"/>
  <c r="CD218" i="11"/>
  <c r="CC218" i="11"/>
  <c r="CJ218" i="11"/>
  <c r="CL218" i="11"/>
  <c r="CB218" i="11"/>
  <c r="CG218" i="11"/>
  <c r="CI218" i="11"/>
  <c r="CA218" i="11"/>
  <c r="CE218" i="11"/>
  <c r="CL114" i="11"/>
  <c r="CD114" i="11"/>
  <c r="CB114" i="11"/>
  <c r="CJ114" i="11"/>
  <c r="CF114" i="11"/>
  <c r="CM114" i="11"/>
  <c r="CH114" i="11"/>
  <c r="BX114" i="11"/>
  <c r="BZ114" i="11"/>
  <c r="CG114" i="11"/>
  <c r="CK114" i="11"/>
  <c r="BY114" i="11"/>
  <c r="CC114" i="11"/>
  <c r="CA114" i="11"/>
  <c r="CE114" i="11"/>
  <c r="CI114" i="11"/>
  <c r="CI815" i="11"/>
  <c r="CL815" i="11"/>
  <c r="BX815" i="11"/>
  <c r="CD815" i="11"/>
  <c r="BZ815" i="11"/>
  <c r="BY815" i="11"/>
  <c r="CF815" i="11"/>
  <c r="CC815" i="11"/>
  <c r="CE815" i="11"/>
  <c r="CK815" i="11"/>
  <c r="CB815" i="11"/>
  <c r="CM815" i="11"/>
  <c r="CJ815" i="11"/>
  <c r="CA815" i="11"/>
  <c r="CG815" i="11"/>
  <c r="CH815" i="11"/>
  <c r="BX711" i="11"/>
  <c r="CI711" i="11"/>
  <c r="CJ711" i="11"/>
  <c r="CL711" i="11"/>
  <c r="CA711" i="11"/>
  <c r="BZ711" i="11"/>
  <c r="CE711" i="11"/>
  <c r="CD711" i="11"/>
  <c r="CF711" i="11"/>
  <c r="CC711" i="11"/>
  <c r="CM711" i="11"/>
  <c r="BY711" i="11"/>
  <c r="CK711" i="11"/>
  <c r="CB711" i="11"/>
  <c r="CG711" i="11"/>
  <c r="CH711" i="11"/>
  <c r="CG607" i="11"/>
  <c r="CC607" i="11"/>
  <c r="CM607" i="11"/>
  <c r="CA607" i="11"/>
  <c r="BZ607" i="11"/>
  <c r="CK607" i="11"/>
  <c r="CH607" i="11"/>
  <c r="CB607" i="11"/>
  <c r="BY607" i="11"/>
  <c r="BX607" i="11"/>
  <c r="CE607" i="11"/>
  <c r="CJ607" i="11"/>
  <c r="CI607" i="11"/>
  <c r="CL607" i="11"/>
  <c r="CF607" i="11"/>
  <c r="CD607" i="11"/>
  <c r="CH503" i="11"/>
  <c r="CF503" i="11"/>
  <c r="CG503" i="11"/>
  <c r="CB503" i="11"/>
  <c r="BX503" i="11"/>
  <c r="CL503" i="11"/>
  <c r="CM503" i="11"/>
  <c r="CC503" i="11"/>
  <c r="BZ503" i="11"/>
  <c r="CJ503" i="11"/>
  <c r="CK503" i="11"/>
  <c r="CD503" i="11"/>
  <c r="BY503" i="11"/>
  <c r="CI503" i="11"/>
  <c r="CA503" i="11"/>
  <c r="CE503" i="11"/>
  <c r="CC399" i="11"/>
  <c r="CD399" i="11"/>
  <c r="CA399" i="11"/>
  <c r="CG399" i="11"/>
  <c r="CI399" i="11"/>
  <c r="CB399" i="11"/>
  <c r="BZ399" i="11"/>
  <c r="CJ399" i="11"/>
  <c r="CM399" i="11"/>
  <c r="CL399" i="11"/>
  <c r="CK399" i="11"/>
  <c r="CE399" i="11"/>
  <c r="CF399" i="11"/>
  <c r="BY399" i="11"/>
  <c r="BX399" i="11"/>
  <c r="CH399" i="11"/>
  <c r="CE295" i="11"/>
  <c r="CJ295" i="11"/>
  <c r="BY295" i="11"/>
  <c r="CK295" i="11"/>
  <c r="BX295" i="11"/>
  <c r="CC295" i="11"/>
  <c r="CI295" i="11"/>
  <c r="CH295" i="11"/>
  <c r="CG295" i="11"/>
  <c r="CD295" i="11"/>
  <c r="CM295" i="11"/>
  <c r="CA295" i="11"/>
  <c r="BZ295" i="11"/>
  <c r="CL295" i="11"/>
  <c r="CF295" i="11"/>
  <c r="CB295" i="11"/>
  <c r="CC191" i="11"/>
  <c r="CF191" i="11"/>
  <c r="CK191" i="11"/>
  <c r="CI191" i="11"/>
  <c r="BX191" i="11"/>
  <c r="CA191" i="11"/>
  <c r="CJ191" i="11"/>
  <c r="BY191" i="11"/>
  <c r="CE191" i="11"/>
  <c r="CL191" i="11"/>
  <c r="CB191" i="11"/>
  <c r="CH191" i="11"/>
  <c r="CG191" i="11"/>
  <c r="CD191" i="11"/>
  <c r="CM191" i="11"/>
  <c r="BZ191" i="11"/>
  <c r="BY87" i="11"/>
  <c r="CG87" i="11"/>
  <c r="CD87" i="11"/>
  <c r="CB87" i="11"/>
  <c r="BZ87" i="11"/>
  <c r="BX87" i="11"/>
  <c r="CA87" i="11"/>
  <c r="CL87" i="11"/>
  <c r="CJ87" i="11"/>
  <c r="CE87" i="11"/>
  <c r="CI87" i="11"/>
  <c r="CM87" i="11"/>
  <c r="CC87" i="11"/>
  <c r="CH87" i="11"/>
  <c r="CK87" i="11"/>
  <c r="CF87" i="11"/>
  <c r="BX788" i="11"/>
  <c r="CH788" i="11"/>
  <c r="CL788" i="11"/>
  <c r="CB788" i="11"/>
  <c r="CJ788" i="11"/>
  <c r="CK788" i="11"/>
  <c r="CA788" i="11"/>
  <c r="BY788" i="11"/>
  <c r="BZ788" i="11"/>
  <c r="CM788" i="11"/>
  <c r="CF788" i="11"/>
  <c r="CE788" i="11"/>
  <c r="CG788" i="11"/>
  <c r="CI788" i="11"/>
  <c r="CD788" i="11"/>
  <c r="CC788" i="11"/>
  <c r="CK684" i="11"/>
  <c r="CI684" i="11"/>
  <c r="CA684" i="11"/>
  <c r="CD684" i="11"/>
  <c r="BY684" i="11"/>
  <c r="BZ684" i="11"/>
  <c r="CE684" i="11"/>
  <c r="CG684" i="11"/>
  <c r="CL684" i="11"/>
  <c r="CF684" i="11"/>
  <c r="CH684" i="11"/>
  <c r="CB684" i="11"/>
  <c r="CM684" i="11"/>
  <c r="BX684" i="11"/>
  <c r="CJ684" i="11"/>
  <c r="CC684" i="11"/>
  <c r="CH580" i="11"/>
  <c r="CB580" i="11"/>
  <c r="BX580" i="11"/>
  <c r="CG580" i="11"/>
  <c r="CL580" i="11"/>
  <c r="BZ580" i="11"/>
  <c r="CF580" i="11"/>
  <c r="CJ580" i="11"/>
  <c r="CK580" i="11"/>
  <c r="CD580" i="11"/>
  <c r="BY580" i="11"/>
  <c r="CM580" i="11"/>
  <c r="CC580" i="11"/>
  <c r="CE580" i="11"/>
  <c r="CI580" i="11"/>
  <c r="CA580" i="11"/>
  <c r="CJ476" i="11"/>
  <c r="CK476" i="11"/>
  <c r="CA476" i="11"/>
  <c r="CI476" i="11"/>
  <c r="CC476" i="11"/>
  <c r="CF476" i="11"/>
  <c r="BX476" i="11"/>
  <c r="BY476" i="11"/>
  <c r="CE476" i="11"/>
  <c r="CH476" i="11"/>
  <c r="CG476" i="11"/>
  <c r="CD476" i="11"/>
  <c r="CM476" i="11"/>
  <c r="CL476" i="11"/>
  <c r="BZ476" i="11"/>
  <c r="CB476" i="11"/>
  <c r="CF372" i="11"/>
  <c r="CB372" i="11"/>
  <c r="CM372" i="11"/>
  <c r="CA372" i="11"/>
  <c r="CL372" i="11"/>
  <c r="CK372" i="11"/>
  <c r="CJ372" i="11"/>
  <c r="CD372" i="11"/>
  <c r="CG372" i="11"/>
  <c r="CE372" i="11"/>
  <c r="BX372" i="11"/>
  <c r="CC372" i="11"/>
  <c r="BZ372" i="11"/>
  <c r="CH372" i="11"/>
  <c r="BY372" i="11"/>
  <c r="CI372" i="11"/>
  <c r="CF268" i="11"/>
  <c r="BZ268" i="11"/>
  <c r="CI268" i="11"/>
  <c r="BX268" i="11"/>
  <c r="CA268" i="11"/>
  <c r="CJ268" i="11"/>
  <c r="CL268" i="11"/>
  <c r="CD268" i="11"/>
  <c r="CE268" i="11"/>
  <c r="BY268" i="11"/>
  <c r="CK268" i="11"/>
  <c r="CB268" i="11"/>
  <c r="CG268" i="11"/>
  <c r="CH268" i="11"/>
  <c r="CC268" i="11"/>
  <c r="CM268" i="11"/>
  <c r="CH164" i="11"/>
  <c r="BZ164" i="11"/>
  <c r="CG164" i="11"/>
  <c r="CB164" i="11"/>
  <c r="BY164" i="11"/>
  <c r="CM164" i="11"/>
  <c r="CC164" i="11"/>
  <c r="BX164" i="11"/>
  <c r="CJ164" i="11"/>
  <c r="CK164" i="11"/>
  <c r="CF164" i="11"/>
  <c r="CD164" i="11"/>
  <c r="CL164" i="11"/>
  <c r="CA164" i="11"/>
  <c r="CE164" i="11"/>
  <c r="CI164" i="11"/>
  <c r="CM60" i="11"/>
  <c r="CH60" i="11"/>
  <c r="BZ60" i="11"/>
  <c r="BX60" i="11"/>
  <c r="CK60" i="11"/>
  <c r="CF60" i="11"/>
  <c r="CC60" i="11"/>
  <c r="CG60" i="11"/>
  <c r="CJ60" i="11"/>
  <c r="CL60" i="11"/>
  <c r="BY60" i="11"/>
  <c r="CB60" i="11"/>
  <c r="CD60" i="11"/>
  <c r="CA60" i="11"/>
  <c r="CE60" i="11"/>
  <c r="CI60" i="11"/>
  <c r="CC761" i="11"/>
  <c r="CF761" i="11"/>
  <c r="BX761" i="11"/>
  <c r="CG761" i="11"/>
  <c r="BY761" i="11"/>
  <c r="CK761" i="11"/>
  <c r="CM761" i="11"/>
  <c r="CA761" i="11"/>
  <c r="CH761" i="11"/>
  <c r="CE761" i="11"/>
  <c r="CD761" i="11"/>
  <c r="CI761" i="11"/>
  <c r="BZ761" i="11"/>
  <c r="CL761" i="11"/>
  <c r="CJ761" i="11"/>
  <c r="CB761" i="11"/>
  <c r="CK657" i="11"/>
  <c r="BY657" i="11"/>
  <c r="CG657" i="11"/>
  <c r="CC657" i="11"/>
  <c r="CB657" i="11"/>
  <c r="CD657" i="11"/>
  <c r="CA657" i="11"/>
  <c r="BX657" i="11"/>
  <c r="BZ657" i="11"/>
  <c r="CI657" i="11"/>
  <c r="CJ657" i="11"/>
  <c r="CL657" i="11"/>
  <c r="CE657" i="11"/>
  <c r="CF657" i="11"/>
  <c r="CH657" i="11"/>
  <c r="CM657" i="11"/>
  <c r="CF553" i="11"/>
  <c r="CB553" i="11"/>
  <c r="CH553" i="11"/>
  <c r="CD553" i="11"/>
  <c r="BX553" i="11"/>
  <c r="CM553" i="11"/>
  <c r="CL553" i="11"/>
  <c r="CJ553" i="11"/>
  <c r="BZ553" i="11"/>
  <c r="BY553" i="11"/>
  <c r="CA553" i="11"/>
  <c r="CC553" i="11"/>
  <c r="CE553" i="11"/>
  <c r="CG553" i="11"/>
  <c r="CI553" i="11"/>
  <c r="CK553" i="11"/>
  <c r="CD449" i="11"/>
  <c r="CI449" i="11"/>
  <c r="BX449" i="11"/>
  <c r="CJ449" i="11"/>
  <c r="CA449" i="11"/>
  <c r="CL449" i="11"/>
  <c r="CF449" i="11"/>
  <c r="BZ449" i="11"/>
  <c r="CC449" i="11"/>
  <c r="CM449" i="11"/>
  <c r="CE449" i="11"/>
  <c r="BY449" i="11"/>
  <c r="CH449" i="11"/>
  <c r="CK449" i="11"/>
  <c r="CG449" i="11"/>
  <c r="CB449" i="11"/>
  <c r="CG345" i="11"/>
  <c r="BX345" i="11"/>
  <c r="CI345" i="11"/>
  <c r="CM345" i="11"/>
  <c r="CJ345" i="11"/>
  <c r="CK345" i="11"/>
  <c r="CD345" i="11"/>
  <c r="CA345" i="11"/>
  <c r="CF345" i="11"/>
  <c r="CE345" i="11"/>
  <c r="BY345" i="11"/>
  <c r="CL345" i="11"/>
  <c r="CB345" i="11"/>
  <c r="BZ345" i="11"/>
  <c r="CC345" i="11"/>
  <c r="CH345" i="11"/>
  <c r="CD241" i="11"/>
  <c r="BY241" i="11"/>
  <c r="CG241" i="11"/>
  <c r="CK241" i="11"/>
  <c r="BZ241" i="11"/>
  <c r="CA241" i="11"/>
  <c r="CE241" i="11"/>
  <c r="CL241" i="11"/>
  <c r="CI241" i="11"/>
  <c r="BX241" i="11"/>
  <c r="CJ241" i="11"/>
  <c r="CC241" i="11"/>
  <c r="CF241" i="11"/>
  <c r="CH241" i="11"/>
  <c r="CB241" i="11"/>
  <c r="CM241" i="11"/>
  <c r="CI137" i="11"/>
  <c r="CE137" i="11"/>
  <c r="CJ137" i="11"/>
  <c r="CF137" i="11"/>
  <c r="BX137" i="11"/>
  <c r="BZ137" i="11"/>
  <c r="BY137" i="11"/>
  <c r="CL137" i="11"/>
  <c r="CK137" i="11"/>
  <c r="CM137" i="11"/>
  <c r="CH137" i="11"/>
  <c r="CG137" i="11"/>
  <c r="CB137" i="11"/>
  <c r="CD137" i="11"/>
  <c r="CC137" i="11"/>
  <c r="CA137" i="11"/>
  <c r="CK33" i="11"/>
  <c r="CJ33" i="11"/>
  <c r="CA33" i="11"/>
  <c r="BY33" i="11"/>
  <c r="CE33" i="11"/>
  <c r="CF33" i="11"/>
  <c r="CH33" i="11"/>
  <c r="CG33" i="11"/>
  <c r="CD33" i="11"/>
  <c r="CM33" i="11"/>
  <c r="BZ33" i="11"/>
  <c r="CL33" i="11"/>
  <c r="BX33" i="11"/>
  <c r="CN33" i="11" s="1"/>
  <c r="CB33" i="11"/>
  <c r="CC33" i="11"/>
  <c r="CI33" i="11"/>
  <c r="CC734" i="11"/>
  <c r="CK734" i="11"/>
  <c r="CI734" i="11"/>
  <c r="CG734" i="11"/>
  <c r="BY734" i="11"/>
  <c r="BX734" i="11"/>
  <c r="BZ734" i="11"/>
  <c r="CJ734" i="11"/>
  <c r="CL734" i="11"/>
  <c r="CE734" i="11"/>
  <c r="CA734" i="11"/>
  <c r="CF734" i="11"/>
  <c r="CH734" i="11"/>
  <c r="CM734" i="11"/>
  <c r="CB734" i="11"/>
  <c r="CD734" i="11"/>
  <c r="CA630" i="11"/>
  <c r="CJ630" i="11"/>
  <c r="CD630" i="11"/>
  <c r="CL630" i="11"/>
  <c r="BZ630" i="11"/>
  <c r="CE630" i="11"/>
  <c r="CI630" i="11"/>
  <c r="BX630" i="11"/>
  <c r="CF630" i="11"/>
  <c r="CC630" i="11"/>
  <c r="CM630" i="11"/>
  <c r="BY630" i="11"/>
  <c r="CK630" i="11"/>
  <c r="CB630" i="11"/>
  <c r="CG630" i="11"/>
  <c r="CH630" i="11"/>
  <c r="CE526" i="11"/>
  <c r="CD526" i="11"/>
  <c r="CG526" i="11"/>
  <c r="CI526" i="11"/>
  <c r="BY526" i="11"/>
  <c r="BZ526" i="11"/>
  <c r="CL526" i="11"/>
  <c r="CK526" i="11"/>
  <c r="CA526" i="11"/>
  <c r="BX526" i="11"/>
  <c r="CJ526" i="11"/>
  <c r="CC526" i="11"/>
  <c r="CF526" i="11"/>
  <c r="CH526" i="11"/>
  <c r="CB526" i="11"/>
  <c r="CM526" i="11"/>
  <c r="CK422" i="11"/>
  <c r="CM422" i="11"/>
  <c r="CD422" i="11"/>
  <c r="BX422" i="11"/>
  <c r="CF422" i="11"/>
  <c r="CC422" i="11"/>
  <c r="BZ422" i="11"/>
  <c r="CJ422" i="11"/>
  <c r="BY422" i="11"/>
  <c r="CH422" i="11"/>
  <c r="CB422" i="11"/>
  <c r="CG422" i="11"/>
  <c r="CL422" i="11"/>
  <c r="CA422" i="11"/>
  <c r="CE422" i="11"/>
  <c r="CI422" i="11"/>
  <c r="CM318" i="11"/>
  <c r="CD318" i="11"/>
  <c r="CF318" i="11"/>
  <c r="BZ318" i="11"/>
  <c r="CC318" i="11"/>
  <c r="CK318" i="11"/>
  <c r="CH318" i="11"/>
  <c r="CJ318" i="11"/>
  <c r="BX318" i="11"/>
  <c r="BY318" i="11"/>
  <c r="CG318" i="11"/>
  <c r="CL318" i="11"/>
  <c r="CB318" i="11"/>
  <c r="CA318" i="11"/>
  <c r="CE318" i="11"/>
  <c r="CI318" i="11"/>
  <c r="CK214" i="11"/>
  <c r="CC214" i="11"/>
  <c r="CF214" i="11"/>
  <c r="BY214" i="11"/>
  <c r="BX214" i="11"/>
  <c r="CD214" i="11"/>
  <c r="CH214" i="11"/>
  <c r="CM214" i="11"/>
  <c r="BZ214" i="11"/>
  <c r="CJ214" i="11"/>
  <c r="CG214" i="11"/>
  <c r="CL214" i="11"/>
  <c r="CB214" i="11"/>
  <c r="CA214" i="11"/>
  <c r="CE214" i="11"/>
  <c r="CI214" i="11"/>
  <c r="CD110" i="11"/>
  <c r="CM110" i="11"/>
  <c r="BX110" i="11"/>
  <c r="CH110" i="11"/>
  <c r="CJ110" i="11"/>
  <c r="CB110" i="11"/>
  <c r="BZ110" i="11"/>
  <c r="CL110" i="11"/>
  <c r="CF110" i="11"/>
  <c r="BY110" i="11"/>
  <c r="CC110" i="11"/>
  <c r="CG110" i="11"/>
  <c r="CK110" i="11"/>
  <c r="CI110" i="11"/>
  <c r="CA110" i="11"/>
  <c r="CE110" i="11"/>
  <c r="CB811" i="11"/>
  <c r="BX811" i="11"/>
  <c r="CI811" i="11"/>
  <c r="CD811" i="11"/>
  <c r="CM811" i="11"/>
  <c r="CK811" i="11"/>
  <c r="CL811" i="11"/>
  <c r="CE811" i="11"/>
  <c r="CJ811" i="11"/>
  <c r="CG811" i="11"/>
  <c r="CF811" i="11"/>
  <c r="BZ811" i="11"/>
  <c r="CC811" i="11"/>
  <c r="CA811" i="11"/>
  <c r="CH811" i="11"/>
  <c r="BY811" i="11"/>
  <c r="CJ707" i="11"/>
  <c r="CI707" i="11"/>
  <c r="CA707" i="11"/>
  <c r="BX707" i="11"/>
  <c r="BZ707" i="11"/>
  <c r="CF707" i="11"/>
  <c r="CL707" i="11"/>
  <c r="CE707" i="11"/>
  <c r="CD707" i="11"/>
  <c r="CK707" i="11"/>
  <c r="CB707" i="11"/>
  <c r="CG707" i="11"/>
  <c r="CH707" i="11"/>
  <c r="CC707" i="11"/>
  <c r="CM707" i="11"/>
  <c r="BY707" i="11"/>
  <c r="CC603" i="11"/>
  <c r="CI603" i="11"/>
  <c r="BY603" i="11"/>
  <c r="CE603" i="11"/>
  <c r="CM603" i="11"/>
  <c r="CH603" i="11"/>
  <c r="CJ603" i="11"/>
  <c r="CL603" i="11"/>
  <c r="CK603" i="11"/>
  <c r="CF603" i="11"/>
  <c r="CG603" i="11"/>
  <c r="CB603" i="11"/>
  <c r="CA603" i="11"/>
  <c r="BZ603" i="11"/>
  <c r="BX603" i="11"/>
  <c r="CD603" i="11"/>
  <c r="CK499" i="11"/>
  <c r="CC499" i="11"/>
  <c r="CF499" i="11"/>
  <c r="BY499" i="11"/>
  <c r="BZ499" i="11"/>
  <c r="CD499" i="11"/>
  <c r="BX499" i="11"/>
  <c r="CJ499" i="11"/>
  <c r="CM499" i="11"/>
  <c r="CH499" i="11"/>
  <c r="CG499" i="11"/>
  <c r="CL499" i="11"/>
  <c r="CB499" i="11"/>
  <c r="CA499" i="11"/>
  <c r="CE499" i="11"/>
  <c r="CI499" i="11"/>
  <c r="CF395" i="11"/>
  <c r="CK395" i="11"/>
  <c r="BY395" i="11"/>
  <c r="CJ395" i="11"/>
  <c r="CA395" i="11"/>
  <c r="CE395" i="11"/>
  <c r="CH395" i="11"/>
  <c r="CG395" i="11"/>
  <c r="CC395" i="11"/>
  <c r="CD395" i="11"/>
  <c r="CM395" i="11"/>
  <c r="CI395" i="11"/>
  <c r="BZ395" i="11"/>
  <c r="CL395" i="11"/>
  <c r="BX395" i="11"/>
  <c r="CB395" i="11"/>
  <c r="CK291" i="11"/>
  <c r="CF291" i="11"/>
  <c r="CA291" i="11"/>
  <c r="CL291" i="11"/>
  <c r="CB291" i="11"/>
  <c r="CI291" i="11"/>
  <c r="CH291" i="11"/>
  <c r="CG291" i="11"/>
  <c r="BY291" i="11"/>
  <c r="CD291" i="11"/>
  <c r="CM291" i="11"/>
  <c r="BX291" i="11"/>
  <c r="CE291" i="11"/>
  <c r="BZ291" i="11"/>
  <c r="CC291" i="11"/>
  <c r="CJ291" i="11"/>
  <c r="CJ187" i="11"/>
  <c r="CA187" i="11"/>
  <c r="CF187" i="11"/>
  <c r="BX187" i="11"/>
  <c r="BY187" i="11"/>
  <c r="CI187" i="11"/>
  <c r="CK187" i="11"/>
  <c r="CE187" i="11"/>
  <c r="CC187" i="11"/>
  <c r="BZ187" i="11"/>
  <c r="CL187" i="11"/>
  <c r="CB187" i="11"/>
  <c r="CH187" i="11"/>
  <c r="CG187" i="11"/>
  <c r="CD187" i="11"/>
  <c r="CM187" i="11"/>
  <c r="BY83" i="11"/>
  <c r="CG83" i="11"/>
  <c r="CH83" i="11"/>
  <c r="CF83" i="11"/>
  <c r="CM83" i="11"/>
  <c r="CI83" i="11"/>
  <c r="CD83" i="11"/>
  <c r="CB83" i="11"/>
  <c r="BZ83" i="11"/>
  <c r="BX83" i="11"/>
  <c r="CJ83" i="11"/>
  <c r="CE83" i="11"/>
  <c r="CA83" i="11"/>
  <c r="CC83" i="11"/>
  <c r="CK83" i="11"/>
  <c r="CL83" i="11"/>
  <c r="CM784" i="11"/>
  <c r="BZ784" i="11"/>
  <c r="CH784" i="11"/>
  <c r="CD784" i="11"/>
  <c r="BX784" i="11"/>
  <c r="CK784" i="11"/>
  <c r="CC784" i="11"/>
  <c r="BY784" i="11"/>
  <c r="CJ784" i="11"/>
  <c r="CF784" i="11"/>
  <c r="CG784" i="11"/>
  <c r="CL784" i="11"/>
  <c r="CB784" i="11"/>
  <c r="CA784" i="11"/>
  <c r="CE784" i="11"/>
  <c r="CI784" i="11"/>
  <c r="CH680" i="11"/>
  <c r="CD680" i="11"/>
  <c r="CA680" i="11"/>
  <c r="CJ680" i="11"/>
  <c r="CK680" i="11"/>
  <c r="CG680" i="11"/>
  <c r="CL680" i="11"/>
  <c r="CF680" i="11"/>
  <c r="CE680" i="11"/>
  <c r="BY680" i="11"/>
  <c r="CB680" i="11"/>
  <c r="BZ680" i="11"/>
  <c r="CI680" i="11"/>
  <c r="BX680" i="11"/>
  <c r="CM680" i="11"/>
  <c r="CC680" i="11"/>
  <c r="CL576" i="11"/>
  <c r="CB576" i="11"/>
  <c r="CG576" i="11"/>
  <c r="CJ576" i="11"/>
  <c r="BZ576" i="11"/>
  <c r="BY576" i="11"/>
  <c r="CH576" i="11"/>
  <c r="CD576" i="11"/>
  <c r="CC576" i="11"/>
  <c r="CF576" i="11"/>
  <c r="BX576" i="11"/>
  <c r="CM576" i="11"/>
  <c r="CK576" i="11"/>
  <c r="CA576" i="11"/>
  <c r="CE576" i="11"/>
  <c r="CI576" i="11"/>
  <c r="CJ472" i="11"/>
  <c r="BY472" i="11"/>
  <c r="BX472" i="11"/>
  <c r="CF472" i="11"/>
  <c r="CE472" i="11"/>
  <c r="CA472" i="11"/>
  <c r="CC472" i="11"/>
  <c r="CK472" i="11"/>
  <c r="CI472" i="11"/>
  <c r="CD472" i="11"/>
  <c r="CM472" i="11"/>
  <c r="BZ472" i="11"/>
  <c r="CL472" i="11"/>
  <c r="CB472" i="11"/>
  <c r="CH472" i="11"/>
  <c r="CG472" i="11"/>
  <c r="CF368" i="11"/>
  <c r="CG368" i="11"/>
  <c r="CE368" i="11"/>
  <c r="BX368" i="11"/>
  <c r="CC368" i="11"/>
  <c r="BZ368" i="11"/>
  <c r="CH368" i="11"/>
  <c r="BY368" i="11"/>
  <c r="CI368" i="11"/>
  <c r="CA368" i="11"/>
  <c r="CB368" i="11"/>
  <c r="CM368" i="11"/>
  <c r="CK368" i="11"/>
  <c r="CJ368" i="11"/>
  <c r="CL368" i="11"/>
  <c r="CD368" i="11"/>
  <c r="CD264" i="11"/>
  <c r="CA264" i="11"/>
  <c r="CJ264" i="11"/>
  <c r="CL264" i="11"/>
  <c r="CI264" i="11"/>
  <c r="CE264" i="11"/>
  <c r="BX264" i="11"/>
  <c r="CF264" i="11"/>
  <c r="BZ264" i="11"/>
  <c r="CG264" i="11"/>
  <c r="CH264" i="11"/>
  <c r="CC264" i="11"/>
  <c r="CM264" i="11"/>
  <c r="BY264" i="11"/>
  <c r="CK264" i="11"/>
  <c r="CB264" i="11"/>
  <c r="CC160" i="11"/>
  <c r="CD160" i="11"/>
  <c r="CG160" i="11"/>
  <c r="BX160" i="11"/>
  <c r="BY160" i="11"/>
  <c r="BZ160" i="11"/>
  <c r="CM160" i="11"/>
  <c r="CH160" i="11"/>
  <c r="CL160" i="11"/>
  <c r="CK160" i="11"/>
  <c r="CJ160" i="11"/>
  <c r="CB160" i="11"/>
  <c r="CF160" i="11"/>
  <c r="CE160" i="11"/>
  <c r="CI160" i="11"/>
  <c r="CA160" i="11"/>
  <c r="CD56" i="11"/>
  <c r="CM56" i="11"/>
  <c r="CC56" i="11"/>
  <c r="BZ56" i="11"/>
  <c r="CK56" i="11"/>
  <c r="CJ56" i="11"/>
  <c r="BX56" i="11"/>
  <c r="CH56" i="11"/>
  <c r="BY56" i="11"/>
  <c r="CF56" i="11"/>
  <c r="CB56" i="11"/>
  <c r="CG56" i="11"/>
  <c r="CL56" i="11"/>
  <c r="CE56" i="11"/>
  <c r="CI56" i="11"/>
  <c r="CA56" i="11"/>
  <c r="CC757" i="11"/>
  <c r="CL757" i="11"/>
  <c r="CF757" i="11"/>
  <c r="BY757" i="11"/>
  <c r="BZ757" i="11"/>
  <c r="CG757" i="11"/>
  <c r="BX757" i="11"/>
  <c r="CM757" i="11"/>
  <c r="CJ757" i="11"/>
  <c r="CH757" i="11"/>
  <c r="CK757" i="11"/>
  <c r="CD757" i="11"/>
  <c r="CB757" i="11"/>
  <c r="CA757" i="11"/>
  <c r="CE757" i="11"/>
  <c r="CI757" i="11"/>
  <c r="CK653" i="11"/>
  <c r="CC653" i="11"/>
  <c r="CG653" i="11"/>
  <c r="BY653" i="11"/>
  <c r="BX653" i="11"/>
  <c r="BZ653" i="11"/>
  <c r="CJ653" i="11"/>
  <c r="CL653" i="11"/>
  <c r="CE653" i="11"/>
  <c r="CA653" i="11"/>
  <c r="CF653" i="11"/>
  <c r="CH653" i="11"/>
  <c r="CM653" i="11"/>
  <c r="CI653" i="11"/>
  <c r="CB653" i="11"/>
  <c r="CD653" i="11"/>
  <c r="BX549" i="11"/>
  <c r="CF549" i="11"/>
  <c r="CL549" i="11"/>
  <c r="CD549" i="11"/>
  <c r="CM549" i="11"/>
  <c r="CH549" i="11"/>
  <c r="CJ549" i="11"/>
  <c r="BZ549" i="11"/>
  <c r="CB549" i="11"/>
  <c r="CG549" i="11"/>
  <c r="CI549" i="11"/>
  <c r="CK549" i="11"/>
  <c r="BY549" i="11"/>
  <c r="CA549" i="11"/>
  <c r="CC549" i="11"/>
  <c r="CE549" i="11"/>
  <c r="CI445" i="11"/>
  <c r="BX445" i="11"/>
  <c r="CD445" i="11"/>
  <c r="CJ445" i="11"/>
  <c r="CA445" i="11"/>
  <c r="CF445" i="11"/>
  <c r="CL445" i="11"/>
  <c r="BY445" i="11"/>
  <c r="BZ445" i="11"/>
  <c r="CK445" i="11"/>
  <c r="CB445" i="11"/>
  <c r="CE445" i="11"/>
  <c r="CG445" i="11"/>
  <c r="CH445" i="11"/>
  <c r="CC445" i="11"/>
  <c r="CM445" i="11"/>
  <c r="BZ341" i="11"/>
  <c r="CL341" i="11"/>
  <c r="CK341" i="11"/>
  <c r="CI341" i="11"/>
  <c r="BY341" i="11"/>
  <c r="CD341" i="11"/>
  <c r="CA341" i="11"/>
  <c r="CG341" i="11"/>
  <c r="CE341" i="11"/>
  <c r="BX341" i="11"/>
  <c r="CJ341" i="11"/>
  <c r="CC341" i="11"/>
  <c r="CF341" i="11"/>
  <c r="CH341" i="11"/>
  <c r="CB341" i="11"/>
  <c r="CM341" i="11"/>
  <c r="CG237" i="11"/>
  <c r="CD237" i="11"/>
  <c r="BY237" i="11"/>
  <c r="CL237" i="11"/>
  <c r="CK237" i="11"/>
  <c r="CI237" i="11"/>
  <c r="CA237" i="11"/>
  <c r="BZ237" i="11"/>
  <c r="CE237" i="11"/>
  <c r="CJ237" i="11"/>
  <c r="CC237" i="11"/>
  <c r="CF237" i="11"/>
  <c r="CH237" i="11"/>
  <c r="CB237" i="11"/>
  <c r="CM237" i="11"/>
  <c r="BX237" i="11"/>
  <c r="CE133" i="11"/>
  <c r="CI133" i="11"/>
  <c r="CC133" i="11"/>
  <c r="CB133" i="11"/>
  <c r="CD133" i="11"/>
  <c r="BY133" i="11"/>
  <c r="BX133" i="11"/>
  <c r="BZ133" i="11"/>
  <c r="CG133" i="11"/>
  <c r="CH133" i="11"/>
  <c r="CJ133" i="11"/>
  <c r="CM133" i="11"/>
  <c r="CA133" i="11"/>
  <c r="CF133" i="11"/>
  <c r="CK133" i="11"/>
  <c r="CL133" i="11"/>
  <c r="CI29" i="11"/>
  <c r="BX29" i="11"/>
  <c r="CC29" i="11"/>
  <c r="CD29" i="11"/>
  <c r="CM29" i="11"/>
  <c r="CJ29" i="11"/>
  <c r="BZ29" i="11"/>
  <c r="CL29" i="11"/>
  <c r="CB29" i="11"/>
  <c r="BY29" i="11"/>
  <c r="CH29" i="11"/>
  <c r="CG29" i="11"/>
  <c r="CA29" i="11"/>
  <c r="CE29" i="11"/>
  <c r="CF29" i="11"/>
  <c r="CK29" i="11"/>
  <c r="CB626" i="11"/>
  <c r="CM626" i="11"/>
  <c r="CE626" i="11"/>
  <c r="CJ626" i="11"/>
  <c r="BY626" i="11"/>
  <c r="CL626" i="11"/>
  <c r="CI626" i="11"/>
  <c r="CF626" i="11"/>
  <c r="CH626" i="11"/>
  <c r="CC626" i="11"/>
  <c r="CA626" i="11"/>
  <c r="CD626" i="11"/>
  <c r="BX626" i="11"/>
  <c r="CN626" i="11" s="1"/>
  <c r="CG626" i="11"/>
  <c r="BZ626" i="11"/>
  <c r="CK626" i="11"/>
  <c r="CE210" i="11"/>
  <c r="BZ210" i="11"/>
  <c r="CK210" i="11"/>
  <c r="CL210" i="11"/>
  <c r="CD210" i="11"/>
  <c r="CI210" i="11"/>
  <c r="BY210" i="11"/>
  <c r="BX210" i="11"/>
  <c r="CA210" i="11"/>
  <c r="CJ210" i="11"/>
  <c r="CC210" i="11"/>
  <c r="CG210" i="11"/>
  <c r="CF210" i="11"/>
  <c r="CH210" i="11"/>
  <c r="CB210" i="11"/>
  <c r="CM210" i="11"/>
  <c r="CH599" i="11"/>
  <c r="CI599" i="11"/>
  <c r="BZ599" i="11"/>
  <c r="CB599" i="11"/>
  <c r="CC599" i="11"/>
  <c r="CA599" i="11"/>
  <c r="BX599" i="11"/>
  <c r="BY599" i="11"/>
  <c r="CD599" i="11"/>
  <c r="CE599" i="11"/>
  <c r="CK599" i="11"/>
  <c r="CL599" i="11"/>
  <c r="CJ599" i="11"/>
  <c r="CM599" i="11"/>
  <c r="CG599" i="11"/>
  <c r="CF599" i="11"/>
  <c r="CH287" i="11"/>
  <c r="BZ287" i="11"/>
  <c r="CK287" i="11"/>
  <c r="BX287" i="11"/>
  <c r="CM287" i="11"/>
  <c r="CF287" i="11"/>
  <c r="CC287" i="11"/>
  <c r="CJ287" i="11"/>
  <c r="CB287" i="11"/>
  <c r="CG287" i="11"/>
  <c r="BY287" i="11"/>
  <c r="CL287" i="11"/>
  <c r="CD287" i="11"/>
  <c r="CI287" i="11"/>
  <c r="CA287" i="11"/>
  <c r="CE287" i="11"/>
  <c r="CI572" i="11"/>
  <c r="CD572" i="11"/>
  <c r="CK572" i="11"/>
  <c r="CL572" i="11"/>
  <c r="BY572" i="11"/>
  <c r="CA572" i="11"/>
  <c r="CG572" i="11"/>
  <c r="BX572" i="11"/>
  <c r="BZ572" i="11"/>
  <c r="CJ572" i="11"/>
  <c r="CC572" i="11"/>
  <c r="CE572" i="11"/>
  <c r="CF572" i="11"/>
  <c r="CH572" i="11"/>
  <c r="CB572" i="11"/>
  <c r="CM572" i="11"/>
  <c r="CL52" i="11"/>
  <c r="BZ52" i="11"/>
  <c r="CG52" i="11"/>
  <c r="CD52" i="11"/>
  <c r="CA52" i="11"/>
  <c r="CK52" i="11"/>
  <c r="BY52" i="11"/>
  <c r="CI52" i="11"/>
  <c r="CE52" i="11"/>
  <c r="CB52" i="11"/>
  <c r="CM52" i="11"/>
  <c r="BX52" i="11"/>
  <c r="CJ52" i="11"/>
  <c r="CC52" i="11"/>
  <c r="CF52" i="11"/>
  <c r="CH52" i="11"/>
  <c r="CF600" i="11"/>
  <c r="CH600" i="11"/>
  <c r="BZ600" i="11"/>
  <c r="CB600" i="11"/>
  <c r="BX600" i="11"/>
  <c r="CL600" i="11"/>
  <c r="CG600" i="11"/>
  <c r="BY600" i="11"/>
  <c r="CM600" i="11"/>
  <c r="CC600" i="11"/>
  <c r="CJ600" i="11"/>
  <c r="CK600" i="11"/>
  <c r="CD600" i="11"/>
  <c r="CA600" i="11"/>
  <c r="CE600" i="11"/>
  <c r="CI600" i="11"/>
  <c r="CD288" i="11"/>
  <c r="CF288" i="11"/>
  <c r="BX288" i="11"/>
  <c r="BZ288" i="11"/>
  <c r="CI288" i="11"/>
  <c r="CJ288" i="11"/>
  <c r="CA288" i="11"/>
  <c r="CE288" i="11"/>
  <c r="CL288" i="11"/>
  <c r="CG288" i="11"/>
  <c r="CH288" i="11"/>
  <c r="CC288" i="11"/>
  <c r="CM288" i="11"/>
  <c r="BY288" i="11"/>
  <c r="CK288" i="11"/>
  <c r="CB288" i="11"/>
  <c r="CJ781" i="11"/>
  <c r="CI781" i="11"/>
  <c r="CA781" i="11"/>
  <c r="CK781" i="11"/>
  <c r="CF781" i="11"/>
  <c r="CC781" i="11"/>
  <c r="BX781" i="11"/>
  <c r="CE781" i="11"/>
  <c r="BY781" i="11"/>
  <c r="CD781" i="11"/>
  <c r="CM781" i="11"/>
  <c r="CG781" i="11"/>
  <c r="BZ781" i="11"/>
  <c r="CH781" i="11"/>
  <c r="CL781" i="11"/>
  <c r="CB781" i="11"/>
  <c r="CL365" i="11"/>
  <c r="BY365" i="11"/>
  <c r="CD365" i="11"/>
  <c r="CI365" i="11"/>
  <c r="CK365" i="11"/>
  <c r="CG365" i="11"/>
  <c r="BZ365" i="11"/>
  <c r="CE365" i="11"/>
  <c r="CA365" i="11"/>
  <c r="BX365" i="11"/>
  <c r="CJ365" i="11"/>
  <c r="CC365" i="11"/>
  <c r="CF365" i="11"/>
  <c r="CH365" i="11"/>
  <c r="CM365" i="11"/>
  <c r="CB365" i="11"/>
  <c r="CE157" i="11"/>
  <c r="CI157" i="11"/>
  <c r="BY157" i="11"/>
  <c r="BX157" i="11"/>
  <c r="BZ157" i="11"/>
  <c r="CK157" i="11"/>
  <c r="CJ157" i="11"/>
  <c r="CL157" i="11"/>
  <c r="CM157" i="11"/>
  <c r="CG157" i="11"/>
  <c r="CF157" i="11"/>
  <c r="CH157" i="11"/>
  <c r="CC157" i="11"/>
  <c r="CB157" i="11"/>
  <c r="CD157" i="11"/>
  <c r="CA157" i="11"/>
  <c r="CM650" i="11"/>
  <c r="CH650" i="11"/>
  <c r="BZ650" i="11"/>
  <c r="CJ650" i="11"/>
  <c r="CB650" i="11"/>
  <c r="CF650" i="11"/>
  <c r="BX650" i="11"/>
  <c r="CL650" i="11"/>
  <c r="CD650" i="11"/>
  <c r="CK650" i="11"/>
  <c r="CI650" i="11"/>
  <c r="BY650" i="11"/>
  <c r="CC650" i="11"/>
  <c r="CA650" i="11"/>
  <c r="CG650" i="11"/>
  <c r="CE650" i="11"/>
  <c r="CK338" i="11"/>
  <c r="CH338" i="11"/>
  <c r="BZ338" i="11"/>
  <c r="CC338" i="11"/>
  <c r="CF338" i="11"/>
  <c r="CJ338" i="11"/>
  <c r="BY338" i="11"/>
  <c r="CD338" i="11"/>
  <c r="BX338" i="11"/>
  <c r="CM338" i="11"/>
  <c r="CB338" i="11"/>
  <c r="CG338" i="11"/>
  <c r="CL338" i="11"/>
  <c r="CI338" i="11"/>
  <c r="CA338" i="11"/>
  <c r="CE338" i="11"/>
  <c r="CG782" i="11"/>
  <c r="BY782" i="11"/>
  <c r="CC782" i="11"/>
  <c r="CH782" i="11"/>
  <c r="CM782" i="11"/>
  <c r="CI782" i="11"/>
  <c r="CA782" i="11"/>
  <c r="CJ782" i="11"/>
  <c r="CK782" i="11"/>
  <c r="CL782" i="11"/>
  <c r="CF782" i="11"/>
  <c r="CE782" i="11"/>
  <c r="BX782" i="11"/>
  <c r="CN782" i="11" s="1"/>
  <c r="CB782" i="11"/>
  <c r="BZ782" i="11"/>
  <c r="CD782" i="11"/>
  <c r="CH678" i="11"/>
  <c r="CE678" i="11"/>
  <c r="BX678" i="11"/>
  <c r="CB678" i="11"/>
  <c r="CM678" i="11"/>
  <c r="CI678" i="11"/>
  <c r="BZ678" i="11"/>
  <c r="CK678" i="11"/>
  <c r="CL678" i="11"/>
  <c r="CJ678" i="11"/>
  <c r="CG678" i="11"/>
  <c r="CF678" i="11"/>
  <c r="CC678" i="11"/>
  <c r="CA678" i="11"/>
  <c r="BY678" i="11"/>
  <c r="CD678" i="11"/>
  <c r="CK574" i="11"/>
  <c r="CE574" i="11"/>
  <c r="BZ574" i="11"/>
  <c r="CL574" i="11"/>
  <c r="CG574" i="11"/>
  <c r="CJ574" i="11"/>
  <c r="CC574" i="11"/>
  <c r="BY574" i="11"/>
  <c r="CF574" i="11"/>
  <c r="CH574" i="11"/>
  <c r="CD574" i="11"/>
  <c r="CB574" i="11"/>
  <c r="CM574" i="11"/>
  <c r="CI574" i="11"/>
  <c r="CA574" i="11"/>
  <c r="BX574" i="11"/>
  <c r="CJ470" i="11"/>
  <c r="CD470" i="11"/>
  <c r="CM470" i="11"/>
  <c r="BY470" i="11"/>
  <c r="CK470" i="11"/>
  <c r="CC470" i="11"/>
  <c r="CB470" i="11"/>
  <c r="CH470" i="11"/>
  <c r="BZ470" i="11"/>
  <c r="CG470" i="11"/>
  <c r="CF470" i="11"/>
  <c r="CL470" i="11"/>
  <c r="BX470" i="11"/>
  <c r="CN470" i="11" s="1"/>
  <c r="CI470" i="11"/>
  <c r="CA470" i="11"/>
  <c r="CE470" i="11"/>
  <c r="CC366" i="11"/>
  <c r="CM366" i="11"/>
  <c r="CB366" i="11"/>
  <c r="BX366" i="11"/>
  <c r="CI366" i="11"/>
  <c r="CH366" i="11"/>
  <c r="CF366" i="11"/>
  <c r="BY366" i="11"/>
  <c r="CD366" i="11"/>
  <c r="CA366" i="11"/>
  <c r="CG366" i="11"/>
  <c r="BZ366" i="11"/>
  <c r="CJ366" i="11"/>
  <c r="CL366" i="11"/>
  <c r="CK366" i="11"/>
  <c r="CE366" i="11"/>
  <c r="BY262" i="11"/>
  <c r="CK262" i="11"/>
  <c r="CE262" i="11"/>
  <c r="CJ262" i="11"/>
  <c r="BX262" i="11"/>
  <c r="CC262" i="11"/>
  <c r="CI262" i="11"/>
  <c r="CD262" i="11"/>
  <c r="CM262" i="11"/>
  <c r="CA262" i="11"/>
  <c r="BZ262" i="11"/>
  <c r="CF262" i="11"/>
  <c r="CL262" i="11"/>
  <c r="CB262" i="11"/>
  <c r="CH262" i="11"/>
  <c r="CG262" i="11"/>
  <c r="CM158" i="11"/>
  <c r="CG158" i="11"/>
  <c r="BY158" i="11"/>
  <c r="CC158" i="11"/>
  <c r="CK158" i="11"/>
  <c r="CB158" i="11"/>
  <c r="CF158" i="11"/>
  <c r="CJ158" i="11"/>
  <c r="BX158" i="11"/>
  <c r="CH158" i="11"/>
  <c r="CL158" i="11"/>
  <c r="CA158" i="11"/>
  <c r="BZ158" i="11"/>
  <c r="CE158" i="11"/>
  <c r="CD158" i="11"/>
  <c r="CI158" i="11"/>
  <c r="CE54" i="11"/>
  <c r="CA54" i="11"/>
  <c r="BZ54" i="11"/>
  <c r="CL54" i="11"/>
  <c r="CG54" i="11"/>
  <c r="CK54" i="11"/>
  <c r="CF54" i="11"/>
  <c r="CH54" i="11"/>
  <c r="CB54" i="11"/>
  <c r="CM54" i="11"/>
  <c r="BX54" i="11"/>
  <c r="BY54" i="11"/>
  <c r="CD54" i="11"/>
  <c r="CJ54" i="11"/>
  <c r="CI54" i="11"/>
  <c r="CC54" i="11"/>
  <c r="CD755" i="11"/>
  <c r="CE755" i="11"/>
  <c r="CI755" i="11"/>
  <c r="CK755" i="11"/>
  <c r="BY755" i="11"/>
  <c r="CA755" i="11"/>
  <c r="CL755" i="11"/>
  <c r="CG755" i="11"/>
  <c r="BZ755" i="11"/>
  <c r="CJ755" i="11"/>
  <c r="CC755" i="11"/>
  <c r="CF755" i="11"/>
  <c r="CH755" i="11"/>
  <c r="CB755" i="11"/>
  <c r="CM755" i="11"/>
  <c r="BX755" i="11"/>
  <c r="CM651" i="11"/>
  <c r="CC651" i="11"/>
  <c r="BX651" i="11"/>
  <c r="CJ651" i="11"/>
  <c r="BY651" i="11"/>
  <c r="CH651" i="11"/>
  <c r="CD651" i="11"/>
  <c r="CG651" i="11"/>
  <c r="BZ651" i="11"/>
  <c r="CL651" i="11"/>
  <c r="CF651" i="11"/>
  <c r="CK651" i="11"/>
  <c r="CB651" i="11"/>
  <c r="CA651" i="11"/>
  <c r="CE651" i="11"/>
  <c r="CI651" i="11"/>
  <c r="CK547" i="11"/>
  <c r="CA547" i="11"/>
  <c r="CG547" i="11"/>
  <c r="CC547" i="11"/>
  <c r="CI547" i="11"/>
  <c r="BY547" i="11"/>
  <c r="BX547" i="11"/>
  <c r="BZ547" i="11"/>
  <c r="CJ547" i="11"/>
  <c r="CL547" i="11"/>
  <c r="CE547" i="11"/>
  <c r="CF547" i="11"/>
  <c r="CH547" i="11"/>
  <c r="CM547" i="11"/>
  <c r="CB547" i="11"/>
  <c r="CD547" i="11"/>
  <c r="CK443" i="11"/>
  <c r="BX443" i="11"/>
  <c r="CC443" i="11"/>
  <c r="CA443" i="11"/>
  <c r="CJ443" i="11"/>
  <c r="CF443" i="11"/>
  <c r="CI443" i="11"/>
  <c r="BY443" i="11"/>
  <c r="CD443" i="11"/>
  <c r="CM443" i="11"/>
  <c r="CE443" i="11"/>
  <c r="BZ443" i="11"/>
  <c r="CL443" i="11"/>
  <c r="CB443" i="11"/>
  <c r="CH443" i="11"/>
  <c r="CG443" i="11"/>
  <c r="CA339" i="11"/>
  <c r="CE339" i="11"/>
  <c r="CJ339" i="11"/>
  <c r="CL339" i="11"/>
  <c r="CF339" i="11"/>
  <c r="BZ339" i="11"/>
  <c r="CC339" i="11"/>
  <c r="CM339" i="11"/>
  <c r="CI339" i="11"/>
  <c r="BY339" i="11"/>
  <c r="CK339" i="11"/>
  <c r="CB339" i="11"/>
  <c r="BX339" i="11"/>
  <c r="CN339" i="11" s="1"/>
  <c r="CG339" i="11"/>
  <c r="CH339" i="11"/>
  <c r="CD339" i="11"/>
  <c r="CL235" i="11"/>
  <c r="CA235" i="11"/>
  <c r="CF235" i="11"/>
  <c r="CG235" i="11"/>
  <c r="CH235" i="11"/>
  <c r="CJ235" i="11"/>
  <c r="CC235" i="11"/>
  <c r="CM235" i="11"/>
  <c r="BX235" i="11"/>
  <c r="BY235" i="11"/>
  <c r="CD235" i="11"/>
  <c r="BZ235" i="11"/>
  <c r="CK235" i="11"/>
  <c r="CI235" i="11"/>
  <c r="CB235" i="11"/>
  <c r="CE235" i="11"/>
  <c r="CD131" i="11"/>
  <c r="CM131" i="11"/>
  <c r="CK131" i="11"/>
  <c r="CL131" i="11"/>
  <c r="CH131" i="11"/>
  <c r="CF131" i="11"/>
  <c r="CC131" i="11"/>
  <c r="BZ131" i="11"/>
  <c r="BY131" i="11"/>
  <c r="BX131" i="11"/>
  <c r="CG131" i="11"/>
  <c r="CJ131" i="11"/>
  <c r="CB131" i="11"/>
  <c r="CA131" i="11"/>
  <c r="CE131" i="11"/>
  <c r="CI131" i="11"/>
  <c r="CJ832" i="11"/>
  <c r="CA832" i="11"/>
  <c r="CI832" i="11"/>
  <c r="CB832" i="11"/>
  <c r="CL832" i="11"/>
  <c r="CK832" i="11"/>
  <c r="CE832" i="11"/>
  <c r="BX832" i="11"/>
  <c r="BZ832" i="11"/>
  <c r="CH832" i="11"/>
  <c r="CG832" i="11"/>
  <c r="CM832" i="11"/>
  <c r="CF832" i="11"/>
  <c r="CD832" i="11"/>
  <c r="CC832" i="11"/>
  <c r="BY832" i="11"/>
  <c r="CK728" i="11"/>
  <c r="BY728" i="11"/>
  <c r="BZ728" i="11"/>
  <c r="BX728" i="11"/>
  <c r="CJ728" i="11"/>
  <c r="CC728" i="11"/>
  <c r="CD728" i="11"/>
  <c r="CF728" i="11"/>
  <c r="CM728" i="11"/>
  <c r="CH728" i="11"/>
  <c r="CL728" i="11"/>
  <c r="CB728" i="11"/>
  <c r="CG728" i="11"/>
  <c r="CI728" i="11"/>
  <c r="CA728" i="11"/>
  <c r="CE728" i="11"/>
  <c r="CC624" i="11"/>
  <c r="CI624" i="11"/>
  <c r="BY624" i="11"/>
  <c r="CF624" i="11"/>
  <c r="CK624" i="11"/>
  <c r="CE624" i="11"/>
  <c r="CA624" i="11"/>
  <c r="BX624" i="11"/>
  <c r="CJ624" i="11"/>
  <c r="BZ624" i="11"/>
  <c r="CL624" i="11"/>
  <c r="CB624" i="11"/>
  <c r="CH624" i="11"/>
  <c r="CG624" i="11"/>
  <c r="CD624" i="11"/>
  <c r="CM624" i="11"/>
  <c r="CE520" i="11"/>
  <c r="CL520" i="11"/>
  <c r="BZ520" i="11"/>
  <c r="CJ520" i="11"/>
  <c r="CG520" i="11"/>
  <c r="CH520" i="11"/>
  <c r="CC520" i="11"/>
  <c r="CM520" i="11"/>
  <c r="CA520" i="11"/>
  <c r="BY520" i="11"/>
  <c r="BX520" i="11"/>
  <c r="CK520" i="11"/>
  <c r="CB520" i="11"/>
  <c r="CD520" i="11"/>
  <c r="CF520" i="11"/>
  <c r="CI520" i="11"/>
  <c r="CG416" i="11"/>
  <c r="BZ416" i="11"/>
  <c r="CE416" i="11"/>
  <c r="CL416" i="11"/>
  <c r="CA416" i="11"/>
  <c r="CK416" i="11"/>
  <c r="BX416" i="11"/>
  <c r="BY416" i="11"/>
  <c r="CJ416" i="11"/>
  <c r="CC416" i="11"/>
  <c r="CD416" i="11"/>
  <c r="CF416" i="11"/>
  <c r="CH416" i="11"/>
  <c r="CI416" i="11"/>
  <c r="CB416" i="11"/>
  <c r="CM416" i="11"/>
  <c r="CM312" i="11"/>
  <c r="CC312" i="11"/>
  <c r="CA312" i="11"/>
  <c r="CG312" i="11"/>
  <c r="CI312" i="11"/>
  <c r="CH312" i="11"/>
  <c r="BY312" i="11"/>
  <c r="BX312" i="11"/>
  <c r="CD312" i="11"/>
  <c r="CJ312" i="11"/>
  <c r="CK312" i="11"/>
  <c r="CL312" i="11"/>
  <c r="CF312" i="11"/>
  <c r="CE312" i="11"/>
  <c r="CB312" i="11"/>
  <c r="BZ312" i="11"/>
  <c r="CI208" i="11"/>
  <c r="CA208" i="11"/>
  <c r="CD208" i="11"/>
  <c r="CK208" i="11"/>
  <c r="CL208" i="11"/>
  <c r="BY208" i="11"/>
  <c r="CG208" i="11"/>
  <c r="BZ208" i="11"/>
  <c r="CE208" i="11"/>
  <c r="CB208" i="11"/>
  <c r="CM208" i="11"/>
  <c r="BX208" i="11"/>
  <c r="CJ208" i="11"/>
  <c r="CC208" i="11"/>
  <c r="CF208" i="11"/>
  <c r="CH208" i="11"/>
  <c r="CK104" i="11"/>
  <c r="BX104" i="11"/>
  <c r="BZ104" i="11"/>
  <c r="CJ104" i="11"/>
  <c r="CL104" i="11"/>
  <c r="CE104" i="11"/>
  <c r="CC104" i="11"/>
  <c r="CF104" i="11"/>
  <c r="CH104" i="11"/>
  <c r="CM104" i="11"/>
  <c r="CI104" i="11"/>
  <c r="BY104" i="11"/>
  <c r="CB104" i="11"/>
  <c r="CG104" i="11"/>
  <c r="CD104" i="11"/>
  <c r="CA104" i="11"/>
  <c r="CJ77" i="11"/>
  <c r="CD77" i="11"/>
  <c r="BZ77" i="11"/>
  <c r="CF77" i="11"/>
  <c r="BX77" i="11"/>
  <c r="CH77" i="11"/>
  <c r="CB77" i="11"/>
  <c r="CM77" i="11"/>
  <c r="CL77" i="11"/>
  <c r="BY77" i="11"/>
  <c r="CC77" i="11"/>
  <c r="CG77" i="11"/>
  <c r="CK77" i="11"/>
  <c r="CA77" i="11"/>
  <c r="CE77" i="11"/>
  <c r="CI77" i="11"/>
  <c r="CK778" i="11"/>
  <c r="CL778" i="11"/>
  <c r="BY778" i="11"/>
  <c r="CA778" i="11"/>
  <c r="CG778" i="11"/>
  <c r="CI778" i="11"/>
  <c r="CE778" i="11"/>
  <c r="BZ778" i="11"/>
  <c r="CD778" i="11"/>
  <c r="CF778" i="11"/>
  <c r="CH778" i="11"/>
  <c r="CJ778" i="11"/>
  <c r="CB778" i="11"/>
  <c r="CM778" i="11"/>
  <c r="BX778" i="11"/>
  <c r="CC778" i="11"/>
  <c r="CK674" i="11"/>
  <c r="CA674" i="11"/>
  <c r="CI674" i="11"/>
  <c r="CL674" i="11"/>
  <c r="CJ674" i="11"/>
  <c r="CE674" i="11"/>
  <c r="BY674" i="11"/>
  <c r="CH674" i="11"/>
  <c r="CF674" i="11"/>
  <c r="CM674" i="11"/>
  <c r="CG674" i="11"/>
  <c r="CC674" i="11"/>
  <c r="CD674" i="11"/>
  <c r="CB674" i="11"/>
  <c r="BZ674" i="11"/>
  <c r="BX674" i="11"/>
  <c r="CM570" i="11"/>
  <c r="CH570" i="11"/>
  <c r="CC570" i="11"/>
  <c r="BX570" i="11"/>
  <c r="CK570" i="11"/>
  <c r="CD570" i="11"/>
  <c r="CJ570" i="11"/>
  <c r="CL570" i="11"/>
  <c r="CE570" i="11"/>
  <c r="BY570" i="11"/>
  <c r="CF570" i="11"/>
  <c r="CG570" i="11"/>
  <c r="BZ570" i="11"/>
  <c r="CB570" i="11"/>
  <c r="CA570" i="11"/>
  <c r="CI570" i="11"/>
  <c r="CJ466" i="11"/>
  <c r="CD466" i="11"/>
  <c r="CM466" i="11"/>
  <c r="BY466" i="11"/>
  <c r="CK466" i="11"/>
  <c r="CG466" i="11"/>
  <c r="BX466" i="11"/>
  <c r="CL466" i="11"/>
  <c r="CC466" i="11"/>
  <c r="BZ466" i="11"/>
  <c r="CH466" i="11"/>
  <c r="CF466" i="11"/>
  <c r="CB466" i="11"/>
  <c r="CA466" i="11"/>
  <c r="CE466" i="11"/>
  <c r="CI466" i="11"/>
  <c r="CF362" i="11"/>
  <c r="BY362" i="11"/>
  <c r="CA362" i="11"/>
  <c r="CE362" i="11"/>
  <c r="CJ362" i="11"/>
  <c r="CK362" i="11"/>
  <c r="CL362" i="11"/>
  <c r="CB362" i="11"/>
  <c r="CI362" i="11"/>
  <c r="CH362" i="11"/>
  <c r="CG362" i="11"/>
  <c r="CD362" i="11"/>
  <c r="CM362" i="11"/>
  <c r="BX362" i="11"/>
  <c r="BZ362" i="11"/>
  <c r="CC362" i="11"/>
  <c r="CK258" i="11"/>
  <c r="CA258" i="11"/>
  <c r="CF258" i="11"/>
  <c r="BZ258" i="11"/>
  <c r="CC258" i="11"/>
  <c r="CE258" i="11"/>
  <c r="CL258" i="11"/>
  <c r="CB258" i="11"/>
  <c r="CI258" i="11"/>
  <c r="CJ258" i="11"/>
  <c r="CH258" i="11"/>
  <c r="CG258" i="11"/>
  <c r="CD258" i="11"/>
  <c r="BY258" i="11"/>
  <c r="CM258" i="11"/>
  <c r="BX258" i="11"/>
  <c r="CC154" i="11"/>
  <c r="BY154" i="11"/>
  <c r="CM154" i="11"/>
  <c r="CG154" i="11"/>
  <c r="CK154" i="11"/>
  <c r="CB154" i="11"/>
  <c r="CA154" i="11"/>
  <c r="CF154" i="11"/>
  <c r="CI154" i="11"/>
  <c r="CJ154" i="11"/>
  <c r="BX154" i="11"/>
  <c r="CH154" i="11"/>
  <c r="CL154" i="11"/>
  <c r="CE154" i="11"/>
  <c r="BZ154" i="11"/>
  <c r="CD154" i="11"/>
  <c r="CD50" i="11"/>
  <c r="CI50" i="11"/>
  <c r="BY50" i="11"/>
  <c r="CF50" i="11"/>
  <c r="CH50" i="11"/>
  <c r="CK50" i="11"/>
  <c r="CB50" i="11"/>
  <c r="CM50" i="11"/>
  <c r="BX50" i="11"/>
  <c r="BZ50" i="11"/>
  <c r="CC50" i="11"/>
  <c r="CE50" i="11"/>
  <c r="CA50" i="11"/>
  <c r="CG50" i="11"/>
  <c r="CL50" i="11"/>
  <c r="CJ50" i="11"/>
  <c r="CJ828" i="11"/>
  <c r="CD828" i="11"/>
  <c r="CC828" i="11"/>
  <c r="CH828" i="11"/>
  <c r="CB828" i="11"/>
  <c r="BZ828" i="11"/>
  <c r="BY828" i="11"/>
  <c r="BX828" i="11"/>
  <c r="CI828" i="11"/>
  <c r="CM828" i="11"/>
  <c r="CA828" i="11"/>
  <c r="CL828" i="11"/>
  <c r="CK828" i="11"/>
  <c r="CE828" i="11"/>
  <c r="CF828" i="11"/>
  <c r="CG828" i="11"/>
  <c r="CF724" i="11"/>
  <c r="CB724" i="11"/>
  <c r="CL724" i="11"/>
  <c r="CG724" i="11"/>
  <c r="BX724" i="11"/>
  <c r="CH724" i="11"/>
  <c r="BZ724" i="11"/>
  <c r="CM724" i="11"/>
  <c r="CC724" i="11"/>
  <c r="CJ724" i="11"/>
  <c r="CK724" i="11"/>
  <c r="CD724" i="11"/>
  <c r="BY724" i="11"/>
  <c r="CA724" i="11"/>
  <c r="CE724" i="11"/>
  <c r="CI724" i="11"/>
  <c r="CK620" i="11"/>
  <c r="CC620" i="11"/>
  <c r="CI620" i="11"/>
  <c r="BX620" i="11"/>
  <c r="CA620" i="11"/>
  <c r="CF620" i="11"/>
  <c r="CH620" i="11"/>
  <c r="CG620" i="11"/>
  <c r="CJ620" i="11"/>
  <c r="CD620" i="11"/>
  <c r="CM620" i="11"/>
  <c r="BZ620" i="11"/>
  <c r="BY620" i="11"/>
  <c r="CL620" i="11"/>
  <c r="CB620" i="11"/>
  <c r="CE620" i="11"/>
  <c r="BZ516" i="11"/>
  <c r="CJ516" i="11"/>
  <c r="CE516" i="11"/>
  <c r="CL516" i="11"/>
  <c r="BY516" i="11"/>
  <c r="CK516" i="11"/>
  <c r="CB516" i="11"/>
  <c r="CD516" i="11"/>
  <c r="CA516" i="11"/>
  <c r="CG516" i="11"/>
  <c r="CH516" i="11"/>
  <c r="CI516" i="11"/>
  <c r="CF516" i="11"/>
  <c r="CC516" i="11"/>
  <c r="CM516" i="11"/>
  <c r="BX516" i="11"/>
  <c r="CD412" i="11"/>
  <c r="BY412" i="11"/>
  <c r="CI412" i="11"/>
  <c r="CF412" i="11"/>
  <c r="CH412" i="11"/>
  <c r="CK412" i="11"/>
  <c r="CL412" i="11"/>
  <c r="CB412" i="11"/>
  <c r="CM412" i="11"/>
  <c r="BX412" i="11"/>
  <c r="BZ412" i="11"/>
  <c r="CA412" i="11"/>
  <c r="CJ412" i="11"/>
  <c r="CC412" i="11"/>
  <c r="CG412" i="11"/>
  <c r="CE412" i="11"/>
  <c r="CK308" i="11"/>
  <c r="BZ308" i="11"/>
  <c r="BY308" i="11"/>
  <c r="CI308" i="11"/>
  <c r="CA308" i="11"/>
  <c r="CG308" i="11"/>
  <c r="CL308" i="11"/>
  <c r="CE308" i="11"/>
  <c r="CD308" i="11"/>
  <c r="CF308" i="11"/>
  <c r="CH308" i="11"/>
  <c r="CB308" i="11"/>
  <c r="CM308" i="11"/>
  <c r="BX308" i="11"/>
  <c r="CJ308" i="11"/>
  <c r="CC308" i="11"/>
  <c r="CG204" i="11"/>
  <c r="CD204" i="11"/>
  <c r="CK204" i="11"/>
  <c r="CI204" i="11"/>
  <c r="BY204" i="11"/>
  <c r="CA204" i="11"/>
  <c r="CL204" i="11"/>
  <c r="BZ204" i="11"/>
  <c r="CE204" i="11"/>
  <c r="CJ204" i="11"/>
  <c r="CC204" i="11"/>
  <c r="CF204" i="11"/>
  <c r="CH204" i="11"/>
  <c r="CB204" i="11"/>
  <c r="CM204" i="11"/>
  <c r="BX204" i="11"/>
  <c r="CK100" i="11"/>
  <c r="CF100" i="11"/>
  <c r="CH100" i="11"/>
  <c r="CM100" i="11"/>
  <c r="CC100" i="11"/>
  <c r="CB100" i="11"/>
  <c r="CD100" i="11"/>
  <c r="BY100" i="11"/>
  <c r="BX100" i="11"/>
  <c r="BZ100" i="11"/>
  <c r="CG100" i="11"/>
  <c r="CL100" i="11"/>
  <c r="CI100" i="11"/>
  <c r="CE100" i="11"/>
  <c r="CJ100" i="11"/>
  <c r="CA100" i="11"/>
  <c r="CB801" i="11"/>
  <c r="CM801" i="11"/>
  <c r="BX801" i="11"/>
  <c r="CE801" i="11"/>
  <c r="BY801" i="11"/>
  <c r="CG801" i="11"/>
  <c r="CI801" i="11"/>
  <c r="CL801" i="11"/>
  <c r="CK801" i="11"/>
  <c r="CJ801" i="11"/>
  <c r="BZ801" i="11"/>
  <c r="CH801" i="11"/>
  <c r="CF801" i="11"/>
  <c r="CC801" i="11"/>
  <c r="CD801" i="11"/>
  <c r="CA801" i="11"/>
  <c r="CA697" i="11"/>
  <c r="CJ697" i="11"/>
  <c r="CG697" i="11"/>
  <c r="CH697" i="11"/>
  <c r="CC697" i="11"/>
  <c r="CM697" i="11"/>
  <c r="CB697" i="11"/>
  <c r="CD697" i="11"/>
  <c r="BX697" i="11"/>
  <c r="BZ697" i="11"/>
  <c r="CE697" i="11"/>
  <c r="BY697" i="11"/>
  <c r="CL697" i="11"/>
  <c r="CI697" i="11"/>
  <c r="CK697" i="11"/>
  <c r="CF697" i="11"/>
  <c r="BZ593" i="11"/>
  <c r="CH593" i="11"/>
  <c r="CI593" i="11"/>
  <c r="BY593" i="11"/>
  <c r="CD593" i="11"/>
  <c r="CK593" i="11"/>
  <c r="CL593" i="11"/>
  <c r="CJ593" i="11"/>
  <c r="BX593" i="11"/>
  <c r="CG593" i="11"/>
  <c r="CF593" i="11"/>
  <c r="CE593" i="11"/>
  <c r="CB593" i="11"/>
  <c r="CC593" i="11"/>
  <c r="CA593" i="11"/>
  <c r="CM593" i="11"/>
  <c r="CK489" i="11"/>
  <c r="CL489" i="11"/>
  <c r="CA489" i="11"/>
  <c r="CD489" i="11"/>
  <c r="CG489" i="11"/>
  <c r="BY489" i="11"/>
  <c r="CI489" i="11"/>
  <c r="BZ489" i="11"/>
  <c r="CF489" i="11"/>
  <c r="CH489" i="11"/>
  <c r="CE489" i="11"/>
  <c r="CB489" i="11"/>
  <c r="CM489" i="11"/>
  <c r="CC489" i="11"/>
  <c r="CJ489" i="11"/>
  <c r="BX489" i="11"/>
  <c r="CD385" i="11"/>
  <c r="CJ385" i="11"/>
  <c r="CB385" i="11"/>
  <c r="CM385" i="11"/>
  <c r="CK385" i="11"/>
  <c r="CL385" i="11"/>
  <c r="CH385" i="11"/>
  <c r="CF385" i="11"/>
  <c r="CC385" i="11"/>
  <c r="BZ385" i="11"/>
  <c r="BY385" i="11"/>
  <c r="BX385" i="11"/>
  <c r="CG385" i="11"/>
  <c r="CE385" i="11"/>
  <c r="CI385" i="11"/>
  <c r="CA385" i="11"/>
  <c r="CM281" i="11"/>
  <c r="CH281" i="11"/>
  <c r="BY281" i="11"/>
  <c r="CB281" i="11"/>
  <c r="CK281" i="11"/>
  <c r="CC281" i="11"/>
  <c r="CJ281" i="11"/>
  <c r="CL281" i="11"/>
  <c r="CD281" i="11"/>
  <c r="CF281" i="11"/>
  <c r="BX281" i="11"/>
  <c r="BZ281" i="11"/>
  <c r="CG281" i="11"/>
  <c r="CE281" i="11"/>
  <c r="CI281" i="11"/>
  <c r="CA281" i="11"/>
  <c r="CB177" i="11"/>
  <c r="CD177" i="11"/>
  <c r="CL177" i="11"/>
  <c r="CF177" i="11"/>
  <c r="BX177" i="11"/>
  <c r="CH177" i="11"/>
  <c r="BZ177" i="11"/>
  <c r="CM177" i="11"/>
  <c r="CJ177" i="11"/>
  <c r="CG177" i="11"/>
  <c r="CK177" i="11"/>
  <c r="BY177" i="11"/>
  <c r="CC177" i="11"/>
  <c r="CA177" i="11"/>
  <c r="CE177" i="11"/>
  <c r="CI177" i="11"/>
  <c r="CD73" i="11"/>
  <c r="CJ73" i="11"/>
  <c r="BZ73" i="11"/>
  <c r="CL73" i="11"/>
  <c r="CB73" i="11"/>
  <c r="CM73" i="11"/>
  <c r="CF73" i="11"/>
  <c r="BX73" i="11"/>
  <c r="CH73" i="11"/>
  <c r="CG73" i="11"/>
  <c r="CK73" i="11"/>
  <c r="BY73" i="11"/>
  <c r="CC73" i="11"/>
  <c r="CE73" i="11"/>
  <c r="CI73" i="11"/>
  <c r="CA73" i="11"/>
  <c r="BX774" i="11"/>
  <c r="CD774" i="11"/>
  <c r="CG774" i="11"/>
  <c r="CJ774" i="11"/>
  <c r="CK774" i="11"/>
  <c r="CL774" i="11"/>
  <c r="CM774" i="11"/>
  <c r="CF774" i="11"/>
  <c r="CE774" i="11"/>
  <c r="CA774" i="11"/>
  <c r="CH774" i="11"/>
  <c r="CI774" i="11"/>
  <c r="CB774" i="11"/>
  <c r="BY774" i="11"/>
  <c r="CC774" i="11"/>
  <c r="BZ774" i="11"/>
  <c r="CK670" i="11"/>
  <c r="CI670" i="11"/>
  <c r="CA670" i="11"/>
  <c r="CL670" i="11"/>
  <c r="CJ670" i="11"/>
  <c r="CE670" i="11"/>
  <c r="CG670" i="11"/>
  <c r="CH670" i="11"/>
  <c r="CF670" i="11"/>
  <c r="CM670" i="11"/>
  <c r="CD670" i="11"/>
  <c r="CB670" i="11"/>
  <c r="CC670" i="11"/>
  <c r="BZ670" i="11"/>
  <c r="BX670" i="11"/>
  <c r="BY670" i="11"/>
  <c r="CL566" i="11"/>
  <c r="CE566" i="11"/>
  <c r="CK566" i="11"/>
  <c r="BZ566" i="11"/>
  <c r="BX566" i="11"/>
  <c r="CD566" i="11"/>
  <c r="CJ566" i="11"/>
  <c r="CC566" i="11"/>
  <c r="CI566" i="11"/>
  <c r="CA566" i="11"/>
  <c r="CF566" i="11"/>
  <c r="CH566" i="11"/>
  <c r="CG566" i="11"/>
  <c r="CB566" i="11"/>
  <c r="CM566" i="11"/>
  <c r="BY566" i="11"/>
  <c r="CJ462" i="11"/>
  <c r="CD462" i="11"/>
  <c r="CM462" i="11"/>
  <c r="BY462" i="11"/>
  <c r="CK462" i="11"/>
  <c r="CB462" i="11"/>
  <c r="BX462" i="11"/>
  <c r="BZ462" i="11"/>
  <c r="CG462" i="11"/>
  <c r="CC462" i="11"/>
  <c r="CF462" i="11"/>
  <c r="CL462" i="11"/>
  <c r="CH462" i="11"/>
  <c r="CI462" i="11"/>
  <c r="CA462" i="11"/>
  <c r="CE462" i="11"/>
  <c r="CC358" i="11"/>
  <c r="CM358" i="11"/>
  <c r="CB358" i="11"/>
  <c r="BX358" i="11"/>
  <c r="CI358" i="11"/>
  <c r="CL358" i="11"/>
  <c r="CK358" i="11"/>
  <c r="CE358" i="11"/>
  <c r="CH358" i="11"/>
  <c r="CF358" i="11"/>
  <c r="BY358" i="11"/>
  <c r="CD358" i="11"/>
  <c r="CA358" i="11"/>
  <c r="CG358" i="11"/>
  <c r="CJ358" i="11"/>
  <c r="BZ358" i="11"/>
  <c r="BY254" i="11"/>
  <c r="CJ254" i="11"/>
  <c r="CK254" i="11"/>
  <c r="CE254" i="11"/>
  <c r="CI254" i="11"/>
  <c r="BX254" i="11"/>
  <c r="CC254" i="11"/>
  <c r="CF254" i="11"/>
  <c r="BZ254" i="11"/>
  <c r="CL254" i="11"/>
  <c r="CB254" i="11"/>
  <c r="CH254" i="11"/>
  <c r="CG254" i="11"/>
  <c r="CD254" i="11"/>
  <c r="CA254" i="11"/>
  <c r="CM254" i="11"/>
  <c r="CK150" i="11"/>
  <c r="BY150" i="11"/>
  <c r="CG150" i="11"/>
  <c r="CM150" i="11"/>
  <c r="CC150" i="11"/>
  <c r="CB150" i="11"/>
  <c r="CA150" i="11"/>
  <c r="CF150" i="11"/>
  <c r="CJ150" i="11"/>
  <c r="BX150" i="11"/>
  <c r="CH150" i="11"/>
  <c r="CI150" i="11"/>
  <c r="CL150" i="11"/>
  <c r="BZ150" i="11"/>
  <c r="CD150" i="11"/>
  <c r="CE150" i="11"/>
  <c r="CG46" i="11"/>
  <c r="CK46" i="11"/>
  <c r="CL46" i="11"/>
  <c r="BZ46" i="11"/>
  <c r="CA46" i="11"/>
  <c r="CE46" i="11"/>
  <c r="BX46" i="11"/>
  <c r="CJ46" i="11"/>
  <c r="CC46" i="11"/>
  <c r="CF46" i="11"/>
  <c r="CH46" i="11"/>
  <c r="CB46" i="11"/>
  <c r="BY46" i="11"/>
  <c r="CM46" i="11"/>
  <c r="CD46" i="11"/>
  <c r="CI46" i="11"/>
  <c r="CI747" i="11"/>
  <c r="CA747" i="11"/>
  <c r="BZ747" i="11"/>
  <c r="BX747" i="11"/>
  <c r="CK747" i="11"/>
  <c r="CL747" i="11"/>
  <c r="CJ747" i="11"/>
  <c r="CE747" i="11"/>
  <c r="BY747" i="11"/>
  <c r="CH747" i="11"/>
  <c r="CF747" i="11"/>
  <c r="CM747" i="11"/>
  <c r="CG747" i="11"/>
  <c r="CD747" i="11"/>
  <c r="CB747" i="11"/>
  <c r="CC747" i="11"/>
  <c r="CJ643" i="11"/>
  <c r="CB643" i="11"/>
  <c r="BX643" i="11"/>
  <c r="CG643" i="11"/>
  <c r="CM643" i="11"/>
  <c r="CD643" i="11"/>
  <c r="BY643" i="11"/>
  <c r="CH643" i="11"/>
  <c r="CK643" i="11"/>
  <c r="CF643" i="11"/>
  <c r="CC643" i="11"/>
  <c r="CL643" i="11"/>
  <c r="BZ643" i="11"/>
  <c r="CE643" i="11"/>
  <c r="CI643" i="11"/>
  <c r="CA643" i="11"/>
  <c r="CK539" i="11"/>
  <c r="CI539" i="11"/>
  <c r="BY539" i="11"/>
  <c r="CF539" i="11"/>
  <c r="BX539" i="11"/>
  <c r="CE539" i="11"/>
  <c r="CA539" i="11"/>
  <c r="BZ539" i="11"/>
  <c r="CC539" i="11"/>
  <c r="CL539" i="11"/>
  <c r="CB539" i="11"/>
  <c r="CJ539" i="11"/>
  <c r="CH539" i="11"/>
  <c r="CG539" i="11"/>
  <c r="CD539" i="11"/>
  <c r="CM539" i="11"/>
  <c r="CI435" i="11"/>
  <c r="CK435" i="11"/>
  <c r="CA435" i="11"/>
  <c r="CJ435" i="11"/>
  <c r="BX435" i="11"/>
  <c r="CC435" i="11"/>
  <c r="CF435" i="11"/>
  <c r="CL435" i="11"/>
  <c r="CB435" i="11"/>
  <c r="BY435" i="11"/>
  <c r="CH435" i="11"/>
  <c r="CG435" i="11"/>
  <c r="CE435" i="11"/>
  <c r="CD435" i="11"/>
  <c r="CM435" i="11"/>
  <c r="BZ435" i="11"/>
  <c r="CJ331" i="11"/>
  <c r="CA331" i="11"/>
  <c r="CH331" i="11"/>
  <c r="BZ331" i="11"/>
  <c r="CF331" i="11"/>
  <c r="CM331" i="11"/>
  <c r="CC331" i="11"/>
  <c r="BX331" i="11"/>
  <c r="BY331" i="11"/>
  <c r="CE331" i="11"/>
  <c r="CK331" i="11"/>
  <c r="CI331" i="11"/>
  <c r="CL331" i="11"/>
  <c r="CB331" i="11"/>
  <c r="CG331" i="11"/>
  <c r="CD331" i="11"/>
  <c r="CL227" i="11"/>
  <c r="CA227" i="11"/>
  <c r="CF227" i="11"/>
  <c r="BY227" i="11"/>
  <c r="CD227" i="11"/>
  <c r="BZ227" i="11"/>
  <c r="CK227" i="11"/>
  <c r="CB227" i="11"/>
  <c r="CI227" i="11"/>
  <c r="CE227" i="11"/>
  <c r="CG227" i="11"/>
  <c r="CH227" i="11"/>
  <c r="CJ227" i="11"/>
  <c r="CC227" i="11"/>
  <c r="CM227" i="11"/>
  <c r="BX227" i="11"/>
  <c r="CB123" i="11"/>
  <c r="CG123" i="11"/>
  <c r="CF123" i="11"/>
  <c r="CL123" i="11"/>
  <c r="BY123" i="11"/>
  <c r="CJ123" i="11"/>
  <c r="BX123" i="11"/>
  <c r="CM123" i="11"/>
  <c r="CD123" i="11"/>
  <c r="BZ123" i="11"/>
  <c r="CH123" i="11"/>
  <c r="CK123" i="11"/>
  <c r="CC123" i="11"/>
  <c r="CI123" i="11"/>
  <c r="CA123" i="11"/>
  <c r="CE123" i="11"/>
  <c r="CJ824" i="11"/>
  <c r="CA824" i="11"/>
  <c r="CF824" i="11"/>
  <c r="BX824" i="11"/>
  <c r="CE824" i="11"/>
  <c r="BY824" i="11"/>
  <c r="CI824" i="11"/>
  <c r="CK824" i="11"/>
  <c r="CC824" i="11"/>
  <c r="CH824" i="11"/>
  <c r="CG824" i="11"/>
  <c r="CL824" i="11"/>
  <c r="CD824" i="11"/>
  <c r="CM824" i="11"/>
  <c r="BZ824" i="11"/>
  <c r="CB824" i="11"/>
  <c r="CH720" i="11"/>
  <c r="BY720" i="11"/>
  <c r="CC720" i="11"/>
  <c r="CJ720" i="11"/>
  <c r="BZ720" i="11"/>
  <c r="CD720" i="11"/>
  <c r="BX720" i="11"/>
  <c r="CM720" i="11"/>
  <c r="CF720" i="11"/>
  <c r="CK720" i="11"/>
  <c r="CL720" i="11"/>
  <c r="CB720" i="11"/>
  <c r="CG720" i="11"/>
  <c r="CI720" i="11"/>
  <c r="CA720" i="11"/>
  <c r="CE720" i="11"/>
  <c r="CI616" i="11"/>
  <c r="CJ616" i="11"/>
  <c r="CA616" i="11"/>
  <c r="BY616" i="11"/>
  <c r="CC616" i="11"/>
  <c r="BX616" i="11"/>
  <c r="CF616" i="11"/>
  <c r="CK616" i="11"/>
  <c r="CE616" i="11"/>
  <c r="CL616" i="11"/>
  <c r="CB616" i="11"/>
  <c r="CH616" i="11"/>
  <c r="CG616" i="11"/>
  <c r="CD616" i="11"/>
  <c r="CM616" i="11"/>
  <c r="BZ616" i="11"/>
  <c r="CE512" i="11"/>
  <c r="BZ512" i="11"/>
  <c r="CJ512" i="11"/>
  <c r="CL512" i="11"/>
  <c r="CG512" i="11"/>
  <c r="CH512" i="11"/>
  <c r="CC512" i="11"/>
  <c r="CM512" i="11"/>
  <c r="CA512" i="11"/>
  <c r="BY512" i="11"/>
  <c r="BX512" i="11"/>
  <c r="CF512" i="11"/>
  <c r="CI512" i="11"/>
  <c r="CK512" i="11"/>
  <c r="CB512" i="11"/>
  <c r="CD512" i="11"/>
  <c r="CG408" i="11"/>
  <c r="BZ408" i="11"/>
  <c r="CL408" i="11"/>
  <c r="CA408" i="11"/>
  <c r="CE408" i="11"/>
  <c r="CK408" i="11"/>
  <c r="CJ408" i="11"/>
  <c r="CC408" i="11"/>
  <c r="CF408" i="11"/>
  <c r="CH408" i="11"/>
  <c r="BY408" i="11"/>
  <c r="CB408" i="11"/>
  <c r="CM408" i="11"/>
  <c r="CD408" i="11"/>
  <c r="BX408" i="11"/>
  <c r="CI408" i="11"/>
  <c r="CI304" i="11"/>
  <c r="CC304" i="11"/>
  <c r="CF304" i="11"/>
  <c r="CE304" i="11"/>
  <c r="CH304" i="11"/>
  <c r="CB304" i="11"/>
  <c r="BZ304" i="11"/>
  <c r="BY304" i="11"/>
  <c r="BX304" i="11"/>
  <c r="CD304" i="11"/>
  <c r="CG304" i="11"/>
  <c r="CK304" i="11"/>
  <c r="CA304" i="11"/>
  <c r="CL304" i="11"/>
  <c r="CM304" i="11"/>
  <c r="CJ304" i="11"/>
  <c r="BY200" i="11"/>
  <c r="CE200" i="11"/>
  <c r="CL200" i="11"/>
  <c r="CK200" i="11"/>
  <c r="CA200" i="11"/>
  <c r="CG200" i="11"/>
  <c r="CI200" i="11"/>
  <c r="BZ200" i="11"/>
  <c r="CD200" i="11"/>
  <c r="CF200" i="11"/>
  <c r="CH200" i="11"/>
  <c r="CB200" i="11"/>
  <c r="CM200" i="11"/>
  <c r="BX200" i="11"/>
  <c r="CJ200" i="11"/>
  <c r="CC200" i="11"/>
  <c r="CK96" i="11"/>
  <c r="BX96" i="11"/>
  <c r="BZ96" i="11"/>
  <c r="CJ96" i="11"/>
  <c r="CL96" i="11"/>
  <c r="CE96" i="11"/>
  <c r="CC96" i="11"/>
  <c r="CF96" i="11"/>
  <c r="CH96" i="11"/>
  <c r="CM96" i="11"/>
  <c r="CI96" i="11"/>
  <c r="CB96" i="11"/>
  <c r="BY96" i="11"/>
  <c r="CD96" i="11"/>
  <c r="CG96" i="11"/>
  <c r="CA96" i="11"/>
  <c r="CJ797" i="11"/>
  <c r="CG797" i="11"/>
  <c r="CB797" i="11"/>
  <c r="CA797" i="11"/>
  <c r="CM797" i="11"/>
  <c r="BY797" i="11"/>
  <c r="BZ797" i="11"/>
  <c r="CE797" i="11"/>
  <c r="BX797" i="11"/>
  <c r="CF797" i="11"/>
  <c r="CL797" i="11"/>
  <c r="CI797" i="11"/>
  <c r="CK797" i="11"/>
  <c r="CD797" i="11"/>
  <c r="CH797" i="11"/>
  <c r="CC797" i="11"/>
  <c r="CI693" i="11"/>
  <c r="CM693" i="11"/>
  <c r="CG693" i="11"/>
  <c r="CD693" i="11"/>
  <c r="CA693" i="11"/>
  <c r="BZ693" i="11"/>
  <c r="CC693" i="11"/>
  <c r="BX693" i="11"/>
  <c r="CL693" i="11"/>
  <c r="CK693" i="11"/>
  <c r="CJ693" i="11"/>
  <c r="CE693" i="11"/>
  <c r="BY693" i="11"/>
  <c r="CB693" i="11"/>
  <c r="CH693" i="11"/>
  <c r="CF693" i="11"/>
  <c r="CH589" i="11"/>
  <c r="CI589" i="11"/>
  <c r="BZ589" i="11"/>
  <c r="CG589" i="11"/>
  <c r="CF589" i="11"/>
  <c r="CE589" i="11"/>
  <c r="CB589" i="11"/>
  <c r="CC589" i="11"/>
  <c r="CA589" i="11"/>
  <c r="CM589" i="11"/>
  <c r="BY589" i="11"/>
  <c r="CD589" i="11"/>
  <c r="CK589" i="11"/>
  <c r="CL589" i="11"/>
  <c r="CJ589" i="11"/>
  <c r="BX589" i="11"/>
  <c r="CA485" i="11"/>
  <c r="CE485" i="11"/>
  <c r="BY485" i="11"/>
  <c r="CI485" i="11"/>
  <c r="CK485" i="11"/>
  <c r="BZ485" i="11"/>
  <c r="CG485" i="11"/>
  <c r="CL485" i="11"/>
  <c r="CD485" i="11"/>
  <c r="CB485" i="11"/>
  <c r="CM485" i="11"/>
  <c r="BX485" i="11"/>
  <c r="CJ485" i="11"/>
  <c r="CC485" i="11"/>
  <c r="CH485" i="11"/>
  <c r="CF485" i="11"/>
  <c r="CH381" i="11"/>
  <c r="BZ381" i="11"/>
  <c r="CG381" i="11"/>
  <c r="BY381" i="11"/>
  <c r="BX381" i="11"/>
  <c r="CB381" i="11"/>
  <c r="CM381" i="11"/>
  <c r="CC381" i="11"/>
  <c r="CF381" i="11"/>
  <c r="CJ381" i="11"/>
  <c r="CK381" i="11"/>
  <c r="CL381" i="11"/>
  <c r="CD381" i="11"/>
  <c r="CA381" i="11"/>
  <c r="CE381" i="11"/>
  <c r="CI381" i="11"/>
  <c r="CD277" i="11"/>
  <c r="BY277" i="11"/>
  <c r="CJ277" i="11"/>
  <c r="CM277" i="11"/>
  <c r="CK277" i="11"/>
  <c r="CH277" i="11"/>
  <c r="CF277" i="11"/>
  <c r="CB277" i="11"/>
  <c r="CC277" i="11"/>
  <c r="BZ277" i="11"/>
  <c r="CL277" i="11"/>
  <c r="BX277" i="11"/>
  <c r="CG277" i="11"/>
  <c r="CA277" i="11"/>
  <c r="CE277" i="11"/>
  <c r="CI277" i="11"/>
  <c r="CF173" i="11"/>
  <c r="BX173" i="11"/>
  <c r="CH173" i="11"/>
  <c r="CM173" i="11"/>
  <c r="CL173" i="11"/>
  <c r="BZ173" i="11"/>
  <c r="CD173" i="11"/>
  <c r="CJ173" i="11"/>
  <c r="CB173" i="11"/>
  <c r="BY173" i="11"/>
  <c r="CC173" i="11"/>
  <c r="CG173" i="11"/>
  <c r="CK173" i="11"/>
  <c r="CE173" i="11"/>
  <c r="CI173" i="11"/>
  <c r="CA173" i="11"/>
  <c r="BX69" i="11"/>
  <c r="CD69" i="11"/>
  <c r="CI69" i="11"/>
  <c r="CK69" i="11"/>
  <c r="CB69" i="11"/>
  <c r="CE69" i="11"/>
  <c r="CG69" i="11"/>
  <c r="CH69" i="11"/>
  <c r="CJ69" i="11"/>
  <c r="CC69" i="11"/>
  <c r="CM69" i="11"/>
  <c r="BY69" i="11"/>
  <c r="CA69" i="11"/>
  <c r="BZ69" i="11"/>
  <c r="CF69" i="11"/>
  <c r="CL69" i="11"/>
  <c r="CK770" i="11"/>
  <c r="CE770" i="11"/>
  <c r="BZ770" i="11"/>
  <c r="BY770" i="11"/>
  <c r="CL770" i="11"/>
  <c r="CG770" i="11"/>
  <c r="CA770" i="11"/>
  <c r="CD770" i="11"/>
  <c r="CI770" i="11"/>
  <c r="BX770" i="11"/>
  <c r="CJ770" i="11"/>
  <c r="CC770" i="11"/>
  <c r="CB770" i="11"/>
  <c r="CF770" i="11"/>
  <c r="CH770" i="11"/>
  <c r="CM770" i="11"/>
  <c r="CK666" i="11"/>
  <c r="CA666" i="11"/>
  <c r="CI666" i="11"/>
  <c r="CL666" i="11"/>
  <c r="CJ666" i="11"/>
  <c r="CE666" i="11"/>
  <c r="BY666" i="11"/>
  <c r="CH666" i="11"/>
  <c r="CF666" i="11"/>
  <c r="CM666" i="11"/>
  <c r="CG666" i="11"/>
  <c r="CC666" i="11"/>
  <c r="CD666" i="11"/>
  <c r="CB666" i="11"/>
  <c r="BZ666" i="11"/>
  <c r="BX666" i="11"/>
  <c r="CM562" i="11"/>
  <c r="CH562" i="11"/>
  <c r="CC562" i="11"/>
  <c r="CB562" i="11"/>
  <c r="CA562" i="11"/>
  <c r="CI562" i="11"/>
  <c r="BX562" i="11"/>
  <c r="CK562" i="11"/>
  <c r="CD562" i="11"/>
  <c r="CJ562" i="11"/>
  <c r="CL562" i="11"/>
  <c r="CE562" i="11"/>
  <c r="BY562" i="11"/>
  <c r="CF562" i="11"/>
  <c r="CG562" i="11"/>
  <c r="BZ562" i="11"/>
  <c r="CJ458" i="11"/>
  <c r="CD458" i="11"/>
  <c r="CM458" i="11"/>
  <c r="BY458" i="11"/>
  <c r="BZ458" i="11"/>
  <c r="CG458" i="11"/>
  <c r="CF458" i="11"/>
  <c r="CL458" i="11"/>
  <c r="BX458" i="11"/>
  <c r="CK458" i="11"/>
  <c r="CC458" i="11"/>
  <c r="CB458" i="11"/>
  <c r="CH458" i="11"/>
  <c r="CA458" i="11"/>
  <c r="CE458" i="11"/>
  <c r="CI458" i="11"/>
  <c r="CF354" i="11"/>
  <c r="CE354" i="11"/>
  <c r="CJ354" i="11"/>
  <c r="CA354" i="11"/>
  <c r="BY354" i="11"/>
  <c r="CK354" i="11"/>
  <c r="CD354" i="11"/>
  <c r="CM354" i="11"/>
  <c r="CI354" i="11"/>
  <c r="BZ354" i="11"/>
  <c r="CL354" i="11"/>
  <c r="CB354" i="11"/>
  <c r="BX354" i="11"/>
  <c r="CN354" i="11" s="1"/>
  <c r="CH354" i="11"/>
  <c r="CC354" i="11"/>
  <c r="CG354" i="11"/>
  <c r="CK250" i="11"/>
  <c r="CA250" i="11"/>
  <c r="CF250" i="11"/>
  <c r="CH250" i="11"/>
  <c r="CG250" i="11"/>
  <c r="CC250" i="11"/>
  <c r="CE250" i="11"/>
  <c r="CD250" i="11"/>
  <c r="CM250" i="11"/>
  <c r="CI250" i="11"/>
  <c r="CJ250" i="11"/>
  <c r="BZ250" i="11"/>
  <c r="CL250" i="11"/>
  <c r="BX250" i="11"/>
  <c r="CB250" i="11"/>
  <c r="BY250" i="11"/>
  <c r="CK146" i="11"/>
  <c r="CC146" i="11"/>
  <c r="CI146" i="11"/>
  <c r="BY146" i="11"/>
  <c r="CG146" i="11"/>
  <c r="CE146" i="11"/>
  <c r="CB146" i="11"/>
  <c r="CM146" i="11"/>
  <c r="CF146" i="11"/>
  <c r="CJ146" i="11"/>
  <c r="CA146" i="11"/>
  <c r="BX146" i="11"/>
  <c r="CH146" i="11"/>
  <c r="CL146" i="11"/>
  <c r="BZ146" i="11"/>
  <c r="CD146" i="11"/>
  <c r="CD42" i="11"/>
  <c r="CI42" i="11"/>
  <c r="BY42" i="11"/>
  <c r="BX42" i="11"/>
  <c r="BZ42" i="11"/>
  <c r="CJ42" i="11"/>
  <c r="CC42" i="11"/>
  <c r="CE42" i="11"/>
  <c r="CF42" i="11"/>
  <c r="CH42" i="11"/>
  <c r="CK42" i="11"/>
  <c r="CM42" i="11"/>
  <c r="CA42" i="11"/>
  <c r="CG42" i="11"/>
  <c r="CL42" i="11"/>
  <c r="CB42" i="11"/>
  <c r="CI743" i="11"/>
  <c r="CA743" i="11"/>
  <c r="BZ743" i="11"/>
  <c r="BX743" i="11"/>
  <c r="CG743" i="11"/>
  <c r="CK743" i="11"/>
  <c r="CL743" i="11"/>
  <c r="CJ743" i="11"/>
  <c r="CE743" i="11"/>
  <c r="CH743" i="11"/>
  <c r="CF743" i="11"/>
  <c r="CM743" i="11"/>
  <c r="CD743" i="11"/>
  <c r="CB743" i="11"/>
  <c r="BY743" i="11"/>
  <c r="CC743" i="11"/>
  <c r="CH639" i="11"/>
  <c r="CB639" i="11"/>
  <c r="CM639" i="11"/>
  <c r="CC639" i="11"/>
  <c r="CD639" i="11"/>
  <c r="BY639" i="11"/>
  <c r="CK639" i="11"/>
  <c r="CJ639" i="11"/>
  <c r="CL639" i="11"/>
  <c r="CG639" i="11"/>
  <c r="CF639" i="11"/>
  <c r="BZ639" i="11"/>
  <c r="BX639" i="11"/>
  <c r="CN639" i="11" s="1"/>
  <c r="CA639" i="11"/>
  <c r="CE639" i="11"/>
  <c r="CI639" i="11"/>
  <c r="CJ535" i="11"/>
  <c r="CE535" i="11"/>
  <c r="BY535" i="11"/>
  <c r="CK535" i="11"/>
  <c r="CA535" i="11"/>
  <c r="CH535" i="11"/>
  <c r="CG535" i="11"/>
  <c r="CF535" i="11"/>
  <c r="CD535" i="11"/>
  <c r="CM535" i="11"/>
  <c r="CC535" i="11"/>
  <c r="BZ535" i="11"/>
  <c r="CI535" i="11"/>
  <c r="CB535" i="11"/>
  <c r="BX535" i="11"/>
  <c r="CL535" i="11"/>
  <c r="CI431" i="11"/>
  <c r="BX431" i="11"/>
  <c r="CA431" i="11"/>
  <c r="CK431" i="11"/>
  <c r="CE431" i="11"/>
  <c r="CJ431" i="11"/>
  <c r="BY431" i="11"/>
  <c r="CC431" i="11"/>
  <c r="CF431" i="11"/>
  <c r="CL431" i="11"/>
  <c r="CB431" i="11"/>
  <c r="CH431" i="11"/>
  <c r="CG431" i="11"/>
  <c r="CD431" i="11"/>
  <c r="CM431" i="11"/>
  <c r="BZ431" i="11"/>
  <c r="CJ327" i="11"/>
  <c r="CA327" i="11"/>
  <c r="CH327" i="11"/>
  <c r="CM327" i="11"/>
  <c r="BZ327" i="11"/>
  <c r="CF327" i="11"/>
  <c r="CK327" i="11"/>
  <c r="CI327" i="11"/>
  <c r="CL327" i="11"/>
  <c r="CB327" i="11"/>
  <c r="CG327" i="11"/>
  <c r="CD327" i="11"/>
  <c r="CC327" i="11"/>
  <c r="BX327" i="11"/>
  <c r="BY327" i="11"/>
  <c r="CE327" i="11"/>
  <c r="CL223" i="11"/>
  <c r="CA223" i="11"/>
  <c r="CF223" i="11"/>
  <c r="CG223" i="11"/>
  <c r="CH223" i="11"/>
  <c r="CJ223" i="11"/>
  <c r="CC223" i="11"/>
  <c r="CM223" i="11"/>
  <c r="BX223" i="11"/>
  <c r="BY223" i="11"/>
  <c r="CD223" i="11"/>
  <c r="BZ223" i="11"/>
  <c r="CE223" i="11"/>
  <c r="CK223" i="11"/>
  <c r="CI223" i="11"/>
  <c r="CB223" i="11"/>
  <c r="CF119" i="11"/>
  <c r="BY119" i="11"/>
  <c r="CJ119" i="11"/>
  <c r="CB119" i="11"/>
  <c r="CL119" i="11"/>
  <c r="BX119" i="11"/>
  <c r="BZ119" i="11"/>
  <c r="CM119" i="11"/>
  <c r="CD119" i="11"/>
  <c r="CG119" i="11"/>
  <c r="CH119" i="11"/>
  <c r="CK119" i="11"/>
  <c r="CC119" i="11"/>
  <c r="CA119" i="11"/>
  <c r="CE119" i="11"/>
  <c r="CI119" i="11"/>
  <c r="CB820" i="11"/>
  <c r="CM820" i="11"/>
  <c r="CF820" i="11"/>
  <c r="BZ820" i="11"/>
  <c r="CI820" i="11"/>
  <c r="CD820" i="11"/>
  <c r="CL820" i="11"/>
  <c r="CJ820" i="11"/>
  <c r="CC820" i="11"/>
  <c r="CA820" i="11"/>
  <c r="CG820" i="11"/>
  <c r="CH820" i="11"/>
  <c r="CE820" i="11"/>
  <c r="BX820" i="11"/>
  <c r="CK820" i="11"/>
  <c r="BY820" i="11"/>
  <c r="CG716" i="11"/>
  <c r="CF716" i="11"/>
  <c r="BZ716" i="11"/>
  <c r="CH716" i="11"/>
  <c r="CL716" i="11"/>
  <c r="BX716" i="11"/>
  <c r="CB716" i="11"/>
  <c r="CM716" i="11"/>
  <c r="CC716" i="11"/>
  <c r="CJ716" i="11"/>
  <c r="CK716" i="11"/>
  <c r="CD716" i="11"/>
  <c r="BY716" i="11"/>
  <c r="CA716" i="11"/>
  <c r="CE716" i="11"/>
  <c r="CI716" i="11"/>
  <c r="CI612" i="11"/>
  <c r="BX612" i="11"/>
  <c r="CA612" i="11"/>
  <c r="BZ612" i="11"/>
  <c r="CC612" i="11"/>
  <c r="CF612" i="11"/>
  <c r="CG612" i="11"/>
  <c r="CL612" i="11"/>
  <c r="CJ612" i="11"/>
  <c r="CK612" i="11"/>
  <c r="CM612" i="11"/>
  <c r="CH612" i="11"/>
  <c r="CE612" i="11"/>
  <c r="CB612" i="11"/>
  <c r="CD612" i="11"/>
  <c r="BY612" i="11"/>
  <c r="CE508" i="11"/>
  <c r="CJ508" i="11"/>
  <c r="CL508" i="11"/>
  <c r="BZ508" i="11"/>
  <c r="BY508" i="11"/>
  <c r="CK508" i="11"/>
  <c r="CB508" i="11"/>
  <c r="CD508" i="11"/>
  <c r="CA508" i="11"/>
  <c r="CG508" i="11"/>
  <c r="CH508" i="11"/>
  <c r="CI508" i="11"/>
  <c r="BX508" i="11"/>
  <c r="CN508" i="11" s="1"/>
  <c r="CC508" i="11"/>
  <c r="CF508" i="11"/>
  <c r="CM508" i="11"/>
  <c r="CD404" i="11"/>
  <c r="CF404" i="11"/>
  <c r="CG404" i="11"/>
  <c r="BZ404" i="11"/>
  <c r="CB404" i="11"/>
  <c r="CA404" i="11"/>
  <c r="CH404" i="11"/>
  <c r="BY404" i="11"/>
  <c r="CC404" i="11"/>
  <c r="BX404" i="11"/>
  <c r="CK404" i="11"/>
  <c r="CI404" i="11"/>
  <c r="CM404" i="11"/>
  <c r="CE404" i="11"/>
  <c r="CJ404" i="11"/>
  <c r="CL404" i="11"/>
  <c r="CI300" i="11"/>
  <c r="CD300" i="11"/>
  <c r="BZ300" i="11"/>
  <c r="CL300" i="11"/>
  <c r="CA300" i="11"/>
  <c r="CE300" i="11"/>
  <c r="CK300" i="11"/>
  <c r="BY300" i="11"/>
  <c r="CG300" i="11"/>
  <c r="BX300" i="11"/>
  <c r="CJ300" i="11"/>
  <c r="CC300" i="11"/>
  <c r="CF300" i="11"/>
  <c r="CH300" i="11"/>
  <c r="CB300" i="11"/>
  <c r="CM300" i="11"/>
  <c r="CG196" i="11"/>
  <c r="CA196" i="11"/>
  <c r="CD196" i="11"/>
  <c r="CK196" i="11"/>
  <c r="CI196" i="11"/>
  <c r="BY196" i="11"/>
  <c r="CL196" i="11"/>
  <c r="BZ196" i="11"/>
  <c r="CE196" i="11"/>
  <c r="CJ196" i="11"/>
  <c r="CC196" i="11"/>
  <c r="CF196" i="11"/>
  <c r="CH196" i="11"/>
  <c r="CB196" i="11"/>
  <c r="CM196" i="11"/>
  <c r="BX196" i="11"/>
  <c r="CK92" i="11"/>
  <c r="CF92" i="11"/>
  <c r="CH92" i="11"/>
  <c r="CM92" i="11"/>
  <c r="CB92" i="11"/>
  <c r="CD92" i="11"/>
  <c r="BY92" i="11"/>
  <c r="BX92" i="11"/>
  <c r="BZ92" i="11"/>
  <c r="CG92" i="11"/>
  <c r="CE92" i="11"/>
  <c r="CI92" i="11"/>
  <c r="CJ92" i="11"/>
  <c r="CC92" i="11"/>
  <c r="CL92" i="11"/>
  <c r="CA92" i="11"/>
  <c r="CM793" i="11"/>
  <c r="BX793" i="11"/>
  <c r="CG793" i="11"/>
  <c r="CD793" i="11"/>
  <c r="CA793" i="11"/>
  <c r="CF793" i="11"/>
  <c r="BY793" i="11"/>
  <c r="BZ793" i="11"/>
  <c r="CI793" i="11"/>
  <c r="CC793" i="11"/>
  <c r="CE793" i="11"/>
  <c r="CJ793" i="11"/>
  <c r="CL793" i="11"/>
  <c r="CK793" i="11"/>
  <c r="CB793" i="11"/>
  <c r="CH793" i="11"/>
  <c r="CG689" i="11"/>
  <c r="CB689" i="11"/>
  <c r="CM689" i="11"/>
  <c r="BY689" i="11"/>
  <c r="CJ689" i="11"/>
  <c r="CF689" i="11"/>
  <c r="BZ689" i="11"/>
  <c r="CE689" i="11"/>
  <c r="CL689" i="11"/>
  <c r="CI689" i="11"/>
  <c r="CK689" i="11"/>
  <c r="CH689" i="11"/>
  <c r="CC689" i="11"/>
  <c r="CA689" i="11"/>
  <c r="CD689" i="11"/>
  <c r="BX689" i="11"/>
  <c r="CL585" i="11"/>
  <c r="CD585" i="11"/>
  <c r="CF585" i="11"/>
  <c r="CC585" i="11"/>
  <c r="CM585" i="11"/>
  <c r="CI585" i="11"/>
  <c r="BZ585" i="11"/>
  <c r="BY585" i="11"/>
  <c r="CE585" i="11"/>
  <c r="CK585" i="11"/>
  <c r="CB585" i="11"/>
  <c r="BX585" i="11"/>
  <c r="CJ585" i="11"/>
  <c r="CA585" i="11"/>
  <c r="CG585" i="11"/>
  <c r="CH585" i="11"/>
  <c r="CK481" i="11"/>
  <c r="CL481" i="11"/>
  <c r="CA481" i="11"/>
  <c r="CD481" i="11"/>
  <c r="CI481" i="11"/>
  <c r="CG481" i="11"/>
  <c r="BY481" i="11"/>
  <c r="BZ481" i="11"/>
  <c r="CF481" i="11"/>
  <c r="CH481" i="11"/>
  <c r="CE481" i="11"/>
  <c r="CB481" i="11"/>
  <c r="CM481" i="11"/>
  <c r="CC481" i="11"/>
  <c r="CJ481" i="11"/>
  <c r="BX481" i="11"/>
  <c r="CB377" i="11"/>
  <c r="CG377" i="11"/>
  <c r="BY377" i="11"/>
  <c r="BZ377" i="11"/>
  <c r="CJ377" i="11"/>
  <c r="CF377" i="11"/>
  <c r="CL377" i="11"/>
  <c r="CH377" i="11"/>
  <c r="CK377" i="11"/>
  <c r="CC377" i="11"/>
  <c r="BX377" i="11"/>
  <c r="CM377" i="11"/>
  <c r="CD377" i="11"/>
  <c r="CE377" i="11"/>
  <c r="CI377" i="11"/>
  <c r="CA377" i="11"/>
  <c r="CD273" i="11"/>
  <c r="CK273" i="11"/>
  <c r="CC273" i="11"/>
  <c r="CF273" i="11"/>
  <c r="BX273" i="11"/>
  <c r="BY273" i="11"/>
  <c r="BZ273" i="11"/>
  <c r="CG273" i="11"/>
  <c r="CJ273" i="11"/>
  <c r="CB273" i="11"/>
  <c r="CM273" i="11"/>
  <c r="CH273" i="11"/>
  <c r="CL273" i="11"/>
  <c r="CE273" i="11"/>
  <c r="CI273" i="11"/>
  <c r="CA273" i="11"/>
  <c r="CD169" i="11"/>
  <c r="CB169" i="11"/>
  <c r="CL169" i="11"/>
  <c r="CH169" i="11"/>
  <c r="BZ169" i="11"/>
  <c r="CM169" i="11"/>
  <c r="CJ169" i="11"/>
  <c r="CF169" i="11"/>
  <c r="BX169" i="11"/>
  <c r="CG169" i="11"/>
  <c r="CK169" i="11"/>
  <c r="BY169" i="11"/>
  <c r="CC169" i="11"/>
  <c r="CA169" i="11"/>
  <c r="CE169" i="11"/>
  <c r="CI169" i="11"/>
  <c r="CI65" i="11"/>
  <c r="BX65" i="11"/>
  <c r="CD65" i="11"/>
  <c r="CC65" i="11"/>
  <c r="CM65" i="11"/>
  <c r="BY65" i="11"/>
  <c r="BZ65" i="11"/>
  <c r="CK65" i="11"/>
  <c r="CB65" i="11"/>
  <c r="CE65" i="11"/>
  <c r="CG65" i="11"/>
  <c r="CJ65" i="11"/>
  <c r="CL65" i="11"/>
  <c r="CH65" i="11"/>
  <c r="CA65" i="11"/>
  <c r="CF65" i="11"/>
  <c r="CM766" i="11"/>
  <c r="BY766" i="11"/>
  <c r="CC766" i="11"/>
  <c r="CI766" i="11"/>
  <c r="CG766" i="11"/>
  <c r="CB766" i="11"/>
  <c r="BZ766" i="11"/>
  <c r="BX766" i="11"/>
  <c r="CD766" i="11"/>
  <c r="CJ766" i="11"/>
  <c r="CK766" i="11"/>
  <c r="CL766" i="11"/>
  <c r="CH766" i="11"/>
  <c r="CF766" i="11"/>
  <c r="CE766" i="11"/>
  <c r="CA766" i="11"/>
  <c r="CK662" i="11"/>
  <c r="CA662" i="11"/>
  <c r="CI662" i="11"/>
  <c r="CL662" i="11"/>
  <c r="CJ662" i="11"/>
  <c r="CE662" i="11"/>
  <c r="CC662" i="11"/>
  <c r="CH662" i="11"/>
  <c r="CF662" i="11"/>
  <c r="CM662" i="11"/>
  <c r="BY662" i="11"/>
  <c r="CD662" i="11"/>
  <c r="CB662" i="11"/>
  <c r="CG662" i="11"/>
  <c r="BZ662" i="11"/>
  <c r="BX662" i="11"/>
  <c r="CE558" i="11"/>
  <c r="CK558" i="11"/>
  <c r="BZ558" i="11"/>
  <c r="CL558" i="11"/>
  <c r="CA558" i="11"/>
  <c r="CF558" i="11"/>
  <c r="CH558" i="11"/>
  <c r="CD558" i="11"/>
  <c r="CG558" i="11"/>
  <c r="CB558" i="11"/>
  <c r="CM558" i="11"/>
  <c r="CI558" i="11"/>
  <c r="BX558" i="11"/>
  <c r="CN558" i="11" s="1"/>
  <c r="CJ558" i="11"/>
  <c r="CC558" i="11"/>
  <c r="BY558" i="11"/>
  <c r="CJ454" i="11"/>
  <c r="CD454" i="11"/>
  <c r="CM454" i="11"/>
  <c r="BY454" i="11"/>
  <c r="CK454" i="11"/>
  <c r="CB454" i="11"/>
  <c r="BX454" i="11"/>
  <c r="BZ454" i="11"/>
  <c r="CG454" i="11"/>
  <c r="CC454" i="11"/>
  <c r="CF454" i="11"/>
  <c r="CL454" i="11"/>
  <c r="CH454" i="11"/>
  <c r="CI454" i="11"/>
  <c r="CA454" i="11"/>
  <c r="CE454" i="11"/>
  <c r="CB350" i="11"/>
  <c r="CM350" i="11"/>
  <c r="CC350" i="11"/>
  <c r="BX350" i="11"/>
  <c r="CI350" i="11"/>
  <c r="CL350" i="11"/>
  <c r="CK350" i="11"/>
  <c r="CE350" i="11"/>
  <c r="CH350" i="11"/>
  <c r="CF350" i="11"/>
  <c r="BY350" i="11"/>
  <c r="CD350" i="11"/>
  <c r="CA350" i="11"/>
  <c r="CG350" i="11"/>
  <c r="BZ350" i="11"/>
  <c r="CJ350" i="11"/>
  <c r="BY246" i="11"/>
  <c r="CK246" i="11"/>
  <c r="CE246" i="11"/>
  <c r="CJ246" i="11"/>
  <c r="CI246" i="11"/>
  <c r="BX246" i="11"/>
  <c r="CC246" i="11"/>
  <c r="CF246" i="11"/>
  <c r="BZ246" i="11"/>
  <c r="CL246" i="11"/>
  <c r="CB246" i="11"/>
  <c r="CH246" i="11"/>
  <c r="CG246" i="11"/>
  <c r="CA246" i="11"/>
  <c r="CD246" i="11"/>
  <c r="CM246" i="11"/>
  <c r="CC142" i="11"/>
  <c r="CA142" i="11"/>
  <c r="CG142" i="11"/>
  <c r="BY142" i="11"/>
  <c r="CK142" i="11"/>
  <c r="CB142" i="11"/>
  <c r="CE142" i="11"/>
  <c r="CF142" i="11"/>
  <c r="CI142" i="11"/>
  <c r="CJ142" i="11"/>
  <c r="CM142" i="11"/>
  <c r="BX142" i="11"/>
  <c r="CH142" i="11"/>
  <c r="CL142" i="11"/>
  <c r="BZ142" i="11"/>
  <c r="CD142" i="11"/>
  <c r="CE38" i="11"/>
  <c r="CG38" i="11"/>
  <c r="BZ38" i="11"/>
  <c r="CK38" i="11"/>
  <c r="CA38" i="11"/>
  <c r="CL38" i="11"/>
  <c r="CF38" i="11"/>
  <c r="CH38" i="11"/>
  <c r="CB38" i="11"/>
  <c r="CM38" i="11"/>
  <c r="BX38" i="11"/>
  <c r="BY38" i="11"/>
  <c r="CJ38" i="11"/>
  <c r="CD38" i="11"/>
  <c r="CC38" i="11"/>
  <c r="CI38" i="11"/>
  <c r="CA739" i="11"/>
  <c r="CI739" i="11"/>
  <c r="BZ739" i="11"/>
  <c r="BX739" i="11"/>
  <c r="CK739" i="11"/>
  <c r="CL739" i="11"/>
  <c r="CJ739" i="11"/>
  <c r="CE739" i="11"/>
  <c r="BY739" i="11"/>
  <c r="CH739" i="11"/>
  <c r="CF739" i="11"/>
  <c r="CM739" i="11"/>
  <c r="CG739" i="11"/>
  <c r="CD739" i="11"/>
  <c r="CB739" i="11"/>
  <c r="CC739" i="11"/>
  <c r="CF635" i="11"/>
  <c r="BZ635" i="11"/>
  <c r="CG635" i="11"/>
  <c r="CB635" i="11"/>
  <c r="BY635" i="11"/>
  <c r="CL635" i="11"/>
  <c r="CJ635" i="11"/>
  <c r="CH635" i="11"/>
  <c r="CK635" i="11"/>
  <c r="CC635" i="11"/>
  <c r="BX635" i="11"/>
  <c r="CM635" i="11"/>
  <c r="CD635" i="11"/>
  <c r="CE635" i="11"/>
  <c r="CI635" i="11"/>
  <c r="CA635" i="11"/>
  <c r="CK531" i="11"/>
  <c r="CI531" i="11"/>
  <c r="BY531" i="11"/>
  <c r="CF531" i="11"/>
  <c r="BX531" i="11"/>
  <c r="CE531" i="11"/>
  <c r="CA531" i="11"/>
  <c r="CH531" i="11"/>
  <c r="CG531" i="11"/>
  <c r="CJ531" i="11"/>
  <c r="CD531" i="11"/>
  <c r="CM531" i="11"/>
  <c r="CC531" i="11"/>
  <c r="BZ531" i="11"/>
  <c r="CL531" i="11"/>
  <c r="CB531" i="11"/>
  <c r="CJ427" i="11"/>
  <c r="CF427" i="11"/>
  <c r="CM427" i="11"/>
  <c r="BX427" i="11"/>
  <c r="CB427" i="11"/>
  <c r="BZ427" i="11"/>
  <c r="CD427" i="11"/>
  <c r="CH427" i="11"/>
  <c r="CL427" i="11"/>
  <c r="CK427" i="11"/>
  <c r="CI427" i="11"/>
  <c r="BY427" i="11"/>
  <c r="CC427" i="11"/>
  <c r="CA427" i="11"/>
  <c r="CE427" i="11"/>
  <c r="CG427" i="11"/>
  <c r="CJ323" i="11"/>
  <c r="CH323" i="11"/>
  <c r="CA323" i="11"/>
  <c r="BZ323" i="11"/>
  <c r="CF323" i="11"/>
  <c r="CM323" i="11"/>
  <c r="CC323" i="11"/>
  <c r="BX323" i="11"/>
  <c r="BY323" i="11"/>
  <c r="CE323" i="11"/>
  <c r="CK323" i="11"/>
  <c r="CI323" i="11"/>
  <c r="CL323" i="11"/>
  <c r="CG323" i="11"/>
  <c r="CD323" i="11"/>
  <c r="CB323" i="11"/>
  <c r="CL219" i="11"/>
  <c r="CA219" i="11"/>
  <c r="CF219" i="11"/>
  <c r="BY219" i="11"/>
  <c r="CD219" i="11"/>
  <c r="BZ219" i="11"/>
  <c r="CK219" i="11"/>
  <c r="CB219" i="11"/>
  <c r="CI219" i="11"/>
  <c r="CE219" i="11"/>
  <c r="CG219" i="11"/>
  <c r="CH219" i="11"/>
  <c r="CJ219" i="11"/>
  <c r="CM219" i="11"/>
  <c r="BX219" i="11"/>
  <c r="CC219" i="11"/>
  <c r="CG115" i="11"/>
  <c r="CB115" i="11"/>
  <c r="CJ115" i="11"/>
  <c r="CF115" i="11"/>
  <c r="BY115" i="11"/>
  <c r="CL115" i="11"/>
  <c r="CH115" i="11"/>
  <c r="CK115" i="11"/>
  <c r="BZ115" i="11"/>
  <c r="CC115" i="11"/>
  <c r="BX115" i="11"/>
  <c r="CM115" i="11"/>
  <c r="CD115" i="11"/>
  <c r="CI115" i="11"/>
  <c r="CA115" i="11"/>
  <c r="CE115" i="11"/>
  <c r="CI816" i="11"/>
  <c r="CA816" i="11"/>
  <c r="CE816" i="11"/>
  <c r="CJ816" i="11"/>
  <c r="BX816" i="11"/>
  <c r="CF816" i="11"/>
  <c r="CC816" i="11"/>
  <c r="CK816" i="11"/>
  <c r="BY816" i="11"/>
  <c r="CH816" i="11"/>
  <c r="CG816" i="11"/>
  <c r="CD816" i="11"/>
  <c r="CM816" i="11"/>
  <c r="CB816" i="11"/>
  <c r="BZ816" i="11"/>
  <c r="CL816" i="11"/>
  <c r="CJ712" i="11"/>
  <c r="BZ712" i="11"/>
  <c r="CH712" i="11"/>
  <c r="CC712" i="11"/>
  <c r="BY712" i="11"/>
  <c r="CD712" i="11"/>
  <c r="BX712" i="11"/>
  <c r="CM712" i="11"/>
  <c r="CF712" i="11"/>
  <c r="CK712" i="11"/>
  <c r="CL712" i="11"/>
  <c r="CB712" i="11"/>
  <c r="CG712" i="11"/>
  <c r="CI712" i="11"/>
  <c r="CA712" i="11"/>
  <c r="CE712" i="11"/>
  <c r="CI608" i="11"/>
  <c r="CK608" i="11"/>
  <c r="CJ608" i="11"/>
  <c r="CA608" i="11"/>
  <c r="CF608" i="11"/>
  <c r="CE608" i="11"/>
  <c r="BX608" i="11"/>
  <c r="BY608" i="11"/>
  <c r="CC608" i="11"/>
  <c r="CD608" i="11"/>
  <c r="CM608" i="11"/>
  <c r="BZ608" i="11"/>
  <c r="CL608" i="11"/>
  <c r="CB608" i="11"/>
  <c r="CH608" i="11"/>
  <c r="CG608" i="11"/>
  <c r="CE504" i="11"/>
  <c r="CJ504" i="11"/>
  <c r="CL504" i="11"/>
  <c r="BZ504" i="11"/>
  <c r="CG504" i="11"/>
  <c r="CH504" i="11"/>
  <c r="CC504" i="11"/>
  <c r="CM504" i="11"/>
  <c r="CA504" i="11"/>
  <c r="BY504" i="11"/>
  <c r="BX504" i="11"/>
  <c r="CD504" i="11"/>
  <c r="CF504" i="11"/>
  <c r="CK504" i="11"/>
  <c r="CI504" i="11"/>
  <c r="CB504" i="11"/>
  <c r="CL400" i="11"/>
  <c r="CA400" i="11"/>
  <c r="CG400" i="11"/>
  <c r="CK400" i="11"/>
  <c r="BZ400" i="11"/>
  <c r="CE400" i="11"/>
  <c r="CB400" i="11"/>
  <c r="CM400" i="11"/>
  <c r="BX400" i="11"/>
  <c r="BY400" i="11"/>
  <c r="CJ400" i="11"/>
  <c r="CC400" i="11"/>
  <c r="CD400" i="11"/>
  <c r="CF400" i="11"/>
  <c r="CH400" i="11"/>
  <c r="CI400" i="11"/>
  <c r="CL296" i="11"/>
  <c r="CA296" i="11"/>
  <c r="CG296" i="11"/>
  <c r="CF296" i="11"/>
  <c r="CH296" i="11"/>
  <c r="BY296" i="11"/>
  <c r="CK296" i="11"/>
  <c r="CB296" i="11"/>
  <c r="CM296" i="11"/>
  <c r="CD296" i="11"/>
  <c r="BX296" i="11"/>
  <c r="CI296" i="11"/>
  <c r="BZ296" i="11"/>
  <c r="CC296" i="11"/>
  <c r="CJ296" i="11"/>
  <c r="CE296" i="11"/>
  <c r="CD192" i="11"/>
  <c r="CA192" i="11"/>
  <c r="CI192" i="11"/>
  <c r="CL192" i="11"/>
  <c r="CK192" i="11"/>
  <c r="BY192" i="11"/>
  <c r="CE192" i="11"/>
  <c r="CG192" i="11"/>
  <c r="BZ192" i="11"/>
  <c r="CF192" i="11"/>
  <c r="CH192" i="11"/>
  <c r="CB192" i="11"/>
  <c r="CM192" i="11"/>
  <c r="BX192" i="11"/>
  <c r="CJ192" i="11"/>
  <c r="CC192" i="11"/>
  <c r="CK88" i="11"/>
  <c r="CC88" i="11"/>
  <c r="BX88" i="11"/>
  <c r="BZ88" i="11"/>
  <c r="CG88" i="11"/>
  <c r="CJ88" i="11"/>
  <c r="CL88" i="11"/>
  <c r="CE88" i="11"/>
  <c r="CF88" i="11"/>
  <c r="CH88" i="11"/>
  <c r="CM88" i="11"/>
  <c r="CB88" i="11"/>
  <c r="CI88" i="11"/>
  <c r="CD88" i="11"/>
  <c r="BY88" i="11"/>
  <c r="CA88" i="11"/>
  <c r="CM789" i="11"/>
  <c r="CA789" i="11"/>
  <c r="CF789" i="11"/>
  <c r="CB789" i="11"/>
  <c r="CG789" i="11"/>
  <c r="BY789" i="11"/>
  <c r="CJ789" i="11"/>
  <c r="BZ789" i="11"/>
  <c r="CE789" i="11"/>
  <c r="CD789" i="11"/>
  <c r="CL789" i="11"/>
  <c r="CI789" i="11"/>
  <c r="CK789" i="11"/>
  <c r="CH789" i="11"/>
  <c r="CC789" i="11"/>
  <c r="BX789" i="11"/>
  <c r="CE685" i="11"/>
  <c r="CG685" i="11"/>
  <c r="BX685" i="11"/>
  <c r="BY685" i="11"/>
  <c r="CI685" i="11"/>
  <c r="CB685" i="11"/>
  <c r="CM685" i="11"/>
  <c r="BZ685" i="11"/>
  <c r="CC685" i="11"/>
  <c r="CL685" i="11"/>
  <c r="CK685" i="11"/>
  <c r="CJ685" i="11"/>
  <c r="CH685" i="11"/>
  <c r="CF685" i="11"/>
  <c r="CD685" i="11"/>
  <c r="CA685" i="11"/>
  <c r="CL581" i="11"/>
  <c r="CE581" i="11"/>
  <c r="CF581" i="11"/>
  <c r="CK581" i="11"/>
  <c r="CB581" i="11"/>
  <c r="BX581" i="11"/>
  <c r="CJ581" i="11"/>
  <c r="CG581" i="11"/>
  <c r="CH581" i="11"/>
  <c r="CD581" i="11"/>
  <c r="CC581" i="11"/>
  <c r="CM581" i="11"/>
  <c r="CI581" i="11"/>
  <c r="BZ581" i="11"/>
  <c r="CA581" i="11"/>
  <c r="BY581" i="11"/>
  <c r="CL477" i="11"/>
  <c r="CA477" i="11"/>
  <c r="CE477" i="11"/>
  <c r="BZ477" i="11"/>
  <c r="CG477" i="11"/>
  <c r="CK477" i="11"/>
  <c r="BY477" i="11"/>
  <c r="CI477" i="11"/>
  <c r="CD477" i="11"/>
  <c r="CB477" i="11"/>
  <c r="CM477" i="11"/>
  <c r="BX477" i="11"/>
  <c r="CJ477" i="11"/>
  <c r="CC477" i="11"/>
  <c r="CF477" i="11"/>
  <c r="CH477" i="11"/>
  <c r="BX373" i="11"/>
  <c r="CD373" i="11"/>
  <c r="CC373" i="11"/>
  <c r="CK373" i="11"/>
  <c r="CF373" i="11"/>
  <c r="CM373" i="11"/>
  <c r="BY373" i="11"/>
  <c r="CH373" i="11"/>
  <c r="CJ373" i="11"/>
  <c r="BZ373" i="11"/>
  <c r="CB373" i="11"/>
  <c r="CG373" i="11"/>
  <c r="CL373" i="11"/>
  <c r="CA373" i="11"/>
  <c r="CE373" i="11"/>
  <c r="CI373" i="11"/>
  <c r="CL269" i="11"/>
  <c r="CB269" i="11"/>
  <c r="CD269" i="11"/>
  <c r="CM269" i="11"/>
  <c r="CK269" i="11"/>
  <c r="CJ269" i="11"/>
  <c r="CH269" i="11"/>
  <c r="CF269" i="11"/>
  <c r="CC269" i="11"/>
  <c r="BZ269" i="11"/>
  <c r="BX269" i="11"/>
  <c r="CG269" i="11"/>
  <c r="BY269" i="11"/>
  <c r="CA269" i="11"/>
  <c r="CE269" i="11"/>
  <c r="CI269" i="11"/>
  <c r="CM165" i="11"/>
  <c r="CL165" i="11"/>
  <c r="CF165" i="11"/>
  <c r="CB165" i="11"/>
  <c r="BX165" i="11"/>
  <c r="CJ165" i="11"/>
  <c r="CD165" i="11"/>
  <c r="BZ165" i="11"/>
  <c r="CH165" i="11"/>
  <c r="BY165" i="11"/>
  <c r="CC165" i="11"/>
  <c r="CG165" i="11"/>
  <c r="CK165" i="11"/>
  <c r="CE165" i="11"/>
  <c r="CI165" i="11"/>
  <c r="CA165" i="11"/>
  <c r="BX61" i="11"/>
  <c r="CD61" i="11"/>
  <c r="CI61" i="11"/>
  <c r="CK61" i="11"/>
  <c r="CB61" i="11"/>
  <c r="CE61" i="11"/>
  <c r="CG61" i="11"/>
  <c r="CH61" i="11"/>
  <c r="CJ61" i="11"/>
  <c r="CC61" i="11"/>
  <c r="CM61" i="11"/>
  <c r="CA61" i="11"/>
  <c r="BY61" i="11"/>
  <c r="CF61" i="11"/>
  <c r="BZ61" i="11"/>
  <c r="CL61" i="11"/>
  <c r="CI762" i="11"/>
  <c r="CL762" i="11"/>
  <c r="CD762" i="11"/>
  <c r="CE762" i="11"/>
  <c r="CG762" i="11"/>
  <c r="BY762" i="11"/>
  <c r="CK762" i="11"/>
  <c r="CA762" i="11"/>
  <c r="BZ762" i="11"/>
  <c r="CF762" i="11"/>
  <c r="CH762" i="11"/>
  <c r="CJ762" i="11"/>
  <c r="CB762" i="11"/>
  <c r="CM762" i="11"/>
  <c r="CC762" i="11"/>
  <c r="BX762" i="11"/>
  <c r="CK658" i="11"/>
  <c r="CA658" i="11"/>
  <c r="CI658" i="11"/>
  <c r="CC658" i="11"/>
  <c r="CL658" i="11"/>
  <c r="CJ658" i="11"/>
  <c r="CE658" i="11"/>
  <c r="CH658" i="11"/>
  <c r="CF658" i="11"/>
  <c r="CM658" i="11"/>
  <c r="CD658" i="11"/>
  <c r="CB658" i="11"/>
  <c r="BY658" i="11"/>
  <c r="BZ658" i="11"/>
  <c r="BX658" i="11"/>
  <c r="CG658" i="11"/>
  <c r="CL554" i="11"/>
  <c r="CF554" i="11"/>
  <c r="CH554" i="11"/>
  <c r="BX554" i="11"/>
  <c r="BZ554" i="11"/>
  <c r="CB554" i="11"/>
  <c r="BY554" i="11"/>
  <c r="CG554" i="11"/>
  <c r="CM554" i="11"/>
  <c r="CC554" i="11"/>
  <c r="CJ554" i="11"/>
  <c r="CK554" i="11"/>
  <c r="CD554" i="11"/>
  <c r="CA554" i="11"/>
  <c r="CE554" i="11"/>
  <c r="CI554" i="11"/>
  <c r="CD450" i="11"/>
  <c r="CB450" i="11"/>
  <c r="CC450" i="11"/>
  <c r="CK450" i="11"/>
  <c r="BX450" i="11"/>
  <c r="CF450" i="11"/>
  <c r="CM450" i="11"/>
  <c r="CL450" i="11"/>
  <c r="BZ450" i="11"/>
  <c r="BY450" i="11"/>
  <c r="CH450" i="11"/>
  <c r="CG450" i="11"/>
  <c r="CJ450" i="11"/>
  <c r="CA450" i="11"/>
  <c r="CE450" i="11"/>
  <c r="CI450" i="11"/>
  <c r="CJ346" i="11"/>
  <c r="CK346" i="11"/>
  <c r="BY346" i="11"/>
  <c r="CA346" i="11"/>
  <c r="CE346" i="11"/>
  <c r="CF346" i="11"/>
  <c r="CL346" i="11"/>
  <c r="CB346" i="11"/>
  <c r="CI346" i="11"/>
  <c r="CH346" i="11"/>
  <c r="CG346" i="11"/>
  <c r="CD346" i="11"/>
  <c r="CM346" i="11"/>
  <c r="BX346" i="11"/>
  <c r="CC346" i="11"/>
  <c r="BZ346" i="11"/>
  <c r="CK242" i="11"/>
  <c r="CA242" i="11"/>
  <c r="CF242" i="11"/>
  <c r="BZ242" i="11"/>
  <c r="CC242" i="11"/>
  <c r="CE242" i="11"/>
  <c r="CL242" i="11"/>
  <c r="CB242" i="11"/>
  <c r="CI242" i="11"/>
  <c r="CJ242" i="11"/>
  <c r="CH242" i="11"/>
  <c r="CG242" i="11"/>
  <c r="CD242" i="11"/>
  <c r="CM242" i="11"/>
  <c r="BX242" i="11"/>
  <c r="BY242" i="11"/>
  <c r="CC138" i="11"/>
  <c r="CK138" i="11"/>
  <c r="BY138" i="11"/>
  <c r="CG138" i="11"/>
  <c r="CM138" i="11"/>
  <c r="CB138" i="11"/>
  <c r="CF138" i="11"/>
  <c r="CE138" i="11"/>
  <c r="CJ138" i="11"/>
  <c r="BX138" i="11"/>
  <c r="CH138" i="11"/>
  <c r="CA138" i="11"/>
  <c r="CL138" i="11"/>
  <c r="CI138" i="11"/>
  <c r="BZ138" i="11"/>
  <c r="CD138" i="11"/>
  <c r="CD34" i="11"/>
  <c r="CI34" i="11"/>
  <c r="BY34" i="11"/>
  <c r="CF34" i="11"/>
  <c r="CH34" i="11"/>
  <c r="CK34" i="11"/>
  <c r="CB34" i="11"/>
  <c r="CM34" i="11"/>
  <c r="BX34" i="11"/>
  <c r="BZ34" i="11"/>
  <c r="CA34" i="11"/>
  <c r="CG34" i="11"/>
  <c r="CJ34" i="11"/>
  <c r="CL34" i="11"/>
  <c r="CC34" i="11"/>
  <c r="CE34" i="11"/>
  <c r="CI735" i="11"/>
  <c r="CA735" i="11"/>
  <c r="BZ735" i="11"/>
  <c r="BX735" i="11"/>
  <c r="CG735" i="11"/>
  <c r="CK735" i="11"/>
  <c r="CL735" i="11"/>
  <c r="CJ735" i="11"/>
  <c r="CE735" i="11"/>
  <c r="CH735" i="11"/>
  <c r="CF735" i="11"/>
  <c r="CM735" i="11"/>
  <c r="CD735" i="11"/>
  <c r="CB735" i="11"/>
  <c r="BY735" i="11"/>
  <c r="CC735" i="11"/>
  <c r="CH631" i="11"/>
  <c r="BX631" i="11"/>
  <c r="CG631" i="11"/>
  <c r="CB631" i="11"/>
  <c r="CL631" i="11"/>
  <c r="BY631" i="11"/>
  <c r="CD631" i="11"/>
  <c r="CM631" i="11"/>
  <c r="CC631" i="11"/>
  <c r="CK631" i="11"/>
  <c r="CJ631" i="11"/>
  <c r="CF631" i="11"/>
  <c r="BZ631" i="11"/>
  <c r="CA631" i="11"/>
  <c r="CE631" i="11"/>
  <c r="CI631" i="11"/>
  <c r="CJ527" i="11"/>
  <c r="BY527" i="11"/>
  <c r="CK527" i="11"/>
  <c r="CE527" i="11"/>
  <c r="CA527" i="11"/>
  <c r="CH527" i="11"/>
  <c r="CG527" i="11"/>
  <c r="CF527" i="11"/>
  <c r="CD527" i="11"/>
  <c r="CM527" i="11"/>
  <c r="CC527" i="11"/>
  <c r="BZ527" i="11"/>
  <c r="CI527" i="11"/>
  <c r="CL527" i="11"/>
  <c r="BX527" i="11"/>
  <c r="CB527" i="11"/>
  <c r="CF423" i="11"/>
  <c r="BZ423" i="11"/>
  <c r="BX423" i="11"/>
  <c r="CD423" i="11"/>
  <c r="CI423" i="11"/>
  <c r="CL423" i="11"/>
  <c r="CA423" i="11"/>
  <c r="CE423" i="11"/>
  <c r="CJ423" i="11"/>
  <c r="CK423" i="11"/>
  <c r="CB423" i="11"/>
  <c r="CG423" i="11"/>
  <c r="CH423" i="11"/>
  <c r="CC423" i="11"/>
  <c r="CM423" i="11"/>
  <c r="BY423" i="11"/>
  <c r="CA319" i="11"/>
  <c r="CJ319" i="11"/>
  <c r="CH319" i="11"/>
  <c r="CM319" i="11"/>
  <c r="BZ319" i="11"/>
  <c r="CF319" i="11"/>
  <c r="CK319" i="11"/>
  <c r="CI319" i="11"/>
  <c r="CL319" i="11"/>
  <c r="CB319" i="11"/>
  <c r="CG319" i="11"/>
  <c r="CD319" i="11"/>
  <c r="CC319" i="11"/>
  <c r="BX319" i="11"/>
  <c r="BY319" i="11"/>
  <c r="CE319" i="11"/>
  <c r="CL215" i="11"/>
  <c r="CA215" i="11"/>
  <c r="CF215" i="11"/>
  <c r="CG215" i="11"/>
  <c r="CH215" i="11"/>
  <c r="CJ215" i="11"/>
  <c r="CC215" i="11"/>
  <c r="CM215" i="11"/>
  <c r="BX215" i="11"/>
  <c r="BY215" i="11"/>
  <c r="CD215" i="11"/>
  <c r="BZ215" i="11"/>
  <c r="CB215" i="11"/>
  <c r="CE215" i="11"/>
  <c r="CK215" i="11"/>
  <c r="CI215" i="11"/>
  <c r="CB111" i="11"/>
  <c r="CL111" i="11"/>
  <c r="BY111" i="11"/>
  <c r="CF111" i="11"/>
  <c r="CJ111" i="11"/>
  <c r="CM111" i="11"/>
  <c r="CD111" i="11"/>
  <c r="CH111" i="11"/>
  <c r="CK111" i="11"/>
  <c r="CC111" i="11"/>
  <c r="BZ111" i="11"/>
  <c r="BX111" i="11"/>
  <c r="CG111" i="11"/>
  <c r="CA111" i="11"/>
  <c r="CE111" i="11"/>
  <c r="CI111" i="11"/>
  <c r="CM812" i="11"/>
  <c r="CH812" i="11"/>
  <c r="BX812" i="11"/>
  <c r="CK812" i="11"/>
  <c r="BZ812" i="11"/>
  <c r="CD812" i="11"/>
  <c r="CF812" i="11"/>
  <c r="CC812" i="11"/>
  <c r="CJ812" i="11"/>
  <c r="BY812" i="11"/>
  <c r="CB812" i="11"/>
  <c r="CG812" i="11"/>
  <c r="CL812" i="11"/>
  <c r="CI812" i="11"/>
  <c r="CA812" i="11"/>
  <c r="CE812" i="11"/>
  <c r="CH708" i="11"/>
  <c r="CM708" i="11"/>
  <c r="CC708" i="11"/>
  <c r="BZ708" i="11"/>
  <c r="CB708" i="11"/>
  <c r="CJ708" i="11"/>
  <c r="CK708" i="11"/>
  <c r="BX708" i="11"/>
  <c r="CG708" i="11"/>
  <c r="CD708" i="11"/>
  <c r="CF708" i="11"/>
  <c r="CL708" i="11"/>
  <c r="BY708" i="11"/>
  <c r="CA708" i="11"/>
  <c r="CE708" i="11"/>
  <c r="CI708" i="11"/>
  <c r="CB604" i="11"/>
  <c r="CI604" i="11"/>
  <c r="CF604" i="11"/>
  <c r="CM604" i="11"/>
  <c r="CA604" i="11"/>
  <c r="CG604" i="11"/>
  <c r="BX604" i="11"/>
  <c r="CL604" i="11"/>
  <c r="CJ604" i="11"/>
  <c r="CK604" i="11"/>
  <c r="CH604" i="11"/>
  <c r="CE604" i="11"/>
  <c r="CD604" i="11"/>
  <c r="BY604" i="11"/>
  <c r="BZ604" i="11"/>
  <c r="CC604" i="11"/>
  <c r="CE500" i="11"/>
  <c r="BZ500" i="11"/>
  <c r="CJ500" i="11"/>
  <c r="CL500" i="11"/>
  <c r="BY500" i="11"/>
  <c r="CK500" i="11"/>
  <c r="CB500" i="11"/>
  <c r="CD500" i="11"/>
  <c r="CA500" i="11"/>
  <c r="CG500" i="11"/>
  <c r="CH500" i="11"/>
  <c r="CI500" i="11"/>
  <c r="CM500" i="11"/>
  <c r="CF500" i="11"/>
  <c r="BX500" i="11"/>
  <c r="CC500" i="11"/>
  <c r="CD396" i="11"/>
  <c r="CF396" i="11"/>
  <c r="CG396" i="11"/>
  <c r="BZ396" i="11"/>
  <c r="CB396" i="11"/>
  <c r="CA396" i="11"/>
  <c r="CH396" i="11"/>
  <c r="BY396" i="11"/>
  <c r="BX396" i="11"/>
  <c r="CK396" i="11"/>
  <c r="CI396" i="11"/>
  <c r="CC396" i="11"/>
  <c r="CJ396" i="11"/>
  <c r="CL396" i="11"/>
  <c r="CM396" i="11"/>
  <c r="CE396" i="11"/>
  <c r="CL292" i="11"/>
  <c r="BZ292" i="11"/>
  <c r="CE292" i="11"/>
  <c r="CK292" i="11"/>
  <c r="BY292" i="11"/>
  <c r="CD292" i="11"/>
  <c r="CI292" i="11"/>
  <c r="CJ292" i="11"/>
  <c r="CC292" i="11"/>
  <c r="CA292" i="11"/>
  <c r="CF292" i="11"/>
  <c r="CH292" i="11"/>
  <c r="CG292" i="11"/>
  <c r="CB292" i="11"/>
  <c r="CM292" i="11"/>
  <c r="BX292" i="11"/>
  <c r="BY188" i="11"/>
  <c r="CI188" i="11"/>
  <c r="CD188" i="11"/>
  <c r="CK188" i="11"/>
  <c r="CL188" i="11"/>
  <c r="CA188" i="11"/>
  <c r="CG188" i="11"/>
  <c r="BZ188" i="11"/>
  <c r="CE188" i="11"/>
  <c r="CF188" i="11"/>
  <c r="CH188" i="11"/>
  <c r="CB188" i="11"/>
  <c r="CM188" i="11"/>
  <c r="BX188" i="11"/>
  <c r="CJ188" i="11"/>
  <c r="CC188" i="11"/>
  <c r="CK84" i="11"/>
  <c r="CF84" i="11"/>
  <c r="CH84" i="11"/>
  <c r="CM84" i="11"/>
  <c r="CC84" i="11"/>
  <c r="CB84" i="11"/>
  <c r="CD84" i="11"/>
  <c r="BY84" i="11"/>
  <c r="BX84" i="11"/>
  <c r="BZ84" i="11"/>
  <c r="CG84" i="11"/>
  <c r="CI84" i="11"/>
  <c r="CJ84" i="11"/>
  <c r="CL84" i="11"/>
  <c r="CE84" i="11"/>
  <c r="CA84" i="11"/>
  <c r="CL785" i="11"/>
  <c r="BZ785" i="11"/>
  <c r="BX785" i="11"/>
  <c r="CF785" i="11"/>
  <c r="CJ785" i="11"/>
  <c r="CI785" i="11"/>
  <c r="CA785" i="11"/>
  <c r="CE785" i="11"/>
  <c r="CD785" i="11"/>
  <c r="CK785" i="11"/>
  <c r="CB785" i="11"/>
  <c r="BY785" i="11"/>
  <c r="CG785" i="11"/>
  <c r="CH785" i="11"/>
  <c r="CC785" i="11"/>
  <c r="CM785" i="11"/>
  <c r="CG681" i="11"/>
  <c r="CE681" i="11"/>
  <c r="CL681" i="11"/>
  <c r="CI681" i="11"/>
  <c r="CB681" i="11"/>
  <c r="CK681" i="11"/>
  <c r="CH681" i="11"/>
  <c r="CC681" i="11"/>
  <c r="CM681" i="11"/>
  <c r="CA681" i="11"/>
  <c r="CD681" i="11"/>
  <c r="BX681" i="11"/>
  <c r="CF681" i="11"/>
  <c r="BZ681" i="11"/>
  <c r="CJ681" i="11"/>
  <c r="BY681" i="11"/>
  <c r="CM577" i="11"/>
  <c r="CH577" i="11"/>
  <c r="CC577" i="11"/>
  <c r="CA577" i="11"/>
  <c r="CI577" i="11"/>
  <c r="BY577" i="11"/>
  <c r="CJ577" i="11"/>
  <c r="CD577" i="11"/>
  <c r="CK577" i="11"/>
  <c r="CL577" i="11"/>
  <c r="CE577" i="11"/>
  <c r="BX577" i="11"/>
  <c r="CG577" i="11"/>
  <c r="CB577" i="11"/>
  <c r="CF577" i="11"/>
  <c r="BZ577" i="11"/>
  <c r="CA473" i="11"/>
  <c r="CK473" i="11"/>
  <c r="CL473" i="11"/>
  <c r="CD473" i="11"/>
  <c r="BY473" i="11"/>
  <c r="CI473" i="11"/>
  <c r="CG473" i="11"/>
  <c r="BZ473" i="11"/>
  <c r="CF473" i="11"/>
  <c r="CH473" i="11"/>
  <c r="CE473" i="11"/>
  <c r="CB473" i="11"/>
  <c r="CM473" i="11"/>
  <c r="CC473" i="11"/>
  <c r="CJ473" i="11"/>
  <c r="BX473" i="11"/>
  <c r="CG369" i="11"/>
  <c r="CB369" i="11"/>
  <c r="CH369" i="11"/>
  <c r="CD369" i="11"/>
  <c r="BX369" i="11"/>
  <c r="CL369" i="11"/>
  <c r="BY369" i="11"/>
  <c r="CF369" i="11"/>
  <c r="BZ369" i="11"/>
  <c r="CM369" i="11"/>
  <c r="CC369" i="11"/>
  <c r="CK369" i="11"/>
  <c r="CJ369" i="11"/>
  <c r="CE369" i="11"/>
  <c r="CI369" i="11"/>
  <c r="CA369" i="11"/>
  <c r="CD265" i="11"/>
  <c r="CH265" i="11"/>
  <c r="CB265" i="11"/>
  <c r="CL265" i="11"/>
  <c r="BX265" i="11"/>
  <c r="CF265" i="11"/>
  <c r="BZ265" i="11"/>
  <c r="BY265" i="11"/>
  <c r="CM265" i="11"/>
  <c r="CC265" i="11"/>
  <c r="CG265" i="11"/>
  <c r="CK265" i="11"/>
  <c r="CJ265" i="11"/>
  <c r="CE265" i="11"/>
  <c r="CI265" i="11"/>
  <c r="CA265" i="11"/>
  <c r="CD161" i="11"/>
  <c r="CL161" i="11"/>
  <c r="CB161" i="11"/>
  <c r="CH161" i="11"/>
  <c r="CJ161" i="11"/>
  <c r="CM161" i="11"/>
  <c r="CF161" i="11"/>
  <c r="BX161" i="11"/>
  <c r="BZ161" i="11"/>
  <c r="CG161" i="11"/>
  <c r="CK161" i="11"/>
  <c r="BY161" i="11"/>
  <c r="CC161" i="11"/>
  <c r="CA161" i="11"/>
  <c r="CE161" i="11"/>
  <c r="CI161" i="11"/>
  <c r="CI57" i="11"/>
  <c r="CD57" i="11"/>
  <c r="BX57" i="11"/>
  <c r="CC57" i="11"/>
  <c r="CM57" i="11"/>
  <c r="BY57" i="11"/>
  <c r="BZ57" i="11"/>
  <c r="CK57" i="11"/>
  <c r="CB57" i="11"/>
  <c r="CE57" i="11"/>
  <c r="CL57" i="11"/>
  <c r="CG57" i="11"/>
  <c r="CJ57" i="11"/>
  <c r="CH57" i="11"/>
  <c r="CA57" i="11"/>
  <c r="CF57" i="11"/>
  <c r="CG758" i="11"/>
  <c r="CD758" i="11"/>
  <c r="CK758" i="11"/>
  <c r="BX758" i="11"/>
  <c r="CL758" i="11"/>
  <c r="CA758" i="11"/>
  <c r="CH758" i="11"/>
  <c r="CI758" i="11"/>
  <c r="BZ758" i="11"/>
  <c r="CJ758" i="11"/>
  <c r="CC758" i="11"/>
  <c r="CE758" i="11"/>
  <c r="CF758" i="11"/>
  <c r="BY758" i="11"/>
  <c r="CM758" i="11"/>
  <c r="CB758" i="11"/>
  <c r="CK654" i="11"/>
  <c r="CI654" i="11"/>
  <c r="CA654" i="11"/>
  <c r="CL654" i="11"/>
  <c r="CJ654" i="11"/>
  <c r="CE654" i="11"/>
  <c r="CG654" i="11"/>
  <c r="CH654" i="11"/>
  <c r="CF654" i="11"/>
  <c r="CM654" i="11"/>
  <c r="CD654" i="11"/>
  <c r="CB654" i="11"/>
  <c r="CC654" i="11"/>
  <c r="BZ654" i="11"/>
  <c r="BX654" i="11"/>
  <c r="CN654" i="11" s="1"/>
  <c r="BY654" i="11"/>
  <c r="CH550" i="11"/>
  <c r="CL550" i="11"/>
  <c r="CF550" i="11"/>
  <c r="CG550" i="11"/>
  <c r="CB550" i="11"/>
  <c r="BX550" i="11"/>
  <c r="BZ550" i="11"/>
  <c r="CD550" i="11"/>
  <c r="BY550" i="11"/>
  <c r="CM550" i="11"/>
  <c r="CC550" i="11"/>
  <c r="CJ550" i="11"/>
  <c r="CK550" i="11"/>
  <c r="CI550" i="11"/>
  <c r="CA550" i="11"/>
  <c r="CE550" i="11"/>
  <c r="CD446" i="11"/>
  <c r="CJ446" i="11"/>
  <c r="CB446" i="11"/>
  <c r="CC446" i="11"/>
  <c r="BZ446" i="11"/>
  <c r="CL446" i="11"/>
  <c r="BX446" i="11"/>
  <c r="CG446" i="11"/>
  <c r="CM446" i="11"/>
  <c r="CK446" i="11"/>
  <c r="BY446" i="11"/>
  <c r="CH446" i="11"/>
  <c r="CF446" i="11"/>
  <c r="CI446" i="11"/>
  <c r="CA446" i="11"/>
  <c r="CE446" i="11"/>
  <c r="CC342" i="11"/>
  <c r="CB342" i="11"/>
  <c r="CM342" i="11"/>
  <c r="BX342" i="11"/>
  <c r="CI342" i="11"/>
  <c r="CL342" i="11"/>
  <c r="CK342" i="11"/>
  <c r="CE342" i="11"/>
  <c r="CH342" i="11"/>
  <c r="CF342" i="11"/>
  <c r="BY342" i="11"/>
  <c r="CD342" i="11"/>
  <c r="CA342" i="11"/>
  <c r="CG342" i="11"/>
  <c r="CJ342" i="11"/>
  <c r="BZ342" i="11"/>
  <c r="CJ238" i="11"/>
  <c r="BY238" i="11"/>
  <c r="CK238" i="11"/>
  <c r="CE238" i="11"/>
  <c r="CI238" i="11"/>
  <c r="BX238" i="11"/>
  <c r="CC238" i="11"/>
  <c r="CF238" i="11"/>
  <c r="BZ238" i="11"/>
  <c r="CL238" i="11"/>
  <c r="CB238" i="11"/>
  <c r="CH238" i="11"/>
  <c r="CG238" i="11"/>
  <c r="CD238" i="11"/>
  <c r="CM238" i="11"/>
  <c r="CA238" i="11"/>
  <c r="CG134" i="11"/>
  <c r="BY134" i="11"/>
  <c r="CM134" i="11"/>
  <c r="CC134" i="11"/>
  <c r="CK134" i="11"/>
  <c r="CB134" i="11"/>
  <c r="CF134" i="11"/>
  <c r="CE134" i="11"/>
  <c r="CJ134" i="11"/>
  <c r="BX134" i="11"/>
  <c r="CH134" i="11"/>
  <c r="CL134" i="11"/>
  <c r="BZ134" i="11"/>
  <c r="CA134" i="11"/>
  <c r="CD134" i="11"/>
  <c r="CI134" i="11"/>
  <c r="CE30" i="11"/>
  <c r="CK30" i="11"/>
  <c r="CL30" i="11"/>
  <c r="CG30" i="11"/>
  <c r="BZ30" i="11"/>
  <c r="CA30" i="11"/>
  <c r="BX30" i="11"/>
  <c r="CJ30" i="11"/>
  <c r="CC30" i="11"/>
  <c r="CF30" i="11"/>
  <c r="CH30" i="11"/>
  <c r="CM30" i="11"/>
  <c r="BY30" i="11"/>
  <c r="CD30" i="11"/>
  <c r="CI30" i="11"/>
  <c r="CB30" i="11"/>
  <c r="CI731" i="11"/>
  <c r="CA731" i="11"/>
  <c r="BZ731" i="11"/>
  <c r="BX731" i="11"/>
  <c r="CK731" i="11"/>
  <c r="CL731" i="11"/>
  <c r="CJ731" i="11"/>
  <c r="CE731" i="11"/>
  <c r="BY731" i="11"/>
  <c r="CH731" i="11"/>
  <c r="CF731" i="11"/>
  <c r="CM731" i="11"/>
  <c r="CG731" i="11"/>
  <c r="CD731" i="11"/>
  <c r="CB731" i="11"/>
  <c r="CC731" i="11"/>
  <c r="BZ627" i="11"/>
  <c r="CG627" i="11"/>
  <c r="CM627" i="11"/>
  <c r="CJ627" i="11"/>
  <c r="BY627" i="11"/>
  <c r="CH627" i="11"/>
  <c r="CB627" i="11"/>
  <c r="CK627" i="11"/>
  <c r="CD627" i="11"/>
  <c r="CC627" i="11"/>
  <c r="CL627" i="11"/>
  <c r="BX627" i="11"/>
  <c r="CF627" i="11"/>
  <c r="CE627" i="11"/>
  <c r="CI627" i="11"/>
  <c r="CA627" i="11"/>
  <c r="CK523" i="11"/>
  <c r="CI523" i="11"/>
  <c r="BY523" i="11"/>
  <c r="CF523" i="11"/>
  <c r="CD523" i="11"/>
  <c r="CM523" i="11"/>
  <c r="BX523" i="11"/>
  <c r="CE523" i="11"/>
  <c r="BZ523" i="11"/>
  <c r="CJ523" i="11"/>
  <c r="CA523" i="11"/>
  <c r="CH523" i="11"/>
  <c r="CB523" i="11"/>
  <c r="CG523" i="11"/>
  <c r="CC523" i="11"/>
  <c r="CL523" i="11"/>
  <c r="CF419" i="11"/>
  <c r="BZ419" i="11"/>
  <c r="CI419" i="11"/>
  <c r="BX419" i="11"/>
  <c r="CA419" i="11"/>
  <c r="CJ419" i="11"/>
  <c r="CD419" i="11"/>
  <c r="CL419" i="11"/>
  <c r="CE419" i="11"/>
  <c r="CC419" i="11"/>
  <c r="CM419" i="11"/>
  <c r="BY419" i="11"/>
  <c r="CK419" i="11"/>
  <c r="CB419" i="11"/>
  <c r="CG419" i="11"/>
  <c r="CH419" i="11"/>
  <c r="CJ315" i="11"/>
  <c r="CA315" i="11"/>
  <c r="CH315" i="11"/>
  <c r="BZ315" i="11"/>
  <c r="CF315" i="11"/>
  <c r="CM315" i="11"/>
  <c r="CC315" i="11"/>
  <c r="BX315" i="11"/>
  <c r="BY315" i="11"/>
  <c r="CE315" i="11"/>
  <c r="CK315" i="11"/>
  <c r="CI315" i="11"/>
  <c r="CL315" i="11"/>
  <c r="CG315" i="11"/>
  <c r="CD315" i="11"/>
  <c r="CB315" i="11"/>
  <c r="CL211" i="11"/>
  <c r="CA211" i="11"/>
  <c r="CF211" i="11"/>
  <c r="BY211" i="11"/>
  <c r="CD211" i="11"/>
  <c r="BZ211" i="11"/>
  <c r="CK211" i="11"/>
  <c r="CB211" i="11"/>
  <c r="CI211" i="11"/>
  <c r="CE211" i="11"/>
  <c r="CG211" i="11"/>
  <c r="CH211" i="11"/>
  <c r="CJ211" i="11"/>
  <c r="CC211" i="11"/>
  <c r="CM211" i="11"/>
  <c r="BX211" i="11"/>
  <c r="CG107" i="11"/>
  <c r="CL107" i="11"/>
  <c r="CB107" i="11"/>
  <c r="CJ107" i="11"/>
  <c r="BY107" i="11"/>
  <c r="CF107" i="11"/>
  <c r="BZ107" i="11"/>
  <c r="BX107" i="11"/>
  <c r="CM107" i="11"/>
  <c r="CD107" i="11"/>
  <c r="CH107" i="11"/>
  <c r="CK107" i="11"/>
  <c r="CC107" i="11"/>
  <c r="CI107" i="11"/>
  <c r="CA107" i="11"/>
  <c r="CE107" i="11"/>
  <c r="BZ522" i="11"/>
  <c r="CL522" i="11"/>
  <c r="CE522" i="11"/>
  <c r="CJ522" i="11"/>
  <c r="CA522" i="11"/>
  <c r="CC522" i="11"/>
  <c r="CM522" i="11"/>
  <c r="CF522" i="11"/>
  <c r="BY522" i="11"/>
  <c r="BX522" i="11"/>
  <c r="CK522" i="11"/>
  <c r="CB522" i="11"/>
  <c r="CD522" i="11"/>
  <c r="CG522" i="11"/>
  <c r="CH522" i="11"/>
  <c r="CI522" i="11"/>
  <c r="CI106" i="11"/>
  <c r="CG106" i="11"/>
  <c r="CA106" i="11"/>
  <c r="CC106" i="11"/>
  <c r="BY106" i="11"/>
  <c r="CK106" i="11"/>
  <c r="CF106" i="11"/>
  <c r="CH106" i="11"/>
  <c r="CM106" i="11"/>
  <c r="CB106" i="11"/>
  <c r="CD106" i="11"/>
  <c r="BX106" i="11"/>
  <c r="BZ106" i="11"/>
  <c r="CJ106" i="11"/>
  <c r="CL106" i="11"/>
  <c r="CE106" i="11"/>
  <c r="CL495" i="11"/>
  <c r="CI495" i="11"/>
  <c r="CE495" i="11"/>
  <c r="CK495" i="11"/>
  <c r="CF495" i="11"/>
  <c r="CH495" i="11"/>
  <c r="BY495" i="11"/>
  <c r="CB495" i="11"/>
  <c r="CM495" i="11"/>
  <c r="BZ495" i="11"/>
  <c r="CG495" i="11"/>
  <c r="CJ495" i="11"/>
  <c r="BX495" i="11"/>
  <c r="CD495" i="11"/>
  <c r="CC495" i="11"/>
  <c r="CA495" i="11"/>
  <c r="CD79" i="11"/>
  <c r="CM79" i="11"/>
  <c r="BX79" i="11"/>
  <c r="BZ79" i="11"/>
  <c r="CJ79" i="11"/>
  <c r="CH79" i="11"/>
  <c r="CL79" i="11"/>
  <c r="CB79" i="11"/>
  <c r="CF79" i="11"/>
  <c r="CC79" i="11"/>
  <c r="CG79" i="11"/>
  <c r="CK79" i="11"/>
  <c r="BY79" i="11"/>
  <c r="CA79" i="11"/>
  <c r="CE79" i="11"/>
  <c r="CI79" i="11"/>
  <c r="CK676" i="11"/>
  <c r="CG676" i="11"/>
  <c r="CD676" i="11"/>
  <c r="CB676" i="11"/>
  <c r="BZ676" i="11"/>
  <c r="BX676" i="11"/>
  <c r="CA676" i="11"/>
  <c r="CC676" i="11"/>
  <c r="CL676" i="11"/>
  <c r="CJ676" i="11"/>
  <c r="CE676" i="11"/>
  <c r="BY676" i="11"/>
  <c r="CI676" i="11"/>
  <c r="CH676" i="11"/>
  <c r="CF676" i="11"/>
  <c r="CM676" i="11"/>
  <c r="CB364" i="11"/>
  <c r="CK364" i="11"/>
  <c r="CA364" i="11"/>
  <c r="CF364" i="11"/>
  <c r="CM364" i="11"/>
  <c r="CH364" i="11"/>
  <c r="CE364" i="11"/>
  <c r="BX364" i="11"/>
  <c r="CD364" i="11"/>
  <c r="BY364" i="11"/>
  <c r="CG364" i="11"/>
  <c r="BZ364" i="11"/>
  <c r="CI364" i="11"/>
  <c r="CJ364" i="11"/>
  <c r="CC364" i="11"/>
  <c r="CL364" i="11"/>
  <c r="CG704" i="11"/>
  <c r="CI704" i="11"/>
  <c r="CM704" i="11"/>
  <c r="CH704" i="11"/>
  <c r="CC704" i="11"/>
  <c r="BY704" i="11"/>
  <c r="BX704" i="11"/>
  <c r="CD704" i="11"/>
  <c r="CJ704" i="11"/>
  <c r="CK704" i="11"/>
  <c r="CL704" i="11"/>
  <c r="CA704" i="11"/>
  <c r="CF704" i="11"/>
  <c r="CE704" i="11"/>
  <c r="CB704" i="11"/>
  <c r="BZ704" i="11"/>
  <c r="CF392" i="11"/>
  <c r="CK392" i="11"/>
  <c r="CJ392" i="11"/>
  <c r="CD392" i="11"/>
  <c r="CL392" i="11"/>
  <c r="CG392" i="11"/>
  <c r="CE392" i="11"/>
  <c r="BX392" i="11"/>
  <c r="CB392" i="11"/>
  <c r="CC392" i="11"/>
  <c r="BZ392" i="11"/>
  <c r="CH392" i="11"/>
  <c r="CM392" i="11"/>
  <c r="CA392" i="11"/>
  <c r="BY392" i="11"/>
  <c r="CI392" i="11"/>
  <c r="CL80" i="11"/>
  <c r="CB80" i="11"/>
  <c r="CF80" i="11"/>
  <c r="CH80" i="11"/>
  <c r="BX80" i="11"/>
  <c r="CJ80" i="11"/>
  <c r="CK80" i="11"/>
  <c r="CD80" i="11"/>
  <c r="BY80" i="11"/>
  <c r="BZ80" i="11"/>
  <c r="CM80" i="11"/>
  <c r="CC80" i="11"/>
  <c r="CG80" i="11"/>
  <c r="CE80" i="11"/>
  <c r="CI80" i="11"/>
  <c r="CA80" i="11"/>
  <c r="CI469" i="11"/>
  <c r="BX469" i="11"/>
  <c r="CD469" i="11"/>
  <c r="CJ469" i="11"/>
  <c r="CA469" i="11"/>
  <c r="CL469" i="11"/>
  <c r="CF469" i="11"/>
  <c r="BZ469" i="11"/>
  <c r="CC469" i="11"/>
  <c r="CM469" i="11"/>
  <c r="CE469" i="11"/>
  <c r="BY469" i="11"/>
  <c r="CH469" i="11"/>
  <c r="CK469" i="11"/>
  <c r="CG469" i="11"/>
  <c r="CB469" i="11"/>
  <c r="CI53" i="11"/>
  <c r="BX53" i="11"/>
  <c r="CC53" i="11"/>
  <c r="CL53" i="11"/>
  <c r="CB53" i="11"/>
  <c r="BY53" i="11"/>
  <c r="CH53" i="11"/>
  <c r="CG53" i="11"/>
  <c r="CE53" i="11"/>
  <c r="CD53" i="11"/>
  <c r="CM53" i="11"/>
  <c r="CJ53" i="11"/>
  <c r="CA53" i="11"/>
  <c r="BZ53" i="11"/>
  <c r="CF53" i="11"/>
  <c r="CK53" i="11"/>
  <c r="CK546" i="11"/>
  <c r="CG546" i="11"/>
  <c r="CC546" i="11"/>
  <c r="CA546" i="11"/>
  <c r="CL546" i="11"/>
  <c r="CJ546" i="11"/>
  <c r="CE546" i="11"/>
  <c r="BY546" i="11"/>
  <c r="CI546" i="11"/>
  <c r="CH546" i="11"/>
  <c r="CF546" i="11"/>
  <c r="CM546" i="11"/>
  <c r="CD546" i="11"/>
  <c r="CB546" i="11"/>
  <c r="BZ546" i="11"/>
  <c r="BX546" i="11"/>
  <c r="CM234" i="11"/>
  <c r="CF234" i="11"/>
  <c r="BY234" i="11"/>
  <c r="BX234" i="11"/>
  <c r="CD234" i="11"/>
  <c r="CH234" i="11"/>
  <c r="BZ234" i="11"/>
  <c r="CJ234" i="11"/>
  <c r="CC234" i="11"/>
  <c r="CK234" i="11"/>
  <c r="CL234" i="11"/>
  <c r="CB234" i="11"/>
  <c r="CG234" i="11"/>
  <c r="CI234" i="11"/>
  <c r="CA234" i="11"/>
  <c r="CE234" i="11"/>
  <c r="CK756" i="11"/>
  <c r="CF756" i="11"/>
  <c r="CD756" i="11"/>
  <c r="CM756" i="11"/>
  <c r="CI756" i="11"/>
  <c r="CE756" i="11"/>
  <c r="BZ756" i="11"/>
  <c r="CJ756" i="11"/>
  <c r="CL756" i="11"/>
  <c r="CB756" i="11"/>
  <c r="BX756" i="11"/>
  <c r="CA756" i="11"/>
  <c r="CH756" i="11"/>
  <c r="CG756" i="11"/>
  <c r="CC756" i="11"/>
  <c r="BY756" i="11"/>
  <c r="CF652" i="11"/>
  <c r="CJ652" i="11"/>
  <c r="CL652" i="11"/>
  <c r="CB652" i="11"/>
  <c r="CD652" i="11"/>
  <c r="CH652" i="11"/>
  <c r="CM652" i="11"/>
  <c r="BZ652" i="11"/>
  <c r="BX652" i="11"/>
  <c r="BY652" i="11"/>
  <c r="CC652" i="11"/>
  <c r="CA652" i="11"/>
  <c r="CG652" i="11"/>
  <c r="CE652" i="11"/>
  <c r="CK652" i="11"/>
  <c r="CI652" i="11"/>
  <c r="CK548" i="11"/>
  <c r="CI548" i="11"/>
  <c r="CA548" i="11"/>
  <c r="CL548" i="11"/>
  <c r="CJ548" i="11"/>
  <c r="CE548" i="11"/>
  <c r="CH548" i="11"/>
  <c r="CF548" i="11"/>
  <c r="CM548" i="11"/>
  <c r="CD548" i="11"/>
  <c r="CB548" i="11"/>
  <c r="BY548" i="11"/>
  <c r="CC548" i="11"/>
  <c r="BZ548" i="11"/>
  <c r="BX548" i="11"/>
  <c r="CN548" i="11" s="1"/>
  <c r="CG548" i="11"/>
  <c r="CG444" i="11"/>
  <c r="CA444" i="11"/>
  <c r="CL444" i="11"/>
  <c r="BZ444" i="11"/>
  <c r="CI444" i="11"/>
  <c r="CK444" i="11"/>
  <c r="BY444" i="11"/>
  <c r="CE444" i="11"/>
  <c r="CD444" i="11"/>
  <c r="CB444" i="11"/>
  <c r="CM444" i="11"/>
  <c r="BX444" i="11"/>
  <c r="CJ444" i="11"/>
  <c r="CC444" i="11"/>
  <c r="CF444" i="11"/>
  <c r="CH444" i="11"/>
  <c r="BX340" i="11"/>
  <c r="CJ340" i="11"/>
  <c r="CH340" i="11"/>
  <c r="CK340" i="11"/>
  <c r="BZ340" i="11"/>
  <c r="BY340" i="11"/>
  <c r="CC340" i="11"/>
  <c r="CD340" i="11"/>
  <c r="CM340" i="11"/>
  <c r="CF340" i="11"/>
  <c r="CB340" i="11"/>
  <c r="CG340" i="11"/>
  <c r="CL340" i="11"/>
  <c r="CA340" i="11"/>
  <c r="CE340" i="11"/>
  <c r="CI340" i="11"/>
  <c r="CC236" i="11"/>
  <c r="CD236" i="11"/>
  <c r="CG236" i="11"/>
  <c r="BX236" i="11"/>
  <c r="BY236" i="11"/>
  <c r="BZ236" i="11"/>
  <c r="CK236" i="11"/>
  <c r="CM236" i="11"/>
  <c r="CH236" i="11"/>
  <c r="CL236" i="11"/>
  <c r="CJ236" i="11"/>
  <c r="CB236" i="11"/>
  <c r="CF236" i="11"/>
  <c r="CA236" i="11"/>
  <c r="CE236" i="11"/>
  <c r="CI236" i="11"/>
  <c r="CJ132" i="11"/>
  <c r="CB132" i="11"/>
  <c r="CD132" i="11"/>
  <c r="CL132" i="11"/>
  <c r="BX132" i="11"/>
  <c r="BZ132" i="11"/>
  <c r="CF132" i="11"/>
  <c r="CM132" i="11"/>
  <c r="CH132" i="11"/>
  <c r="CC132" i="11"/>
  <c r="CG132" i="11"/>
  <c r="CK132" i="11"/>
  <c r="BY132" i="11"/>
  <c r="CE132" i="11"/>
  <c r="CI132" i="11"/>
  <c r="CA132" i="11"/>
  <c r="CJ833" i="11"/>
  <c r="BY833" i="11"/>
  <c r="CG833" i="11"/>
  <c r="BZ833" i="11"/>
  <c r="CH833" i="11"/>
  <c r="CK833" i="11"/>
  <c r="CD833" i="11"/>
  <c r="CL833" i="11"/>
  <c r="CC833" i="11"/>
  <c r="CE833" i="11"/>
  <c r="CF833" i="11"/>
  <c r="CI833" i="11"/>
  <c r="CM833" i="11"/>
  <c r="BX833" i="11"/>
  <c r="CA833" i="11"/>
  <c r="CB833" i="11"/>
  <c r="CL729" i="11"/>
  <c r="CH729" i="11"/>
  <c r="CD729" i="11"/>
  <c r="BZ729" i="11"/>
  <c r="BX729" i="11"/>
  <c r="CM729" i="11"/>
  <c r="CJ729" i="11"/>
  <c r="CB729" i="11"/>
  <c r="CF729" i="11"/>
  <c r="CK729" i="11"/>
  <c r="CI729" i="11"/>
  <c r="BY729" i="11"/>
  <c r="CC729" i="11"/>
  <c r="CA729" i="11"/>
  <c r="CG729" i="11"/>
  <c r="CE729" i="11"/>
  <c r="CI625" i="11"/>
  <c r="CA625" i="11"/>
  <c r="CD625" i="11"/>
  <c r="CG625" i="11"/>
  <c r="CL625" i="11"/>
  <c r="BY625" i="11"/>
  <c r="CB625" i="11"/>
  <c r="CM625" i="11"/>
  <c r="BZ625" i="11"/>
  <c r="BX625" i="11"/>
  <c r="CE625" i="11"/>
  <c r="CJ625" i="11"/>
  <c r="CC625" i="11"/>
  <c r="CK625" i="11"/>
  <c r="CF625" i="11"/>
  <c r="CH625" i="11"/>
  <c r="CD521" i="11"/>
  <c r="BY521" i="11"/>
  <c r="CB521" i="11"/>
  <c r="CG521" i="11"/>
  <c r="BX521" i="11"/>
  <c r="CL521" i="11"/>
  <c r="CH521" i="11"/>
  <c r="CK521" i="11"/>
  <c r="CJ521" i="11"/>
  <c r="CF521" i="11"/>
  <c r="BZ521" i="11"/>
  <c r="CM521" i="11"/>
  <c r="CC521" i="11"/>
  <c r="CE521" i="11"/>
  <c r="CI521" i="11"/>
  <c r="CA521" i="11"/>
  <c r="CF417" i="11"/>
  <c r="BY417" i="11"/>
  <c r="CC417" i="11"/>
  <c r="CA417" i="11"/>
  <c r="CJ417" i="11"/>
  <c r="CK417" i="11"/>
  <c r="CE417" i="11"/>
  <c r="CI417" i="11"/>
  <c r="BX417" i="11"/>
  <c r="CH417" i="11"/>
  <c r="CG417" i="11"/>
  <c r="CD417" i="11"/>
  <c r="CM417" i="11"/>
  <c r="BZ417" i="11"/>
  <c r="CL417" i="11"/>
  <c r="CB417" i="11"/>
  <c r="CJ313" i="11"/>
  <c r="CB313" i="11"/>
  <c r="CG313" i="11"/>
  <c r="CF313" i="11"/>
  <c r="CM313" i="11"/>
  <c r="BY313" i="11"/>
  <c r="CA313" i="11"/>
  <c r="CD313" i="11"/>
  <c r="BX313" i="11"/>
  <c r="BZ313" i="11"/>
  <c r="CE313" i="11"/>
  <c r="CL313" i="11"/>
  <c r="CI313" i="11"/>
  <c r="CK313" i="11"/>
  <c r="CH313" i="11"/>
  <c r="CC313" i="11"/>
  <c r="CK209" i="11"/>
  <c r="CA209" i="11"/>
  <c r="CF209" i="11"/>
  <c r="CD209" i="11"/>
  <c r="CM209" i="11"/>
  <c r="CI209" i="11"/>
  <c r="CJ209" i="11"/>
  <c r="BZ209" i="11"/>
  <c r="CL209" i="11"/>
  <c r="CB209" i="11"/>
  <c r="BX209" i="11"/>
  <c r="BY209" i="11"/>
  <c r="CC209" i="11"/>
  <c r="CE209" i="11"/>
  <c r="CH209" i="11"/>
  <c r="CG209" i="11"/>
  <c r="CA105" i="11"/>
  <c r="CC105" i="11"/>
  <c r="CK105" i="11"/>
  <c r="CI105" i="11"/>
  <c r="CL105" i="11"/>
  <c r="CJ105" i="11"/>
  <c r="CE105" i="11"/>
  <c r="CH105" i="11"/>
  <c r="CF105" i="11"/>
  <c r="CM105" i="11"/>
  <c r="BZ105" i="11"/>
  <c r="CB105" i="11"/>
  <c r="BY105" i="11"/>
  <c r="BX105" i="11"/>
  <c r="CG105" i="11"/>
  <c r="CD105" i="11"/>
  <c r="CE806" i="11"/>
  <c r="CH806" i="11"/>
  <c r="BZ806" i="11"/>
  <c r="CC806" i="11"/>
  <c r="BY806" i="11"/>
  <c r="CM806" i="11"/>
  <c r="CI806" i="11"/>
  <c r="CJ806" i="11"/>
  <c r="CL806" i="11"/>
  <c r="CK806" i="11"/>
  <c r="CD806" i="11"/>
  <c r="CF806" i="11"/>
  <c r="CG806" i="11"/>
  <c r="CB806" i="11"/>
  <c r="CA806" i="11"/>
  <c r="BX806" i="11"/>
  <c r="CK702" i="11"/>
  <c r="CA702" i="11"/>
  <c r="CH702" i="11"/>
  <c r="CB702" i="11"/>
  <c r="BY702" i="11"/>
  <c r="CM702" i="11"/>
  <c r="CC702" i="11"/>
  <c r="BX702" i="11"/>
  <c r="CE702" i="11"/>
  <c r="CJ702" i="11"/>
  <c r="CI702" i="11"/>
  <c r="CL702" i="11"/>
  <c r="BZ702" i="11"/>
  <c r="CF702" i="11"/>
  <c r="CD702" i="11"/>
  <c r="CG702" i="11"/>
  <c r="CH598" i="11"/>
  <c r="CG598" i="11"/>
  <c r="BX598" i="11"/>
  <c r="CF598" i="11"/>
  <c r="CL598" i="11"/>
  <c r="BZ598" i="11"/>
  <c r="CB598" i="11"/>
  <c r="CJ598" i="11"/>
  <c r="CK598" i="11"/>
  <c r="CD598" i="11"/>
  <c r="BY598" i="11"/>
  <c r="CC598" i="11"/>
  <c r="CM598" i="11"/>
  <c r="CA598" i="11"/>
  <c r="CE598" i="11"/>
  <c r="CI598" i="11"/>
  <c r="CK494" i="11"/>
  <c r="CJ494" i="11"/>
  <c r="BY494" i="11"/>
  <c r="CE494" i="11"/>
  <c r="CA494" i="11"/>
  <c r="CL494" i="11"/>
  <c r="CB494" i="11"/>
  <c r="CF494" i="11"/>
  <c r="CH494" i="11"/>
  <c r="CG494" i="11"/>
  <c r="CC494" i="11"/>
  <c r="CD494" i="11"/>
  <c r="CM494" i="11"/>
  <c r="CI494" i="11"/>
  <c r="BX494" i="11"/>
  <c r="CN494" i="11" s="1"/>
  <c r="BZ494" i="11"/>
  <c r="CF390" i="11"/>
  <c r="CL390" i="11"/>
  <c r="CA390" i="11"/>
  <c r="CC390" i="11"/>
  <c r="BZ390" i="11"/>
  <c r="BY390" i="11"/>
  <c r="CK390" i="11"/>
  <c r="CJ390" i="11"/>
  <c r="CD390" i="11"/>
  <c r="CG390" i="11"/>
  <c r="CE390" i="11"/>
  <c r="CI390" i="11"/>
  <c r="BX390" i="11"/>
  <c r="CB390" i="11"/>
  <c r="CH390" i="11"/>
  <c r="CM390" i="11"/>
  <c r="CF286" i="11"/>
  <c r="BX286" i="11"/>
  <c r="CI286" i="11"/>
  <c r="CJ286" i="11"/>
  <c r="BZ286" i="11"/>
  <c r="CE286" i="11"/>
  <c r="CA286" i="11"/>
  <c r="CL286" i="11"/>
  <c r="CD286" i="11"/>
  <c r="CK286" i="11"/>
  <c r="CB286" i="11"/>
  <c r="CG286" i="11"/>
  <c r="CH286" i="11"/>
  <c r="CC286" i="11"/>
  <c r="CM286" i="11"/>
  <c r="BY286" i="11"/>
  <c r="BY182" i="11"/>
  <c r="CK182" i="11"/>
  <c r="BX182" i="11"/>
  <c r="CC182" i="11"/>
  <c r="CJ182" i="11"/>
  <c r="CF182" i="11"/>
  <c r="BZ182" i="11"/>
  <c r="CD182" i="11"/>
  <c r="CM182" i="11"/>
  <c r="CH182" i="11"/>
  <c r="CG182" i="11"/>
  <c r="CL182" i="11"/>
  <c r="CB182" i="11"/>
  <c r="CA182" i="11"/>
  <c r="CE182" i="11"/>
  <c r="CI182" i="11"/>
  <c r="CM78" i="11"/>
  <c r="CH78" i="11"/>
  <c r="BZ78" i="11"/>
  <c r="CK78" i="11"/>
  <c r="BX78" i="11"/>
  <c r="CF78" i="11"/>
  <c r="BY78" i="11"/>
  <c r="CD78" i="11"/>
  <c r="CC78" i="11"/>
  <c r="CJ78" i="11"/>
  <c r="CB78" i="11"/>
  <c r="CG78" i="11"/>
  <c r="CL78" i="11"/>
  <c r="CA78" i="11"/>
  <c r="CE78" i="11"/>
  <c r="CI78" i="11"/>
  <c r="CK51" i="11"/>
  <c r="CL51" i="11"/>
  <c r="CB51" i="11"/>
  <c r="CH51" i="11"/>
  <c r="CG51" i="11"/>
  <c r="BX51" i="11"/>
  <c r="CA51" i="11"/>
  <c r="CD51" i="11"/>
  <c r="CM51" i="11"/>
  <c r="CC51" i="11"/>
  <c r="BZ51" i="11"/>
  <c r="CE51" i="11"/>
  <c r="CF51" i="11"/>
  <c r="CI51" i="11"/>
  <c r="CJ51" i="11"/>
  <c r="BY51" i="11"/>
  <c r="BY752" i="11"/>
  <c r="CJ752" i="11"/>
  <c r="CE752" i="11"/>
  <c r="CK752" i="11"/>
  <c r="CC752" i="11"/>
  <c r="CL752" i="11"/>
  <c r="CB752" i="11"/>
  <c r="CI752" i="11"/>
  <c r="CA752" i="11"/>
  <c r="CH752" i="11"/>
  <c r="CG752" i="11"/>
  <c r="CF752" i="11"/>
  <c r="CD752" i="11"/>
  <c r="CM752" i="11"/>
  <c r="BX752" i="11"/>
  <c r="CN752" i="11" s="1"/>
  <c r="BZ752" i="11"/>
  <c r="CB648" i="11"/>
  <c r="CL648" i="11"/>
  <c r="CD648" i="11"/>
  <c r="BX648" i="11"/>
  <c r="CJ648" i="11"/>
  <c r="CH648" i="11"/>
  <c r="BZ648" i="11"/>
  <c r="CF648" i="11"/>
  <c r="CM648" i="11"/>
  <c r="CK648" i="11"/>
  <c r="CE648" i="11"/>
  <c r="BY648" i="11"/>
  <c r="CI648" i="11"/>
  <c r="CC648" i="11"/>
  <c r="CG648" i="11"/>
  <c r="CA648" i="11"/>
  <c r="CG544" i="11"/>
  <c r="BY544" i="11"/>
  <c r="CE544" i="11"/>
  <c r="CD544" i="11"/>
  <c r="CM544" i="11"/>
  <c r="CK544" i="11"/>
  <c r="BZ544" i="11"/>
  <c r="CL544" i="11"/>
  <c r="CB544" i="11"/>
  <c r="CH544" i="11"/>
  <c r="BX544" i="11"/>
  <c r="CA544" i="11"/>
  <c r="CJ544" i="11"/>
  <c r="CC544" i="11"/>
  <c r="CF544" i="11"/>
  <c r="CI544" i="11"/>
  <c r="CG440" i="11"/>
  <c r="CA440" i="11"/>
  <c r="CL440" i="11"/>
  <c r="BY440" i="11"/>
  <c r="CD440" i="11"/>
  <c r="CK440" i="11"/>
  <c r="CI440" i="11"/>
  <c r="CF440" i="11"/>
  <c r="CH440" i="11"/>
  <c r="CB440" i="11"/>
  <c r="CM440" i="11"/>
  <c r="BZ440" i="11"/>
  <c r="BX440" i="11"/>
  <c r="CJ440" i="11"/>
  <c r="CC440" i="11"/>
  <c r="CE440" i="11"/>
  <c r="CJ336" i="11"/>
  <c r="BZ336" i="11"/>
  <c r="CK336" i="11"/>
  <c r="BX336" i="11"/>
  <c r="CH336" i="11"/>
  <c r="CM336" i="11"/>
  <c r="CF336" i="11"/>
  <c r="CC336" i="11"/>
  <c r="BY336" i="11"/>
  <c r="CD336" i="11"/>
  <c r="CL336" i="11"/>
  <c r="CB336" i="11"/>
  <c r="CG336" i="11"/>
  <c r="CE336" i="11"/>
  <c r="CI336" i="11"/>
  <c r="CA336" i="11"/>
  <c r="CG232" i="11"/>
  <c r="BZ232" i="11"/>
  <c r="CC232" i="11"/>
  <c r="CM232" i="11"/>
  <c r="CL232" i="11"/>
  <c r="CB232" i="11"/>
  <c r="CJ232" i="11"/>
  <c r="CF232" i="11"/>
  <c r="CK232" i="11"/>
  <c r="CD232" i="11"/>
  <c r="BX232" i="11"/>
  <c r="BY232" i="11"/>
  <c r="CH232" i="11"/>
  <c r="CE232" i="11"/>
  <c r="CI232" i="11"/>
  <c r="CA232" i="11"/>
  <c r="CH128" i="11"/>
  <c r="CJ128" i="11"/>
  <c r="BZ128" i="11"/>
  <c r="BX128" i="11"/>
  <c r="CM128" i="11"/>
  <c r="CB128" i="11"/>
  <c r="CF128" i="11"/>
  <c r="CD128" i="11"/>
  <c r="CL128" i="11"/>
  <c r="BY128" i="11"/>
  <c r="CC128" i="11"/>
  <c r="CG128" i="11"/>
  <c r="CK128" i="11"/>
  <c r="CA128" i="11"/>
  <c r="CE128" i="11"/>
  <c r="CI128" i="11"/>
  <c r="CK802" i="11"/>
  <c r="CC802" i="11"/>
  <c r="CA802" i="11"/>
  <c r="CH802" i="11"/>
  <c r="CM802" i="11"/>
  <c r="CF802" i="11"/>
  <c r="CD802" i="11"/>
  <c r="CJ802" i="11"/>
  <c r="BZ802" i="11"/>
  <c r="CB802" i="11"/>
  <c r="BY802" i="11"/>
  <c r="CI802" i="11"/>
  <c r="CG802" i="11"/>
  <c r="BX802" i="11"/>
  <c r="CE802" i="11"/>
  <c r="CL802" i="11"/>
  <c r="CI698" i="11"/>
  <c r="CM698" i="11"/>
  <c r="BZ698" i="11"/>
  <c r="CJ698" i="11"/>
  <c r="CL698" i="11"/>
  <c r="CK698" i="11"/>
  <c r="CH698" i="11"/>
  <c r="CC698" i="11"/>
  <c r="CF698" i="11"/>
  <c r="CG698" i="11"/>
  <c r="BY698" i="11"/>
  <c r="CB698" i="11"/>
  <c r="CA698" i="11"/>
  <c r="CE698" i="11"/>
  <c r="BX698" i="11"/>
  <c r="CN698" i="11" s="1"/>
  <c r="CD698" i="11"/>
  <c r="CF594" i="11"/>
  <c r="CH594" i="11"/>
  <c r="CG594" i="11"/>
  <c r="BZ594" i="11"/>
  <c r="BX594" i="11"/>
  <c r="CL594" i="11"/>
  <c r="CB594" i="11"/>
  <c r="CJ594" i="11"/>
  <c r="CK594" i="11"/>
  <c r="CD594" i="11"/>
  <c r="BY594" i="11"/>
  <c r="CM594" i="11"/>
  <c r="CC594" i="11"/>
  <c r="CE594" i="11"/>
  <c r="CI594" i="11"/>
  <c r="CA594" i="11"/>
  <c r="CK490" i="11"/>
  <c r="CC490" i="11"/>
  <c r="CI490" i="11"/>
  <c r="BY490" i="11"/>
  <c r="CL490" i="11"/>
  <c r="CB490" i="11"/>
  <c r="CE490" i="11"/>
  <c r="CH490" i="11"/>
  <c r="CG490" i="11"/>
  <c r="BX490" i="11"/>
  <c r="CA490" i="11"/>
  <c r="CD490" i="11"/>
  <c r="CJ490" i="11"/>
  <c r="CF490" i="11"/>
  <c r="BZ490" i="11"/>
  <c r="CM490" i="11"/>
  <c r="CA386" i="11"/>
  <c r="CM386" i="11"/>
  <c r="CF386" i="11"/>
  <c r="CL386" i="11"/>
  <c r="CB386" i="11"/>
  <c r="CC386" i="11"/>
  <c r="BZ386" i="11"/>
  <c r="CH386" i="11"/>
  <c r="BY386" i="11"/>
  <c r="CI386" i="11"/>
  <c r="CK386" i="11"/>
  <c r="CJ386" i="11"/>
  <c r="CD386" i="11"/>
  <c r="BX386" i="11"/>
  <c r="CG386" i="11"/>
  <c r="CE386" i="11"/>
  <c r="CF282" i="11"/>
  <c r="BX282" i="11"/>
  <c r="CE282" i="11"/>
  <c r="CA282" i="11"/>
  <c r="CL282" i="11"/>
  <c r="CI282" i="11"/>
  <c r="CJ282" i="11"/>
  <c r="BZ282" i="11"/>
  <c r="CD282" i="11"/>
  <c r="CC282" i="11"/>
  <c r="CM282" i="11"/>
  <c r="BY282" i="11"/>
  <c r="CK282" i="11"/>
  <c r="CB282" i="11"/>
  <c r="CG282" i="11"/>
  <c r="CH282" i="11"/>
  <c r="CF178" i="11"/>
  <c r="CC178" i="11"/>
  <c r="CK178" i="11"/>
  <c r="BY178" i="11"/>
  <c r="BX178" i="11"/>
  <c r="CJ178" i="11"/>
  <c r="BZ178" i="11"/>
  <c r="CD178" i="11"/>
  <c r="CM178" i="11"/>
  <c r="CH178" i="11"/>
  <c r="CB178" i="11"/>
  <c r="CG178" i="11"/>
  <c r="CL178" i="11"/>
  <c r="CI178" i="11"/>
  <c r="CA178" i="11"/>
  <c r="CE178" i="11"/>
  <c r="CF74" i="11"/>
  <c r="BZ74" i="11"/>
  <c r="CC74" i="11"/>
  <c r="CH74" i="11"/>
  <c r="CJ74" i="11"/>
  <c r="CM74" i="11"/>
  <c r="BY74" i="11"/>
  <c r="BX74" i="11"/>
  <c r="CD74" i="11"/>
  <c r="CK74" i="11"/>
  <c r="CL74" i="11"/>
  <c r="CB74" i="11"/>
  <c r="CG74" i="11"/>
  <c r="CI74" i="11"/>
  <c r="CA74" i="11"/>
  <c r="CE74" i="11"/>
  <c r="CJ775" i="11"/>
  <c r="CA775" i="11"/>
  <c r="CG775" i="11"/>
  <c r="CL775" i="11"/>
  <c r="CI775" i="11"/>
  <c r="CK775" i="11"/>
  <c r="CH775" i="11"/>
  <c r="CC775" i="11"/>
  <c r="CB775" i="11"/>
  <c r="BX775" i="11"/>
  <c r="BY775" i="11"/>
  <c r="CE775" i="11"/>
  <c r="CF775" i="11"/>
  <c r="CD775" i="11"/>
  <c r="CM775" i="11"/>
  <c r="BZ775" i="11"/>
  <c r="CG671" i="11"/>
  <c r="CA671" i="11"/>
  <c r="CI671" i="11"/>
  <c r="BY671" i="11"/>
  <c r="CC671" i="11"/>
  <c r="CK671" i="11"/>
  <c r="BX671" i="11"/>
  <c r="BZ671" i="11"/>
  <c r="CJ671" i="11"/>
  <c r="CL671" i="11"/>
  <c r="CE671" i="11"/>
  <c r="CF671" i="11"/>
  <c r="CH671" i="11"/>
  <c r="CM671" i="11"/>
  <c r="CB671" i="11"/>
  <c r="CD671" i="11"/>
  <c r="CC567" i="11"/>
  <c r="CK567" i="11"/>
  <c r="CI567" i="11"/>
  <c r="CJ567" i="11"/>
  <c r="BX567" i="11"/>
  <c r="CA567" i="11"/>
  <c r="CF567" i="11"/>
  <c r="BY567" i="11"/>
  <c r="CD567" i="11"/>
  <c r="CM567" i="11"/>
  <c r="CE567" i="11"/>
  <c r="BZ567" i="11"/>
  <c r="CL567" i="11"/>
  <c r="CB567" i="11"/>
  <c r="CH567" i="11"/>
  <c r="CG567" i="11"/>
  <c r="CI463" i="11"/>
  <c r="CD463" i="11"/>
  <c r="CJ463" i="11"/>
  <c r="BX463" i="11"/>
  <c r="CF463" i="11"/>
  <c r="CA463" i="11"/>
  <c r="CL463" i="11"/>
  <c r="CE463" i="11"/>
  <c r="CG463" i="11"/>
  <c r="CH463" i="11"/>
  <c r="CC463" i="11"/>
  <c r="CM463" i="11"/>
  <c r="CB463" i="11"/>
  <c r="BZ463" i="11"/>
  <c r="CK463" i="11"/>
  <c r="BY463" i="11"/>
  <c r="BZ359" i="11"/>
  <c r="CK359" i="11"/>
  <c r="CL359" i="11"/>
  <c r="CG359" i="11"/>
  <c r="CE359" i="11"/>
  <c r="CA359" i="11"/>
  <c r="BX359" i="11"/>
  <c r="BY359" i="11"/>
  <c r="CJ359" i="11"/>
  <c r="CC359" i="11"/>
  <c r="CD359" i="11"/>
  <c r="CF359" i="11"/>
  <c r="CH359" i="11"/>
  <c r="CI359" i="11"/>
  <c r="CM359" i="11"/>
  <c r="CB359" i="11"/>
  <c r="CL255" i="11"/>
  <c r="CA255" i="11"/>
  <c r="CG255" i="11"/>
  <c r="CB255" i="11"/>
  <c r="CM255" i="11"/>
  <c r="BZ255" i="11"/>
  <c r="BX255" i="11"/>
  <c r="BY255" i="11"/>
  <c r="CE255" i="11"/>
  <c r="CJ255" i="11"/>
  <c r="CC255" i="11"/>
  <c r="CD255" i="11"/>
  <c r="CK255" i="11"/>
  <c r="CI255" i="11"/>
  <c r="CF255" i="11"/>
  <c r="CH255" i="11"/>
  <c r="CA151" i="11"/>
  <c r="CG151" i="11"/>
  <c r="CF151" i="11"/>
  <c r="CH151" i="11"/>
  <c r="CC151" i="11"/>
  <c r="CB151" i="11"/>
  <c r="CD151" i="11"/>
  <c r="BY151" i="11"/>
  <c r="BX151" i="11"/>
  <c r="BZ151" i="11"/>
  <c r="CL151" i="11"/>
  <c r="CE151" i="11"/>
  <c r="CM151" i="11"/>
  <c r="CK151" i="11"/>
  <c r="CI151" i="11"/>
  <c r="CJ151" i="11"/>
  <c r="CJ47" i="11"/>
  <c r="BX47" i="11"/>
  <c r="CF47" i="11"/>
  <c r="BY47" i="11"/>
  <c r="CE47" i="11"/>
  <c r="CI47" i="11"/>
  <c r="CA47" i="11"/>
  <c r="CK47" i="11"/>
  <c r="CC47" i="11"/>
  <c r="CH47" i="11"/>
  <c r="CG47" i="11"/>
  <c r="CD47" i="11"/>
  <c r="CM47" i="11"/>
  <c r="BZ47" i="11"/>
  <c r="CL47" i="11"/>
  <c r="CB47" i="11"/>
  <c r="CG748" i="11"/>
  <c r="CK748" i="11"/>
  <c r="CC748" i="11"/>
  <c r="BY748" i="11"/>
  <c r="CF748" i="11"/>
  <c r="CH748" i="11"/>
  <c r="CM748" i="11"/>
  <c r="CB748" i="11"/>
  <c r="CD748" i="11"/>
  <c r="CA748" i="11"/>
  <c r="BX748" i="11"/>
  <c r="BZ748" i="11"/>
  <c r="CI748" i="11"/>
  <c r="CJ748" i="11"/>
  <c r="CL748" i="11"/>
  <c r="CE748" i="11"/>
  <c r="CJ644" i="11"/>
  <c r="CI644" i="11"/>
  <c r="BX644" i="11"/>
  <c r="CA644" i="11"/>
  <c r="CL644" i="11"/>
  <c r="BZ644" i="11"/>
  <c r="CF644" i="11"/>
  <c r="CE644" i="11"/>
  <c r="CD644" i="11"/>
  <c r="CG644" i="11"/>
  <c r="CH644" i="11"/>
  <c r="CC644" i="11"/>
  <c r="CM644" i="11"/>
  <c r="BY644" i="11"/>
  <c r="CK644" i="11"/>
  <c r="CB644" i="11"/>
  <c r="CE540" i="11"/>
  <c r="CK540" i="11"/>
  <c r="CL540" i="11"/>
  <c r="BZ540" i="11"/>
  <c r="CJ540" i="11"/>
  <c r="CC540" i="11"/>
  <c r="CA540" i="11"/>
  <c r="CF540" i="11"/>
  <c r="CH540" i="11"/>
  <c r="CG540" i="11"/>
  <c r="CB540" i="11"/>
  <c r="CM540" i="11"/>
  <c r="BY540" i="11"/>
  <c r="CD540" i="11"/>
  <c r="CI540" i="11"/>
  <c r="BX540" i="11"/>
  <c r="CG436" i="11"/>
  <c r="CD436" i="11"/>
  <c r="CE436" i="11"/>
  <c r="CI436" i="11"/>
  <c r="BY436" i="11"/>
  <c r="CA436" i="11"/>
  <c r="CK436" i="11"/>
  <c r="CL436" i="11"/>
  <c r="BZ436" i="11"/>
  <c r="CF436" i="11"/>
  <c r="CH436" i="11"/>
  <c r="CB436" i="11"/>
  <c r="CM436" i="11"/>
  <c r="BX436" i="11"/>
  <c r="CJ436" i="11"/>
  <c r="CC436" i="11"/>
  <c r="CC332" i="11"/>
  <c r="BZ332" i="11"/>
  <c r="CD332" i="11"/>
  <c r="CJ332" i="11"/>
  <c r="BX332" i="11"/>
  <c r="BY332" i="11"/>
  <c r="CM332" i="11"/>
  <c r="CF332" i="11"/>
  <c r="CH332" i="11"/>
  <c r="CK332" i="11"/>
  <c r="CB332" i="11"/>
  <c r="CG332" i="11"/>
  <c r="CL332" i="11"/>
  <c r="CA332" i="11"/>
  <c r="CE332" i="11"/>
  <c r="CI332" i="11"/>
  <c r="BZ228" i="11"/>
  <c r="CC228" i="11"/>
  <c r="CG228" i="11"/>
  <c r="CJ228" i="11"/>
  <c r="CB228" i="11"/>
  <c r="CK228" i="11"/>
  <c r="CD228" i="11"/>
  <c r="CL228" i="11"/>
  <c r="BY228" i="11"/>
  <c r="CF228" i="11"/>
  <c r="CM228" i="11"/>
  <c r="CH228" i="11"/>
  <c r="BX228" i="11"/>
  <c r="CA228" i="11"/>
  <c r="CE228" i="11"/>
  <c r="CI228" i="11"/>
  <c r="BZ124" i="11"/>
  <c r="CM124" i="11"/>
  <c r="CH124" i="11"/>
  <c r="BX124" i="11"/>
  <c r="CF124" i="11"/>
  <c r="CJ124" i="11"/>
  <c r="CB124" i="11"/>
  <c r="CD124" i="11"/>
  <c r="CL124" i="11"/>
  <c r="CK124" i="11"/>
  <c r="BY124" i="11"/>
  <c r="CC124" i="11"/>
  <c r="CG124" i="11"/>
  <c r="CE124" i="11"/>
  <c r="CI124" i="11"/>
  <c r="CA124" i="11"/>
  <c r="CK825" i="11"/>
  <c r="CA825" i="11"/>
  <c r="CL825" i="11"/>
  <c r="CG825" i="11"/>
  <c r="CJ825" i="11"/>
  <c r="CM825" i="11"/>
  <c r="BX825" i="11"/>
  <c r="BY825" i="11"/>
  <c r="CF825" i="11"/>
  <c r="CC825" i="11"/>
  <c r="CE825" i="11"/>
  <c r="CD825" i="11"/>
  <c r="BZ825" i="11"/>
  <c r="CB825" i="11"/>
  <c r="CH825" i="11"/>
  <c r="CI825" i="11"/>
  <c r="CL721" i="11"/>
  <c r="BZ721" i="11"/>
  <c r="CD721" i="11"/>
  <c r="CI721" i="11"/>
  <c r="CJ721" i="11"/>
  <c r="CA721" i="11"/>
  <c r="CE721" i="11"/>
  <c r="BX721" i="11"/>
  <c r="CF721" i="11"/>
  <c r="BY721" i="11"/>
  <c r="CK721" i="11"/>
  <c r="CB721" i="11"/>
  <c r="CG721" i="11"/>
  <c r="CH721" i="11"/>
  <c r="CC721" i="11"/>
  <c r="CM721" i="11"/>
  <c r="CA617" i="11"/>
  <c r="CI617" i="11"/>
  <c r="CD617" i="11"/>
  <c r="CL617" i="11"/>
  <c r="BY617" i="11"/>
  <c r="CG617" i="11"/>
  <c r="CJ617" i="11"/>
  <c r="CC617" i="11"/>
  <c r="CE617" i="11"/>
  <c r="CF617" i="11"/>
  <c r="CH617" i="11"/>
  <c r="CK617" i="11"/>
  <c r="CB617" i="11"/>
  <c r="CM617" i="11"/>
  <c r="BX617" i="11"/>
  <c r="CN617" i="11" s="1"/>
  <c r="BZ617" i="11"/>
  <c r="CC513" i="11"/>
  <c r="CJ513" i="11"/>
  <c r="CB513" i="11"/>
  <c r="CH513" i="11"/>
  <c r="CM513" i="11"/>
  <c r="CL513" i="11"/>
  <c r="CK513" i="11"/>
  <c r="CD513" i="11"/>
  <c r="CF513" i="11"/>
  <c r="BX513" i="11"/>
  <c r="BY513" i="11"/>
  <c r="BZ513" i="11"/>
  <c r="CG513" i="11"/>
  <c r="CA513" i="11"/>
  <c r="CE513" i="11"/>
  <c r="CI513" i="11"/>
  <c r="CF409" i="11"/>
  <c r="CC409" i="11"/>
  <c r="CA409" i="11"/>
  <c r="CJ409" i="11"/>
  <c r="CK409" i="11"/>
  <c r="CE409" i="11"/>
  <c r="BY409" i="11"/>
  <c r="CI409" i="11"/>
  <c r="BX409" i="11"/>
  <c r="CL409" i="11"/>
  <c r="CB409" i="11"/>
  <c r="CH409" i="11"/>
  <c r="CG409" i="11"/>
  <c r="CD409" i="11"/>
  <c r="CM409" i="11"/>
  <c r="BZ409" i="11"/>
  <c r="CJ305" i="11"/>
  <c r="CG305" i="11"/>
  <c r="CA305" i="11"/>
  <c r="CF305" i="11"/>
  <c r="CM305" i="11"/>
  <c r="BY305" i="11"/>
  <c r="CB305" i="11"/>
  <c r="BZ305" i="11"/>
  <c r="CE305" i="11"/>
  <c r="CL305" i="11"/>
  <c r="CI305" i="11"/>
  <c r="CK305" i="11"/>
  <c r="CH305" i="11"/>
  <c r="CC305" i="11"/>
  <c r="CD305" i="11"/>
  <c r="BX305" i="11"/>
  <c r="CK201" i="11"/>
  <c r="CA201" i="11"/>
  <c r="CF201" i="11"/>
  <c r="CL201" i="11"/>
  <c r="CB201" i="11"/>
  <c r="CC201" i="11"/>
  <c r="CH201" i="11"/>
  <c r="CG201" i="11"/>
  <c r="CI201" i="11"/>
  <c r="BY201" i="11"/>
  <c r="CD201" i="11"/>
  <c r="CM201" i="11"/>
  <c r="CE201" i="11"/>
  <c r="BX201" i="11"/>
  <c r="CJ201" i="11"/>
  <c r="BZ201" i="11"/>
  <c r="CA97" i="11"/>
  <c r="CC97" i="11"/>
  <c r="CI97" i="11"/>
  <c r="CK97" i="11"/>
  <c r="CL97" i="11"/>
  <c r="CJ97" i="11"/>
  <c r="CE97" i="11"/>
  <c r="CH97" i="11"/>
  <c r="CF97" i="11"/>
  <c r="CM97" i="11"/>
  <c r="BZ97" i="11"/>
  <c r="CB97" i="11"/>
  <c r="BY97" i="11"/>
  <c r="BX97" i="11"/>
  <c r="CG97" i="11"/>
  <c r="CD97" i="11"/>
  <c r="CE798" i="11"/>
  <c r="CD798" i="11"/>
  <c r="CF798" i="11"/>
  <c r="CG798" i="11"/>
  <c r="CI798" i="11"/>
  <c r="BY798" i="11"/>
  <c r="CL798" i="11"/>
  <c r="CB798" i="11"/>
  <c r="CA798" i="11"/>
  <c r="CC798" i="11"/>
  <c r="CM798" i="11"/>
  <c r="BZ798" i="11"/>
  <c r="BX798" i="11"/>
  <c r="CH798" i="11"/>
  <c r="CK798" i="11"/>
  <c r="CJ798" i="11"/>
  <c r="CK694" i="11"/>
  <c r="CC694" i="11"/>
  <c r="CH694" i="11"/>
  <c r="CG694" i="11"/>
  <c r="CM694" i="11"/>
  <c r="BZ694" i="11"/>
  <c r="CJ694" i="11"/>
  <c r="CI694" i="11"/>
  <c r="CL694" i="11"/>
  <c r="CA694" i="11"/>
  <c r="CF694" i="11"/>
  <c r="CD694" i="11"/>
  <c r="CB694" i="11"/>
  <c r="BY694" i="11"/>
  <c r="BX694" i="11"/>
  <c r="CE694" i="11"/>
  <c r="CH590" i="11"/>
  <c r="CG590" i="11"/>
  <c r="BX590" i="11"/>
  <c r="BZ590" i="11"/>
  <c r="CL590" i="11"/>
  <c r="CB590" i="11"/>
  <c r="CF590" i="11"/>
  <c r="CJ590" i="11"/>
  <c r="CK590" i="11"/>
  <c r="CD590" i="11"/>
  <c r="BY590" i="11"/>
  <c r="CM590" i="11"/>
  <c r="CC590" i="11"/>
  <c r="CA590" i="11"/>
  <c r="CE590" i="11"/>
  <c r="CI590" i="11"/>
  <c r="CJ486" i="11"/>
  <c r="CK486" i="11"/>
  <c r="BY486" i="11"/>
  <c r="CE486" i="11"/>
  <c r="CH486" i="11"/>
  <c r="CG486" i="11"/>
  <c r="CA486" i="11"/>
  <c r="CD486" i="11"/>
  <c r="CM486" i="11"/>
  <c r="CI486" i="11"/>
  <c r="CF486" i="11"/>
  <c r="BZ486" i="11"/>
  <c r="CB486" i="11"/>
  <c r="CC486" i="11"/>
  <c r="CL486" i="11"/>
  <c r="BX486" i="11"/>
  <c r="CA382" i="11"/>
  <c r="CF382" i="11"/>
  <c r="CL382" i="11"/>
  <c r="BY382" i="11"/>
  <c r="CI382" i="11"/>
  <c r="CK382" i="11"/>
  <c r="CJ382" i="11"/>
  <c r="CD382" i="11"/>
  <c r="CG382" i="11"/>
  <c r="CE382" i="11"/>
  <c r="BX382" i="11"/>
  <c r="CC382" i="11"/>
  <c r="BZ382" i="11"/>
  <c r="CH382" i="11"/>
  <c r="CB382" i="11"/>
  <c r="CM382" i="11"/>
  <c r="BZ278" i="11"/>
  <c r="CF278" i="11"/>
  <c r="CL278" i="11"/>
  <c r="BX278" i="11"/>
  <c r="CI278" i="11"/>
  <c r="CJ278" i="11"/>
  <c r="CA278" i="11"/>
  <c r="CE278" i="11"/>
  <c r="CD278" i="11"/>
  <c r="CK278" i="11"/>
  <c r="CB278" i="11"/>
  <c r="CG278" i="11"/>
  <c r="CH278" i="11"/>
  <c r="CC278" i="11"/>
  <c r="CM278" i="11"/>
  <c r="BY278" i="11"/>
  <c r="CC174" i="11"/>
  <c r="CJ174" i="11"/>
  <c r="BZ174" i="11"/>
  <c r="CK174" i="11"/>
  <c r="CD174" i="11"/>
  <c r="BX174" i="11"/>
  <c r="CM174" i="11"/>
  <c r="CF174" i="11"/>
  <c r="CH174" i="11"/>
  <c r="BY174" i="11"/>
  <c r="CB174" i="11"/>
  <c r="CG174" i="11"/>
  <c r="CL174" i="11"/>
  <c r="CA174" i="11"/>
  <c r="CE174" i="11"/>
  <c r="CI174" i="11"/>
  <c r="CD70" i="11"/>
  <c r="CJ70" i="11"/>
  <c r="CM70" i="11"/>
  <c r="BY70" i="11"/>
  <c r="CK70" i="11"/>
  <c r="BX70" i="11"/>
  <c r="BZ70" i="11"/>
  <c r="CG70" i="11"/>
  <c r="CB70" i="11"/>
  <c r="CC70" i="11"/>
  <c r="CF70" i="11"/>
  <c r="CL70" i="11"/>
  <c r="CH70" i="11"/>
  <c r="CA70" i="11"/>
  <c r="CE70" i="11"/>
  <c r="CI70" i="11"/>
  <c r="CL771" i="11"/>
  <c r="CK771" i="11"/>
  <c r="CJ771" i="11"/>
  <c r="BX771" i="11"/>
  <c r="BY771" i="11"/>
  <c r="CH771" i="11"/>
  <c r="CF771" i="11"/>
  <c r="CE771" i="11"/>
  <c r="CG771" i="11"/>
  <c r="CD771" i="11"/>
  <c r="CA771" i="11"/>
  <c r="CM771" i="11"/>
  <c r="BZ771" i="11"/>
  <c r="CI771" i="11"/>
  <c r="CC771" i="11"/>
  <c r="CB771" i="11"/>
  <c r="CG667" i="11"/>
  <c r="CI667" i="11"/>
  <c r="BY667" i="11"/>
  <c r="CA667" i="11"/>
  <c r="CC667" i="11"/>
  <c r="CK667" i="11"/>
  <c r="CB667" i="11"/>
  <c r="CD667" i="11"/>
  <c r="BX667" i="11"/>
  <c r="BZ667" i="11"/>
  <c r="CJ667" i="11"/>
  <c r="CL667" i="11"/>
  <c r="CE667" i="11"/>
  <c r="CF667" i="11"/>
  <c r="CH667" i="11"/>
  <c r="CM667" i="11"/>
  <c r="CE563" i="11"/>
  <c r="CA563" i="11"/>
  <c r="CF563" i="11"/>
  <c r="CJ563" i="11"/>
  <c r="BX563" i="11"/>
  <c r="CI563" i="11"/>
  <c r="CK563" i="11"/>
  <c r="BY563" i="11"/>
  <c r="CC563" i="11"/>
  <c r="BZ563" i="11"/>
  <c r="CL563" i="11"/>
  <c r="CB563" i="11"/>
  <c r="CH563" i="11"/>
  <c r="CG563" i="11"/>
  <c r="CD563" i="11"/>
  <c r="CM563" i="11"/>
  <c r="CD459" i="11"/>
  <c r="CI459" i="11"/>
  <c r="BX459" i="11"/>
  <c r="CJ459" i="11"/>
  <c r="CL459" i="11"/>
  <c r="CF459" i="11"/>
  <c r="CA459" i="11"/>
  <c r="CE459" i="11"/>
  <c r="BY459" i="11"/>
  <c r="CK459" i="11"/>
  <c r="CB459" i="11"/>
  <c r="CC459" i="11"/>
  <c r="BZ459" i="11"/>
  <c r="CH459" i="11"/>
  <c r="CM459" i="11"/>
  <c r="CG459" i="11"/>
  <c r="CC355" i="11"/>
  <c r="CD355" i="11"/>
  <c r="CM355" i="11"/>
  <c r="BY355" i="11"/>
  <c r="CI355" i="11"/>
  <c r="BX355" i="11"/>
  <c r="CK355" i="11"/>
  <c r="CJ355" i="11"/>
  <c r="CL355" i="11"/>
  <c r="CE355" i="11"/>
  <c r="CF355" i="11"/>
  <c r="CG355" i="11"/>
  <c r="BZ355" i="11"/>
  <c r="CB355" i="11"/>
  <c r="CA355" i="11"/>
  <c r="CH355" i="11"/>
  <c r="BZ251" i="11"/>
  <c r="CE251" i="11"/>
  <c r="CK251" i="11"/>
  <c r="CL251" i="11"/>
  <c r="CI251" i="11"/>
  <c r="BY251" i="11"/>
  <c r="CD251" i="11"/>
  <c r="CB251" i="11"/>
  <c r="CM251" i="11"/>
  <c r="BX251" i="11"/>
  <c r="CA251" i="11"/>
  <c r="CJ251" i="11"/>
  <c r="CC251" i="11"/>
  <c r="CF251" i="11"/>
  <c r="CG251" i="11"/>
  <c r="CH251" i="11"/>
  <c r="CA147" i="11"/>
  <c r="CB147" i="11"/>
  <c r="CD147" i="11"/>
  <c r="CC147" i="11"/>
  <c r="BX147" i="11"/>
  <c r="BZ147" i="11"/>
  <c r="BY147" i="11"/>
  <c r="CJ147" i="11"/>
  <c r="CL147" i="11"/>
  <c r="CK147" i="11"/>
  <c r="CM147" i="11"/>
  <c r="CH147" i="11"/>
  <c r="CI147" i="11"/>
  <c r="CG147" i="11"/>
  <c r="CE147" i="11"/>
  <c r="CF147" i="11"/>
  <c r="CK43" i="11"/>
  <c r="CA43" i="11"/>
  <c r="CD43" i="11"/>
  <c r="CM43" i="11"/>
  <c r="CC43" i="11"/>
  <c r="CF43" i="11"/>
  <c r="BZ43" i="11"/>
  <c r="CI43" i="11"/>
  <c r="CL43" i="11"/>
  <c r="CB43" i="11"/>
  <c r="CH43" i="11"/>
  <c r="CE43" i="11"/>
  <c r="CG43" i="11"/>
  <c r="CJ43" i="11"/>
  <c r="BX43" i="11"/>
  <c r="CN43" i="11" s="1"/>
  <c r="BY43" i="11"/>
  <c r="BY744" i="11"/>
  <c r="CC744" i="11"/>
  <c r="CK744" i="11"/>
  <c r="CG744" i="11"/>
  <c r="BX744" i="11"/>
  <c r="BZ744" i="11"/>
  <c r="CJ744" i="11"/>
  <c r="CL744" i="11"/>
  <c r="CE744" i="11"/>
  <c r="CA744" i="11"/>
  <c r="CF744" i="11"/>
  <c r="CH744" i="11"/>
  <c r="CM744" i="11"/>
  <c r="CI744" i="11"/>
  <c r="CB744" i="11"/>
  <c r="CD744" i="11"/>
  <c r="CL640" i="11"/>
  <c r="CJ640" i="11"/>
  <c r="CA640" i="11"/>
  <c r="CE640" i="11"/>
  <c r="BX640" i="11"/>
  <c r="CI640" i="11"/>
  <c r="CD640" i="11"/>
  <c r="CF640" i="11"/>
  <c r="BZ640" i="11"/>
  <c r="BY640" i="11"/>
  <c r="CK640" i="11"/>
  <c r="CB640" i="11"/>
  <c r="CG640" i="11"/>
  <c r="CH640" i="11"/>
  <c r="CC640" i="11"/>
  <c r="CM640" i="11"/>
  <c r="CL536" i="11"/>
  <c r="CI536" i="11"/>
  <c r="CK536" i="11"/>
  <c r="BY536" i="11"/>
  <c r="BZ536" i="11"/>
  <c r="CG536" i="11"/>
  <c r="CB536" i="11"/>
  <c r="CM536" i="11"/>
  <c r="CE536" i="11"/>
  <c r="BX536" i="11"/>
  <c r="CD536" i="11"/>
  <c r="CJ536" i="11"/>
  <c r="CC536" i="11"/>
  <c r="CA536" i="11"/>
  <c r="CF536" i="11"/>
  <c r="CH536" i="11"/>
  <c r="CK432" i="11"/>
  <c r="BY432" i="11"/>
  <c r="CA432" i="11"/>
  <c r="CL432" i="11"/>
  <c r="CD432" i="11"/>
  <c r="CI432" i="11"/>
  <c r="CG432" i="11"/>
  <c r="CE432" i="11"/>
  <c r="BX432" i="11"/>
  <c r="CJ432" i="11"/>
  <c r="CC432" i="11"/>
  <c r="CF432" i="11"/>
  <c r="CH432" i="11"/>
  <c r="BZ432" i="11"/>
  <c r="CB432" i="11"/>
  <c r="CM432" i="11"/>
  <c r="CK328" i="11"/>
  <c r="BX328" i="11"/>
  <c r="CH328" i="11"/>
  <c r="BZ328" i="11"/>
  <c r="CF328" i="11"/>
  <c r="CJ328" i="11"/>
  <c r="BY328" i="11"/>
  <c r="CD328" i="11"/>
  <c r="CC328" i="11"/>
  <c r="CM328" i="11"/>
  <c r="CL328" i="11"/>
  <c r="CB328" i="11"/>
  <c r="CG328" i="11"/>
  <c r="CE328" i="11"/>
  <c r="CI328" i="11"/>
  <c r="CA328" i="11"/>
  <c r="CG224" i="11"/>
  <c r="CC224" i="11"/>
  <c r="CJ224" i="11"/>
  <c r="CF224" i="11"/>
  <c r="CK224" i="11"/>
  <c r="CD224" i="11"/>
  <c r="BX224" i="11"/>
  <c r="BY224" i="11"/>
  <c r="CH224" i="11"/>
  <c r="BZ224" i="11"/>
  <c r="CM224" i="11"/>
  <c r="CL224" i="11"/>
  <c r="CB224" i="11"/>
  <c r="CE224" i="11"/>
  <c r="CI224" i="11"/>
  <c r="CA224" i="11"/>
  <c r="CH120" i="11"/>
  <c r="CM120" i="11"/>
  <c r="CB120" i="11"/>
  <c r="CJ120" i="11"/>
  <c r="BX120" i="11"/>
  <c r="BZ120" i="11"/>
  <c r="CF120" i="11"/>
  <c r="CD120" i="11"/>
  <c r="CL120" i="11"/>
  <c r="CC120" i="11"/>
  <c r="CG120" i="11"/>
  <c r="CK120" i="11"/>
  <c r="BY120" i="11"/>
  <c r="CA120" i="11"/>
  <c r="CE120" i="11"/>
  <c r="CI120" i="11"/>
  <c r="CK821" i="11"/>
  <c r="CD821" i="11"/>
  <c r="CI821" i="11"/>
  <c r="CL821" i="11"/>
  <c r="CA821" i="11"/>
  <c r="CE821" i="11"/>
  <c r="CG821" i="11"/>
  <c r="BY821" i="11"/>
  <c r="BZ821" i="11"/>
  <c r="BX821" i="11"/>
  <c r="CJ821" i="11"/>
  <c r="CC821" i="11"/>
  <c r="CM821" i="11"/>
  <c r="CF821" i="11"/>
  <c r="CH821" i="11"/>
  <c r="CB821" i="11"/>
  <c r="CJ717" i="11"/>
  <c r="CD717" i="11"/>
  <c r="CE717" i="11"/>
  <c r="BZ717" i="11"/>
  <c r="BX717" i="11"/>
  <c r="CI717" i="11"/>
  <c r="CA717" i="11"/>
  <c r="CF717" i="11"/>
  <c r="CL717" i="11"/>
  <c r="CG717" i="11"/>
  <c r="CH717" i="11"/>
  <c r="CC717" i="11"/>
  <c r="CM717" i="11"/>
  <c r="BY717" i="11"/>
  <c r="CK717" i="11"/>
  <c r="CB717" i="11"/>
  <c r="CL613" i="11"/>
  <c r="BY613" i="11"/>
  <c r="CI613" i="11"/>
  <c r="CD613" i="11"/>
  <c r="CE613" i="11"/>
  <c r="CA613" i="11"/>
  <c r="CK613" i="11"/>
  <c r="CG613" i="11"/>
  <c r="BZ613" i="11"/>
  <c r="BX613" i="11"/>
  <c r="CJ613" i="11"/>
  <c r="CC613" i="11"/>
  <c r="CF613" i="11"/>
  <c r="CH613" i="11"/>
  <c r="CB613" i="11"/>
  <c r="CM613" i="11"/>
  <c r="CF509" i="11"/>
  <c r="CJ509" i="11"/>
  <c r="BY509" i="11"/>
  <c r="BZ509" i="11"/>
  <c r="CL509" i="11"/>
  <c r="CB509" i="11"/>
  <c r="CG509" i="11"/>
  <c r="BX509" i="11"/>
  <c r="CM509" i="11"/>
  <c r="CD509" i="11"/>
  <c r="CH509" i="11"/>
  <c r="CK509" i="11"/>
  <c r="CC509" i="11"/>
  <c r="CE509" i="11"/>
  <c r="CI509" i="11"/>
  <c r="CA509" i="11"/>
  <c r="CB405" i="11"/>
  <c r="CK405" i="11"/>
  <c r="CA405" i="11"/>
  <c r="CF405" i="11"/>
  <c r="CM405" i="11"/>
  <c r="CD405" i="11"/>
  <c r="BY405" i="11"/>
  <c r="CG405" i="11"/>
  <c r="BZ405" i="11"/>
  <c r="CI405" i="11"/>
  <c r="CL405" i="11"/>
  <c r="CJ405" i="11"/>
  <c r="CC405" i="11"/>
  <c r="CH405" i="11"/>
  <c r="CE405" i="11"/>
  <c r="BX405" i="11"/>
  <c r="CI301" i="11"/>
  <c r="CB301" i="11"/>
  <c r="CD301" i="11"/>
  <c r="CA301" i="11"/>
  <c r="CM301" i="11"/>
  <c r="BZ301" i="11"/>
  <c r="CC301" i="11"/>
  <c r="BY301" i="11"/>
  <c r="CL301" i="11"/>
  <c r="CK301" i="11"/>
  <c r="CJ301" i="11"/>
  <c r="BX301" i="11"/>
  <c r="CG301" i="11"/>
  <c r="CH301" i="11"/>
  <c r="CE301" i="11"/>
  <c r="CF301" i="11"/>
  <c r="BY197" i="11"/>
  <c r="CK197" i="11"/>
  <c r="CE197" i="11"/>
  <c r="CJ197" i="11"/>
  <c r="BX197" i="11"/>
  <c r="CC197" i="11"/>
  <c r="CI197" i="11"/>
  <c r="CF197" i="11"/>
  <c r="CH197" i="11"/>
  <c r="CG197" i="11"/>
  <c r="CD197" i="11"/>
  <c r="CM197" i="11"/>
  <c r="BZ197" i="11"/>
  <c r="CB197" i="11"/>
  <c r="CA197" i="11"/>
  <c r="CL197" i="11"/>
  <c r="CA93" i="11"/>
  <c r="CK93" i="11"/>
  <c r="CI93" i="11"/>
  <c r="CC93" i="11"/>
  <c r="CH93" i="11"/>
  <c r="CF93" i="11"/>
  <c r="CD93" i="11"/>
  <c r="CB93" i="11"/>
  <c r="BZ93" i="11"/>
  <c r="BX93" i="11"/>
  <c r="CM93" i="11"/>
  <c r="CL93" i="11"/>
  <c r="BY93" i="11"/>
  <c r="CJ93" i="11"/>
  <c r="CG93" i="11"/>
  <c r="CE93" i="11"/>
  <c r="CA794" i="11"/>
  <c r="BZ794" i="11"/>
  <c r="CG794" i="11"/>
  <c r="CK794" i="11"/>
  <c r="CM794" i="11"/>
  <c r="CC794" i="11"/>
  <c r="CH794" i="11"/>
  <c r="CF794" i="11"/>
  <c r="CD794" i="11"/>
  <c r="CI794" i="11"/>
  <c r="CB794" i="11"/>
  <c r="BY794" i="11"/>
  <c r="CL794" i="11"/>
  <c r="BX794" i="11"/>
  <c r="CE794" i="11"/>
  <c r="CJ794" i="11"/>
  <c r="CE690" i="11"/>
  <c r="CC690" i="11"/>
  <c r="CM690" i="11"/>
  <c r="BY690" i="11"/>
  <c r="CH690" i="11"/>
  <c r="BZ690" i="11"/>
  <c r="CI690" i="11"/>
  <c r="CJ690" i="11"/>
  <c r="CL690" i="11"/>
  <c r="CK690" i="11"/>
  <c r="CF690" i="11"/>
  <c r="CG690" i="11"/>
  <c r="CB690" i="11"/>
  <c r="CA690" i="11"/>
  <c r="BX690" i="11"/>
  <c r="CN690" i="11" s="1"/>
  <c r="CD690" i="11"/>
  <c r="BZ586" i="11"/>
  <c r="CH586" i="11"/>
  <c r="CD586" i="11"/>
  <c r="CK586" i="11"/>
  <c r="BX586" i="11"/>
  <c r="CM586" i="11"/>
  <c r="CJ586" i="11"/>
  <c r="BY586" i="11"/>
  <c r="CC586" i="11"/>
  <c r="CF586" i="11"/>
  <c r="CL586" i="11"/>
  <c r="CB586" i="11"/>
  <c r="CG586" i="11"/>
  <c r="CA586" i="11"/>
  <c r="CE586" i="11"/>
  <c r="CI586" i="11"/>
  <c r="CK482" i="11"/>
  <c r="CC482" i="11"/>
  <c r="CI482" i="11"/>
  <c r="BY482" i="11"/>
  <c r="CD482" i="11"/>
  <c r="CM482" i="11"/>
  <c r="CE482" i="11"/>
  <c r="BZ482" i="11"/>
  <c r="CG482" i="11"/>
  <c r="BX482" i="11"/>
  <c r="CJ482" i="11"/>
  <c r="CA482" i="11"/>
  <c r="CL482" i="11"/>
  <c r="CF482" i="11"/>
  <c r="CH482" i="11"/>
  <c r="CB482" i="11"/>
  <c r="CA378" i="11"/>
  <c r="CL378" i="11"/>
  <c r="CF378" i="11"/>
  <c r="CB378" i="11"/>
  <c r="CM378" i="11"/>
  <c r="CG378" i="11"/>
  <c r="CE378" i="11"/>
  <c r="BX378" i="11"/>
  <c r="CC378" i="11"/>
  <c r="BZ378" i="11"/>
  <c r="CH378" i="11"/>
  <c r="BY378" i="11"/>
  <c r="CI378" i="11"/>
  <c r="CD378" i="11"/>
  <c r="CK378" i="11"/>
  <c r="CJ378" i="11"/>
  <c r="CE274" i="11"/>
  <c r="CL274" i="11"/>
  <c r="BX274" i="11"/>
  <c r="CF274" i="11"/>
  <c r="CA274" i="11"/>
  <c r="CI274" i="11"/>
  <c r="BZ274" i="11"/>
  <c r="CD274" i="11"/>
  <c r="CJ274" i="11"/>
  <c r="CC274" i="11"/>
  <c r="CM274" i="11"/>
  <c r="BY274" i="11"/>
  <c r="CK274" i="11"/>
  <c r="CB274" i="11"/>
  <c r="CG274" i="11"/>
  <c r="CH274" i="11"/>
  <c r="CJ170" i="11"/>
  <c r="BY170" i="11"/>
  <c r="CH170" i="11"/>
  <c r="BZ170" i="11"/>
  <c r="CC170" i="11"/>
  <c r="CK170" i="11"/>
  <c r="CD170" i="11"/>
  <c r="BX170" i="11"/>
  <c r="CM170" i="11"/>
  <c r="CF170" i="11"/>
  <c r="CL170" i="11"/>
  <c r="CB170" i="11"/>
  <c r="CG170" i="11"/>
  <c r="CI170" i="11"/>
  <c r="CA170" i="11"/>
  <c r="CE170" i="11"/>
  <c r="CM66" i="11"/>
  <c r="CG66" i="11"/>
  <c r="CC66" i="11"/>
  <c r="CD66" i="11"/>
  <c r="CF66" i="11"/>
  <c r="CH66" i="11"/>
  <c r="CJ66" i="11"/>
  <c r="CK66" i="11"/>
  <c r="CB66" i="11"/>
  <c r="BX66" i="11"/>
  <c r="BY66" i="11"/>
  <c r="BZ66" i="11"/>
  <c r="CL66" i="11"/>
  <c r="CI66" i="11"/>
  <c r="CA66" i="11"/>
  <c r="CE66" i="11"/>
  <c r="CM767" i="11"/>
  <c r="CJ767" i="11"/>
  <c r="CA767" i="11"/>
  <c r="CF767" i="11"/>
  <c r="CG767" i="11"/>
  <c r="CB767" i="11"/>
  <c r="BY767" i="11"/>
  <c r="CH767" i="11"/>
  <c r="CC767" i="11"/>
  <c r="CL767" i="11"/>
  <c r="BX767" i="11"/>
  <c r="CD767" i="11"/>
  <c r="CE767" i="11"/>
  <c r="CI767" i="11"/>
  <c r="BZ767" i="11"/>
  <c r="CK767" i="11"/>
  <c r="CG663" i="11"/>
  <c r="CA663" i="11"/>
  <c r="CC663" i="11"/>
  <c r="CI663" i="11"/>
  <c r="BY663" i="11"/>
  <c r="CK663" i="11"/>
  <c r="CF663" i="11"/>
  <c r="CH663" i="11"/>
  <c r="CM663" i="11"/>
  <c r="CB663" i="11"/>
  <c r="CD663" i="11"/>
  <c r="BX663" i="11"/>
  <c r="BZ663" i="11"/>
  <c r="CJ663" i="11"/>
  <c r="CL663" i="11"/>
  <c r="CE663" i="11"/>
  <c r="CF559" i="11"/>
  <c r="CJ559" i="11"/>
  <c r="CC559" i="11"/>
  <c r="CK559" i="11"/>
  <c r="CI559" i="11"/>
  <c r="CA559" i="11"/>
  <c r="BX559" i="11"/>
  <c r="CD559" i="11"/>
  <c r="CM559" i="11"/>
  <c r="BZ559" i="11"/>
  <c r="BY559" i="11"/>
  <c r="CL559" i="11"/>
  <c r="CB559" i="11"/>
  <c r="CE559" i="11"/>
  <c r="CH559" i="11"/>
  <c r="CG559" i="11"/>
  <c r="CI455" i="11"/>
  <c r="CD455" i="11"/>
  <c r="CJ455" i="11"/>
  <c r="BX455" i="11"/>
  <c r="CF455" i="11"/>
  <c r="CA455" i="11"/>
  <c r="CL455" i="11"/>
  <c r="CE455" i="11"/>
  <c r="CG455" i="11"/>
  <c r="CH455" i="11"/>
  <c r="CC455" i="11"/>
  <c r="CM455" i="11"/>
  <c r="BZ455" i="11"/>
  <c r="CK455" i="11"/>
  <c r="BY455" i="11"/>
  <c r="CB455" i="11"/>
  <c r="CL351" i="11"/>
  <c r="BZ351" i="11"/>
  <c r="CE351" i="11"/>
  <c r="CG351" i="11"/>
  <c r="CK351" i="11"/>
  <c r="CA351" i="11"/>
  <c r="CF351" i="11"/>
  <c r="CH351" i="11"/>
  <c r="BY351" i="11"/>
  <c r="CB351" i="11"/>
  <c r="CM351" i="11"/>
  <c r="CD351" i="11"/>
  <c r="BX351" i="11"/>
  <c r="CI351" i="11"/>
  <c r="CC351" i="11"/>
  <c r="CJ351" i="11"/>
  <c r="CL247" i="11"/>
  <c r="CA247" i="11"/>
  <c r="CG247" i="11"/>
  <c r="CJ247" i="11"/>
  <c r="CC247" i="11"/>
  <c r="BZ247" i="11"/>
  <c r="CF247" i="11"/>
  <c r="CH247" i="11"/>
  <c r="BY247" i="11"/>
  <c r="CE247" i="11"/>
  <c r="CB247" i="11"/>
  <c r="CM247" i="11"/>
  <c r="CD247" i="11"/>
  <c r="CK247" i="11"/>
  <c r="CI247" i="11"/>
  <c r="BX247" i="11"/>
  <c r="CA143" i="11"/>
  <c r="BX143" i="11"/>
  <c r="BZ143" i="11"/>
  <c r="BY143" i="11"/>
  <c r="CJ143" i="11"/>
  <c r="CL143" i="11"/>
  <c r="CK143" i="11"/>
  <c r="CM143" i="11"/>
  <c r="CF143" i="11"/>
  <c r="CH143" i="11"/>
  <c r="CG143" i="11"/>
  <c r="CB143" i="11"/>
  <c r="CE143" i="11"/>
  <c r="CD143" i="11"/>
  <c r="CC143" i="11"/>
  <c r="CI143" i="11"/>
  <c r="CF39" i="11"/>
  <c r="CA39" i="11"/>
  <c r="CK39" i="11"/>
  <c r="CI39" i="11"/>
  <c r="BY39" i="11"/>
  <c r="CJ39" i="11"/>
  <c r="BX39" i="11"/>
  <c r="CE39" i="11"/>
  <c r="CC39" i="11"/>
  <c r="CH39" i="11"/>
  <c r="CG39" i="11"/>
  <c r="CD39" i="11"/>
  <c r="CM39" i="11"/>
  <c r="BZ39" i="11"/>
  <c r="CL39" i="11"/>
  <c r="CB39" i="11"/>
  <c r="CK740" i="11"/>
  <c r="CG740" i="11"/>
  <c r="CC740" i="11"/>
  <c r="BY740" i="11"/>
  <c r="CF740" i="11"/>
  <c r="CH740" i="11"/>
  <c r="CM740" i="11"/>
  <c r="CB740" i="11"/>
  <c r="CD740" i="11"/>
  <c r="CA740" i="11"/>
  <c r="BX740" i="11"/>
  <c r="CN740" i="11" s="1"/>
  <c r="BZ740" i="11"/>
  <c r="CI740" i="11"/>
  <c r="CJ740" i="11"/>
  <c r="CL740" i="11"/>
  <c r="CE740" i="11"/>
  <c r="CJ636" i="11"/>
  <c r="CA636" i="11"/>
  <c r="BX636" i="11"/>
  <c r="CL636" i="11"/>
  <c r="CI636" i="11"/>
  <c r="BZ636" i="11"/>
  <c r="CF636" i="11"/>
  <c r="CE636" i="11"/>
  <c r="CD636" i="11"/>
  <c r="CG636" i="11"/>
  <c r="CH636" i="11"/>
  <c r="CC636" i="11"/>
  <c r="CM636" i="11"/>
  <c r="BY636" i="11"/>
  <c r="CK636" i="11"/>
  <c r="CB636" i="11"/>
  <c r="CK532" i="11"/>
  <c r="CL532" i="11"/>
  <c r="CE532" i="11"/>
  <c r="BZ532" i="11"/>
  <c r="CJ532" i="11"/>
  <c r="CC532" i="11"/>
  <c r="CA532" i="11"/>
  <c r="CF532" i="11"/>
  <c r="CH532" i="11"/>
  <c r="CG532" i="11"/>
  <c r="CB532" i="11"/>
  <c r="CM532" i="11"/>
  <c r="BY532" i="11"/>
  <c r="CD532" i="11"/>
  <c r="BX532" i="11"/>
  <c r="CN532" i="11" s="1"/>
  <c r="CI532" i="11"/>
  <c r="CD428" i="11"/>
  <c r="CL428" i="11"/>
  <c r="CF428" i="11"/>
  <c r="BX428" i="11"/>
  <c r="BZ428" i="11"/>
  <c r="CG428" i="11"/>
  <c r="BY428" i="11"/>
  <c r="CM428" i="11"/>
  <c r="CH428" i="11"/>
  <c r="CJ428" i="11"/>
  <c r="CB428" i="11"/>
  <c r="CK428" i="11"/>
  <c r="CC428" i="11"/>
  <c r="CA428" i="11"/>
  <c r="CE428" i="11"/>
  <c r="CI428" i="11"/>
  <c r="CD324" i="11"/>
  <c r="BZ324" i="11"/>
  <c r="CM324" i="11"/>
  <c r="CF324" i="11"/>
  <c r="BY324" i="11"/>
  <c r="BX324" i="11"/>
  <c r="CK324" i="11"/>
  <c r="CH324" i="11"/>
  <c r="CC324" i="11"/>
  <c r="CJ324" i="11"/>
  <c r="CB324" i="11"/>
  <c r="CG324" i="11"/>
  <c r="CL324" i="11"/>
  <c r="CA324" i="11"/>
  <c r="CE324" i="11"/>
  <c r="CI324" i="11"/>
  <c r="CL220" i="11"/>
  <c r="BZ220" i="11"/>
  <c r="CK220" i="11"/>
  <c r="CM220" i="11"/>
  <c r="CH220" i="11"/>
  <c r="BX220" i="11"/>
  <c r="CC220" i="11"/>
  <c r="CJ220" i="11"/>
  <c r="CB220" i="11"/>
  <c r="CG220" i="11"/>
  <c r="CD220" i="11"/>
  <c r="CF220" i="11"/>
  <c r="BY220" i="11"/>
  <c r="CA220" i="11"/>
  <c r="CE220" i="11"/>
  <c r="CI220" i="11"/>
  <c r="CM116" i="11"/>
  <c r="CF116" i="11"/>
  <c r="BX116" i="11"/>
  <c r="CJ116" i="11"/>
  <c r="CH116" i="11"/>
  <c r="BZ116" i="11"/>
  <c r="CB116" i="11"/>
  <c r="CD116" i="11"/>
  <c r="CL116" i="11"/>
  <c r="CK116" i="11"/>
  <c r="BY116" i="11"/>
  <c r="CC116" i="11"/>
  <c r="CG116" i="11"/>
  <c r="CE116" i="11"/>
  <c r="CI116" i="11"/>
  <c r="CA116" i="11"/>
  <c r="CG817" i="11"/>
  <c r="CL817" i="11"/>
  <c r="CC817" i="11"/>
  <c r="CJ817" i="11"/>
  <c r="CK817" i="11"/>
  <c r="CD817" i="11"/>
  <c r="CA817" i="11"/>
  <c r="CI817" i="11"/>
  <c r="CM817" i="11"/>
  <c r="CF817" i="11"/>
  <c r="CE817" i="11"/>
  <c r="BY817" i="11"/>
  <c r="CB817" i="11"/>
  <c r="BZ817" i="11"/>
  <c r="CH817" i="11"/>
  <c r="BX817" i="11"/>
  <c r="CJ713" i="11"/>
  <c r="CL713" i="11"/>
  <c r="CD713" i="11"/>
  <c r="CF713" i="11"/>
  <c r="CE713" i="11"/>
  <c r="BZ713" i="11"/>
  <c r="CI713" i="11"/>
  <c r="BX713" i="11"/>
  <c r="CA713" i="11"/>
  <c r="BY713" i="11"/>
  <c r="CK713" i="11"/>
  <c r="CB713" i="11"/>
  <c r="CG713" i="11"/>
  <c r="CH713" i="11"/>
  <c r="CC713" i="11"/>
  <c r="CM713" i="11"/>
  <c r="CA609" i="11"/>
  <c r="CI609" i="11"/>
  <c r="CH609" i="11"/>
  <c r="CJ609" i="11"/>
  <c r="CK609" i="11"/>
  <c r="CL609" i="11"/>
  <c r="BY609" i="11"/>
  <c r="CF609" i="11"/>
  <c r="CE609" i="11"/>
  <c r="CG609" i="11"/>
  <c r="CB609" i="11"/>
  <c r="BZ609" i="11"/>
  <c r="CM609" i="11"/>
  <c r="CC609" i="11"/>
  <c r="BX609" i="11"/>
  <c r="CN609" i="11" s="1"/>
  <c r="CD609" i="11"/>
  <c r="CJ505" i="11"/>
  <c r="BY505" i="11"/>
  <c r="CM505" i="11"/>
  <c r="CD505" i="11"/>
  <c r="CF505" i="11"/>
  <c r="BZ505" i="11"/>
  <c r="CH505" i="11"/>
  <c r="CK505" i="11"/>
  <c r="CL505" i="11"/>
  <c r="CG505" i="11"/>
  <c r="CB505" i="11"/>
  <c r="CC505" i="11"/>
  <c r="BX505" i="11"/>
  <c r="CA505" i="11"/>
  <c r="CE505" i="11"/>
  <c r="CI505" i="11"/>
  <c r="CI401" i="11"/>
  <c r="BX401" i="11"/>
  <c r="BY401" i="11"/>
  <c r="CJ401" i="11"/>
  <c r="CA401" i="11"/>
  <c r="CF401" i="11"/>
  <c r="CK401" i="11"/>
  <c r="CE401" i="11"/>
  <c r="CC401" i="11"/>
  <c r="CL401" i="11"/>
  <c r="CB401" i="11"/>
  <c r="CH401" i="11"/>
  <c r="CG401" i="11"/>
  <c r="CD401" i="11"/>
  <c r="CM401" i="11"/>
  <c r="BZ401" i="11"/>
  <c r="CI297" i="11"/>
  <c r="CJ297" i="11"/>
  <c r="CF297" i="11"/>
  <c r="CK297" i="11"/>
  <c r="CA297" i="11"/>
  <c r="CC297" i="11"/>
  <c r="BX297" i="11"/>
  <c r="BY297" i="11"/>
  <c r="CE297" i="11"/>
  <c r="CH297" i="11"/>
  <c r="CG297" i="11"/>
  <c r="CD297" i="11"/>
  <c r="CM297" i="11"/>
  <c r="BZ297" i="11"/>
  <c r="CB297" i="11"/>
  <c r="CL297" i="11"/>
  <c r="CK193" i="11"/>
  <c r="CA193" i="11"/>
  <c r="CF193" i="11"/>
  <c r="CD193" i="11"/>
  <c r="CM193" i="11"/>
  <c r="CC193" i="11"/>
  <c r="BZ193" i="11"/>
  <c r="CI193" i="11"/>
  <c r="BY193" i="11"/>
  <c r="CL193" i="11"/>
  <c r="CB193" i="11"/>
  <c r="CE193" i="11"/>
  <c r="CG193" i="11"/>
  <c r="CJ193" i="11"/>
  <c r="BX193" i="11"/>
  <c r="CN193" i="11" s="1"/>
  <c r="CH193" i="11"/>
  <c r="CA89" i="11"/>
  <c r="CK89" i="11"/>
  <c r="CC89" i="11"/>
  <c r="CI89" i="11"/>
  <c r="BZ89" i="11"/>
  <c r="BX89" i="11"/>
  <c r="CL89" i="11"/>
  <c r="CJ89" i="11"/>
  <c r="CE89" i="11"/>
  <c r="CH89" i="11"/>
  <c r="CF89" i="11"/>
  <c r="CM89" i="11"/>
  <c r="BY89" i="11"/>
  <c r="CD89" i="11"/>
  <c r="CG89" i="11"/>
  <c r="CB89" i="11"/>
  <c r="CF790" i="11"/>
  <c r="CG790" i="11"/>
  <c r="CE790" i="11"/>
  <c r="CI790" i="11"/>
  <c r="CD790" i="11"/>
  <c r="CL790" i="11"/>
  <c r="BZ790" i="11"/>
  <c r="CB790" i="11"/>
  <c r="CA790" i="11"/>
  <c r="CC790" i="11"/>
  <c r="CM790" i="11"/>
  <c r="BY790" i="11"/>
  <c r="BX790" i="11"/>
  <c r="CH790" i="11"/>
  <c r="CK790" i="11"/>
  <c r="CJ790" i="11"/>
  <c r="CE686" i="11"/>
  <c r="CB686" i="11"/>
  <c r="BY686" i="11"/>
  <c r="CA686" i="11"/>
  <c r="BX686" i="11"/>
  <c r="CK686" i="11"/>
  <c r="CM686" i="11"/>
  <c r="CJ686" i="11"/>
  <c r="CI686" i="11"/>
  <c r="CC686" i="11"/>
  <c r="CG686" i="11"/>
  <c r="CF686" i="11"/>
  <c r="CD686" i="11"/>
  <c r="CH686" i="11"/>
  <c r="BZ686" i="11"/>
  <c r="CL686" i="11"/>
  <c r="CF582" i="11"/>
  <c r="CC582" i="11"/>
  <c r="BX582" i="11"/>
  <c r="CM582" i="11"/>
  <c r="CH582" i="11"/>
  <c r="BY582" i="11"/>
  <c r="CK582" i="11"/>
  <c r="BZ582" i="11"/>
  <c r="CD582" i="11"/>
  <c r="CJ582" i="11"/>
  <c r="CG582" i="11"/>
  <c r="CL582" i="11"/>
  <c r="CB582" i="11"/>
  <c r="CI582" i="11"/>
  <c r="CA582" i="11"/>
  <c r="CE582" i="11"/>
  <c r="CJ478" i="11"/>
  <c r="BY478" i="11"/>
  <c r="CK478" i="11"/>
  <c r="CE478" i="11"/>
  <c r="CH478" i="11"/>
  <c r="CG478" i="11"/>
  <c r="CA478" i="11"/>
  <c r="CD478" i="11"/>
  <c r="CM478" i="11"/>
  <c r="CI478" i="11"/>
  <c r="CF478" i="11"/>
  <c r="BZ478" i="11"/>
  <c r="CC478" i="11"/>
  <c r="CL478" i="11"/>
  <c r="CB478" i="11"/>
  <c r="BX478" i="11"/>
  <c r="CL374" i="11"/>
  <c r="CA374" i="11"/>
  <c r="CF374" i="11"/>
  <c r="CK374" i="11"/>
  <c r="CJ374" i="11"/>
  <c r="CD374" i="11"/>
  <c r="CG374" i="11"/>
  <c r="CE374" i="11"/>
  <c r="BX374" i="11"/>
  <c r="CC374" i="11"/>
  <c r="BZ374" i="11"/>
  <c r="CH374" i="11"/>
  <c r="BY374" i="11"/>
  <c r="CI374" i="11"/>
  <c r="CM374" i="11"/>
  <c r="CB374" i="11"/>
  <c r="BZ270" i="11"/>
  <c r="CI270" i="11"/>
  <c r="CF270" i="11"/>
  <c r="CJ270" i="11"/>
  <c r="BX270" i="11"/>
  <c r="CE270" i="11"/>
  <c r="CA270" i="11"/>
  <c r="CL270" i="11"/>
  <c r="CD270" i="11"/>
  <c r="CK270" i="11"/>
  <c r="CB270" i="11"/>
  <c r="CG270" i="11"/>
  <c r="CH270" i="11"/>
  <c r="CC270" i="11"/>
  <c r="CM270" i="11"/>
  <c r="BY270" i="11"/>
  <c r="CM166" i="11"/>
  <c r="CJ166" i="11"/>
  <c r="CH166" i="11"/>
  <c r="BZ166" i="11"/>
  <c r="BX166" i="11"/>
  <c r="CD166" i="11"/>
  <c r="CF166" i="11"/>
  <c r="BY166" i="11"/>
  <c r="CC166" i="11"/>
  <c r="CK166" i="11"/>
  <c r="CG166" i="11"/>
  <c r="CL166" i="11"/>
  <c r="CB166" i="11"/>
  <c r="CA166" i="11"/>
  <c r="CE166" i="11"/>
  <c r="CI166" i="11"/>
  <c r="CM62" i="11"/>
  <c r="CJ62" i="11"/>
  <c r="BY62" i="11"/>
  <c r="CD62" i="11"/>
  <c r="CF62" i="11"/>
  <c r="CG62" i="11"/>
  <c r="CK62" i="11"/>
  <c r="CL62" i="11"/>
  <c r="BX62" i="11"/>
  <c r="CC62" i="11"/>
  <c r="BZ62" i="11"/>
  <c r="CB62" i="11"/>
  <c r="CH62" i="11"/>
  <c r="CA62" i="11"/>
  <c r="CE62" i="11"/>
  <c r="CI62" i="11"/>
  <c r="CB763" i="11"/>
  <c r="CI763" i="11"/>
  <c r="CM763" i="11"/>
  <c r="BX763" i="11"/>
  <c r="CE763" i="11"/>
  <c r="BZ763" i="11"/>
  <c r="CC763" i="11"/>
  <c r="CG763" i="11"/>
  <c r="CL763" i="11"/>
  <c r="CK763" i="11"/>
  <c r="CJ763" i="11"/>
  <c r="CH763" i="11"/>
  <c r="CF763" i="11"/>
  <c r="CA763" i="11"/>
  <c r="BY763" i="11"/>
  <c r="CD763" i="11"/>
  <c r="CG659" i="11"/>
  <c r="CC659" i="11"/>
  <c r="BY659" i="11"/>
  <c r="CK659" i="11"/>
  <c r="CA659" i="11"/>
  <c r="CI659" i="11"/>
  <c r="CJ659" i="11"/>
  <c r="CL659" i="11"/>
  <c r="CE659" i="11"/>
  <c r="CF659" i="11"/>
  <c r="CH659" i="11"/>
  <c r="CM659" i="11"/>
  <c r="CB659" i="11"/>
  <c r="CD659" i="11"/>
  <c r="BX659" i="11"/>
  <c r="CN659" i="11" s="1"/>
  <c r="BZ659" i="11"/>
  <c r="BZ555" i="11"/>
  <c r="CK555" i="11"/>
  <c r="CD555" i="11"/>
  <c r="CB555" i="11"/>
  <c r="BX555" i="11"/>
  <c r="CI555" i="11"/>
  <c r="CM555" i="11"/>
  <c r="CF555" i="11"/>
  <c r="CC555" i="11"/>
  <c r="CH555" i="11"/>
  <c r="CG555" i="11"/>
  <c r="CA555" i="11"/>
  <c r="CE555" i="11"/>
  <c r="BY555" i="11"/>
  <c r="CL555" i="11"/>
  <c r="CJ555" i="11"/>
  <c r="CI451" i="11"/>
  <c r="CD451" i="11"/>
  <c r="CJ451" i="11"/>
  <c r="BX451" i="11"/>
  <c r="CL451" i="11"/>
  <c r="CF451" i="11"/>
  <c r="CA451" i="11"/>
  <c r="CE451" i="11"/>
  <c r="BY451" i="11"/>
  <c r="CK451" i="11"/>
  <c r="CB451" i="11"/>
  <c r="CM451" i="11"/>
  <c r="CG451" i="11"/>
  <c r="CC451" i="11"/>
  <c r="BZ451" i="11"/>
  <c r="CH451" i="11"/>
  <c r="CM347" i="11"/>
  <c r="CD347" i="11"/>
  <c r="CC347" i="11"/>
  <c r="BY347" i="11"/>
  <c r="CI347" i="11"/>
  <c r="BX347" i="11"/>
  <c r="CK347" i="11"/>
  <c r="CJ347" i="11"/>
  <c r="CL347" i="11"/>
  <c r="CE347" i="11"/>
  <c r="CF347" i="11"/>
  <c r="CG347" i="11"/>
  <c r="BZ347" i="11"/>
  <c r="CH347" i="11"/>
  <c r="CB347" i="11"/>
  <c r="CA347" i="11"/>
  <c r="BZ243" i="11"/>
  <c r="CL243" i="11"/>
  <c r="CE243" i="11"/>
  <c r="CK243" i="11"/>
  <c r="CI243" i="11"/>
  <c r="BY243" i="11"/>
  <c r="CD243" i="11"/>
  <c r="CB243" i="11"/>
  <c r="CM243" i="11"/>
  <c r="BX243" i="11"/>
  <c r="CA243" i="11"/>
  <c r="CJ243" i="11"/>
  <c r="CC243" i="11"/>
  <c r="CH243" i="11"/>
  <c r="CG243" i="11"/>
  <c r="CF243" i="11"/>
  <c r="CA139" i="11"/>
  <c r="CK139" i="11"/>
  <c r="CJ139" i="11"/>
  <c r="CL139" i="11"/>
  <c r="CM139" i="11"/>
  <c r="CG139" i="11"/>
  <c r="CF139" i="11"/>
  <c r="CH139" i="11"/>
  <c r="CC139" i="11"/>
  <c r="CB139" i="11"/>
  <c r="CD139" i="11"/>
  <c r="CI139" i="11"/>
  <c r="BY139" i="11"/>
  <c r="BX139" i="11"/>
  <c r="CE139" i="11"/>
  <c r="BZ139" i="11"/>
  <c r="CK35" i="11"/>
  <c r="BZ35" i="11"/>
  <c r="CL35" i="11"/>
  <c r="CG35" i="11"/>
  <c r="BX35" i="11"/>
  <c r="CA35" i="11"/>
  <c r="CH35" i="11"/>
  <c r="CM35" i="11"/>
  <c r="CC35" i="11"/>
  <c r="CF35" i="11"/>
  <c r="CI35" i="11"/>
  <c r="CB35" i="11"/>
  <c r="CE35" i="11"/>
  <c r="CD35" i="11"/>
  <c r="CJ35" i="11"/>
  <c r="BY35" i="11"/>
  <c r="CG736" i="11"/>
  <c r="CC736" i="11"/>
  <c r="BY736" i="11"/>
  <c r="CK736" i="11"/>
  <c r="BX736" i="11"/>
  <c r="BZ736" i="11"/>
  <c r="CJ736" i="11"/>
  <c r="CL736" i="11"/>
  <c r="CE736" i="11"/>
  <c r="CA736" i="11"/>
  <c r="CF736" i="11"/>
  <c r="CH736" i="11"/>
  <c r="CM736" i="11"/>
  <c r="CI736" i="11"/>
  <c r="CB736" i="11"/>
  <c r="CD736" i="11"/>
  <c r="CD632" i="11"/>
  <c r="CI632" i="11"/>
  <c r="BX632" i="11"/>
  <c r="CL632" i="11"/>
  <c r="BZ632" i="11"/>
  <c r="CE632" i="11"/>
  <c r="CA632" i="11"/>
  <c r="CF632" i="11"/>
  <c r="CJ632" i="11"/>
  <c r="BY632" i="11"/>
  <c r="CK632" i="11"/>
  <c r="CB632" i="11"/>
  <c r="CG632" i="11"/>
  <c r="CH632" i="11"/>
  <c r="CC632" i="11"/>
  <c r="CM632" i="11"/>
  <c r="CL528" i="11"/>
  <c r="CI528" i="11"/>
  <c r="CK528" i="11"/>
  <c r="BX528" i="11"/>
  <c r="BY528" i="11"/>
  <c r="BZ528" i="11"/>
  <c r="CJ528" i="11"/>
  <c r="CC528" i="11"/>
  <c r="CE528" i="11"/>
  <c r="CG528" i="11"/>
  <c r="CB528" i="11"/>
  <c r="CH528" i="11"/>
  <c r="CM528" i="11"/>
  <c r="CD528" i="11"/>
  <c r="CA528" i="11"/>
  <c r="CF528" i="11"/>
  <c r="CL424" i="11"/>
  <c r="CD424" i="11"/>
  <c r="CB424" i="11"/>
  <c r="BZ424" i="11"/>
  <c r="CG424" i="11"/>
  <c r="CM424" i="11"/>
  <c r="CH424" i="11"/>
  <c r="BY424" i="11"/>
  <c r="CK424" i="11"/>
  <c r="CC424" i="11"/>
  <c r="CJ424" i="11"/>
  <c r="CF424" i="11"/>
  <c r="BX424" i="11"/>
  <c r="CE424" i="11"/>
  <c r="CI424" i="11"/>
  <c r="CA424" i="11"/>
  <c r="CM320" i="11"/>
  <c r="CK320" i="11"/>
  <c r="BY320" i="11"/>
  <c r="BX320" i="11"/>
  <c r="CF320" i="11"/>
  <c r="BZ320" i="11"/>
  <c r="CC320" i="11"/>
  <c r="CD320" i="11"/>
  <c r="CH320" i="11"/>
  <c r="CJ320" i="11"/>
  <c r="CL320" i="11"/>
  <c r="CB320" i="11"/>
  <c r="CG320" i="11"/>
  <c r="CE320" i="11"/>
  <c r="CI320" i="11"/>
  <c r="CA320" i="11"/>
  <c r="CC216" i="11"/>
  <c r="CB216" i="11"/>
  <c r="CK216" i="11"/>
  <c r="CH216" i="11"/>
  <c r="BZ216" i="11"/>
  <c r="CM216" i="11"/>
  <c r="CL216" i="11"/>
  <c r="CJ216" i="11"/>
  <c r="CF216" i="11"/>
  <c r="CD216" i="11"/>
  <c r="BX216" i="11"/>
  <c r="CN216" i="11" s="1"/>
  <c r="BY216" i="11"/>
  <c r="CG216" i="11"/>
  <c r="CE216" i="11"/>
  <c r="CI216" i="11"/>
  <c r="CA216" i="11"/>
  <c r="CM112" i="11"/>
  <c r="BZ112" i="11"/>
  <c r="CB112" i="11"/>
  <c r="BX112" i="11"/>
  <c r="CJ112" i="11"/>
  <c r="CH112" i="11"/>
  <c r="CF112" i="11"/>
  <c r="CD112" i="11"/>
  <c r="CL112" i="11"/>
  <c r="CC112" i="11"/>
  <c r="CG112" i="11"/>
  <c r="CK112" i="11"/>
  <c r="BY112" i="11"/>
  <c r="CA112" i="11"/>
  <c r="CE112" i="11"/>
  <c r="CI112" i="11"/>
  <c r="BX813" i="11"/>
  <c r="CL813" i="11"/>
  <c r="CD813" i="11"/>
  <c r="CI813" i="11"/>
  <c r="CA813" i="11"/>
  <c r="CC813" i="11"/>
  <c r="CM813" i="11"/>
  <c r="BZ813" i="11"/>
  <c r="CF813" i="11"/>
  <c r="BY813" i="11"/>
  <c r="CJ813" i="11"/>
  <c r="CG813" i="11"/>
  <c r="CE813" i="11"/>
  <c r="CK813" i="11"/>
  <c r="CB813" i="11"/>
  <c r="CH813" i="11"/>
  <c r="CD709" i="11"/>
  <c r="CJ709" i="11"/>
  <c r="BZ709" i="11"/>
  <c r="CA709" i="11"/>
  <c r="CI709" i="11"/>
  <c r="CE709" i="11"/>
  <c r="BX709" i="11"/>
  <c r="CN709" i="11" s="1"/>
  <c r="CF709" i="11"/>
  <c r="CL709" i="11"/>
  <c r="CG709" i="11"/>
  <c r="CH709" i="11"/>
  <c r="CC709" i="11"/>
  <c r="CM709" i="11"/>
  <c r="BY709" i="11"/>
  <c r="CK709" i="11"/>
  <c r="CB709" i="11"/>
  <c r="CD605" i="11"/>
  <c r="CA605" i="11"/>
  <c r="CG605" i="11"/>
  <c r="BY605" i="11"/>
  <c r="CI605" i="11"/>
  <c r="CL605" i="11"/>
  <c r="BZ605" i="11"/>
  <c r="CE605" i="11"/>
  <c r="CK605" i="11"/>
  <c r="CF605" i="11"/>
  <c r="CH605" i="11"/>
  <c r="CB605" i="11"/>
  <c r="CM605" i="11"/>
  <c r="BX605" i="11"/>
  <c r="CJ605" i="11"/>
  <c r="CC605" i="11"/>
  <c r="BY501" i="11"/>
  <c r="CG501" i="11"/>
  <c r="CH501" i="11"/>
  <c r="CK501" i="11"/>
  <c r="CJ501" i="11"/>
  <c r="CF501" i="11"/>
  <c r="BX501" i="11"/>
  <c r="CN501" i="11" s="1"/>
  <c r="BZ501" i="11"/>
  <c r="CD501" i="11"/>
  <c r="CB501" i="11"/>
  <c r="CM501" i="11"/>
  <c r="CC501" i="11"/>
  <c r="CL501" i="11"/>
  <c r="CE501" i="11"/>
  <c r="CI501" i="11"/>
  <c r="CA501" i="11"/>
  <c r="CK397" i="11"/>
  <c r="CB397" i="11"/>
  <c r="CA397" i="11"/>
  <c r="CM397" i="11"/>
  <c r="CF397" i="11"/>
  <c r="BZ397" i="11"/>
  <c r="CI397" i="11"/>
  <c r="CL397" i="11"/>
  <c r="CJ397" i="11"/>
  <c r="CC397" i="11"/>
  <c r="CH397" i="11"/>
  <c r="CE397" i="11"/>
  <c r="BX397" i="11"/>
  <c r="CD397" i="11"/>
  <c r="BY397" i="11"/>
  <c r="CG397" i="11"/>
  <c r="CJ293" i="11"/>
  <c r="CF293" i="11"/>
  <c r="CI293" i="11"/>
  <c r="CK293" i="11"/>
  <c r="CE293" i="11"/>
  <c r="BX293" i="11"/>
  <c r="BY293" i="11"/>
  <c r="CA293" i="11"/>
  <c r="CC293" i="11"/>
  <c r="CL293" i="11"/>
  <c r="CB293" i="11"/>
  <c r="CH293" i="11"/>
  <c r="CG293" i="11"/>
  <c r="CD293" i="11"/>
  <c r="CM293" i="11"/>
  <c r="BZ293" i="11"/>
  <c r="BY189" i="11"/>
  <c r="CK189" i="11"/>
  <c r="CJ189" i="11"/>
  <c r="CE189" i="11"/>
  <c r="CI189" i="11"/>
  <c r="BX189" i="11"/>
  <c r="CC189" i="11"/>
  <c r="CD189" i="11"/>
  <c r="CM189" i="11"/>
  <c r="BZ189" i="11"/>
  <c r="CA189" i="11"/>
  <c r="CL189" i="11"/>
  <c r="CB189" i="11"/>
  <c r="CF189" i="11"/>
  <c r="CG189" i="11"/>
  <c r="CH189" i="11"/>
  <c r="CA85" i="11"/>
  <c r="CI85" i="11"/>
  <c r="CK85" i="11"/>
  <c r="CC85" i="11"/>
  <c r="CH85" i="11"/>
  <c r="CF85" i="11"/>
  <c r="CM85" i="11"/>
  <c r="CD85" i="11"/>
  <c r="CB85" i="11"/>
  <c r="BZ85" i="11"/>
  <c r="BX85" i="11"/>
  <c r="CN85" i="11" s="1"/>
  <c r="CE85" i="11"/>
  <c r="BY85" i="11"/>
  <c r="CL85" i="11"/>
  <c r="CG85" i="11"/>
  <c r="CJ85" i="11"/>
  <c r="CK786" i="11"/>
  <c r="BZ786" i="11"/>
  <c r="CM786" i="11"/>
  <c r="CF786" i="11"/>
  <c r="CG786" i="11"/>
  <c r="BY786" i="11"/>
  <c r="CB786" i="11"/>
  <c r="CJ786" i="11"/>
  <c r="CD786" i="11"/>
  <c r="CH786" i="11"/>
  <c r="CL786" i="11"/>
  <c r="CC786" i="11"/>
  <c r="BX786" i="11"/>
  <c r="CE786" i="11"/>
  <c r="CI786" i="11"/>
  <c r="CA786" i="11"/>
  <c r="CD682" i="11"/>
  <c r="BZ682" i="11"/>
  <c r="CH682" i="11"/>
  <c r="CB682" i="11"/>
  <c r="CA682" i="11"/>
  <c r="CI682" i="11"/>
  <c r="BX682" i="11"/>
  <c r="CM682" i="11"/>
  <c r="CC682" i="11"/>
  <c r="CJ682" i="11"/>
  <c r="CL682" i="11"/>
  <c r="CE682" i="11"/>
  <c r="CK682" i="11"/>
  <c r="CF682" i="11"/>
  <c r="CG682" i="11"/>
  <c r="BY682" i="11"/>
  <c r="BX578" i="11"/>
  <c r="CF578" i="11"/>
  <c r="CL578" i="11"/>
  <c r="CB578" i="11"/>
  <c r="CG578" i="11"/>
  <c r="CH578" i="11"/>
  <c r="BZ578" i="11"/>
  <c r="BY578" i="11"/>
  <c r="CM578" i="11"/>
  <c r="CC578" i="11"/>
  <c r="CJ578" i="11"/>
  <c r="CK578" i="11"/>
  <c r="CD578" i="11"/>
  <c r="CA578" i="11"/>
  <c r="CE578" i="11"/>
  <c r="CI578" i="11"/>
  <c r="CK474" i="11"/>
  <c r="CC474" i="11"/>
  <c r="CI474" i="11"/>
  <c r="BY474" i="11"/>
  <c r="CL474" i="11"/>
  <c r="CB474" i="11"/>
  <c r="CE474" i="11"/>
  <c r="CH474" i="11"/>
  <c r="CG474" i="11"/>
  <c r="CJ474" i="11"/>
  <c r="BZ474" i="11"/>
  <c r="CA474" i="11"/>
  <c r="CM474" i="11"/>
  <c r="BX474" i="11"/>
  <c r="CF474" i="11"/>
  <c r="CD474" i="11"/>
  <c r="CB370" i="11"/>
  <c r="CL370" i="11"/>
  <c r="CA370" i="11"/>
  <c r="CF370" i="11"/>
  <c r="CM370" i="11"/>
  <c r="CK370" i="11"/>
  <c r="CJ370" i="11"/>
  <c r="CD370" i="11"/>
  <c r="CG370" i="11"/>
  <c r="CE370" i="11"/>
  <c r="BX370" i="11"/>
  <c r="CN370" i="11" s="1"/>
  <c r="CC370" i="11"/>
  <c r="BZ370" i="11"/>
  <c r="CH370" i="11"/>
  <c r="CI370" i="11"/>
  <c r="BY370" i="11"/>
  <c r="CJ266" i="11"/>
  <c r="CI266" i="11"/>
  <c r="BX266" i="11"/>
  <c r="CA266" i="11"/>
  <c r="CD266" i="11"/>
  <c r="CL266" i="11"/>
  <c r="BZ266" i="11"/>
  <c r="CE266" i="11"/>
  <c r="CF266" i="11"/>
  <c r="CC266" i="11"/>
  <c r="CM266" i="11"/>
  <c r="BY266" i="11"/>
  <c r="CK266" i="11"/>
  <c r="CB266" i="11"/>
  <c r="CG266" i="11"/>
  <c r="CH266" i="11"/>
  <c r="BZ162" i="11"/>
  <c r="CJ162" i="11"/>
  <c r="CD162" i="11"/>
  <c r="CM162" i="11"/>
  <c r="BX162" i="11"/>
  <c r="CH162" i="11"/>
  <c r="CF162" i="11"/>
  <c r="BY162" i="11"/>
  <c r="CC162" i="11"/>
  <c r="CK162" i="11"/>
  <c r="CB162" i="11"/>
  <c r="CG162" i="11"/>
  <c r="CL162" i="11"/>
  <c r="CI162" i="11"/>
  <c r="CA162" i="11"/>
  <c r="CE162" i="11"/>
  <c r="CM58" i="11"/>
  <c r="BX58" i="11"/>
  <c r="CD58" i="11"/>
  <c r="CF58" i="11"/>
  <c r="CG58" i="11"/>
  <c r="CB58" i="11"/>
  <c r="CC58" i="11"/>
  <c r="CJ58" i="11"/>
  <c r="CK58" i="11"/>
  <c r="CL58" i="11"/>
  <c r="CH58" i="11"/>
  <c r="BY58" i="11"/>
  <c r="BZ58" i="11"/>
  <c r="CI58" i="11"/>
  <c r="CA58" i="11"/>
  <c r="CE58" i="11"/>
  <c r="CI759" i="11"/>
  <c r="BZ759" i="11"/>
  <c r="CC759" i="11"/>
  <c r="CL759" i="11"/>
  <c r="CK759" i="11"/>
  <c r="CJ759" i="11"/>
  <c r="BX759" i="11"/>
  <c r="CH759" i="11"/>
  <c r="CF759" i="11"/>
  <c r="CE759" i="11"/>
  <c r="BY759" i="11"/>
  <c r="CB759" i="11"/>
  <c r="CD759" i="11"/>
  <c r="CA759" i="11"/>
  <c r="CM759" i="11"/>
  <c r="CG759" i="11"/>
  <c r="CG655" i="11"/>
  <c r="CA655" i="11"/>
  <c r="BY655" i="11"/>
  <c r="CC655" i="11"/>
  <c r="CK655" i="11"/>
  <c r="CI655" i="11"/>
  <c r="BX655" i="11"/>
  <c r="BZ655" i="11"/>
  <c r="CJ655" i="11"/>
  <c r="CL655" i="11"/>
  <c r="CE655" i="11"/>
  <c r="CF655" i="11"/>
  <c r="CH655" i="11"/>
  <c r="CM655" i="11"/>
  <c r="CB655" i="11"/>
  <c r="CD655" i="11"/>
  <c r="BZ551" i="11"/>
  <c r="CJ551" i="11"/>
  <c r="CH551" i="11"/>
  <c r="CF551" i="11"/>
  <c r="CB551" i="11"/>
  <c r="BX551" i="11"/>
  <c r="CD551" i="11"/>
  <c r="CM551" i="11"/>
  <c r="CL551" i="11"/>
  <c r="CK551" i="11"/>
  <c r="BY551" i="11"/>
  <c r="CA551" i="11"/>
  <c r="CC551" i="11"/>
  <c r="CE551" i="11"/>
  <c r="CG551" i="11"/>
  <c r="CI551" i="11"/>
  <c r="CD447" i="11"/>
  <c r="BX447" i="11"/>
  <c r="CJ447" i="11"/>
  <c r="CI447" i="11"/>
  <c r="CL447" i="11"/>
  <c r="CF447" i="11"/>
  <c r="CA447" i="11"/>
  <c r="CE447" i="11"/>
  <c r="CG447" i="11"/>
  <c r="CH447" i="11"/>
  <c r="CC447" i="11"/>
  <c r="CM447" i="11"/>
  <c r="CB447" i="11"/>
  <c r="BZ447" i="11"/>
  <c r="CK447" i="11"/>
  <c r="BY447" i="11"/>
  <c r="CG343" i="11"/>
  <c r="CA343" i="11"/>
  <c r="CK343" i="11"/>
  <c r="CE343" i="11"/>
  <c r="BZ343" i="11"/>
  <c r="CL343" i="11"/>
  <c r="BX343" i="11"/>
  <c r="BY343" i="11"/>
  <c r="CJ343" i="11"/>
  <c r="CC343" i="11"/>
  <c r="CD343" i="11"/>
  <c r="CF343" i="11"/>
  <c r="CH343" i="11"/>
  <c r="CI343" i="11"/>
  <c r="CB343" i="11"/>
  <c r="CM343" i="11"/>
  <c r="CL239" i="11"/>
  <c r="CA239" i="11"/>
  <c r="CG239" i="11"/>
  <c r="CB239" i="11"/>
  <c r="CM239" i="11"/>
  <c r="BZ239" i="11"/>
  <c r="BX239" i="11"/>
  <c r="CN239" i="11" s="1"/>
  <c r="BY239" i="11"/>
  <c r="CE239" i="11"/>
  <c r="CJ239" i="11"/>
  <c r="CC239" i="11"/>
  <c r="CD239" i="11"/>
  <c r="CK239" i="11"/>
  <c r="CH239" i="11"/>
  <c r="CI239" i="11"/>
  <c r="CF239" i="11"/>
  <c r="CA135" i="11"/>
  <c r="CG135" i="11"/>
  <c r="CF135" i="11"/>
  <c r="CH135" i="11"/>
  <c r="CC135" i="11"/>
  <c r="CB135" i="11"/>
  <c r="CD135" i="11"/>
  <c r="BY135" i="11"/>
  <c r="BX135" i="11"/>
  <c r="BZ135" i="11"/>
  <c r="CM135" i="11"/>
  <c r="CK135" i="11"/>
  <c r="CJ135" i="11"/>
  <c r="CE135" i="11"/>
  <c r="CI135" i="11"/>
  <c r="CL135" i="11"/>
  <c r="CI31" i="11"/>
  <c r="CJ31" i="11"/>
  <c r="BY31" i="11"/>
  <c r="CA31" i="11"/>
  <c r="CK31" i="11"/>
  <c r="CE31" i="11"/>
  <c r="BX31" i="11"/>
  <c r="CF31" i="11"/>
  <c r="CC31" i="11"/>
  <c r="CH31" i="11"/>
  <c r="CG31" i="11"/>
  <c r="CD31" i="11"/>
  <c r="CM31" i="11"/>
  <c r="BZ31" i="11"/>
  <c r="CL31" i="11"/>
  <c r="CB31" i="11"/>
  <c r="BY732" i="11"/>
  <c r="CK732" i="11"/>
  <c r="CG732" i="11"/>
  <c r="CC732" i="11"/>
  <c r="CF732" i="11"/>
  <c r="CH732" i="11"/>
  <c r="CM732" i="11"/>
  <c r="CB732" i="11"/>
  <c r="CD732" i="11"/>
  <c r="CA732" i="11"/>
  <c r="BX732" i="11"/>
  <c r="CN732" i="11" s="1"/>
  <c r="BZ732" i="11"/>
  <c r="CI732" i="11"/>
  <c r="CJ732" i="11"/>
  <c r="CL732" i="11"/>
  <c r="CE732" i="11"/>
  <c r="CJ628" i="11"/>
  <c r="CA628" i="11"/>
  <c r="CF628" i="11"/>
  <c r="CL628" i="11"/>
  <c r="BX628" i="11"/>
  <c r="CI628" i="11"/>
  <c r="CE628" i="11"/>
  <c r="BZ628" i="11"/>
  <c r="CD628" i="11"/>
  <c r="CG628" i="11"/>
  <c r="CH628" i="11"/>
  <c r="CC628" i="11"/>
  <c r="CM628" i="11"/>
  <c r="BY628" i="11"/>
  <c r="CK628" i="11"/>
  <c r="CB628" i="11"/>
  <c r="CE524" i="11"/>
  <c r="CL524" i="11"/>
  <c r="BZ524" i="11"/>
  <c r="CK524" i="11"/>
  <c r="CJ524" i="11"/>
  <c r="CC524" i="11"/>
  <c r="CA524" i="11"/>
  <c r="CF524" i="11"/>
  <c r="CH524" i="11"/>
  <c r="CG524" i="11"/>
  <c r="CB524" i="11"/>
  <c r="CM524" i="11"/>
  <c r="BY524" i="11"/>
  <c r="BX524" i="11"/>
  <c r="CD524" i="11"/>
  <c r="CI524" i="11"/>
  <c r="CB420" i="11"/>
  <c r="CD420" i="11"/>
  <c r="CL420" i="11"/>
  <c r="BX420" i="11"/>
  <c r="CG420" i="11"/>
  <c r="CM420" i="11"/>
  <c r="CK420" i="11"/>
  <c r="CH420" i="11"/>
  <c r="CF420" i="11"/>
  <c r="BY420" i="11"/>
  <c r="CC420" i="11"/>
  <c r="BZ420" i="11"/>
  <c r="CJ420" i="11"/>
  <c r="CA420" i="11"/>
  <c r="CE420" i="11"/>
  <c r="CI420" i="11"/>
  <c r="CM316" i="11"/>
  <c r="CH316" i="11"/>
  <c r="CF316" i="11"/>
  <c r="BZ316" i="11"/>
  <c r="CK316" i="11"/>
  <c r="BX316" i="11"/>
  <c r="BY316" i="11"/>
  <c r="CD316" i="11"/>
  <c r="CC316" i="11"/>
  <c r="CJ316" i="11"/>
  <c r="CB316" i="11"/>
  <c r="CG316" i="11"/>
  <c r="CL316" i="11"/>
  <c r="CA316" i="11"/>
  <c r="CE316" i="11"/>
  <c r="CI316" i="11"/>
  <c r="CC212" i="11"/>
  <c r="BX212" i="11"/>
  <c r="CG212" i="11"/>
  <c r="CK212" i="11"/>
  <c r="CL212" i="11"/>
  <c r="BZ212" i="11"/>
  <c r="BY212" i="11"/>
  <c r="CM212" i="11"/>
  <c r="CH212" i="11"/>
  <c r="CJ212" i="11"/>
  <c r="CB212" i="11"/>
  <c r="CD212" i="11"/>
  <c r="CF212" i="11"/>
  <c r="CA212" i="11"/>
  <c r="CE212" i="11"/>
  <c r="CI212" i="11"/>
  <c r="CM108" i="11"/>
  <c r="BZ108" i="11"/>
  <c r="CJ108" i="11"/>
  <c r="CB108" i="11"/>
  <c r="BX108" i="11"/>
  <c r="CH108" i="11"/>
  <c r="CF108" i="11"/>
  <c r="CD108" i="11"/>
  <c r="CL108" i="11"/>
  <c r="CK108" i="11"/>
  <c r="BY108" i="11"/>
  <c r="CC108" i="11"/>
  <c r="CG108" i="11"/>
  <c r="CE108" i="11"/>
  <c r="CI108" i="11"/>
  <c r="CA108" i="11"/>
  <c r="CB809" i="11"/>
  <c r="CM809" i="11"/>
  <c r="CD809" i="11"/>
  <c r="CC809" i="11"/>
  <c r="CA809" i="11"/>
  <c r="CH809" i="11"/>
  <c r="CG809" i="11"/>
  <c r="BZ809" i="11"/>
  <c r="BY809" i="11"/>
  <c r="CJ809" i="11"/>
  <c r="CI809" i="11"/>
  <c r="CF809" i="11"/>
  <c r="BX809" i="11"/>
  <c r="CK809" i="11"/>
  <c r="CL809" i="11"/>
  <c r="CE809" i="11"/>
  <c r="CD705" i="11"/>
  <c r="BX705" i="11"/>
  <c r="CF705" i="11"/>
  <c r="CL705" i="11"/>
  <c r="BZ705" i="11"/>
  <c r="CJ705" i="11"/>
  <c r="CI705" i="11"/>
  <c r="CA705" i="11"/>
  <c r="CE705" i="11"/>
  <c r="BY705" i="11"/>
  <c r="CK705" i="11"/>
  <c r="CB705" i="11"/>
  <c r="CG705" i="11"/>
  <c r="CH705" i="11"/>
  <c r="CC705" i="11"/>
  <c r="CM705" i="11"/>
  <c r="CI601" i="11"/>
  <c r="CG601" i="11"/>
  <c r="CH601" i="11"/>
  <c r="CM601" i="11"/>
  <c r="BY601" i="11"/>
  <c r="CC601" i="11"/>
  <c r="CF601" i="11"/>
  <c r="CE601" i="11"/>
  <c r="CA601" i="11"/>
  <c r="CB601" i="11"/>
  <c r="BZ601" i="11"/>
  <c r="BX601" i="11"/>
  <c r="CD601" i="11"/>
  <c r="CJ601" i="11"/>
  <c r="CK601" i="11"/>
  <c r="CL601" i="11"/>
  <c r="BY497" i="11"/>
  <c r="CL497" i="11"/>
  <c r="CG497" i="11"/>
  <c r="CF497" i="11"/>
  <c r="CC497" i="11"/>
  <c r="BX497" i="11"/>
  <c r="CB497" i="11"/>
  <c r="CD497" i="11"/>
  <c r="BZ497" i="11"/>
  <c r="CM497" i="11"/>
  <c r="CJ497" i="11"/>
  <c r="CK497" i="11"/>
  <c r="CH497" i="11"/>
  <c r="CA497" i="11"/>
  <c r="CE497" i="11"/>
  <c r="CI497" i="11"/>
  <c r="CF393" i="11"/>
  <c r="CC393" i="11"/>
  <c r="BY393" i="11"/>
  <c r="CK393" i="11"/>
  <c r="CE393" i="11"/>
  <c r="CI393" i="11"/>
  <c r="BX393" i="11"/>
  <c r="CA393" i="11"/>
  <c r="CJ393" i="11"/>
  <c r="CL393" i="11"/>
  <c r="CB393" i="11"/>
  <c r="CH393" i="11"/>
  <c r="CG393" i="11"/>
  <c r="CD393" i="11"/>
  <c r="CM393" i="11"/>
  <c r="BZ393" i="11"/>
  <c r="CF289" i="11"/>
  <c r="BX289" i="11"/>
  <c r="CC289" i="11"/>
  <c r="CI289" i="11"/>
  <c r="CJ289" i="11"/>
  <c r="CK289" i="11"/>
  <c r="CA289" i="11"/>
  <c r="BY289" i="11"/>
  <c r="CE289" i="11"/>
  <c r="CH289" i="11"/>
  <c r="CG289" i="11"/>
  <c r="CD289" i="11"/>
  <c r="CM289" i="11"/>
  <c r="BZ289" i="11"/>
  <c r="CL289" i="11"/>
  <c r="CB289" i="11"/>
  <c r="CG185" i="11"/>
  <c r="CM185" i="11"/>
  <c r="CD185" i="11"/>
  <c r="BY185" i="11"/>
  <c r="CK185" i="11"/>
  <c r="CB185" i="11"/>
  <c r="BZ185" i="11"/>
  <c r="CI185" i="11"/>
  <c r="CF185" i="11"/>
  <c r="CL185" i="11"/>
  <c r="CJ185" i="11"/>
  <c r="CC185" i="11"/>
  <c r="CA185" i="11"/>
  <c r="CH185" i="11"/>
  <c r="CE185" i="11"/>
  <c r="BX185" i="11"/>
  <c r="CA81" i="11"/>
  <c r="CC81" i="11"/>
  <c r="CI81" i="11"/>
  <c r="CK81" i="11"/>
  <c r="BZ81" i="11"/>
  <c r="BX81" i="11"/>
  <c r="CL81" i="11"/>
  <c r="CJ81" i="11"/>
  <c r="CE81" i="11"/>
  <c r="CH81" i="11"/>
  <c r="CF81" i="11"/>
  <c r="CM81" i="11"/>
  <c r="CB81" i="11"/>
  <c r="BY81" i="11"/>
  <c r="CG81" i="11"/>
  <c r="CD81" i="11"/>
  <c r="BW101" i="11"/>
  <c r="CA101" i="11" s="1"/>
  <c r="CD129" i="11"/>
  <c r="CF129" i="11"/>
  <c r="BX129" i="11"/>
  <c r="CB129" i="11"/>
  <c r="CI129" i="11"/>
  <c r="BZ129" i="11"/>
  <c r="CG129" i="11"/>
  <c r="BY129" i="11"/>
  <c r="CL129" i="11"/>
  <c r="CM129" i="11"/>
  <c r="CH129" i="11"/>
  <c r="CJ129" i="11"/>
  <c r="CA129" i="11"/>
  <c r="CK129" i="11"/>
  <c r="CC129" i="11"/>
  <c r="CE129" i="11"/>
  <c r="BY103" i="11"/>
  <c r="CH103" i="11"/>
  <c r="CF103" i="11"/>
  <c r="CM103" i="11"/>
  <c r="CI103" i="11"/>
  <c r="CD103" i="11"/>
  <c r="CB103" i="11"/>
  <c r="CG103" i="11"/>
  <c r="BZ103" i="11"/>
  <c r="BX103" i="11"/>
  <c r="CC103" i="11"/>
  <c r="CL103" i="11"/>
  <c r="CJ103" i="11"/>
  <c r="CE103" i="11"/>
  <c r="CA103" i="11"/>
  <c r="CK103" i="11"/>
  <c r="BU155" i="11"/>
  <c r="BU127" i="11"/>
  <c r="CI101" i="11"/>
  <c r="CD101" i="11"/>
  <c r="CC101" i="11"/>
  <c r="BX101" i="11"/>
  <c r="CL101" i="11"/>
  <c r="CH101" i="11"/>
  <c r="BY101" i="11"/>
  <c r="CG101" i="11"/>
  <c r="BU263" i="11"/>
  <c r="BV149" i="11"/>
  <c r="BV175" i="11" s="1"/>
  <c r="BU297" i="11"/>
  <c r="BU249" i="11"/>
  <c r="BU241" i="11"/>
  <c r="BU339" i="11"/>
  <c r="BU277" i="11"/>
  <c r="BU305" i="11"/>
  <c r="BU255" i="11"/>
  <c r="BU247" i="11"/>
  <c r="BU243" i="11"/>
  <c r="BU239" i="11"/>
  <c r="BV173" i="11"/>
  <c r="BV199" i="11" s="1"/>
  <c r="BV165" i="11"/>
  <c r="BV191" i="11" s="1"/>
  <c r="BV157" i="11"/>
  <c r="BV183" i="11" s="1"/>
  <c r="BV209" i="11" s="1"/>
  <c r="BV141" i="11"/>
  <c r="BV167" i="11" s="1"/>
  <c r="BV133" i="11"/>
  <c r="BV159" i="11" s="1"/>
  <c r="BV169" i="11"/>
  <c r="BV195" i="11" s="1"/>
  <c r="BV221" i="11" s="1"/>
  <c r="BV247" i="11" s="1"/>
  <c r="BV273" i="11" s="1"/>
  <c r="BV299" i="11" s="1"/>
  <c r="BV325" i="11" s="1"/>
  <c r="BV351" i="11" s="1"/>
  <c r="BV377" i="11" s="1"/>
  <c r="BV403" i="11" s="1"/>
  <c r="BV429" i="11" s="1"/>
  <c r="BV455" i="11" s="1"/>
  <c r="BV481" i="11" s="1"/>
  <c r="BV507" i="11" s="1"/>
  <c r="BV533" i="11" s="1"/>
  <c r="BV559" i="11" s="1"/>
  <c r="BV585" i="11" s="1"/>
  <c r="BV611" i="11" s="1"/>
  <c r="BV637" i="11" s="1"/>
  <c r="BV663" i="11" s="1"/>
  <c r="BV689" i="11" s="1"/>
  <c r="BV715" i="11" s="1"/>
  <c r="BV741" i="11" s="1"/>
  <c r="BV767" i="11" s="1"/>
  <c r="BV793" i="11" s="1"/>
  <c r="BV819" i="11" s="1"/>
  <c r="BV153" i="11"/>
  <c r="BV179" i="11" s="1"/>
  <c r="BV137" i="11"/>
  <c r="BV163" i="11" s="1"/>
  <c r="BV177" i="11"/>
  <c r="BV203" i="11" s="1"/>
  <c r="BV229" i="11" s="1"/>
  <c r="BV255" i="11" s="1"/>
  <c r="BV281" i="11" s="1"/>
  <c r="BV307" i="11" s="1"/>
  <c r="BV333" i="11" s="1"/>
  <c r="BV359" i="11" s="1"/>
  <c r="BV385" i="11" s="1"/>
  <c r="BV411" i="11" s="1"/>
  <c r="BV437" i="11" s="1"/>
  <c r="BV463" i="11" s="1"/>
  <c r="BV489" i="11" s="1"/>
  <c r="BV515" i="11" s="1"/>
  <c r="BV541" i="11" s="1"/>
  <c r="BV567" i="11" s="1"/>
  <c r="BV593" i="11" s="1"/>
  <c r="BV619" i="11" s="1"/>
  <c r="BV645" i="11" s="1"/>
  <c r="BV671" i="11" s="1"/>
  <c r="BV697" i="11" s="1"/>
  <c r="BV723" i="11" s="1"/>
  <c r="BV749" i="11" s="1"/>
  <c r="BV775" i="11" s="1"/>
  <c r="BV801" i="11" s="1"/>
  <c r="BV827" i="11" s="1"/>
  <c r="BV161" i="11"/>
  <c r="BV187" i="11" s="1"/>
  <c r="BV213" i="11" s="1"/>
  <c r="BV239" i="11" s="1"/>
  <c r="BV265" i="11" s="1"/>
  <c r="BV291" i="11" s="1"/>
  <c r="BV317" i="11" s="1"/>
  <c r="BV343" i="11" s="1"/>
  <c r="BV369" i="11" s="1"/>
  <c r="BV395" i="11" s="1"/>
  <c r="BV421" i="11" s="1"/>
  <c r="BV447" i="11" s="1"/>
  <c r="BV473" i="11" s="1"/>
  <c r="BV499" i="11" s="1"/>
  <c r="BV525" i="11" s="1"/>
  <c r="BV551" i="11" s="1"/>
  <c r="BV577" i="11" s="1"/>
  <c r="BV603" i="11" s="1"/>
  <c r="BV629" i="11" s="1"/>
  <c r="BV655" i="11" s="1"/>
  <c r="BV681" i="11" s="1"/>
  <c r="BV707" i="11" s="1"/>
  <c r="BV733" i="11" s="1"/>
  <c r="BV759" i="11" s="1"/>
  <c r="BV785" i="11" s="1"/>
  <c r="BV811" i="11" s="1"/>
  <c r="BV145" i="11"/>
  <c r="BV171" i="11" s="1"/>
  <c r="BU132" i="11"/>
  <c r="BV129" i="11"/>
  <c r="BV155" i="11" s="1"/>
  <c r="BU128" i="11"/>
  <c r="BU124" i="11"/>
  <c r="BU120" i="11"/>
  <c r="BU116" i="11"/>
  <c r="BU112" i="11"/>
  <c r="BU108" i="11"/>
  <c r="BU104" i="11"/>
  <c r="BU100" i="11"/>
  <c r="BU96" i="11"/>
  <c r="BU92" i="11"/>
  <c r="BU88" i="11"/>
  <c r="BU84" i="11"/>
  <c r="I55" i="2"/>
  <c r="H5" i="2"/>
  <c r="I5" i="2"/>
  <c r="H6" i="2"/>
  <c r="I6" i="2"/>
  <c r="H7" i="2"/>
  <c r="I7" i="2"/>
  <c r="H8" i="2"/>
  <c r="I8" i="2"/>
  <c r="H9" i="2"/>
  <c r="I9" i="2"/>
  <c r="H10" i="2"/>
  <c r="I10" i="2"/>
  <c r="H11" i="2"/>
  <c r="I11" i="2"/>
  <c r="H12" i="2"/>
  <c r="I12" i="2"/>
  <c r="H13" i="2"/>
  <c r="I13" i="2"/>
  <c r="H14" i="2"/>
  <c r="I14" i="2"/>
  <c r="H15" i="2"/>
  <c r="I15" i="2"/>
  <c r="H16" i="2"/>
  <c r="I16" i="2"/>
  <c r="H17" i="2"/>
  <c r="I17" i="2"/>
  <c r="H18" i="2"/>
  <c r="I18" i="2"/>
  <c r="H19" i="2"/>
  <c r="I19" i="2"/>
  <c r="H20" i="2"/>
  <c r="I20" i="2"/>
  <c r="H21" i="2"/>
  <c r="I21" i="2"/>
  <c r="H22" i="2"/>
  <c r="I22" i="2"/>
  <c r="H23" i="2"/>
  <c r="I23" i="2"/>
  <c r="H24" i="2"/>
  <c r="I24" i="2"/>
  <c r="H25" i="2"/>
  <c r="I25" i="2"/>
  <c r="H26" i="2"/>
  <c r="I26" i="2"/>
  <c r="H27" i="2"/>
  <c r="I27" i="2"/>
  <c r="H28" i="2"/>
  <c r="I28" i="2"/>
  <c r="H29" i="2"/>
  <c r="I29" i="2"/>
  <c r="H30" i="2"/>
  <c r="I30" i="2"/>
  <c r="H31" i="2"/>
  <c r="I31" i="2"/>
  <c r="H32" i="2"/>
  <c r="I32" i="2"/>
  <c r="H33" i="2"/>
  <c r="I33" i="2"/>
  <c r="H34" i="2"/>
  <c r="I34" i="2"/>
  <c r="H35" i="2"/>
  <c r="I35" i="2"/>
  <c r="H36" i="2"/>
  <c r="I36" i="2"/>
  <c r="H37" i="2"/>
  <c r="I37" i="2"/>
  <c r="H38" i="2"/>
  <c r="I38" i="2"/>
  <c r="H39" i="2"/>
  <c r="I39" i="2"/>
  <c r="H40" i="2"/>
  <c r="I40" i="2"/>
  <c r="H41" i="2"/>
  <c r="I41" i="2"/>
  <c r="H42" i="2"/>
  <c r="I42" i="2"/>
  <c r="H43" i="2"/>
  <c r="I43" i="2"/>
  <c r="H44" i="2"/>
  <c r="I44" i="2"/>
  <c r="H45" i="2"/>
  <c r="I45" i="2"/>
  <c r="H46" i="2"/>
  <c r="I46" i="2"/>
  <c r="H47" i="2"/>
  <c r="I47" i="2"/>
  <c r="H48" i="2"/>
  <c r="I48" i="2"/>
  <c r="H49" i="2"/>
  <c r="I49" i="2"/>
  <c r="H50" i="2"/>
  <c r="I50" i="2"/>
  <c r="H51" i="2"/>
  <c r="I51" i="2"/>
  <c r="H52" i="2"/>
  <c r="I52" i="2"/>
  <c r="H54" i="2"/>
  <c r="I54" i="2"/>
  <c r="H55" i="2"/>
  <c r="H56" i="2"/>
  <c r="I56" i="2"/>
  <c r="H57" i="2"/>
  <c r="I57" i="2"/>
  <c r="H58" i="2"/>
  <c r="I58" i="2"/>
  <c r="H59" i="2"/>
  <c r="I59" i="2"/>
  <c r="H60" i="2"/>
  <c r="I60" i="2"/>
  <c r="H61" i="2"/>
  <c r="I61" i="2"/>
  <c r="H62" i="2"/>
  <c r="I62" i="2"/>
  <c r="H63" i="2"/>
  <c r="I63" i="2"/>
  <c r="H64" i="2"/>
  <c r="I64" i="2"/>
  <c r="H65" i="2"/>
  <c r="I65" i="2"/>
  <c r="H66" i="2"/>
  <c r="I66" i="2"/>
  <c r="H67" i="2"/>
  <c r="I67" i="2"/>
  <c r="H68" i="2"/>
  <c r="I68" i="2"/>
  <c r="H69" i="2"/>
  <c r="I69" i="2"/>
  <c r="CN393" i="11" l="1"/>
  <c r="CN31" i="11"/>
  <c r="CN343" i="11"/>
  <c r="CN655" i="11"/>
  <c r="CN759" i="11"/>
  <c r="CN297" i="11"/>
  <c r="CN116" i="11"/>
  <c r="CN636" i="11"/>
  <c r="CN39" i="11"/>
  <c r="CN559" i="11"/>
  <c r="CN767" i="11"/>
  <c r="CN274" i="11"/>
  <c r="CN224" i="11"/>
  <c r="CJ101" i="11"/>
  <c r="CE101" i="11"/>
  <c r="BZ101" i="11"/>
  <c r="CK101" i="11"/>
  <c r="CN81" i="11"/>
  <c r="CN289" i="11"/>
  <c r="CN497" i="11"/>
  <c r="CN705" i="11"/>
  <c r="CN212" i="11"/>
  <c r="CN316" i="11"/>
  <c r="CN524" i="11"/>
  <c r="CN447" i="11"/>
  <c r="CN551" i="11"/>
  <c r="CN58" i="11"/>
  <c r="CN474" i="11"/>
  <c r="CN189" i="11"/>
  <c r="CN293" i="11"/>
  <c r="CN605" i="11"/>
  <c r="CN139" i="11"/>
  <c r="CN243" i="11"/>
  <c r="CN347" i="11"/>
  <c r="CN89" i="11"/>
  <c r="CN401" i="11"/>
  <c r="CN220" i="11"/>
  <c r="CN324" i="11"/>
  <c r="CN143" i="11"/>
  <c r="CN66" i="11"/>
  <c r="CN482" i="11"/>
  <c r="CN794" i="11"/>
  <c r="CN93" i="11"/>
  <c r="CN613" i="11"/>
  <c r="CN821" i="11"/>
  <c r="CN328" i="11"/>
  <c r="CN536" i="11"/>
  <c r="CN251" i="11"/>
  <c r="CN355" i="11"/>
  <c r="CN70" i="11"/>
  <c r="CN174" i="11"/>
  <c r="CN97" i="11"/>
  <c r="CN201" i="11"/>
  <c r="CN513" i="11"/>
  <c r="CN436" i="11"/>
  <c r="CN47" i="11"/>
  <c r="CN775" i="11"/>
  <c r="CN282" i="11"/>
  <c r="CN386" i="11"/>
  <c r="CN490" i="11"/>
  <c r="CN802" i="11"/>
  <c r="CN51" i="11"/>
  <c r="CN286" i="11"/>
  <c r="CN105" i="11"/>
  <c r="CN625" i="11"/>
  <c r="CN833" i="11"/>
  <c r="CN53" i="11"/>
  <c r="CN469" i="11"/>
  <c r="CN676" i="11"/>
  <c r="CN522" i="11"/>
  <c r="CN134" i="11"/>
  <c r="CN238" i="11"/>
  <c r="CN550" i="11"/>
  <c r="CN188" i="11"/>
  <c r="CN319" i="11"/>
  <c r="CN631" i="11"/>
  <c r="CN138" i="11"/>
  <c r="CN346" i="11"/>
  <c r="CN581" i="11"/>
  <c r="CN192" i="11"/>
  <c r="CN246" i="11"/>
  <c r="CN65" i="11"/>
  <c r="CN793" i="11"/>
  <c r="CN300" i="11"/>
  <c r="CN404" i="11"/>
  <c r="CN612" i="11"/>
  <c r="CN716" i="11"/>
  <c r="CN820" i="11"/>
  <c r="CN119" i="11"/>
  <c r="CN327" i="11"/>
  <c r="CN431" i="11"/>
  <c r="CN250" i="11"/>
  <c r="CN770" i="11"/>
  <c r="CN173" i="11"/>
  <c r="CN96" i="11"/>
  <c r="CN200" i="11"/>
  <c r="CN616" i="11"/>
  <c r="CN150" i="11"/>
  <c r="CN254" i="11"/>
  <c r="CN308" i="11"/>
  <c r="CN412" i="11"/>
  <c r="CN362" i="11"/>
  <c r="CN104" i="11"/>
  <c r="CN131" i="11"/>
  <c r="CN443" i="11"/>
  <c r="CN365" i="11"/>
  <c r="CN29" i="11"/>
  <c r="CN341" i="11"/>
  <c r="CN445" i="11"/>
  <c r="CN680" i="11"/>
  <c r="CN83" i="11"/>
  <c r="CN811" i="11"/>
  <c r="CN526" i="11"/>
  <c r="CN734" i="11"/>
  <c r="CN241" i="11"/>
  <c r="CN345" i="11"/>
  <c r="CN684" i="11"/>
  <c r="CN87" i="11"/>
  <c r="CN607" i="11"/>
  <c r="CN634" i="11"/>
  <c r="CN37" i="11"/>
  <c r="CN349" i="11"/>
  <c r="CN64" i="11"/>
  <c r="CN688" i="11"/>
  <c r="CN792" i="11"/>
  <c r="CN195" i="11"/>
  <c r="CN299" i="11"/>
  <c r="CN507" i="11"/>
  <c r="CN611" i="11"/>
  <c r="CN819" i="11"/>
  <c r="CN118" i="11"/>
  <c r="CN222" i="11"/>
  <c r="CN430" i="11"/>
  <c r="CN534" i="11"/>
  <c r="CN742" i="11"/>
  <c r="CN249" i="11"/>
  <c r="CN457" i="11"/>
  <c r="CN692" i="11"/>
  <c r="CN303" i="11"/>
  <c r="CN330" i="11"/>
  <c r="CN45" i="11"/>
  <c r="CN149" i="11"/>
  <c r="CN357" i="11"/>
  <c r="CN773" i="11"/>
  <c r="CN280" i="11"/>
  <c r="CN307" i="11"/>
  <c r="CN515" i="11"/>
  <c r="CN230" i="11"/>
  <c r="CN334" i="11"/>
  <c r="CN438" i="11"/>
  <c r="CN542" i="11"/>
  <c r="CN180" i="11"/>
  <c r="CN260" i="11"/>
  <c r="CN418" i="11"/>
  <c r="CN679" i="11"/>
  <c r="CN82" i="11"/>
  <c r="CN733" i="11"/>
  <c r="CN136" i="11"/>
  <c r="CN240" i="11"/>
  <c r="CN448" i="11"/>
  <c r="CN163" i="11"/>
  <c r="CN371" i="11"/>
  <c r="CN86" i="11"/>
  <c r="CN398" i="11"/>
  <c r="CN710" i="11"/>
  <c r="CN814" i="11"/>
  <c r="CN113" i="11"/>
  <c r="CN36" i="11"/>
  <c r="CN348" i="11"/>
  <c r="CN764" i="11"/>
  <c r="CN375" i="11"/>
  <c r="CN90" i="11"/>
  <c r="CN402" i="11"/>
  <c r="CN714" i="11"/>
  <c r="CN429" i="11"/>
  <c r="CN741" i="11"/>
  <c r="CN40" i="11"/>
  <c r="CN144" i="11"/>
  <c r="CN275" i="11"/>
  <c r="CN379" i="11"/>
  <c r="CN691" i="11"/>
  <c r="CN795" i="11"/>
  <c r="CN94" i="11"/>
  <c r="CN198" i="11"/>
  <c r="CN302" i="11"/>
  <c r="CN406" i="11"/>
  <c r="CN614" i="11"/>
  <c r="CN121" i="11"/>
  <c r="CN537" i="11"/>
  <c r="CN44" i="11"/>
  <c r="CN148" i="11"/>
  <c r="CN772" i="11"/>
  <c r="CN383" i="11"/>
  <c r="CN98" i="11"/>
  <c r="CN826" i="11"/>
  <c r="CN749" i="11"/>
  <c r="CN152" i="11"/>
  <c r="CN256" i="11"/>
  <c r="CN360" i="11"/>
  <c r="CN568" i="11"/>
  <c r="CN672" i="11"/>
  <c r="CN776" i="11"/>
  <c r="CN206" i="11"/>
  <c r="CN518" i="11"/>
  <c r="CN830" i="11"/>
  <c r="CN703" i="11"/>
  <c r="CN314" i="11"/>
  <c r="CN108" i="11"/>
  <c r="CN628" i="11"/>
  <c r="CN162" i="11"/>
  <c r="CN35" i="11"/>
  <c r="CN555" i="11"/>
  <c r="CN62" i="11"/>
  <c r="CN374" i="11"/>
  <c r="CN686" i="11"/>
  <c r="CN790" i="11"/>
  <c r="CN351" i="11"/>
  <c r="CN586" i="11"/>
  <c r="CN197" i="11"/>
  <c r="CN717" i="11"/>
  <c r="CN120" i="11"/>
  <c r="CN432" i="11"/>
  <c r="CN640" i="11"/>
  <c r="CN744" i="11"/>
  <c r="CN147" i="11"/>
  <c r="CN563" i="11"/>
  <c r="CN667" i="11"/>
  <c r="CN798" i="11"/>
  <c r="CN409" i="11"/>
  <c r="CN228" i="11"/>
  <c r="CN332" i="11"/>
  <c r="CN151" i="11"/>
  <c r="CN567" i="11"/>
  <c r="CN178" i="11"/>
  <c r="CN594" i="11"/>
  <c r="CN440" i="11"/>
  <c r="CN78" i="11"/>
  <c r="CN390" i="11"/>
  <c r="CN313" i="11"/>
  <c r="CN417" i="11"/>
  <c r="CN521" i="11"/>
  <c r="CN729" i="11"/>
  <c r="CN132" i="11"/>
  <c r="CN340" i="11"/>
  <c r="CN652" i="11"/>
  <c r="CN80" i="11"/>
  <c r="CN495" i="11"/>
  <c r="CN265" i="11"/>
  <c r="CN369" i="11"/>
  <c r="CN84" i="11"/>
  <c r="CN396" i="11"/>
  <c r="CN215" i="11"/>
  <c r="CN34" i="11"/>
  <c r="CN450" i="11"/>
  <c r="CN61" i="11"/>
  <c r="CN165" i="11"/>
  <c r="CN373" i="11"/>
  <c r="CN400" i="11"/>
  <c r="CN816" i="11"/>
  <c r="CN531" i="11"/>
  <c r="CN169" i="11"/>
  <c r="CN273" i="11"/>
  <c r="CN223" i="11"/>
  <c r="CN458" i="11"/>
  <c r="CN69" i="11"/>
  <c r="CN381" i="11"/>
  <c r="CN797" i="11"/>
  <c r="CN304" i="11"/>
  <c r="CN435" i="11"/>
  <c r="CN539" i="11"/>
  <c r="CN566" i="11"/>
  <c r="CN774" i="11"/>
  <c r="CN177" i="11"/>
  <c r="CN593" i="11"/>
  <c r="CN697" i="11"/>
  <c r="CN100" i="11"/>
  <c r="CN724" i="11"/>
  <c r="CN50" i="11"/>
  <c r="CN77" i="11"/>
  <c r="CN235" i="11"/>
  <c r="CN158" i="11"/>
  <c r="CN262" i="11"/>
  <c r="CN338" i="11"/>
  <c r="CN600" i="11"/>
  <c r="CN549" i="11"/>
  <c r="CN653" i="11"/>
  <c r="CN784" i="11"/>
  <c r="CN214" i="11"/>
  <c r="CN318" i="11"/>
  <c r="CN137" i="11"/>
  <c r="CN553" i="11"/>
  <c r="CN788" i="11"/>
  <c r="CN191" i="11"/>
  <c r="CN295" i="11"/>
  <c r="CN503" i="11"/>
  <c r="CN711" i="11"/>
  <c r="CN322" i="11"/>
  <c r="CN765" i="11"/>
  <c r="CN326" i="11"/>
  <c r="CN561" i="11"/>
  <c r="CN769" i="11"/>
  <c r="CN276" i="11"/>
  <c r="CN380" i="11"/>
  <c r="CN484" i="11"/>
  <c r="CN588" i="11"/>
  <c r="CN615" i="11"/>
  <c r="CN226" i="11"/>
  <c r="CN642" i="11"/>
  <c r="CN669" i="11"/>
  <c r="CN72" i="11"/>
  <c r="CN176" i="11"/>
  <c r="CN384" i="11"/>
  <c r="CN488" i="11"/>
  <c r="CN99" i="11"/>
  <c r="CN827" i="11"/>
  <c r="CN750" i="11"/>
  <c r="CN76" i="11"/>
  <c r="CN596" i="11"/>
  <c r="CN808" i="11"/>
  <c r="CN834" i="11"/>
  <c r="CN394" i="11"/>
  <c r="CN706" i="11"/>
  <c r="CN810" i="11"/>
  <c r="CN317" i="11"/>
  <c r="CN629" i="11"/>
  <c r="CN760" i="11"/>
  <c r="CN579" i="11"/>
  <c r="CN787" i="11"/>
  <c r="CN321" i="11"/>
  <c r="CN737" i="11"/>
  <c r="CN140" i="11"/>
  <c r="CN244" i="11"/>
  <c r="CN452" i="11"/>
  <c r="CN271" i="11"/>
  <c r="CN687" i="11"/>
  <c r="CN194" i="11"/>
  <c r="CN818" i="11"/>
  <c r="CN325" i="11"/>
  <c r="CN533" i="11"/>
  <c r="CN248" i="11"/>
  <c r="CN768" i="11"/>
  <c r="CN67" i="11"/>
  <c r="CN483" i="11"/>
  <c r="CN510" i="11"/>
  <c r="CN641" i="11"/>
  <c r="CN745" i="11"/>
  <c r="CN356" i="11"/>
  <c r="CN460" i="11"/>
  <c r="CN668" i="11"/>
  <c r="CN695" i="11"/>
  <c r="CN799" i="11"/>
  <c r="CN333" i="11"/>
  <c r="CN102" i="11"/>
  <c r="CN310" i="11"/>
  <c r="CN726" i="11"/>
  <c r="CN266" i="11"/>
  <c r="CN682" i="11"/>
  <c r="CN632" i="11"/>
  <c r="CN809" i="11"/>
  <c r="CN135" i="11"/>
  <c r="CN578" i="11"/>
  <c r="CN786" i="11"/>
  <c r="CN397" i="11"/>
  <c r="CN813" i="11"/>
  <c r="CN424" i="11"/>
  <c r="CN736" i="11"/>
  <c r="CN166" i="11"/>
  <c r="CN270" i="11"/>
  <c r="CN505" i="11"/>
  <c r="CM101" i="11"/>
  <c r="CF101" i="11"/>
  <c r="CB101" i="11"/>
  <c r="CN185" i="11"/>
  <c r="CN601" i="11"/>
  <c r="CN420" i="11"/>
  <c r="CN112" i="11"/>
  <c r="CN320" i="11"/>
  <c r="CN528" i="11"/>
  <c r="CN451" i="11"/>
  <c r="CN763" i="11"/>
  <c r="CN478" i="11"/>
  <c r="CN713" i="11"/>
  <c r="CN817" i="11"/>
  <c r="CN428" i="11"/>
  <c r="CN247" i="11"/>
  <c r="CN455" i="11"/>
  <c r="CN663" i="11"/>
  <c r="CN170" i="11"/>
  <c r="CN378" i="11"/>
  <c r="CN301" i="11"/>
  <c r="CN405" i="11"/>
  <c r="CN509" i="11"/>
  <c r="CN771" i="11"/>
  <c r="CN278" i="11"/>
  <c r="CN486" i="11"/>
  <c r="CN305" i="11"/>
  <c r="CN721" i="11"/>
  <c r="CN124" i="11"/>
  <c r="CN540" i="11"/>
  <c r="CN463" i="11"/>
  <c r="CN74" i="11"/>
  <c r="CN128" i="11"/>
  <c r="CN336" i="11"/>
  <c r="CN648" i="11"/>
  <c r="CN702" i="11"/>
  <c r="CN806" i="11"/>
  <c r="CN236" i="11"/>
  <c r="CN444" i="11"/>
  <c r="CN234" i="11"/>
  <c r="CN546" i="11"/>
  <c r="CN392" i="11"/>
  <c r="CN364" i="11"/>
  <c r="CN106" i="11"/>
  <c r="CN107" i="11"/>
  <c r="CN211" i="11"/>
  <c r="CN315" i="11"/>
  <c r="CN419" i="11"/>
  <c r="CN627" i="11"/>
  <c r="CN731" i="11"/>
  <c r="CN342" i="11"/>
  <c r="CN758" i="11"/>
  <c r="CN161" i="11"/>
  <c r="CN473" i="11"/>
  <c r="CN577" i="11"/>
  <c r="CN681" i="11"/>
  <c r="CN292" i="11"/>
  <c r="CN708" i="11"/>
  <c r="CN111" i="11"/>
  <c r="CN735" i="11"/>
  <c r="CN554" i="11"/>
  <c r="CN762" i="11"/>
  <c r="CN477" i="11"/>
  <c r="CN789" i="11"/>
  <c r="CN323" i="11"/>
  <c r="CN427" i="11"/>
  <c r="CN739" i="11"/>
  <c r="CN142" i="11"/>
  <c r="CN350" i="11"/>
  <c r="CN662" i="11"/>
  <c r="CN766" i="11"/>
  <c r="CN481" i="11"/>
  <c r="CN585" i="11"/>
  <c r="CN689" i="11"/>
  <c r="CN92" i="11"/>
  <c r="CN196" i="11"/>
  <c r="CN743" i="11"/>
  <c r="CN42" i="11"/>
  <c r="CN146" i="11"/>
  <c r="CN666" i="11"/>
  <c r="CN277" i="11"/>
  <c r="CN485" i="11"/>
  <c r="CN589" i="11"/>
  <c r="CN693" i="11"/>
  <c r="CN824" i="11"/>
  <c r="CN227" i="11"/>
  <c r="CN331" i="11"/>
  <c r="CN747" i="11"/>
  <c r="CN358" i="11"/>
  <c r="CN73" i="11"/>
  <c r="CN385" i="11"/>
  <c r="CN489" i="11"/>
  <c r="CN204" i="11"/>
  <c r="CN516" i="11"/>
  <c r="CN620" i="11"/>
  <c r="CN828" i="11"/>
  <c r="CN258" i="11"/>
  <c r="CN570" i="11"/>
  <c r="CN674" i="11"/>
  <c r="CN208" i="11"/>
  <c r="CN312" i="11"/>
  <c r="CN624" i="11"/>
  <c r="CN728" i="11"/>
  <c r="CN832" i="11"/>
  <c r="CN755" i="11"/>
  <c r="CN366" i="11"/>
  <c r="CN574" i="11"/>
  <c r="CN157" i="11"/>
  <c r="CN52" i="11"/>
  <c r="CN572" i="11"/>
  <c r="CN287" i="11"/>
  <c r="CN210" i="11"/>
  <c r="CN237" i="11"/>
  <c r="CN160" i="11"/>
  <c r="CN368" i="11"/>
  <c r="CN187" i="11"/>
  <c r="CN291" i="11"/>
  <c r="CN707" i="11"/>
  <c r="CN422" i="11"/>
  <c r="CN630" i="11"/>
  <c r="CN657" i="11"/>
  <c r="CN60" i="11"/>
  <c r="CN164" i="11"/>
  <c r="CN268" i="11"/>
  <c r="CN114" i="11"/>
  <c r="CN245" i="11"/>
  <c r="CN453" i="11"/>
  <c r="CN557" i="11"/>
  <c r="CN168" i="11"/>
  <c r="CN91" i="11"/>
  <c r="CN403" i="11"/>
  <c r="CN68" i="11"/>
  <c r="CN796" i="11"/>
  <c r="CN407" i="11"/>
  <c r="CN511" i="11"/>
  <c r="CN719" i="11"/>
  <c r="CN122" i="11"/>
  <c r="CN253" i="11"/>
  <c r="CN461" i="11"/>
  <c r="CN203" i="11"/>
  <c r="CN619" i="11"/>
  <c r="CN723" i="11"/>
  <c r="CN646" i="11"/>
  <c r="CN49" i="11"/>
  <c r="CN492" i="11"/>
  <c r="CN754" i="11"/>
  <c r="CN261" i="11"/>
  <c r="CN677" i="11"/>
  <c r="CN496" i="11"/>
  <c r="CN391" i="11"/>
  <c r="CN55" i="11"/>
  <c r="CN367" i="11"/>
  <c r="CN575" i="11"/>
  <c r="CN186" i="11"/>
  <c r="CN498" i="11"/>
  <c r="CN109" i="11"/>
  <c r="CN32" i="11"/>
  <c r="CN552" i="11"/>
  <c r="CN59" i="11"/>
  <c r="CN267" i="11"/>
  <c r="CN475" i="11"/>
  <c r="CN683" i="11"/>
  <c r="CN190" i="11"/>
  <c r="CN294" i="11"/>
  <c r="CN217" i="11"/>
  <c r="CN633" i="11"/>
  <c r="CN660" i="11"/>
  <c r="CN583" i="11"/>
  <c r="CN791" i="11"/>
  <c r="CN506" i="11"/>
  <c r="CN637" i="11"/>
  <c r="CN352" i="11"/>
  <c r="CN822" i="11"/>
  <c r="CN225" i="11"/>
  <c r="CN433" i="11"/>
  <c r="CN410" i="11"/>
  <c r="CN514" i="11"/>
  <c r="CN125" i="11"/>
  <c r="CN541" i="11"/>
  <c r="CN645" i="11"/>
  <c r="CN48" i="11"/>
  <c r="CN414" i="11"/>
  <c r="CN183" i="11"/>
  <c r="CN730" i="11"/>
  <c r="CN582" i="11"/>
  <c r="CN459" i="11"/>
  <c r="CN382" i="11"/>
  <c r="CN590" i="11"/>
  <c r="CN694" i="11"/>
  <c r="CN825" i="11"/>
  <c r="CN644" i="11"/>
  <c r="CN748" i="11"/>
  <c r="CN255" i="11"/>
  <c r="CN359" i="11"/>
  <c r="CN671" i="11"/>
  <c r="CN232" i="11"/>
  <c r="CN544" i="11"/>
  <c r="CN182" i="11"/>
  <c r="CN598" i="11"/>
  <c r="CN209" i="11"/>
  <c r="CN756" i="11"/>
  <c r="CN704" i="11"/>
  <c r="CN79" i="11"/>
  <c r="CN523" i="11"/>
  <c r="CN30" i="11"/>
  <c r="CN446" i="11"/>
  <c r="CN57" i="11"/>
  <c r="CN785" i="11"/>
  <c r="CN500" i="11"/>
  <c r="CN604" i="11"/>
  <c r="CN812" i="11"/>
  <c r="CN423" i="11"/>
  <c r="CN527" i="11"/>
  <c r="CN242" i="11"/>
  <c r="CN658" i="11"/>
  <c r="CN269" i="11"/>
  <c r="CN685" i="11"/>
  <c r="CN88" i="11"/>
  <c r="CN296" i="11"/>
  <c r="CN504" i="11"/>
  <c r="CN608" i="11"/>
  <c r="CN712" i="11"/>
  <c r="CN115" i="11"/>
  <c r="CN219" i="11"/>
  <c r="CN635" i="11"/>
  <c r="CN38" i="11"/>
  <c r="CN454" i="11"/>
  <c r="CN377" i="11"/>
  <c r="CN535" i="11"/>
  <c r="CN562" i="11"/>
  <c r="CN408" i="11"/>
  <c r="CN512" i="11"/>
  <c r="CN720" i="11"/>
  <c r="CN123" i="11"/>
  <c r="CN643" i="11"/>
  <c r="CN46" i="11"/>
  <c r="CN462" i="11"/>
  <c r="CN670" i="11"/>
  <c r="CN281" i="11"/>
  <c r="CN801" i="11"/>
  <c r="CN154" i="11"/>
  <c r="CN466" i="11"/>
  <c r="CN778" i="11"/>
  <c r="CN416" i="11"/>
  <c r="CN520" i="11"/>
  <c r="CN547" i="11"/>
  <c r="CN651" i="11"/>
  <c r="CN54" i="11"/>
  <c r="CN678" i="11"/>
  <c r="CN650" i="11"/>
  <c r="CN781" i="11"/>
  <c r="CN288" i="11"/>
  <c r="CN599" i="11"/>
  <c r="CN133" i="11"/>
  <c r="CN757" i="11"/>
  <c r="CN56" i="11"/>
  <c r="CN264" i="11"/>
  <c r="CN472" i="11"/>
  <c r="CN576" i="11"/>
  <c r="CN395" i="11"/>
  <c r="CN499" i="11"/>
  <c r="CN603" i="11"/>
  <c r="CN110" i="11"/>
  <c r="CN449" i="11"/>
  <c r="CN761" i="11"/>
  <c r="CN372" i="11"/>
  <c r="CN476" i="11"/>
  <c r="CN580" i="11"/>
  <c r="CN399" i="11"/>
  <c r="CN815" i="11"/>
  <c r="CN218" i="11"/>
  <c r="CN426" i="11"/>
  <c r="CN530" i="11"/>
  <c r="CN738" i="11"/>
  <c r="CN141" i="11"/>
  <c r="CN661" i="11"/>
  <c r="CN272" i="11"/>
  <c r="CN376" i="11"/>
  <c r="CN480" i="11"/>
  <c r="CN584" i="11"/>
  <c r="CN715" i="11"/>
  <c r="CN638" i="11"/>
  <c r="CN145" i="11"/>
  <c r="CN353" i="11"/>
  <c r="CN172" i="11"/>
  <c r="CN199" i="11"/>
  <c r="CN823" i="11"/>
  <c r="CN538" i="11"/>
  <c r="CN746" i="11"/>
  <c r="CN565" i="11"/>
  <c r="CN592" i="11"/>
  <c r="CN696" i="11"/>
  <c r="CN800" i="11"/>
  <c r="CN126" i="11"/>
  <c r="CN284" i="11"/>
  <c r="CN388" i="11"/>
  <c r="CN130" i="11"/>
  <c r="CN573" i="11"/>
  <c r="CN184" i="11"/>
  <c r="CN780" i="11"/>
  <c r="CN807" i="11"/>
  <c r="CN159" i="11"/>
  <c r="CN263" i="11"/>
  <c r="CN471" i="11"/>
  <c r="CN783" i="11"/>
  <c r="CN602" i="11"/>
  <c r="CN213" i="11"/>
  <c r="CN421" i="11"/>
  <c r="CN525" i="11"/>
  <c r="CN344" i="11"/>
  <c r="CN606" i="11"/>
  <c r="CN425" i="11"/>
  <c r="CN529" i="11"/>
  <c r="CN63" i="11"/>
  <c r="CN167" i="11"/>
  <c r="CN610" i="11"/>
  <c r="CN117" i="11"/>
  <c r="CN221" i="11"/>
  <c r="CN456" i="11"/>
  <c r="CN171" i="11"/>
  <c r="CN587" i="11"/>
  <c r="CN718" i="11"/>
  <c r="CN252" i="11"/>
  <c r="CN71" i="11"/>
  <c r="CN175" i="11"/>
  <c r="CN279" i="11"/>
  <c r="CN487" i="11"/>
  <c r="CN591" i="11"/>
  <c r="CN306" i="11"/>
  <c r="CN618" i="11"/>
  <c r="CN722" i="11"/>
  <c r="CN229" i="11"/>
  <c r="CN437" i="11"/>
  <c r="CN464" i="11"/>
  <c r="CN75" i="11"/>
  <c r="CN622" i="11"/>
  <c r="CN156" i="11"/>
  <c r="CN468" i="11"/>
  <c r="F63" i="2"/>
  <c r="K63" i="2"/>
  <c r="P68" i="2"/>
  <c r="F68" i="2"/>
  <c r="F69" i="2"/>
  <c r="K67" i="2"/>
  <c r="K66" i="2"/>
  <c r="F64" i="2"/>
  <c r="F62" i="2"/>
  <c r="K65" i="2"/>
  <c r="P57" i="2"/>
  <c r="P64" i="2"/>
  <c r="K69" i="2"/>
  <c r="K68" i="2"/>
  <c r="F67" i="2"/>
  <c r="F66" i="2"/>
  <c r="K64" i="2"/>
  <c r="K62" i="2"/>
  <c r="F65" i="2"/>
  <c r="CN129" i="11"/>
  <c r="CN103" i="11"/>
  <c r="BW155" i="11"/>
  <c r="BU181" i="11"/>
  <c r="CN101" i="11"/>
  <c r="BW127" i="11"/>
  <c r="BU153" i="11"/>
  <c r="BU114" i="11"/>
  <c r="BU130" i="11"/>
  <c r="BU146" i="11"/>
  <c r="BU158" i="11"/>
  <c r="BU265" i="11"/>
  <c r="BU273" i="11"/>
  <c r="BU365" i="11"/>
  <c r="BU275" i="11"/>
  <c r="BU323" i="11"/>
  <c r="BU118" i="11"/>
  <c r="BU134" i="11"/>
  <c r="BU150" i="11"/>
  <c r="BV189" i="11"/>
  <c r="BV185" i="11"/>
  <c r="BV235" i="11"/>
  <c r="BV225" i="11"/>
  <c r="BV201" i="11"/>
  <c r="BU122" i="11"/>
  <c r="BU138" i="11"/>
  <c r="BU154" i="11"/>
  <c r="BU331" i="11"/>
  <c r="BU267" i="11"/>
  <c r="BU289" i="11"/>
  <c r="BU110" i="11"/>
  <c r="BU126" i="11"/>
  <c r="BU142" i="11"/>
  <c r="BV181" i="11"/>
  <c r="BV197" i="11"/>
  <c r="BV205" i="11"/>
  <c r="BV193" i="11"/>
  <c r="BV217" i="11"/>
  <c r="BU269" i="11"/>
  <c r="BU281" i="11"/>
  <c r="BU303" i="11"/>
  <c r="A67" i="2"/>
  <c r="A64" i="2"/>
  <c r="A65" i="2" s="1"/>
  <c r="A63" i="2"/>
  <c r="A56" i="2"/>
  <c r="A57" i="2" s="1"/>
  <c r="A58" i="2" s="1"/>
  <c r="A59" i="2" s="1"/>
  <c r="A60" i="2" s="1"/>
  <c r="A61" i="2" s="1"/>
  <c r="A55" i="2"/>
  <c r="A7" i="2"/>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6" i="2"/>
  <c r="BW181" i="11" l="1"/>
  <c r="BU207" i="11"/>
  <c r="CA155" i="11"/>
  <c r="CC155" i="11"/>
  <c r="CB155" i="11"/>
  <c r="CD155" i="11"/>
  <c r="CI155" i="11"/>
  <c r="BY155" i="11"/>
  <c r="BX155" i="11"/>
  <c r="BZ155" i="11"/>
  <c r="CJ155" i="11"/>
  <c r="CL155" i="11"/>
  <c r="CG155" i="11"/>
  <c r="CK155" i="11"/>
  <c r="CF155" i="11"/>
  <c r="CH155" i="11"/>
  <c r="CM155" i="11"/>
  <c r="CE155" i="11"/>
  <c r="BW153" i="11"/>
  <c r="BU179" i="11"/>
  <c r="CB127" i="11"/>
  <c r="CF127" i="11"/>
  <c r="BX127" i="11"/>
  <c r="BY127" i="11"/>
  <c r="CJ127" i="11"/>
  <c r="CL127" i="11"/>
  <c r="CM127" i="11"/>
  <c r="CD127" i="11"/>
  <c r="BZ127" i="11"/>
  <c r="CE127" i="11"/>
  <c r="CH127" i="11"/>
  <c r="CK127" i="11"/>
  <c r="CG127" i="11"/>
  <c r="CI127" i="11"/>
  <c r="CC127" i="11"/>
  <c r="CA127" i="11"/>
  <c r="BV219" i="11"/>
  <c r="BU168" i="11"/>
  <c r="BU136" i="11"/>
  <c r="BU357" i="11"/>
  <c r="BU164" i="11"/>
  <c r="BV261" i="11"/>
  <c r="BU160" i="11"/>
  <c r="BU349" i="11"/>
  <c r="BU184" i="11"/>
  <c r="BU156" i="11"/>
  <c r="BU329" i="11"/>
  <c r="BV223" i="11"/>
  <c r="BV227" i="11"/>
  <c r="BU391" i="11"/>
  <c r="BU291" i="11"/>
  <c r="BU295" i="11"/>
  <c r="BV243" i="11"/>
  <c r="BU152" i="11"/>
  <c r="BU315" i="11"/>
  <c r="BU293" i="11"/>
  <c r="BU180" i="11"/>
  <c r="BU148" i="11"/>
  <c r="BV251" i="11"/>
  <c r="BV211" i="11"/>
  <c r="BU176" i="11"/>
  <c r="BU144" i="11"/>
  <c r="BU301" i="11"/>
  <c r="BU172" i="11"/>
  <c r="BU140" i="11"/>
  <c r="BU307" i="11"/>
  <c r="BV231" i="11"/>
  <c r="BV207" i="11"/>
  <c r="BV215" i="11"/>
  <c r="BU299" i="11"/>
  <c r="C53" i="8"/>
  <c r="B44" i="8"/>
  <c r="B49" i="8"/>
  <c r="B37" i="8"/>
  <c r="B26" i="8"/>
  <c r="B7" i="8"/>
  <c r="E73" i="7"/>
  <c r="E71" i="7"/>
  <c r="E69" i="7"/>
  <c r="H4" i="7"/>
  <c r="F4" i="7"/>
  <c r="E4" i="7"/>
  <c r="D4" i="7"/>
  <c r="C4" i="7"/>
  <c r="B4" i="7"/>
  <c r="D50" i="8"/>
  <c r="E49" i="8"/>
  <c r="D45" i="8"/>
  <c r="E44" i="8"/>
  <c r="D40" i="8"/>
  <c r="E39" i="8"/>
  <c r="D38" i="8"/>
  <c r="E37" i="8"/>
  <c r="E32" i="8"/>
  <c r="D31" i="8"/>
  <c r="E30" i="8"/>
  <c r="D29" i="8"/>
  <c r="E28" i="8"/>
  <c r="D27" i="8"/>
  <c r="E26" i="8"/>
  <c r="D22" i="8"/>
  <c r="E21" i="8"/>
  <c r="D20" i="8"/>
  <c r="E19" i="8"/>
  <c r="D18" i="8"/>
  <c r="E17" i="8"/>
  <c r="D16" i="8"/>
  <c r="E15" i="8"/>
  <c r="D14" i="8"/>
  <c r="E13" i="8"/>
  <c r="D12" i="8"/>
  <c r="E11" i="8"/>
  <c r="D10" i="8"/>
  <c r="E9" i="8"/>
  <c r="D8" i="8"/>
  <c r="E7" i="8"/>
  <c r="D102" i="7"/>
  <c r="E101" i="7"/>
  <c r="D100" i="7"/>
  <c r="E99" i="7"/>
  <c r="D99" i="7" s="1"/>
  <c r="D98" i="7"/>
  <c r="E97" i="7"/>
  <c r="D96" i="7"/>
  <c r="E95" i="7"/>
  <c r="D94" i="7"/>
  <c r="E93" i="7"/>
  <c r="D92" i="7"/>
  <c r="E91" i="7"/>
  <c r="D91" i="7" s="1"/>
  <c r="D90" i="7"/>
  <c r="E89" i="7"/>
  <c r="D88" i="7"/>
  <c r="E87" i="7"/>
  <c r="D86" i="7"/>
  <c r="E85" i="7"/>
  <c r="D84" i="7"/>
  <c r="E83" i="7"/>
  <c r="D83" i="7" s="1"/>
  <c r="D82" i="7"/>
  <c r="E81" i="7"/>
  <c r="D80" i="7"/>
  <c r="E79" i="7"/>
  <c r="D78" i="7"/>
  <c r="E77" i="7"/>
  <c r="D76" i="7"/>
  <c r="E75" i="7"/>
  <c r="D75" i="7" s="1"/>
  <c r="D74" i="7"/>
  <c r="D73" i="7"/>
  <c r="D72" i="7"/>
  <c r="D71" i="7"/>
  <c r="D70" i="7"/>
  <c r="D69" i="7"/>
  <c r="D68" i="7"/>
  <c r="E67" i="7"/>
  <c r="D67" i="7" s="1"/>
  <c r="D66" i="7"/>
  <c r="E65" i="7"/>
  <c r="D64" i="7"/>
  <c r="E63" i="7"/>
  <c r="D62" i="7"/>
  <c r="E61" i="7"/>
  <c r="D60" i="7"/>
  <c r="E59" i="7"/>
  <c r="D59" i="7" s="1"/>
  <c r="D58" i="7"/>
  <c r="E57" i="7"/>
  <c r="D56" i="7"/>
  <c r="E55" i="7"/>
  <c r="D54" i="7"/>
  <c r="E53" i="7"/>
  <c r="D52" i="7"/>
  <c r="E51" i="7"/>
  <c r="D51" i="7" s="1"/>
  <c r="D50" i="7"/>
  <c r="E49" i="7"/>
  <c r="D48" i="7"/>
  <c r="E47" i="7"/>
  <c r="D46" i="7"/>
  <c r="E45" i="7"/>
  <c r="D44" i="7"/>
  <c r="E43" i="7"/>
  <c r="D43" i="7" s="1"/>
  <c r="D42" i="7"/>
  <c r="E41" i="7"/>
  <c r="D40" i="7"/>
  <c r="E39" i="7"/>
  <c r="D38" i="7"/>
  <c r="E37" i="7"/>
  <c r="D36" i="7"/>
  <c r="E35" i="7"/>
  <c r="D35" i="7" s="1"/>
  <c r="D34" i="7"/>
  <c r="E33" i="7"/>
  <c r="D32" i="7"/>
  <c r="E31" i="7"/>
  <c r="D30" i="7"/>
  <c r="E29" i="7"/>
  <c r="D28" i="7"/>
  <c r="E27" i="7"/>
  <c r="D27" i="7" s="1"/>
  <c r="D26" i="7"/>
  <c r="E25" i="7"/>
  <c r="D24" i="7"/>
  <c r="E23" i="7"/>
  <c r="D22" i="7"/>
  <c r="E21" i="7"/>
  <c r="D20" i="7"/>
  <c r="E19" i="7"/>
  <c r="D19" i="7" s="1"/>
  <c r="D18" i="7"/>
  <c r="E17" i="7"/>
  <c r="D16" i="7"/>
  <c r="E15" i="7"/>
  <c r="D14" i="7"/>
  <c r="E13" i="7"/>
  <c r="D12" i="7"/>
  <c r="E11" i="7"/>
  <c r="D11" i="7" s="1"/>
  <c r="D10" i="7"/>
  <c r="E9" i="7"/>
  <c r="D8" i="7"/>
  <c r="A162" i="11"/>
  <c r="A161" i="11"/>
  <c r="A160" i="11"/>
  <c r="A159" i="11"/>
  <c r="A158" i="11"/>
  <c r="A157" i="11"/>
  <c r="A156" i="11"/>
  <c r="A155" i="11"/>
  <c r="A154" i="11"/>
  <c r="A153" i="11"/>
  <c r="A152" i="11"/>
  <c r="A151" i="11"/>
  <c r="A150" i="11"/>
  <c r="A149" i="11"/>
  <c r="A148" i="11"/>
  <c r="A147" i="11"/>
  <c r="A146" i="11"/>
  <c r="A145" i="11"/>
  <c r="A144" i="11"/>
  <c r="A143" i="11"/>
  <c r="A142" i="11"/>
  <c r="A141" i="11"/>
  <c r="A140" i="11"/>
  <c r="A139" i="11"/>
  <c r="A138" i="11"/>
  <c r="A137" i="11"/>
  <c r="A108" i="11"/>
  <c r="A107" i="11"/>
  <c r="A106" i="11"/>
  <c r="A105" i="11"/>
  <c r="A104" i="11"/>
  <c r="A103" i="11"/>
  <c r="A102" i="11"/>
  <c r="A101" i="11"/>
  <c r="A100" i="11"/>
  <c r="A99" i="11"/>
  <c r="A98" i="11"/>
  <c r="A97" i="11"/>
  <c r="A96" i="11"/>
  <c r="A95" i="11"/>
  <c r="A94" i="11"/>
  <c r="A93" i="11"/>
  <c r="A92" i="11"/>
  <c r="A91" i="11"/>
  <c r="A90" i="11"/>
  <c r="A89" i="11"/>
  <c r="A88" i="11"/>
  <c r="A87" i="11"/>
  <c r="A86" i="11"/>
  <c r="A85" i="11"/>
  <c r="A84" i="11"/>
  <c r="A83" i="11"/>
  <c r="A54" i="11"/>
  <c r="A53" i="11"/>
  <c r="A52" i="11"/>
  <c r="A51" i="11"/>
  <c r="A50" i="11"/>
  <c r="A49" i="11"/>
  <c r="A48" i="11"/>
  <c r="A47" i="11"/>
  <c r="A46" i="11"/>
  <c r="A45" i="11"/>
  <c r="A44" i="11"/>
  <c r="A43" i="11"/>
  <c r="A42" i="11"/>
  <c r="A41" i="11"/>
  <c r="A40" i="11"/>
  <c r="A39" i="11"/>
  <c r="A38" i="11"/>
  <c r="A37" i="11"/>
  <c r="A36" i="11"/>
  <c r="A35" i="11"/>
  <c r="A34" i="11"/>
  <c r="A33" i="11"/>
  <c r="A32" i="11"/>
  <c r="A31" i="11"/>
  <c r="A30" i="11"/>
  <c r="A29" i="11"/>
  <c r="BW25" i="11"/>
  <c r="BW24" i="11"/>
  <c r="BW23" i="11"/>
  <c r="BW22" i="11"/>
  <c r="BW21" i="11"/>
  <c r="BW20" i="11"/>
  <c r="AF45" i="11"/>
  <c r="AB45" i="11"/>
  <c r="X45" i="11"/>
  <c r="T45" i="11"/>
  <c r="P45" i="11"/>
  <c r="L45" i="11"/>
  <c r="H45" i="11"/>
  <c r="AE44" i="11"/>
  <c r="W44" i="11"/>
  <c r="O44" i="11"/>
  <c r="G44" i="11"/>
  <c r="BW18" i="11"/>
  <c r="AB43" i="11"/>
  <c r="T43" i="11"/>
  <c r="L43" i="11"/>
  <c r="B43" i="11"/>
  <c r="AD70" i="11"/>
  <c r="AD124" i="11" s="1"/>
  <c r="Z70" i="11"/>
  <c r="Z124" i="11" s="1"/>
  <c r="V70" i="11"/>
  <c r="V124" i="11" s="1"/>
  <c r="R70" i="11"/>
  <c r="R124" i="11" s="1"/>
  <c r="N70" i="11"/>
  <c r="N124" i="11" s="1"/>
  <c r="J70" i="11"/>
  <c r="J124" i="11" s="1"/>
  <c r="F70" i="11"/>
  <c r="F124" i="11" s="1"/>
  <c r="AD69" i="11"/>
  <c r="AD123" i="11" s="1"/>
  <c r="Z69" i="11"/>
  <c r="Z123" i="11" s="1"/>
  <c r="V69" i="11"/>
  <c r="V123" i="11" s="1"/>
  <c r="R69" i="11"/>
  <c r="R123" i="11" s="1"/>
  <c r="N69" i="11"/>
  <c r="N123" i="11" s="1"/>
  <c r="J69" i="11"/>
  <c r="J123" i="11" s="1"/>
  <c r="F69" i="11"/>
  <c r="F123" i="11" s="1"/>
  <c r="AD68" i="11"/>
  <c r="AD122" i="11" s="1"/>
  <c r="Z68" i="11"/>
  <c r="Z122" i="11" s="1"/>
  <c r="V68" i="11"/>
  <c r="V122" i="11" s="1"/>
  <c r="R68" i="11"/>
  <c r="R122" i="11" s="1"/>
  <c r="N68" i="11"/>
  <c r="N122" i="11" s="1"/>
  <c r="J68" i="11"/>
  <c r="J122" i="11" s="1"/>
  <c r="F68" i="11"/>
  <c r="F122" i="11" s="1"/>
  <c r="AD67" i="11"/>
  <c r="AD121" i="11" s="1"/>
  <c r="Z67" i="11"/>
  <c r="Z121" i="11" s="1"/>
  <c r="V67" i="11"/>
  <c r="V121" i="11" s="1"/>
  <c r="R67" i="11"/>
  <c r="R121" i="11" s="1"/>
  <c r="N67" i="11"/>
  <c r="N121" i="11" s="1"/>
  <c r="J67" i="11"/>
  <c r="J121" i="11" s="1"/>
  <c r="F67" i="11"/>
  <c r="F121" i="11" s="1"/>
  <c r="AD66" i="11"/>
  <c r="AD120" i="11" s="1"/>
  <c r="Z66" i="11"/>
  <c r="Z120" i="11" s="1"/>
  <c r="V66" i="11"/>
  <c r="V120" i="11" s="1"/>
  <c r="R66" i="11"/>
  <c r="R120" i="11" s="1"/>
  <c r="N66" i="11"/>
  <c r="N120" i="11" s="1"/>
  <c r="J66" i="11"/>
  <c r="J120" i="11" s="1"/>
  <c r="F66" i="11"/>
  <c r="F120" i="11" s="1"/>
  <c r="BW11" i="11"/>
  <c r="AD64" i="11"/>
  <c r="AD118" i="11" s="1"/>
  <c r="Z64" i="11"/>
  <c r="Z118" i="11" s="1"/>
  <c r="V64" i="11"/>
  <c r="V118" i="11" s="1"/>
  <c r="R64" i="11"/>
  <c r="R118" i="11" s="1"/>
  <c r="N64" i="11"/>
  <c r="N118" i="11" s="1"/>
  <c r="J64" i="11"/>
  <c r="J118" i="11" s="1"/>
  <c r="F64" i="11"/>
  <c r="F118" i="11" s="1"/>
  <c r="BW9" i="11"/>
  <c r="AD62" i="11"/>
  <c r="AD116" i="11" s="1"/>
  <c r="Z62" i="11"/>
  <c r="Z116" i="11" s="1"/>
  <c r="V62" i="11"/>
  <c r="V116" i="11" s="1"/>
  <c r="R62" i="11"/>
  <c r="R116" i="11" s="1"/>
  <c r="N62" i="11"/>
  <c r="N116" i="11" s="1"/>
  <c r="J62" i="11"/>
  <c r="J116" i="11" s="1"/>
  <c r="F62" i="11"/>
  <c r="F116" i="11" s="1"/>
  <c r="AD61" i="11"/>
  <c r="AD115" i="11" s="1"/>
  <c r="Z61" i="11"/>
  <c r="Z115" i="11" s="1"/>
  <c r="V61" i="11"/>
  <c r="V115" i="11" s="1"/>
  <c r="R61" i="11"/>
  <c r="R115" i="11" s="1"/>
  <c r="N61" i="11"/>
  <c r="N115" i="11" s="1"/>
  <c r="J61" i="11"/>
  <c r="J115" i="11" s="1"/>
  <c r="F61" i="11"/>
  <c r="F115" i="11" s="1"/>
  <c r="AD60" i="11"/>
  <c r="AD114" i="11" s="1"/>
  <c r="Z60" i="11"/>
  <c r="Z114" i="11" s="1"/>
  <c r="V60" i="11"/>
  <c r="V114" i="11" s="1"/>
  <c r="R60" i="11"/>
  <c r="R114" i="11" s="1"/>
  <c r="N60" i="11"/>
  <c r="N114" i="11" s="1"/>
  <c r="J60" i="11"/>
  <c r="J114" i="11" s="1"/>
  <c r="F60" i="11"/>
  <c r="F114" i="11" s="1"/>
  <c r="BW5" i="11"/>
  <c r="AD58" i="11"/>
  <c r="AD112" i="11" s="1"/>
  <c r="Z58" i="11"/>
  <c r="Z112" i="11" s="1"/>
  <c r="V58" i="11"/>
  <c r="V112" i="11" s="1"/>
  <c r="R58" i="11"/>
  <c r="R112" i="11" s="1"/>
  <c r="N58" i="11"/>
  <c r="N112" i="11" s="1"/>
  <c r="J58" i="11"/>
  <c r="J112" i="11" s="1"/>
  <c r="F58" i="11"/>
  <c r="F112" i="11" s="1"/>
  <c r="AD57" i="11"/>
  <c r="AD111" i="11" s="1"/>
  <c r="Z57" i="11"/>
  <c r="Z111" i="11" s="1"/>
  <c r="V57" i="11"/>
  <c r="V111" i="11" s="1"/>
  <c r="R57" i="11"/>
  <c r="R111" i="11" s="1"/>
  <c r="N57" i="11"/>
  <c r="N111" i="11" s="1"/>
  <c r="J57" i="11"/>
  <c r="J111" i="11" s="1"/>
  <c r="F57" i="11"/>
  <c r="F111" i="11" s="1"/>
  <c r="D49" i="8"/>
  <c r="D44" i="8"/>
  <c r="D39" i="8"/>
  <c r="D37" i="8"/>
  <c r="D32" i="8"/>
  <c r="D30" i="8"/>
  <c r="D26" i="8"/>
  <c r="D21" i="8"/>
  <c r="D19" i="8"/>
  <c r="D17" i="8"/>
  <c r="D15" i="8"/>
  <c r="D13" i="8"/>
  <c r="D11" i="8"/>
  <c r="D9" i="8"/>
  <c r="D7" i="8"/>
  <c r="D101" i="7"/>
  <c r="D97" i="7"/>
  <c r="D95" i="7"/>
  <c r="D93" i="7"/>
  <c r="D89" i="7"/>
  <c r="D87" i="7"/>
  <c r="D85" i="7"/>
  <c r="D81" i="7"/>
  <c r="D79" i="7"/>
  <c r="D77" i="7"/>
  <c r="D65" i="7"/>
  <c r="D63" i="7"/>
  <c r="D61" i="7"/>
  <c r="D57" i="7"/>
  <c r="D55" i="7"/>
  <c r="D53" i="7"/>
  <c r="D49" i="7"/>
  <c r="D47" i="7"/>
  <c r="D45" i="7"/>
  <c r="D41" i="7"/>
  <c r="D39" i="7"/>
  <c r="D37" i="7"/>
  <c r="D33" i="7"/>
  <c r="D31" i="7"/>
  <c r="D29" i="7"/>
  <c r="D25" i="7"/>
  <c r="D23" i="7"/>
  <c r="D21" i="7"/>
  <c r="D17" i="7"/>
  <c r="D15" i="7"/>
  <c r="D13" i="7"/>
  <c r="D9" i="7"/>
  <c r="B5" i="10"/>
  <c r="CL23" i="11" l="1"/>
  <c r="CH23" i="11"/>
  <c r="CD23" i="11"/>
  <c r="BZ23" i="11"/>
  <c r="CK23" i="11"/>
  <c r="CG23" i="11"/>
  <c r="CC23" i="11"/>
  <c r="BY23" i="11"/>
  <c r="CJ23" i="11"/>
  <c r="CF23" i="11"/>
  <c r="CB23" i="11"/>
  <c r="BX23" i="11"/>
  <c r="CM23" i="11"/>
  <c r="CI23" i="11"/>
  <c r="CE23" i="11"/>
  <c r="CA23" i="11"/>
  <c r="CK9" i="11"/>
  <c r="CG9" i="11"/>
  <c r="CC9" i="11"/>
  <c r="BY9" i="11"/>
  <c r="CJ9" i="11"/>
  <c r="CF9" i="11"/>
  <c r="CB9" i="11"/>
  <c r="BX9" i="11"/>
  <c r="CM9" i="11"/>
  <c r="CI9" i="11"/>
  <c r="CE9" i="11"/>
  <c r="CA9" i="11"/>
  <c r="CL9" i="11"/>
  <c r="CH9" i="11"/>
  <c r="CD9" i="11"/>
  <c r="BZ9" i="11"/>
  <c r="CL11" i="11"/>
  <c r="CK11" i="11"/>
  <c r="CG11" i="11"/>
  <c r="CC11" i="11"/>
  <c r="BY11" i="11"/>
  <c r="CJ11" i="11"/>
  <c r="CF11" i="11"/>
  <c r="CB11" i="11"/>
  <c r="BX11" i="11"/>
  <c r="CI11" i="11"/>
  <c r="CE11" i="11"/>
  <c r="CA11" i="11"/>
  <c r="CM11" i="11"/>
  <c r="CH11" i="11"/>
  <c r="CD11" i="11"/>
  <c r="BZ11" i="11"/>
  <c r="CL18" i="11"/>
  <c r="CH18" i="11"/>
  <c r="CD18" i="11"/>
  <c r="BZ18" i="11"/>
  <c r="CJ18" i="11"/>
  <c r="CF18" i="11"/>
  <c r="CB18" i="11"/>
  <c r="BX18" i="11"/>
  <c r="CM18" i="11"/>
  <c r="CI18" i="11"/>
  <c r="CE18" i="11"/>
  <c r="CA18" i="11"/>
  <c r="BY18" i="11"/>
  <c r="CK18" i="11"/>
  <c r="CG18" i="11"/>
  <c r="CC18" i="11"/>
  <c r="CL20" i="11"/>
  <c r="CH20" i="11"/>
  <c r="CD20" i="11"/>
  <c r="BZ20" i="11"/>
  <c r="CK20" i="11"/>
  <c r="CG20" i="11"/>
  <c r="CC20" i="11"/>
  <c r="BY20" i="11"/>
  <c r="CJ20" i="11"/>
  <c r="CF20" i="11"/>
  <c r="CB20" i="11"/>
  <c r="BX20" i="11"/>
  <c r="CM20" i="11"/>
  <c r="CI20" i="11"/>
  <c r="CE20" i="11"/>
  <c r="CA20" i="11"/>
  <c r="CL24" i="11"/>
  <c r="CH24" i="11"/>
  <c r="CD24" i="11"/>
  <c r="BZ24" i="11"/>
  <c r="CK24" i="11"/>
  <c r="CG24" i="11"/>
  <c r="CC24" i="11"/>
  <c r="BY24" i="11"/>
  <c r="CJ24" i="11"/>
  <c r="CF24" i="11"/>
  <c r="CB24" i="11"/>
  <c r="BX24" i="11"/>
  <c r="CM24" i="11"/>
  <c r="CI24" i="11"/>
  <c r="CE24" i="11"/>
  <c r="CA24" i="11"/>
  <c r="CL21" i="11"/>
  <c r="CH21" i="11"/>
  <c r="CD21" i="11"/>
  <c r="BZ21" i="11"/>
  <c r="CK21" i="11"/>
  <c r="CG21" i="11"/>
  <c r="CC21" i="11"/>
  <c r="BY21" i="11"/>
  <c r="CJ21" i="11"/>
  <c r="CF21" i="11"/>
  <c r="CB21" i="11"/>
  <c r="BX21" i="11"/>
  <c r="CM21" i="11"/>
  <c r="CI21" i="11"/>
  <c r="CE21" i="11"/>
  <c r="CA21" i="11"/>
  <c r="CL25" i="11"/>
  <c r="CH25" i="11"/>
  <c r="CD25" i="11"/>
  <c r="BZ25" i="11"/>
  <c r="CK25" i="11"/>
  <c r="CG25" i="11"/>
  <c r="CC25" i="11"/>
  <c r="BY25" i="11"/>
  <c r="CJ25" i="11"/>
  <c r="CF25" i="11"/>
  <c r="CB25" i="11"/>
  <c r="BX25" i="11"/>
  <c r="CM25" i="11"/>
  <c r="CI25" i="11"/>
  <c r="CE25" i="11"/>
  <c r="CA25" i="11"/>
  <c r="CK5" i="11"/>
  <c r="CG5" i="11"/>
  <c r="CC5" i="11"/>
  <c r="BY5" i="11"/>
  <c r="CM5" i="11"/>
  <c r="CE5" i="11"/>
  <c r="CJ5" i="11"/>
  <c r="CF5" i="11"/>
  <c r="CB5" i="11"/>
  <c r="BX5" i="11"/>
  <c r="CI5" i="11"/>
  <c r="CL5" i="11"/>
  <c r="CH5" i="11"/>
  <c r="CD5" i="11"/>
  <c r="BZ5" i="11"/>
  <c r="CA5" i="11"/>
  <c r="CL22" i="11"/>
  <c r="CH22" i="11"/>
  <c r="CD22" i="11"/>
  <c r="BZ22" i="11"/>
  <c r="CK22" i="11"/>
  <c r="CG22" i="11"/>
  <c r="CC22" i="11"/>
  <c r="BY22" i="11"/>
  <c r="CJ22" i="11"/>
  <c r="CF22" i="11"/>
  <c r="CB22" i="11"/>
  <c r="BX22" i="11"/>
  <c r="CM22" i="11"/>
  <c r="CI22" i="11"/>
  <c r="CE22" i="11"/>
  <c r="CA22" i="11"/>
  <c r="BU233" i="11"/>
  <c r="BW207" i="11"/>
  <c r="CN155" i="11"/>
  <c r="CM181" i="11"/>
  <c r="CK181" i="11"/>
  <c r="CE181" i="11"/>
  <c r="CF181" i="11"/>
  <c r="BZ181" i="11"/>
  <c r="CB181" i="11"/>
  <c r="CD181" i="11"/>
  <c r="BY181" i="11"/>
  <c r="CI181" i="11"/>
  <c r="BX181" i="11"/>
  <c r="CJ181" i="11"/>
  <c r="CL181" i="11"/>
  <c r="CC181" i="11"/>
  <c r="CH181" i="11"/>
  <c r="CG181" i="11"/>
  <c r="CA181" i="11"/>
  <c r="BW179" i="11"/>
  <c r="BU205" i="11"/>
  <c r="CN127" i="11"/>
  <c r="CI153" i="11"/>
  <c r="CJ153" i="11"/>
  <c r="CL153" i="11"/>
  <c r="CK153" i="11"/>
  <c r="CM153" i="11"/>
  <c r="CA153" i="11"/>
  <c r="CE153" i="11"/>
  <c r="CF153" i="11"/>
  <c r="CH153" i="11"/>
  <c r="CG153" i="11"/>
  <c r="BX153" i="11"/>
  <c r="BY153" i="11"/>
  <c r="CD153" i="11"/>
  <c r="BZ153" i="11"/>
  <c r="CC153" i="11"/>
  <c r="CB153" i="11"/>
  <c r="BU333" i="11"/>
  <c r="BU198" i="11"/>
  <c r="BU170" i="11"/>
  <c r="BU206" i="11"/>
  <c r="BU341" i="11"/>
  <c r="BU182" i="11"/>
  <c r="BU375" i="11"/>
  <c r="BU383" i="11"/>
  <c r="BU194" i="11"/>
  <c r="BU325" i="11"/>
  <c r="BV233" i="11"/>
  <c r="BV237" i="11"/>
  <c r="BV269" i="11"/>
  <c r="BU317" i="11"/>
  <c r="BV253" i="11"/>
  <c r="BV249" i="11"/>
  <c r="BV287" i="11"/>
  <c r="BU166" i="11"/>
  <c r="BU202" i="11"/>
  <c r="BU174" i="11"/>
  <c r="BU178" i="11"/>
  <c r="BU417" i="11"/>
  <c r="BU355" i="11"/>
  <c r="BU210" i="11"/>
  <c r="BU186" i="11"/>
  <c r="BU190" i="11"/>
  <c r="BU162" i="11"/>
  <c r="BV241" i="11"/>
  <c r="BV257" i="11"/>
  <c r="BU327" i="11"/>
  <c r="BV277" i="11"/>
  <c r="BU319" i="11"/>
  <c r="BU321" i="11"/>
  <c r="BV245" i="11"/>
  <c r="B58" i="11"/>
  <c r="B112" i="11" s="1"/>
  <c r="BW4" i="11"/>
  <c r="B61" i="11"/>
  <c r="B115" i="11" s="1"/>
  <c r="BW7" i="11"/>
  <c r="B67" i="11"/>
  <c r="B121" i="11" s="1"/>
  <c r="BW13" i="11"/>
  <c r="B62" i="11"/>
  <c r="B116" i="11" s="1"/>
  <c r="BW8" i="11"/>
  <c r="B68" i="11"/>
  <c r="B122" i="11" s="1"/>
  <c r="BW14" i="11"/>
  <c r="B70" i="11"/>
  <c r="B124" i="11" s="1"/>
  <c r="BW16" i="11"/>
  <c r="D45" i="11"/>
  <c r="BW19" i="11"/>
  <c r="B57" i="11"/>
  <c r="B111" i="11" s="1"/>
  <c r="BW3" i="11"/>
  <c r="B60" i="11"/>
  <c r="B114" i="11" s="1"/>
  <c r="BW6" i="11"/>
  <c r="B64" i="11"/>
  <c r="B118" i="11" s="1"/>
  <c r="BW10" i="11"/>
  <c r="B66" i="11"/>
  <c r="B120" i="11" s="1"/>
  <c r="BW12" i="11"/>
  <c r="B69" i="11"/>
  <c r="B123" i="11" s="1"/>
  <c r="BW15" i="11"/>
  <c r="D43" i="11"/>
  <c r="BW17" i="11"/>
  <c r="D28" i="8"/>
  <c r="E162" i="11"/>
  <c r="D136" i="11"/>
  <c r="C108" i="11"/>
  <c r="B108" i="11"/>
  <c r="D82" i="11"/>
  <c r="I162" i="11"/>
  <c r="H136" i="11"/>
  <c r="G108" i="11"/>
  <c r="F108" i="11"/>
  <c r="H82" i="11"/>
  <c r="M162" i="11"/>
  <c r="L136" i="11"/>
  <c r="K108" i="11"/>
  <c r="J108" i="11"/>
  <c r="L82" i="11"/>
  <c r="Q162" i="11"/>
  <c r="P136" i="11"/>
  <c r="O108" i="11"/>
  <c r="N108" i="11"/>
  <c r="P82" i="11"/>
  <c r="U162" i="11"/>
  <c r="T136" i="11"/>
  <c r="S108" i="11"/>
  <c r="R108" i="11"/>
  <c r="T82" i="11"/>
  <c r="Y162" i="11"/>
  <c r="X136" i="11"/>
  <c r="W108" i="11"/>
  <c r="V108" i="11"/>
  <c r="X82" i="11"/>
  <c r="AC162" i="11"/>
  <c r="AB136" i="11"/>
  <c r="AA108" i="11"/>
  <c r="Z108" i="11"/>
  <c r="AB82" i="11"/>
  <c r="AG162" i="11"/>
  <c r="AF136" i="11"/>
  <c r="AE108" i="11"/>
  <c r="AD108" i="11"/>
  <c r="AF82" i="11"/>
  <c r="BW28" i="11"/>
  <c r="M54" i="11"/>
  <c r="L54" i="11"/>
  <c r="J82" i="11"/>
  <c r="J136" i="11" s="1"/>
  <c r="K54" i="11"/>
  <c r="R82" i="11"/>
  <c r="R136" i="11" s="1"/>
  <c r="U54" i="11"/>
  <c r="T54" i="11"/>
  <c r="S54" i="11"/>
  <c r="AC54" i="11"/>
  <c r="AB54" i="11"/>
  <c r="Z82" i="11"/>
  <c r="Z136" i="11" s="1"/>
  <c r="AA54" i="11"/>
  <c r="D141" i="11"/>
  <c r="C141" i="11"/>
  <c r="B141" i="11"/>
  <c r="E115" i="11"/>
  <c r="E61" i="11"/>
  <c r="H141" i="11"/>
  <c r="G141" i="11"/>
  <c r="F141" i="11"/>
  <c r="I115" i="11"/>
  <c r="I61" i="11"/>
  <c r="L141" i="11"/>
  <c r="K141" i="11"/>
  <c r="J141" i="11"/>
  <c r="M115" i="11"/>
  <c r="M61" i="11"/>
  <c r="P141" i="11"/>
  <c r="O141" i="11"/>
  <c r="N141" i="11"/>
  <c r="Q115" i="11"/>
  <c r="Q61" i="11"/>
  <c r="T141" i="11"/>
  <c r="S141" i="11"/>
  <c r="R141" i="11"/>
  <c r="U115" i="11"/>
  <c r="U61" i="11"/>
  <c r="X141" i="11"/>
  <c r="W141" i="11"/>
  <c r="V141" i="11"/>
  <c r="Y115" i="11"/>
  <c r="Y61" i="11"/>
  <c r="AB141" i="11"/>
  <c r="AA141" i="11"/>
  <c r="Z141" i="11"/>
  <c r="AC115" i="11"/>
  <c r="AC61" i="11"/>
  <c r="AF141" i="11"/>
  <c r="AE141" i="11"/>
  <c r="AD141" i="11"/>
  <c r="AG115" i="11"/>
  <c r="AG61" i="11"/>
  <c r="B142" i="11"/>
  <c r="D142" i="11"/>
  <c r="C142" i="11"/>
  <c r="E116" i="11"/>
  <c r="E62" i="11"/>
  <c r="F142" i="11"/>
  <c r="H142" i="11"/>
  <c r="G142" i="11"/>
  <c r="I116" i="11"/>
  <c r="I62" i="11"/>
  <c r="J142" i="11"/>
  <c r="L142" i="11"/>
  <c r="K142" i="11"/>
  <c r="M116" i="11"/>
  <c r="M62" i="11"/>
  <c r="N142" i="11"/>
  <c r="P142" i="11"/>
  <c r="O142" i="11"/>
  <c r="Q116" i="11"/>
  <c r="Q62" i="11"/>
  <c r="R142" i="11"/>
  <c r="T142" i="11"/>
  <c r="S142" i="11"/>
  <c r="U116" i="11"/>
  <c r="U62" i="11"/>
  <c r="V142" i="11"/>
  <c r="X142" i="11"/>
  <c r="W142" i="11"/>
  <c r="Y116" i="11"/>
  <c r="Y62" i="11"/>
  <c r="Z142" i="11"/>
  <c r="AB142" i="11"/>
  <c r="AA142" i="11"/>
  <c r="AC116" i="11"/>
  <c r="AC62" i="11"/>
  <c r="AD142" i="11"/>
  <c r="AF142" i="11"/>
  <c r="AE142" i="11"/>
  <c r="AG116" i="11"/>
  <c r="AG62" i="11"/>
  <c r="B63" i="11"/>
  <c r="B117" i="11" s="1"/>
  <c r="D35" i="11"/>
  <c r="C35" i="11"/>
  <c r="E35" i="11"/>
  <c r="F63" i="11"/>
  <c r="F117" i="11" s="1"/>
  <c r="H35" i="11"/>
  <c r="G35" i="11"/>
  <c r="I35" i="11"/>
  <c r="J63" i="11"/>
  <c r="J117" i="11" s="1"/>
  <c r="L35" i="11"/>
  <c r="K35" i="11"/>
  <c r="M35" i="11"/>
  <c r="N63" i="11"/>
  <c r="N117" i="11" s="1"/>
  <c r="P35" i="11"/>
  <c r="O35" i="11"/>
  <c r="Q35" i="11"/>
  <c r="R63" i="11"/>
  <c r="R117" i="11" s="1"/>
  <c r="T35" i="11"/>
  <c r="S35" i="11"/>
  <c r="U35" i="11"/>
  <c r="V63" i="11"/>
  <c r="V117" i="11" s="1"/>
  <c r="X35" i="11"/>
  <c r="W35" i="11"/>
  <c r="Y35" i="11"/>
  <c r="Z63" i="11"/>
  <c r="Z117" i="11" s="1"/>
  <c r="AB35" i="11"/>
  <c r="AA35" i="11"/>
  <c r="AC35" i="11"/>
  <c r="AD63" i="11"/>
  <c r="AD117" i="11" s="1"/>
  <c r="AF35" i="11"/>
  <c r="AE35" i="11"/>
  <c r="AG35" i="11"/>
  <c r="E92" i="11"/>
  <c r="D92" i="11"/>
  <c r="C120" i="11"/>
  <c r="C66" i="11"/>
  <c r="B38" i="11"/>
  <c r="I92" i="11"/>
  <c r="H92" i="11"/>
  <c r="G120" i="11"/>
  <c r="G66" i="11"/>
  <c r="F38" i="11"/>
  <c r="M92" i="11"/>
  <c r="L92" i="11"/>
  <c r="K120" i="11"/>
  <c r="K66" i="11"/>
  <c r="J38" i="11"/>
  <c r="Q92" i="11"/>
  <c r="P92" i="11"/>
  <c r="O120" i="11"/>
  <c r="O66" i="11"/>
  <c r="N38" i="11"/>
  <c r="U92" i="11"/>
  <c r="T92" i="11"/>
  <c r="S120" i="11"/>
  <c r="S66" i="11"/>
  <c r="R38" i="11"/>
  <c r="Y92" i="11"/>
  <c r="X92" i="11"/>
  <c r="W120" i="11"/>
  <c r="W66" i="11"/>
  <c r="V38" i="11"/>
  <c r="AC92" i="11"/>
  <c r="AB92" i="11"/>
  <c r="AA120" i="11"/>
  <c r="AA66" i="11"/>
  <c r="Z38" i="11"/>
  <c r="AG92" i="11"/>
  <c r="AF92" i="11"/>
  <c r="AE120" i="11"/>
  <c r="AE66" i="11"/>
  <c r="AD38" i="11"/>
  <c r="D147" i="11"/>
  <c r="C147" i="11"/>
  <c r="B147" i="11"/>
  <c r="E121" i="11"/>
  <c r="E67" i="11"/>
  <c r="H147" i="11"/>
  <c r="G147" i="11"/>
  <c r="F147" i="11"/>
  <c r="I121" i="11"/>
  <c r="I67" i="11"/>
  <c r="L147" i="11"/>
  <c r="K147" i="11"/>
  <c r="J147" i="11"/>
  <c r="M121" i="11"/>
  <c r="M67" i="11"/>
  <c r="P147" i="11"/>
  <c r="O147" i="11"/>
  <c r="N147" i="11"/>
  <c r="Q121" i="11"/>
  <c r="Q67" i="11"/>
  <c r="T147" i="11"/>
  <c r="S147" i="11"/>
  <c r="R147" i="11"/>
  <c r="U121" i="11"/>
  <c r="U67" i="11"/>
  <c r="X147" i="11"/>
  <c r="W147" i="11"/>
  <c r="V147" i="11"/>
  <c r="Y121" i="11"/>
  <c r="Y67" i="11"/>
  <c r="AB147" i="11"/>
  <c r="AA147" i="11"/>
  <c r="Z147" i="11"/>
  <c r="AC121" i="11"/>
  <c r="AC67" i="11"/>
  <c r="AF147" i="11"/>
  <c r="AE147" i="11"/>
  <c r="AD147" i="11"/>
  <c r="AG121" i="11"/>
  <c r="AG67" i="11"/>
  <c r="G52" i="11"/>
  <c r="F80" i="11"/>
  <c r="F134" i="11" s="1"/>
  <c r="I52" i="11"/>
  <c r="H52" i="11"/>
  <c r="W52" i="11"/>
  <c r="V80" i="11"/>
  <c r="V134" i="11" s="1"/>
  <c r="Y52" i="11"/>
  <c r="X52" i="11"/>
  <c r="AE52" i="11"/>
  <c r="AG52" i="11"/>
  <c r="AD80" i="11"/>
  <c r="AD134" i="11" s="1"/>
  <c r="AF52" i="11"/>
  <c r="Q53" i="11"/>
  <c r="N81" i="11"/>
  <c r="N135" i="11" s="1"/>
  <c r="P53" i="11"/>
  <c r="O53" i="11"/>
  <c r="V81" i="11"/>
  <c r="V135" i="11" s="1"/>
  <c r="Y53" i="11"/>
  <c r="X53" i="11"/>
  <c r="W53" i="11"/>
  <c r="AG53" i="11"/>
  <c r="AD81" i="11"/>
  <c r="AD135" i="11" s="1"/>
  <c r="AF53" i="11"/>
  <c r="AE53" i="11"/>
  <c r="I54" i="11"/>
  <c r="F82" i="11"/>
  <c r="F136" i="11" s="1"/>
  <c r="H54" i="11"/>
  <c r="G54" i="11"/>
  <c r="Q54" i="11"/>
  <c r="P54" i="11"/>
  <c r="O54" i="11"/>
  <c r="N82" i="11"/>
  <c r="N136" i="11" s="1"/>
  <c r="Y54" i="11"/>
  <c r="V82" i="11"/>
  <c r="V136" i="11" s="1"/>
  <c r="X54" i="11"/>
  <c r="W54" i="11"/>
  <c r="AG54" i="11"/>
  <c r="AF54" i="11"/>
  <c r="AE54" i="11"/>
  <c r="AD82" i="11"/>
  <c r="AD136" i="11" s="1"/>
  <c r="B162" i="11"/>
  <c r="E136" i="11"/>
  <c r="D162" i="11"/>
  <c r="C162" i="11"/>
  <c r="E82" i="11"/>
  <c r="F162" i="11"/>
  <c r="I136" i="11"/>
  <c r="H162" i="11"/>
  <c r="G162" i="11"/>
  <c r="I82" i="11"/>
  <c r="J162" i="11"/>
  <c r="M136" i="11"/>
  <c r="L162" i="11"/>
  <c r="K162" i="11"/>
  <c r="M82" i="11"/>
  <c r="N162" i="11"/>
  <c r="Q136" i="11"/>
  <c r="P162" i="11"/>
  <c r="O162" i="11"/>
  <c r="Q82" i="11"/>
  <c r="S162" i="11"/>
  <c r="R162" i="11"/>
  <c r="T162" i="11"/>
  <c r="U136" i="11"/>
  <c r="U82" i="11"/>
  <c r="W162" i="11"/>
  <c r="V162" i="11"/>
  <c r="X162" i="11"/>
  <c r="Y136" i="11"/>
  <c r="Y82" i="11"/>
  <c r="AA162" i="11"/>
  <c r="Z162" i="11"/>
  <c r="AB162" i="11"/>
  <c r="AC136" i="11"/>
  <c r="AC82" i="11"/>
  <c r="AE162" i="11"/>
  <c r="AD162" i="11"/>
  <c r="AF162" i="11"/>
  <c r="AG136" i="11"/>
  <c r="AG82" i="11"/>
  <c r="D137" i="11"/>
  <c r="C137" i="11"/>
  <c r="B137" i="11"/>
  <c r="E111" i="11"/>
  <c r="E57" i="11"/>
  <c r="H137" i="11"/>
  <c r="G137" i="11"/>
  <c r="F137" i="11"/>
  <c r="I111" i="11"/>
  <c r="I57" i="11"/>
  <c r="L137" i="11"/>
  <c r="K137" i="11"/>
  <c r="J137" i="11"/>
  <c r="M111" i="11"/>
  <c r="M57" i="11"/>
  <c r="P137" i="11"/>
  <c r="O137" i="11"/>
  <c r="N137" i="11"/>
  <c r="Q111" i="11"/>
  <c r="Q57" i="11"/>
  <c r="T137" i="11"/>
  <c r="S137" i="11"/>
  <c r="R137" i="11"/>
  <c r="U111" i="11"/>
  <c r="U57" i="11"/>
  <c r="X137" i="11"/>
  <c r="W137" i="11"/>
  <c r="V137" i="11"/>
  <c r="Y111" i="11"/>
  <c r="Y57" i="11"/>
  <c r="AB137" i="11"/>
  <c r="AA137" i="11"/>
  <c r="Z137" i="11"/>
  <c r="AC111" i="11"/>
  <c r="AC57" i="11"/>
  <c r="AF137" i="11"/>
  <c r="AE137" i="11"/>
  <c r="AD137" i="11"/>
  <c r="AG111" i="11"/>
  <c r="AG57" i="11"/>
  <c r="E84" i="11"/>
  <c r="D84" i="11"/>
  <c r="C112" i="11"/>
  <c r="C58" i="11"/>
  <c r="B30" i="11"/>
  <c r="I84" i="11"/>
  <c r="H84" i="11"/>
  <c r="G112" i="11"/>
  <c r="G58" i="11"/>
  <c r="F30" i="11"/>
  <c r="M84" i="11"/>
  <c r="L84" i="11"/>
  <c r="K112" i="11"/>
  <c r="K58" i="11"/>
  <c r="J30" i="11"/>
  <c r="Q84" i="11"/>
  <c r="P84" i="11"/>
  <c r="O112" i="11"/>
  <c r="O58" i="11"/>
  <c r="N30" i="11"/>
  <c r="U84" i="11"/>
  <c r="T84" i="11"/>
  <c r="S112" i="11"/>
  <c r="S58" i="11"/>
  <c r="R30" i="11"/>
  <c r="Y84" i="11"/>
  <c r="X84" i="11"/>
  <c r="W112" i="11"/>
  <c r="W58" i="11"/>
  <c r="V30" i="11"/>
  <c r="AC84" i="11"/>
  <c r="AB84" i="11"/>
  <c r="AA112" i="11"/>
  <c r="AA58" i="11"/>
  <c r="Z30" i="11"/>
  <c r="AG84" i="11"/>
  <c r="AF84" i="11"/>
  <c r="AE112" i="11"/>
  <c r="AE58" i="11"/>
  <c r="AD30" i="11"/>
  <c r="B59" i="11"/>
  <c r="B113" i="11" s="1"/>
  <c r="D31" i="11"/>
  <c r="C31" i="11"/>
  <c r="E31" i="11"/>
  <c r="F59" i="11"/>
  <c r="F113" i="11" s="1"/>
  <c r="H31" i="11"/>
  <c r="G31" i="11"/>
  <c r="I31" i="11"/>
  <c r="J59" i="11"/>
  <c r="J113" i="11" s="1"/>
  <c r="L31" i="11"/>
  <c r="K31" i="11"/>
  <c r="M31" i="11"/>
  <c r="N59" i="11"/>
  <c r="N113" i="11" s="1"/>
  <c r="P31" i="11"/>
  <c r="O31" i="11"/>
  <c r="Q31" i="11"/>
  <c r="R59" i="11"/>
  <c r="R113" i="11" s="1"/>
  <c r="T31" i="11"/>
  <c r="S31" i="11"/>
  <c r="U31" i="11"/>
  <c r="V59" i="11"/>
  <c r="V113" i="11" s="1"/>
  <c r="X31" i="11"/>
  <c r="W31" i="11"/>
  <c r="Y31" i="11"/>
  <c r="Z59" i="11"/>
  <c r="Z113" i="11" s="1"/>
  <c r="AB31" i="11"/>
  <c r="AA31" i="11"/>
  <c r="AC31" i="11"/>
  <c r="AD59" i="11"/>
  <c r="AD113" i="11" s="1"/>
  <c r="AF31" i="11"/>
  <c r="AE31" i="11"/>
  <c r="AG31" i="11"/>
  <c r="B144" i="11"/>
  <c r="D144" i="11"/>
  <c r="C144" i="11"/>
  <c r="E118" i="11"/>
  <c r="E64" i="11"/>
  <c r="F144" i="11"/>
  <c r="H144" i="11"/>
  <c r="G144" i="11"/>
  <c r="I118" i="11"/>
  <c r="I64" i="11"/>
  <c r="J144" i="11"/>
  <c r="L144" i="11"/>
  <c r="K144" i="11"/>
  <c r="M118" i="11"/>
  <c r="M64" i="11"/>
  <c r="N144" i="11"/>
  <c r="P144" i="11"/>
  <c r="O144" i="11"/>
  <c r="Q118" i="11"/>
  <c r="Q64" i="11"/>
  <c r="R144" i="11"/>
  <c r="T144" i="11"/>
  <c r="S144" i="11"/>
  <c r="U118" i="11"/>
  <c r="U64" i="11"/>
  <c r="V144" i="11"/>
  <c r="X144" i="11"/>
  <c r="W144" i="11"/>
  <c r="Y118" i="11"/>
  <c r="Y64" i="11"/>
  <c r="Z144" i="11"/>
  <c r="AB144" i="11"/>
  <c r="AA144" i="11"/>
  <c r="AC118" i="11"/>
  <c r="AC64" i="11"/>
  <c r="AD144" i="11"/>
  <c r="AF144" i="11"/>
  <c r="AE144" i="11"/>
  <c r="AG118" i="11"/>
  <c r="AG64" i="11"/>
  <c r="B65" i="11"/>
  <c r="B119" i="11" s="1"/>
  <c r="E37" i="11"/>
  <c r="D37" i="11"/>
  <c r="C37" i="11"/>
  <c r="F65" i="11"/>
  <c r="F119" i="11" s="1"/>
  <c r="I37" i="11"/>
  <c r="H37" i="11"/>
  <c r="G37" i="11"/>
  <c r="J65" i="11"/>
  <c r="J119" i="11" s="1"/>
  <c r="M37" i="11"/>
  <c r="L37" i="11"/>
  <c r="K37" i="11"/>
  <c r="N65" i="11"/>
  <c r="N119" i="11" s="1"/>
  <c r="Q37" i="11"/>
  <c r="P37" i="11"/>
  <c r="O37" i="11"/>
  <c r="R65" i="11"/>
  <c r="R119" i="11" s="1"/>
  <c r="U37" i="11"/>
  <c r="T37" i="11"/>
  <c r="S37" i="11"/>
  <c r="V65" i="11"/>
  <c r="V119" i="11" s="1"/>
  <c r="Y37" i="11"/>
  <c r="X37" i="11"/>
  <c r="W37" i="11"/>
  <c r="Z65" i="11"/>
  <c r="Z119" i="11" s="1"/>
  <c r="AC37" i="11"/>
  <c r="AB37" i="11"/>
  <c r="AA37" i="11"/>
  <c r="AD65" i="11"/>
  <c r="AD119" i="11" s="1"/>
  <c r="AG37" i="11"/>
  <c r="AF37" i="11"/>
  <c r="AE37" i="11"/>
  <c r="C122" i="11"/>
  <c r="E94" i="11"/>
  <c r="D94" i="11"/>
  <c r="C68" i="11"/>
  <c r="B40" i="11"/>
  <c r="G122" i="11"/>
  <c r="I94" i="11"/>
  <c r="H94" i="11"/>
  <c r="G68" i="11"/>
  <c r="F40" i="11"/>
  <c r="K122" i="11"/>
  <c r="M94" i="11"/>
  <c r="L94" i="11"/>
  <c r="K68" i="11"/>
  <c r="J40" i="11"/>
  <c r="O122" i="11"/>
  <c r="Q94" i="11"/>
  <c r="P94" i="11"/>
  <c r="O68" i="11"/>
  <c r="N40" i="11"/>
  <c r="S122" i="11"/>
  <c r="U94" i="11"/>
  <c r="T94" i="11"/>
  <c r="S68" i="11"/>
  <c r="R40" i="11"/>
  <c r="W122" i="11"/>
  <c r="Y94" i="11"/>
  <c r="X94" i="11"/>
  <c r="W68" i="11"/>
  <c r="V40" i="11"/>
  <c r="AA122" i="11"/>
  <c r="AC94" i="11"/>
  <c r="AB94" i="11"/>
  <c r="AA68" i="11"/>
  <c r="Z40" i="11"/>
  <c r="AE122" i="11"/>
  <c r="AG94" i="11"/>
  <c r="AF94" i="11"/>
  <c r="AE68" i="11"/>
  <c r="AD40" i="11"/>
  <c r="B140" i="11"/>
  <c r="D140" i="11"/>
  <c r="C140" i="11"/>
  <c r="E114" i="11"/>
  <c r="E60" i="11"/>
  <c r="F140" i="11"/>
  <c r="H140" i="11"/>
  <c r="G140" i="11"/>
  <c r="I114" i="11"/>
  <c r="I60" i="11"/>
  <c r="J140" i="11"/>
  <c r="L140" i="11"/>
  <c r="K140" i="11"/>
  <c r="M114" i="11"/>
  <c r="M60" i="11"/>
  <c r="N140" i="11"/>
  <c r="P140" i="11"/>
  <c r="O140" i="11"/>
  <c r="Q114" i="11"/>
  <c r="Q60" i="11"/>
  <c r="R140" i="11"/>
  <c r="T140" i="11"/>
  <c r="S140" i="11"/>
  <c r="U114" i="11"/>
  <c r="U60" i="11"/>
  <c r="V140" i="11"/>
  <c r="X140" i="11"/>
  <c r="W140" i="11"/>
  <c r="Y114" i="11"/>
  <c r="Y60" i="11"/>
  <c r="Z140" i="11"/>
  <c r="AB140" i="11"/>
  <c r="AA140" i="11"/>
  <c r="AC114" i="11"/>
  <c r="AC60" i="11"/>
  <c r="AD140" i="11"/>
  <c r="AF140" i="11"/>
  <c r="AE140" i="11"/>
  <c r="AG114" i="11"/>
  <c r="AG60" i="11"/>
  <c r="C114" i="11"/>
  <c r="E86" i="11"/>
  <c r="D86" i="11"/>
  <c r="C60" i="11"/>
  <c r="B32" i="11"/>
  <c r="G114" i="11"/>
  <c r="I86" i="11"/>
  <c r="G60" i="11"/>
  <c r="H86" i="11"/>
  <c r="F32" i="11"/>
  <c r="K114" i="11"/>
  <c r="M86" i="11"/>
  <c r="K60" i="11"/>
  <c r="L86" i="11"/>
  <c r="J32" i="11"/>
  <c r="O114" i="11"/>
  <c r="Q86" i="11"/>
  <c r="O60" i="11"/>
  <c r="P86" i="11"/>
  <c r="N32" i="11"/>
  <c r="S114" i="11"/>
  <c r="U86" i="11"/>
  <c r="T86" i="11"/>
  <c r="S60" i="11"/>
  <c r="R32" i="11"/>
  <c r="W114" i="11"/>
  <c r="Y86" i="11"/>
  <c r="W60" i="11"/>
  <c r="X86" i="11"/>
  <c r="V32" i="11"/>
  <c r="AA114" i="11"/>
  <c r="AC86" i="11"/>
  <c r="AA60" i="11"/>
  <c r="AB86" i="11"/>
  <c r="Z32" i="11"/>
  <c r="AE114" i="11"/>
  <c r="AG86" i="11"/>
  <c r="AE60" i="11"/>
  <c r="AF86" i="11"/>
  <c r="AD32" i="11"/>
  <c r="D87" i="11"/>
  <c r="C115" i="11"/>
  <c r="E87" i="11"/>
  <c r="C61" i="11"/>
  <c r="B33" i="11"/>
  <c r="H87" i="11"/>
  <c r="G115" i="11"/>
  <c r="I87" i="11"/>
  <c r="G61" i="11"/>
  <c r="F33" i="11"/>
  <c r="L87" i="11"/>
  <c r="K115" i="11"/>
  <c r="M87" i="11"/>
  <c r="K61" i="11"/>
  <c r="J33" i="11"/>
  <c r="P87" i="11"/>
  <c r="O115" i="11"/>
  <c r="O61" i="11"/>
  <c r="Q87" i="11"/>
  <c r="N33" i="11"/>
  <c r="T87" i="11"/>
  <c r="S115" i="11"/>
  <c r="U87" i="11"/>
  <c r="S61" i="11"/>
  <c r="R33" i="11"/>
  <c r="X87" i="11"/>
  <c r="W115" i="11"/>
  <c r="Y87" i="11"/>
  <c r="W61" i="11"/>
  <c r="V33" i="11"/>
  <c r="AB87" i="11"/>
  <c r="AA115" i="11"/>
  <c r="AC87" i="11"/>
  <c r="AA61" i="11"/>
  <c r="Z33" i="11"/>
  <c r="AF87" i="11"/>
  <c r="AE115" i="11"/>
  <c r="AE61" i="11"/>
  <c r="AG87" i="11"/>
  <c r="AD33" i="11"/>
  <c r="E88" i="11"/>
  <c r="D88" i="11"/>
  <c r="C116" i="11"/>
  <c r="C62" i="11"/>
  <c r="B34" i="11"/>
  <c r="I88" i="11"/>
  <c r="H88" i="11"/>
  <c r="G116" i="11"/>
  <c r="G62" i="11"/>
  <c r="F34" i="11"/>
  <c r="M88" i="11"/>
  <c r="L88" i="11"/>
  <c r="K116" i="11"/>
  <c r="K62" i="11"/>
  <c r="J34" i="11"/>
  <c r="Q88" i="11"/>
  <c r="P88" i="11"/>
  <c r="O116" i="11"/>
  <c r="O62" i="11"/>
  <c r="N34" i="11"/>
  <c r="U88" i="11"/>
  <c r="T88" i="11"/>
  <c r="S116" i="11"/>
  <c r="S62" i="11"/>
  <c r="R34" i="11"/>
  <c r="Y88" i="11"/>
  <c r="X88" i="11"/>
  <c r="W116" i="11"/>
  <c r="W62" i="11"/>
  <c r="V34" i="11"/>
  <c r="AC88" i="11"/>
  <c r="AB88" i="11"/>
  <c r="AA116" i="11"/>
  <c r="AA62" i="11"/>
  <c r="Z34" i="11"/>
  <c r="AG88" i="11"/>
  <c r="AF88" i="11"/>
  <c r="AE116" i="11"/>
  <c r="AE62" i="11"/>
  <c r="AD34" i="11"/>
  <c r="E143" i="11"/>
  <c r="D117" i="11"/>
  <c r="C89" i="11"/>
  <c r="D63" i="11"/>
  <c r="B89" i="11"/>
  <c r="I143" i="11"/>
  <c r="H117" i="11"/>
  <c r="G89" i="11"/>
  <c r="H63" i="11"/>
  <c r="F89" i="11"/>
  <c r="M143" i="11"/>
  <c r="L117" i="11"/>
  <c r="K89" i="11"/>
  <c r="J89" i="11"/>
  <c r="L63" i="11"/>
  <c r="Q143" i="11"/>
  <c r="P117" i="11"/>
  <c r="O89" i="11"/>
  <c r="N89" i="11"/>
  <c r="P63" i="11"/>
  <c r="U143" i="11"/>
  <c r="T117" i="11"/>
  <c r="S89" i="11"/>
  <c r="T63" i="11"/>
  <c r="R89" i="11"/>
  <c r="Y143" i="11"/>
  <c r="X117" i="11"/>
  <c r="W89" i="11"/>
  <c r="X63" i="11"/>
  <c r="V89" i="11"/>
  <c r="AC143" i="11"/>
  <c r="AB117" i="11"/>
  <c r="AA89" i="11"/>
  <c r="Z89" i="11"/>
  <c r="AB63" i="11"/>
  <c r="AG143" i="11"/>
  <c r="AF117" i="11"/>
  <c r="AE89" i="11"/>
  <c r="AD89" i="11"/>
  <c r="AF63" i="11"/>
  <c r="B146" i="11"/>
  <c r="D146" i="11"/>
  <c r="C146" i="11"/>
  <c r="E120" i="11"/>
  <c r="E66" i="11"/>
  <c r="F146" i="11"/>
  <c r="H146" i="11"/>
  <c r="G146" i="11"/>
  <c r="I120" i="11"/>
  <c r="I66" i="11"/>
  <c r="J146" i="11"/>
  <c r="L146" i="11"/>
  <c r="K146" i="11"/>
  <c r="M120" i="11"/>
  <c r="M66" i="11"/>
  <c r="N146" i="11"/>
  <c r="P146" i="11"/>
  <c r="O146" i="11"/>
  <c r="Q120" i="11"/>
  <c r="Q66" i="11"/>
  <c r="R146" i="11"/>
  <c r="T146" i="11"/>
  <c r="S146" i="11"/>
  <c r="U120" i="11"/>
  <c r="U66" i="11"/>
  <c r="V146" i="11"/>
  <c r="X146" i="11"/>
  <c r="W146" i="11"/>
  <c r="Y120" i="11"/>
  <c r="Y66" i="11"/>
  <c r="Z146" i="11"/>
  <c r="AB146" i="11"/>
  <c r="AA146" i="11"/>
  <c r="AC120" i="11"/>
  <c r="AC66" i="11"/>
  <c r="AD146" i="11"/>
  <c r="AF146" i="11"/>
  <c r="AE146" i="11"/>
  <c r="AG120" i="11"/>
  <c r="AG66" i="11"/>
  <c r="E93" i="11"/>
  <c r="D93" i="11"/>
  <c r="C121" i="11"/>
  <c r="C67" i="11"/>
  <c r="B39" i="11"/>
  <c r="I93" i="11"/>
  <c r="H93" i="11"/>
  <c r="G121" i="11"/>
  <c r="G67" i="11"/>
  <c r="F39" i="11"/>
  <c r="M93" i="11"/>
  <c r="L93" i="11"/>
  <c r="K121" i="11"/>
  <c r="K67" i="11"/>
  <c r="J39" i="11"/>
  <c r="Q93" i="11"/>
  <c r="P93" i="11"/>
  <c r="O121" i="11"/>
  <c r="O67" i="11"/>
  <c r="N39" i="11"/>
  <c r="U93" i="11"/>
  <c r="T93" i="11"/>
  <c r="S121" i="11"/>
  <c r="S67" i="11"/>
  <c r="R39" i="11"/>
  <c r="Y93" i="11"/>
  <c r="X93" i="11"/>
  <c r="W121" i="11"/>
  <c r="W67" i="11"/>
  <c r="V39" i="11"/>
  <c r="AC93" i="11"/>
  <c r="AB93" i="11"/>
  <c r="AA121" i="11"/>
  <c r="AA67" i="11"/>
  <c r="Z39" i="11"/>
  <c r="AG93" i="11"/>
  <c r="AF93" i="11"/>
  <c r="AE121" i="11"/>
  <c r="AE67" i="11"/>
  <c r="AD39" i="11"/>
  <c r="O52" i="11"/>
  <c r="Q52" i="11"/>
  <c r="N80" i="11"/>
  <c r="N134" i="11" s="1"/>
  <c r="P52" i="11"/>
  <c r="F81" i="11"/>
  <c r="F135" i="11" s="1"/>
  <c r="I53" i="11"/>
  <c r="H53" i="11"/>
  <c r="G53" i="11"/>
  <c r="C136" i="11"/>
  <c r="E108" i="11"/>
  <c r="C82" i="11"/>
  <c r="D108" i="11"/>
  <c r="B54" i="11"/>
  <c r="G136" i="11"/>
  <c r="I108" i="11"/>
  <c r="G82" i="11"/>
  <c r="H108" i="11"/>
  <c r="F54" i="11"/>
  <c r="K136" i="11"/>
  <c r="M108" i="11"/>
  <c r="K82" i="11"/>
  <c r="L108" i="11"/>
  <c r="J54" i="11"/>
  <c r="O136" i="11"/>
  <c r="Q108" i="11"/>
  <c r="O82" i="11"/>
  <c r="P108" i="11"/>
  <c r="N54" i="11"/>
  <c r="S136" i="11"/>
  <c r="U108" i="11"/>
  <c r="S82" i="11"/>
  <c r="T108" i="11"/>
  <c r="R54" i="11"/>
  <c r="W136" i="11"/>
  <c r="Y108" i="11"/>
  <c r="W82" i="11"/>
  <c r="X108" i="11"/>
  <c r="V54" i="11"/>
  <c r="AA136" i="11"/>
  <c r="AC108" i="11"/>
  <c r="AA82" i="11"/>
  <c r="AB108" i="11"/>
  <c r="Z54" i="11"/>
  <c r="AE136" i="11"/>
  <c r="AG108" i="11"/>
  <c r="AE82" i="11"/>
  <c r="AF108" i="11"/>
  <c r="AD54" i="11"/>
  <c r="D83" i="11"/>
  <c r="C111" i="11"/>
  <c r="E83" i="11"/>
  <c r="C57" i="11"/>
  <c r="B29" i="11"/>
  <c r="H83" i="11"/>
  <c r="G111" i="11"/>
  <c r="I83" i="11"/>
  <c r="G57" i="11"/>
  <c r="F29" i="11"/>
  <c r="L83" i="11"/>
  <c r="K111" i="11"/>
  <c r="M83" i="11"/>
  <c r="K57" i="11"/>
  <c r="J29" i="11"/>
  <c r="P83" i="11"/>
  <c r="O111" i="11"/>
  <c r="Q83" i="11"/>
  <c r="O57" i="11"/>
  <c r="N29" i="11"/>
  <c r="T83" i="11"/>
  <c r="S111" i="11"/>
  <c r="U83" i="11"/>
  <c r="S57" i="11"/>
  <c r="R29" i="11"/>
  <c r="X83" i="11"/>
  <c r="W111" i="11"/>
  <c r="Y83" i="11"/>
  <c r="W57" i="11"/>
  <c r="V29" i="11"/>
  <c r="AB83" i="11"/>
  <c r="AA111" i="11"/>
  <c r="AC83" i="11"/>
  <c r="AA57" i="11"/>
  <c r="Z29" i="11"/>
  <c r="AF83" i="11"/>
  <c r="AE111" i="11"/>
  <c r="AG83" i="11"/>
  <c r="AE57" i="11"/>
  <c r="AD29" i="11"/>
  <c r="B138" i="11"/>
  <c r="D138" i="11"/>
  <c r="C138" i="11"/>
  <c r="E112" i="11"/>
  <c r="E58" i="11"/>
  <c r="F138" i="11"/>
  <c r="H138" i="11"/>
  <c r="G138" i="11"/>
  <c r="I112" i="11"/>
  <c r="I58" i="11"/>
  <c r="J138" i="11"/>
  <c r="L138" i="11"/>
  <c r="K138" i="11"/>
  <c r="M112" i="11"/>
  <c r="M58" i="11"/>
  <c r="N138" i="11"/>
  <c r="P138" i="11"/>
  <c r="O138" i="11"/>
  <c r="Q112" i="11"/>
  <c r="Q58" i="11"/>
  <c r="R138" i="11"/>
  <c r="T138" i="11"/>
  <c r="S138" i="11"/>
  <c r="U112" i="11"/>
  <c r="U58" i="11"/>
  <c r="V138" i="11"/>
  <c r="X138" i="11"/>
  <c r="W138" i="11"/>
  <c r="Y112" i="11"/>
  <c r="Y58" i="11"/>
  <c r="Z138" i="11"/>
  <c r="AB138" i="11"/>
  <c r="AA138" i="11"/>
  <c r="AC112" i="11"/>
  <c r="AC58" i="11"/>
  <c r="AD138" i="11"/>
  <c r="AF138" i="11"/>
  <c r="AE138" i="11"/>
  <c r="AG112" i="11"/>
  <c r="AG58" i="11"/>
  <c r="E139" i="11"/>
  <c r="B85" i="11"/>
  <c r="D113" i="11"/>
  <c r="D59" i="11"/>
  <c r="C85" i="11"/>
  <c r="I139" i="11"/>
  <c r="F85" i="11"/>
  <c r="H113" i="11"/>
  <c r="H59" i="11"/>
  <c r="G85" i="11"/>
  <c r="M139" i="11"/>
  <c r="J85" i="11"/>
  <c r="L113" i="11"/>
  <c r="K85" i="11"/>
  <c r="L59" i="11"/>
  <c r="Q139" i="11"/>
  <c r="N85" i="11"/>
  <c r="P113" i="11"/>
  <c r="O85" i="11"/>
  <c r="P59" i="11"/>
  <c r="U139" i="11"/>
  <c r="R85" i="11"/>
  <c r="T113" i="11"/>
  <c r="T59" i="11"/>
  <c r="S85" i="11"/>
  <c r="Y139" i="11"/>
  <c r="V85" i="11"/>
  <c r="X113" i="11"/>
  <c r="X59" i="11"/>
  <c r="W85" i="11"/>
  <c r="AC139" i="11"/>
  <c r="Z85" i="11"/>
  <c r="AB113" i="11"/>
  <c r="AA85" i="11"/>
  <c r="AB59" i="11"/>
  <c r="AG139" i="11"/>
  <c r="AD85" i="11"/>
  <c r="AF113" i="11"/>
  <c r="AE85" i="11"/>
  <c r="AF59" i="11"/>
  <c r="C118" i="11"/>
  <c r="E90" i="11"/>
  <c r="D90" i="11"/>
  <c r="C64" i="11"/>
  <c r="B36" i="11"/>
  <c r="G118" i="11"/>
  <c r="I90" i="11"/>
  <c r="H90" i="11"/>
  <c r="G64" i="11"/>
  <c r="F36" i="11"/>
  <c r="K118" i="11"/>
  <c r="M90" i="11"/>
  <c r="L90" i="11"/>
  <c r="K64" i="11"/>
  <c r="J36" i="11"/>
  <c r="O118" i="11"/>
  <c r="Q90" i="11"/>
  <c r="P90" i="11"/>
  <c r="O64" i="11"/>
  <c r="N36" i="11"/>
  <c r="S118" i="11"/>
  <c r="U90" i="11"/>
  <c r="T90" i="11"/>
  <c r="S64" i="11"/>
  <c r="R36" i="11"/>
  <c r="W118" i="11"/>
  <c r="Y90" i="11"/>
  <c r="X90" i="11"/>
  <c r="W64" i="11"/>
  <c r="V36" i="11"/>
  <c r="AA118" i="11"/>
  <c r="AC90" i="11"/>
  <c r="AB90" i="11"/>
  <c r="AA64" i="11"/>
  <c r="Z36" i="11"/>
  <c r="AE118" i="11"/>
  <c r="AG90" i="11"/>
  <c r="AF90" i="11"/>
  <c r="AE64" i="11"/>
  <c r="AD36" i="11"/>
  <c r="E145" i="11"/>
  <c r="D119" i="11"/>
  <c r="C91" i="11"/>
  <c r="D65" i="11"/>
  <c r="B91" i="11"/>
  <c r="I145" i="11"/>
  <c r="H119" i="11"/>
  <c r="G91" i="11"/>
  <c r="H65" i="11"/>
  <c r="F91" i="11"/>
  <c r="M145" i="11"/>
  <c r="L119" i="11"/>
  <c r="K91" i="11"/>
  <c r="J91" i="11"/>
  <c r="L65" i="11"/>
  <c r="Q145" i="11"/>
  <c r="P119" i="11"/>
  <c r="O91" i="11"/>
  <c r="N91" i="11"/>
  <c r="P65" i="11"/>
  <c r="U145" i="11"/>
  <c r="T119" i="11"/>
  <c r="S91" i="11"/>
  <c r="T65" i="11"/>
  <c r="R91" i="11"/>
  <c r="Y145" i="11"/>
  <c r="X119" i="11"/>
  <c r="W91" i="11"/>
  <c r="X65" i="11"/>
  <c r="V91" i="11"/>
  <c r="AC145" i="11"/>
  <c r="AB119" i="11"/>
  <c r="AA91" i="11"/>
  <c r="Z91" i="11"/>
  <c r="AB65" i="11"/>
  <c r="AG145" i="11"/>
  <c r="AF119" i="11"/>
  <c r="AE91" i="11"/>
  <c r="AD91" i="11"/>
  <c r="AF65" i="11"/>
  <c r="B148" i="11"/>
  <c r="D148" i="11"/>
  <c r="C148" i="11"/>
  <c r="E122" i="11"/>
  <c r="E68" i="11"/>
  <c r="F148" i="11"/>
  <c r="H148" i="11"/>
  <c r="G148" i="11"/>
  <c r="I122" i="11"/>
  <c r="I68" i="11"/>
  <c r="J148" i="11"/>
  <c r="L148" i="11"/>
  <c r="K148" i="11"/>
  <c r="M122" i="11"/>
  <c r="M68" i="11"/>
  <c r="N148" i="11"/>
  <c r="P148" i="11"/>
  <c r="O148" i="11"/>
  <c r="Q122" i="11"/>
  <c r="Q68" i="11"/>
  <c r="R148" i="11"/>
  <c r="T148" i="11"/>
  <c r="S148" i="11"/>
  <c r="U122" i="11"/>
  <c r="U68" i="11"/>
  <c r="V148" i="11"/>
  <c r="X148" i="11"/>
  <c r="W148" i="11"/>
  <c r="Y122" i="11"/>
  <c r="Y68" i="11"/>
  <c r="Z148" i="11"/>
  <c r="AB148" i="11"/>
  <c r="AA148" i="11"/>
  <c r="AC122" i="11"/>
  <c r="AC68" i="11"/>
  <c r="AD148" i="11"/>
  <c r="AF148" i="11"/>
  <c r="AE148" i="11"/>
  <c r="AG122" i="11"/>
  <c r="AG68" i="11"/>
  <c r="I97" i="11"/>
  <c r="H97" i="11"/>
  <c r="G125" i="11"/>
  <c r="G71" i="11"/>
  <c r="M97" i="11"/>
  <c r="L97" i="11"/>
  <c r="K125" i="11"/>
  <c r="K71" i="11"/>
  <c r="Q97" i="11"/>
  <c r="P97" i="11"/>
  <c r="O125" i="11"/>
  <c r="O71" i="11"/>
  <c r="U97" i="11"/>
  <c r="T97" i="11"/>
  <c r="S125" i="11"/>
  <c r="S71" i="11"/>
  <c r="Y97" i="11"/>
  <c r="X97" i="11"/>
  <c r="W125" i="11"/>
  <c r="W71" i="11"/>
  <c r="AC97" i="11"/>
  <c r="AB97" i="11"/>
  <c r="AA125" i="11"/>
  <c r="AA71" i="11"/>
  <c r="AG97" i="11"/>
  <c r="AF97" i="11"/>
  <c r="AE125" i="11"/>
  <c r="AE71" i="11"/>
  <c r="B152" i="11"/>
  <c r="D152" i="11"/>
  <c r="C152" i="11"/>
  <c r="E126" i="11"/>
  <c r="E72" i="11"/>
  <c r="F152" i="11"/>
  <c r="H152" i="11"/>
  <c r="G152" i="11"/>
  <c r="I126" i="11"/>
  <c r="I72" i="11"/>
  <c r="J152" i="11"/>
  <c r="L152" i="11"/>
  <c r="K152" i="11"/>
  <c r="M126" i="11"/>
  <c r="M72" i="11"/>
  <c r="N152" i="11"/>
  <c r="P152" i="11"/>
  <c r="O152" i="11"/>
  <c r="Q126" i="11"/>
  <c r="Q72" i="11"/>
  <c r="R152" i="11"/>
  <c r="T152" i="11"/>
  <c r="S152" i="11"/>
  <c r="U126" i="11"/>
  <c r="U72" i="11"/>
  <c r="V152" i="11"/>
  <c r="X152" i="11"/>
  <c r="W152" i="11"/>
  <c r="Y126" i="11"/>
  <c r="Y72" i="11"/>
  <c r="Z152" i="11"/>
  <c r="AB152" i="11"/>
  <c r="AA152" i="11"/>
  <c r="AC126" i="11"/>
  <c r="AC72" i="11"/>
  <c r="AD152" i="11"/>
  <c r="AF152" i="11"/>
  <c r="AE152" i="11"/>
  <c r="AG126" i="11"/>
  <c r="AG72" i="11"/>
  <c r="E99" i="11"/>
  <c r="C127" i="11"/>
  <c r="D99" i="11"/>
  <c r="C73" i="11"/>
  <c r="I99" i="11"/>
  <c r="G127" i="11"/>
  <c r="H99" i="11"/>
  <c r="G73" i="11"/>
  <c r="M99" i="11"/>
  <c r="K127" i="11"/>
  <c r="L99" i="11"/>
  <c r="K73" i="11"/>
  <c r="Q99" i="11"/>
  <c r="O127" i="11"/>
  <c r="P99" i="11"/>
  <c r="O73" i="11"/>
  <c r="U99" i="11"/>
  <c r="S127" i="11"/>
  <c r="T99" i="11"/>
  <c r="S73" i="11"/>
  <c r="Y99" i="11"/>
  <c r="W127" i="11"/>
  <c r="X99" i="11"/>
  <c r="W73" i="11"/>
  <c r="AC99" i="11"/>
  <c r="AA127" i="11"/>
  <c r="AB99" i="11"/>
  <c r="AA73" i="11"/>
  <c r="AG99" i="11"/>
  <c r="AE127" i="11"/>
  <c r="AF99" i="11"/>
  <c r="AE73" i="11"/>
  <c r="B154" i="11"/>
  <c r="D154" i="11"/>
  <c r="C154" i="11"/>
  <c r="E128" i="11"/>
  <c r="E74" i="11"/>
  <c r="F154" i="11"/>
  <c r="H154" i="11"/>
  <c r="G154" i="11"/>
  <c r="I128" i="11"/>
  <c r="I74" i="11"/>
  <c r="J154" i="11"/>
  <c r="L154" i="11"/>
  <c r="K154" i="11"/>
  <c r="M128" i="11"/>
  <c r="M74" i="11"/>
  <c r="N154" i="11"/>
  <c r="P154" i="11"/>
  <c r="O154" i="11"/>
  <c r="Q128" i="11"/>
  <c r="Q74" i="11"/>
  <c r="R154" i="11"/>
  <c r="T154" i="11"/>
  <c r="S154" i="11"/>
  <c r="U128" i="11"/>
  <c r="U74" i="11"/>
  <c r="V154" i="11"/>
  <c r="X154" i="11"/>
  <c r="W154" i="11"/>
  <c r="Y128" i="11"/>
  <c r="Y74" i="11"/>
  <c r="Z154" i="11"/>
  <c r="AB154" i="11"/>
  <c r="AA154" i="11"/>
  <c r="AC128" i="11"/>
  <c r="AC74" i="11"/>
  <c r="AD154" i="11"/>
  <c r="AF154" i="11"/>
  <c r="AE154" i="11"/>
  <c r="AG128" i="11"/>
  <c r="AG74" i="11"/>
  <c r="E155" i="11"/>
  <c r="D129" i="11"/>
  <c r="C101" i="11"/>
  <c r="D75" i="11"/>
  <c r="B101" i="11"/>
  <c r="I155" i="11"/>
  <c r="H129" i="11"/>
  <c r="G101" i="11"/>
  <c r="H75" i="11"/>
  <c r="F101" i="11"/>
  <c r="M155" i="11"/>
  <c r="L129" i="11"/>
  <c r="K101" i="11"/>
  <c r="J101" i="11"/>
  <c r="L75" i="11"/>
  <c r="Q155" i="11"/>
  <c r="P129" i="11"/>
  <c r="O101" i="11"/>
  <c r="N101" i="11"/>
  <c r="P75" i="11"/>
  <c r="U155" i="11"/>
  <c r="T129" i="11"/>
  <c r="S101" i="11"/>
  <c r="T75" i="11"/>
  <c r="R101" i="11"/>
  <c r="Y155" i="11"/>
  <c r="X129" i="11"/>
  <c r="W101" i="11"/>
  <c r="X75" i="11"/>
  <c r="V101" i="11"/>
  <c r="AC155" i="11"/>
  <c r="AB129" i="11"/>
  <c r="AA101" i="11"/>
  <c r="Z101" i="11"/>
  <c r="AB75" i="11"/>
  <c r="AG155" i="11"/>
  <c r="AF129" i="11"/>
  <c r="AE101" i="11"/>
  <c r="AD101" i="11"/>
  <c r="AF75" i="11"/>
  <c r="E102" i="11"/>
  <c r="D102" i="11"/>
  <c r="C130" i="11"/>
  <c r="C76" i="11"/>
  <c r="B48" i="11"/>
  <c r="I102" i="11"/>
  <c r="H102" i="11"/>
  <c r="G130" i="11"/>
  <c r="G76" i="11"/>
  <c r="F48" i="11"/>
  <c r="M102" i="11"/>
  <c r="L102" i="11"/>
  <c r="K130" i="11"/>
  <c r="K76" i="11"/>
  <c r="J48" i="11"/>
  <c r="Q102" i="11"/>
  <c r="P102" i="11"/>
  <c r="O130" i="11"/>
  <c r="O76" i="11"/>
  <c r="N48" i="11"/>
  <c r="U102" i="11"/>
  <c r="T102" i="11"/>
  <c r="S130" i="11"/>
  <c r="S76" i="11"/>
  <c r="R48" i="11"/>
  <c r="Y102" i="11"/>
  <c r="X102" i="11"/>
  <c r="W130" i="11"/>
  <c r="W76" i="11"/>
  <c r="V48" i="11"/>
  <c r="AC102" i="11"/>
  <c r="AB102" i="11"/>
  <c r="AA130" i="11"/>
  <c r="AA76" i="11"/>
  <c r="Z48" i="11"/>
  <c r="AG102" i="11"/>
  <c r="AF102" i="11"/>
  <c r="AE130" i="11"/>
  <c r="AE76" i="11"/>
  <c r="AD48" i="11"/>
  <c r="E49" i="11"/>
  <c r="D49" i="11"/>
  <c r="B77" i="11"/>
  <c r="B131" i="11" s="1"/>
  <c r="C49" i="11"/>
  <c r="I49" i="11"/>
  <c r="H49" i="11"/>
  <c r="F77" i="11"/>
  <c r="F131" i="11" s="1"/>
  <c r="G49" i="11"/>
  <c r="M49" i="11"/>
  <c r="L49" i="11"/>
  <c r="J77" i="11"/>
  <c r="J131" i="11" s="1"/>
  <c r="K49" i="11"/>
  <c r="Q49" i="11"/>
  <c r="P49" i="11"/>
  <c r="N77" i="11"/>
  <c r="N131" i="11" s="1"/>
  <c r="O49" i="11"/>
  <c r="U49" i="11"/>
  <c r="T49" i="11"/>
  <c r="R77" i="11"/>
  <c r="R131" i="11" s="1"/>
  <c r="S49" i="11"/>
  <c r="Y49" i="11"/>
  <c r="X49" i="11"/>
  <c r="V77" i="11"/>
  <c r="V131" i="11" s="1"/>
  <c r="W49" i="11"/>
  <c r="AC49" i="11"/>
  <c r="AB49" i="11"/>
  <c r="Z77" i="11"/>
  <c r="Z131" i="11" s="1"/>
  <c r="AA49" i="11"/>
  <c r="AG49" i="11"/>
  <c r="AF49" i="11"/>
  <c r="AD77" i="11"/>
  <c r="AD131" i="11" s="1"/>
  <c r="AE49" i="11"/>
  <c r="B158" i="11"/>
  <c r="D158" i="11"/>
  <c r="C158" i="11"/>
  <c r="E132" i="11"/>
  <c r="E78" i="11"/>
  <c r="F158" i="11"/>
  <c r="H158" i="11"/>
  <c r="G158" i="11"/>
  <c r="I132" i="11"/>
  <c r="I78" i="11"/>
  <c r="J158" i="11"/>
  <c r="L158" i="11"/>
  <c r="K158" i="11"/>
  <c r="M132" i="11"/>
  <c r="M78" i="11"/>
  <c r="N158" i="11"/>
  <c r="P158" i="11"/>
  <c r="O158" i="11"/>
  <c r="Q132" i="11"/>
  <c r="Q78" i="11"/>
  <c r="R158" i="11"/>
  <c r="T158" i="11"/>
  <c r="S158" i="11"/>
  <c r="U132" i="11"/>
  <c r="U78" i="11"/>
  <c r="V158" i="11"/>
  <c r="X158" i="11"/>
  <c r="W158" i="11"/>
  <c r="Y132" i="11"/>
  <c r="Y78" i="11"/>
  <c r="Z158" i="11"/>
  <c r="AB158" i="11"/>
  <c r="AA158" i="11"/>
  <c r="AC132" i="11"/>
  <c r="AC78" i="11"/>
  <c r="AD158" i="11"/>
  <c r="AF158" i="11"/>
  <c r="AE158" i="11"/>
  <c r="AG132" i="11"/>
  <c r="AG78" i="11"/>
  <c r="E159" i="11"/>
  <c r="D133" i="11"/>
  <c r="C105" i="11"/>
  <c r="D79" i="11"/>
  <c r="B105" i="11"/>
  <c r="I159" i="11"/>
  <c r="H133" i="11"/>
  <c r="G105" i="11"/>
  <c r="F105" i="11"/>
  <c r="H79" i="11"/>
  <c r="M159" i="11"/>
  <c r="L133" i="11"/>
  <c r="K105" i="11"/>
  <c r="J105" i="11"/>
  <c r="L79" i="11"/>
  <c r="Q159" i="11"/>
  <c r="P133" i="11"/>
  <c r="O105" i="11"/>
  <c r="N105" i="11"/>
  <c r="P79" i="11"/>
  <c r="U159" i="11"/>
  <c r="T133" i="11"/>
  <c r="S105" i="11"/>
  <c r="T79" i="11"/>
  <c r="R105" i="11"/>
  <c r="Y159" i="11"/>
  <c r="X133" i="11"/>
  <c r="W105" i="11"/>
  <c r="V105" i="11"/>
  <c r="X79" i="11"/>
  <c r="AC159" i="11"/>
  <c r="AB133" i="11"/>
  <c r="AA105" i="11"/>
  <c r="Z105" i="11"/>
  <c r="AB79" i="11"/>
  <c r="AG159" i="11"/>
  <c r="AF133" i="11"/>
  <c r="AE105" i="11"/>
  <c r="AD105" i="11"/>
  <c r="AF79" i="11"/>
  <c r="C29" i="11"/>
  <c r="G29" i="11"/>
  <c r="K29" i="11"/>
  <c r="O29" i="11"/>
  <c r="S29" i="11"/>
  <c r="W29" i="11"/>
  <c r="AA29" i="11"/>
  <c r="AE29" i="11"/>
  <c r="D30" i="11"/>
  <c r="H30" i="11"/>
  <c r="L30" i="11"/>
  <c r="P30" i="11"/>
  <c r="T30" i="11"/>
  <c r="X30" i="11"/>
  <c r="AB30" i="11"/>
  <c r="AF30" i="11"/>
  <c r="C33" i="11"/>
  <c r="G33" i="11"/>
  <c r="K33" i="11"/>
  <c r="O33" i="11"/>
  <c r="S33" i="11"/>
  <c r="W33" i="11"/>
  <c r="AA33" i="11"/>
  <c r="AE33" i="11"/>
  <c r="D34" i="11"/>
  <c r="H34" i="11"/>
  <c r="L34" i="11"/>
  <c r="P34" i="11"/>
  <c r="T34" i="11"/>
  <c r="X34" i="11"/>
  <c r="AB34" i="11"/>
  <c r="AF34" i="11"/>
  <c r="D38" i="11"/>
  <c r="H38" i="11"/>
  <c r="L38" i="11"/>
  <c r="P38" i="11"/>
  <c r="T38" i="11"/>
  <c r="X38" i="11"/>
  <c r="AB38" i="11"/>
  <c r="AF38" i="11"/>
  <c r="E39" i="11"/>
  <c r="I39" i="11"/>
  <c r="M39" i="11"/>
  <c r="Q39" i="11"/>
  <c r="U39" i="11"/>
  <c r="Y39" i="11"/>
  <c r="AC39" i="11"/>
  <c r="AG39" i="11"/>
  <c r="C41" i="11"/>
  <c r="G41" i="11"/>
  <c r="K41" i="11"/>
  <c r="O41" i="11"/>
  <c r="S41" i="11"/>
  <c r="W41" i="11"/>
  <c r="AA41" i="11"/>
  <c r="AE41" i="11"/>
  <c r="E42" i="11"/>
  <c r="K42" i="11"/>
  <c r="P42" i="11"/>
  <c r="U42" i="11"/>
  <c r="AA42" i="11"/>
  <c r="AF42" i="11"/>
  <c r="J43" i="11"/>
  <c r="R43" i="11"/>
  <c r="Z43" i="11"/>
  <c r="E95" i="11"/>
  <c r="C123" i="11"/>
  <c r="D95" i="11"/>
  <c r="C69" i="11"/>
  <c r="I95" i="11"/>
  <c r="G123" i="11"/>
  <c r="H95" i="11"/>
  <c r="G69" i="11"/>
  <c r="M95" i="11"/>
  <c r="K123" i="11"/>
  <c r="L95" i="11"/>
  <c r="K69" i="11"/>
  <c r="Q95" i="11"/>
  <c r="O123" i="11"/>
  <c r="P95" i="11"/>
  <c r="O69" i="11"/>
  <c r="U95" i="11"/>
  <c r="S123" i="11"/>
  <c r="T95" i="11"/>
  <c r="S69" i="11"/>
  <c r="Y95" i="11"/>
  <c r="W123" i="11"/>
  <c r="X95" i="11"/>
  <c r="W69" i="11"/>
  <c r="AC95" i="11"/>
  <c r="AA123" i="11"/>
  <c r="AB95" i="11"/>
  <c r="AA69" i="11"/>
  <c r="AG95" i="11"/>
  <c r="AE123" i="11"/>
  <c r="AF95" i="11"/>
  <c r="AE69" i="11"/>
  <c r="B150" i="11"/>
  <c r="D150" i="11"/>
  <c r="C150" i="11"/>
  <c r="E124" i="11"/>
  <c r="E70" i="11"/>
  <c r="F150" i="11"/>
  <c r="H150" i="11"/>
  <c r="G150" i="11"/>
  <c r="I124" i="11"/>
  <c r="I70" i="11"/>
  <c r="J150" i="11"/>
  <c r="L150" i="11"/>
  <c r="K150" i="11"/>
  <c r="M124" i="11"/>
  <c r="M70" i="11"/>
  <c r="N150" i="11"/>
  <c r="P150" i="11"/>
  <c r="O150" i="11"/>
  <c r="Q124" i="11"/>
  <c r="Q70" i="11"/>
  <c r="R150" i="11"/>
  <c r="T150" i="11"/>
  <c r="S150" i="11"/>
  <c r="U124" i="11"/>
  <c r="U70" i="11"/>
  <c r="V150" i="11"/>
  <c r="X150" i="11"/>
  <c r="W150" i="11"/>
  <c r="Y124" i="11"/>
  <c r="Y70" i="11"/>
  <c r="Z150" i="11"/>
  <c r="AB150" i="11"/>
  <c r="AA150" i="11"/>
  <c r="AC124" i="11"/>
  <c r="AC70" i="11"/>
  <c r="AD150" i="11"/>
  <c r="AF150" i="11"/>
  <c r="AE150" i="11"/>
  <c r="AG124" i="11"/>
  <c r="AG70" i="11"/>
  <c r="E97" i="11"/>
  <c r="D97" i="11"/>
  <c r="C125" i="11"/>
  <c r="C71" i="11"/>
  <c r="E137" i="11"/>
  <c r="D111" i="11"/>
  <c r="C83" i="11"/>
  <c r="B83" i="11"/>
  <c r="D57" i="11"/>
  <c r="I137" i="11"/>
  <c r="H111" i="11"/>
  <c r="G83" i="11"/>
  <c r="H57" i="11"/>
  <c r="F83" i="11"/>
  <c r="M137" i="11"/>
  <c r="L111" i="11"/>
  <c r="K83" i="11"/>
  <c r="J83" i="11"/>
  <c r="L57" i="11"/>
  <c r="Q137" i="11"/>
  <c r="P111" i="11"/>
  <c r="O83" i="11"/>
  <c r="P57" i="11"/>
  <c r="N83" i="11"/>
  <c r="U137" i="11"/>
  <c r="T111" i="11"/>
  <c r="S83" i="11"/>
  <c r="R83" i="11"/>
  <c r="T57" i="11"/>
  <c r="Y137" i="11"/>
  <c r="X111" i="11"/>
  <c r="W83" i="11"/>
  <c r="X57" i="11"/>
  <c r="V83" i="11"/>
  <c r="AC137" i="11"/>
  <c r="AB111" i="11"/>
  <c r="AA83" i="11"/>
  <c r="Z83" i="11"/>
  <c r="AB57" i="11"/>
  <c r="AG137" i="11"/>
  <c r="AF111" i="11"/>
  <c r="AE83" i="11"/>
  <c r="AF57" i="11"/>
  <c r="AD83" i="11"/>
  <c r="E138" i="11"/>
  <c r="D112" i="11"/>
  <c r="C84" i="11"/>
  <c r="B84" i="11"/>
  <c r="D58" i="11"/>
  <c r="I138" i="11"/>
  <c r="H112" i="11"/>
  <c r="G84" i="11"/>
  <c r="F84" i="11"/>
  <c r="H58" i="11"/>
  <c r="M138" i="11"/>
  <c r="L112" i="11"/>
  <c r="K84" i="11"/>
  <c r="J84" i="11"/>
  <c r="L58" i="11"/>
  <c r="Q138" i="11"/>
  <c r="P112" i="11"/>
  <c r="O84" i="11"/>
  <c r="N84" i="11"/>
  <c r="P58" i="11"/>
  <c r="U138" i="11"/>
  <c r="T112" i="11"/>
  <c r="S84" i="11"/>
  <c r="R84" i="11"/>
  <c r="T58" i="11"/>
  <c r="Y138" i="11"/>
  <c r="X112" i="11"/>
  <c r="W84" i="11"/>
  <c r="V84" i="11"/>
  <c r="X58" i="11"/>
  <c r="AC138" i="11"/>
  <c r="AB112" i="11"/>
  <c r="AA84" i="11"/>
  <c r="Z84" i="11"/>
  <c r="AB58" i="11"/>
  <c r="AG138" i="11"/>
  <c r="AF112" i="11"/>
  <c r="AE84" i="11"/>
  <c r="AD84" i="11"/>
  <c r="AF58" i="11"/>
  <c r="E85" i="11"/>
  <c r="D85" i="11"/>
  <c r="C113" i="11"/>
  <c r="C59" i="11"/>
  <c r="I85" i="11"/>
  <c r="H85" i="11"/>
  <c r="G113" i="11"/>
  <c r="G59" i="11"/>
  <c r="M85" i="11"/>
  <c r="L85" i="11"/>
  <c r="K113" i="11"/>
  <c r="K59" i="11"/>
  <c r="Q85" i="11"/>
  <c r="P85" i="11"/>
  <c r="O113" i="11"/>
  <c r="O59" i="11"/>
  <c r="U85" i="11"/>
  <c r="T85" i="11"/>
  <c r="S113" i="11"/>
  <c r="S59" i="11"/>
  <c r="Y85" i="11"/>
  <c r="X85" i="11"/>
  <c r="W113" i="11"/>
  <c r="W59" i="11"/>
  <c r="AC85" i="11"/>
  <c r="AB85" i="11"/>
  <c r="AA113" i="11"/>
  <c r="AA59" i="11"/>
  <c r="AG85" i="11"/>
  <c r="AF85" i="11"/>
  <c r="AE113" i="11"/>
  <c r="AE59" i="11"/>
  <c r="E89" i="11"/>
  <c r="D89" i="11"/>
  <c r="C117" i="11"/>
  <c r="C63" i="11"/>
  <c r="I89" i="11"/>
  <c r="H89" i="11"/>
  <c r="G117" i="11"/>
  <c r="G63" i="11"/>
  <c r="M89" i="11"/>
  <c r="L89" i="11"/>
  <c r="K117" i="11"/>
  <c r="K63" i="11"/>
  <c r="Q89" i="11"/>
  <c r="P89" i="11"/>
  <c r="O117" i="11"/>
  <c r="O63" i="11"/>
  <c r="U89" i="11"/>
  <c r="T89" i="11"/>
  <c r="S117" i="11"/>
  <c r="S63" i="11"/>
  <c r="Y89" i="11"/>
  <c r="X89" i="11"/>
  <c r="W117" i="11"/>
  <c r="W63" i="11"/>
  <c r="AC89" i="11"/>
  <c r="AB89" i="11"/>
  <c r="AA117" i="11"/>
  <c r="AA63" i="11"/>
  <c r="AG89" i="11"/>
  <c r="AF89" i="11"/>
  <c r="AE117" i="11"/>
  <c r="AE63" i="11"/>
  <c r="E144" i="11"/>
  <c r="C90" i="11"/>
  <c r="D118" i="11"/>
  <c r="B90" i="11"/>
  <c r="D64" i="11"/>
  <c r="I144" i="11"/>
  <c r="G90" i="11"/>
  <c r="H118" i="11"/>
  <c r="F90" i="11"/>
  <c r="H64" i="11"/>
  <c r="M144" i="11"/>
  <c r="K90" i="11"/>
  <c r="L118" i="11"/>
  <c r="J90" i="11"/>
  <c r="L64" i="11"/>
  <c r="Q144" i="11"/>
  <c r="O90" i="11"/>
  <c r="P118" i="11"/>
  <c r="N90" i="11"/>
  <c r="P64" i="11"/>
  <c r="U144" i="11"/>
  <c r="S90" i="11"/>
  <c r="T118" i="11"/>
  <c r="R90" i="11"/>
  <c r="T64" i="11"/>
  <c r="Y144" i="11"/>
  <c r="W90" i="11"/>
  <c r="X118" i="11"/>
  <c r="V90" i="11"/>
  <c r="X64" i="11"/>
  <c r="AC144" i="11"/>
  <c r="AA90" i="11"/>
  <c r="AB118" i="11"/>
  <c r="Z90" i="11"/>
  <c r="AB64" i="11"/>
  <c r="AG144" i="11"/>
  <c r="AE90" i="11"/>
  <c r="AF118" i="11"/>
  <c r="AD90" i="11"/>
  <c r="AF64" i="11"/>
  <c r="D145" i="11"/>
  <c r="C145" i="11"/>
  <c r="B145" i="11"/>
  <c r="E119" i="11"/>
  <c r="E65" i="11"/>
  <c r="H145" i="11"/>
  <c r="G145" i="11"/>
  <c r="F145" i="11"/>
  <c r="I119" i="11"/>
  <c r="I65" i="11"/>
  <c r="L145" i="11"/>
  <c r="K145" i="11"/>
  <c r="J145" i="11"/>
  <c r="M119" i="11"/>
  <c r="M65" i="11"/>
  <c r="P145" i="11"/>
  <c r="O145" i="11"/>
  <c r="N145" i="11"/>
  <c r="Q119" i="11"/>
  <c r="Q65" i="11"/>
  <c r="T145" i="11"/>
  <c r="S145" i="11"/>
  <c r="R145" i="11"/>
  <c r="U119" i="11"/>
  <c r="U65" i="11"/>
  <c r="X145" i="11"/>
  <c r="W145" i="11"/>
  <c r="V145" i="11"/>
  <c r="Y119" i="11"/>
  <c r="Y65" i="11"/>
  <c r="AB145" i="11"/>
  <c r="AA145" i="11"/>
  <c r="Z145" i="11"/>
  <c r="AC119" i="11"/>
  <c r="AC65" i="11"/>
  <c r="AF145" i="11"/>
  <c r="AE145" i="11"/>
  <c r="AD145" i="11"/>
  <c r="AG119" i="11"/>
  <c r="AG65" i="11"/>
  <c r="E147" i="11"/>
  <c r="D121" i="11"/>
  <c r="C93" i="11"/>
  <c r="D67" i="11"/>
  <c r="B93" i="11"/>
  <c r="I147" i="11"/>
  <c r="H121" i="11"/>
  <c r="G93" i="11"/>
  <c r="H67" i="11"/>
  <c r="F93" i="11"/>
  <c r="M147" i="11"/>
  <c r="L121" i="11"/>
  <c r="K93" i="11"/>
  <c r="J93" i="11"/>
  <c r="L67" i="11"/>
  <c r="Q147" i="11"/>
  <c r="P121" i="11"/>
  <c r="O93" i="11"/>
  <c r="N93" i="11"/>
  <c r="P67" i="11"/>
  <c r="U147" i="11"/>
  <c r="T121" i="11"/>
  <c r="S93" i="11"/>
  <c r="T67" i="11"/>
  <c r="R93" i="11"/>
  <c r="Y147" i="11"/>
  <c r="X121" i="11"/>
  <c r="W93" i="11"/>
  <c r="X67" i="11"/>
  <c r="V93" i="11"/>
  <c r="AC147" i="11"/>
  <c r="AB121" i="11"/>
  <c r="AA93" i="11"/>
  <c r="Z93" i="11"/>
  <c r="AB67" i="11"/>
  <c r="AG147" i="11"/>
  <c r="AF121" i="11"/>
  <c r="AE93" i="11"/>
  <c r="AD93" i="11"/>
  <c r="AF67" i="11"/>
  <c r="E149" i="11"/>
  <c r="D123" i="11"/>
  <c r="C95" i="11"/>
  <c r="D69" i="11"/>
  <c r="B95" i="11"/>
  <c r="I149" i="11"/>
  <c r="H123" i="11"/>
  <c r="G95" i="11"/>
  <c r="H69" i="11"/>
  <c r="F95" i="11"/>
  <c r="M149" i="11"/>
  <c r="L123" i="11"/>
  <c r="K95" i="11"/>
  <c r="J95" i="11"/>
  <c r="L69" i="11"/>
  <c r="Q149" i="11"/>
  <c r="P123" i="11"/>
  <c r="O95" i="11"/>
  <c r="N95" i="11"/>
  <c r="P69" i="11"/>
  <c r="U149" i="11"/>
  <c r="T123" i="11"/>
  <c r="S95" i="11"/>
  <c r="T69" i="11"/>
  <c r="R95" i="11"/>
  <c r="Y149" i="11"/>
  <c r="X123" i="11"/>
  <c r="W95" i="11"/>
  <c r="X69" i="11"/>
  <c r="V95" i="11"/>
  <c r="AC149" i="11"/>
  <c r="AB123" i="11"/>
  <c r="AA95" i="11"/>
  <c r="Z95" i="11"/>
  <c r="AB69" i="11"/>
  <c r="AG149" i="11"/>
  <c r="AF123" i="11"/>
  <c r="AE95" i="11"/>
  <c r="AD95" i="11"/>
  <c r="AF69" i="11"/>
  <c r="E151" i="11"/>
  <c r="D125" i="11"/>
  <c r="C97" i="11"/>
  <c r="D71" i="11"/>
  <c r="B97" i="11"/>
  <c r="I151" i="11"/>
  <c r="H125" i="11"/>
  <c r="G97" i="11"/>
  <c r="H71" i="11"/>
  <c r="F97" i="11"/>
  <c r="M151" i="11"/>
  <c r="L125" i="11"/>
  <c r="K97" i="11"/>
  <c r="J97" i="11"/>
  <c r="L71" i="11"/>
  <c r="Q151" i="11"/>
  <c r="P125" i="11"/>
  <c r="O97" i="11"/>
  <c r="N97" i="11"/>
  <c r="P71" i="11"/>
  <c r="U151" i="11"/>
  <c r="T125" i="11"/>
  <c r="S97" i="11"/>
  <c r="T71" i="11"/>
  <c r="R97" i="11"/>
  <c r="Y151" i="11"/>
  <c r="X125" i="11"/>
  <c r="W97" i="11"/>
  <c r="X71" i="11"/>
  <c r="V97" i="11"/>
  <c r="AC151" i="11"/>
  <c r="AB125" i="11"/>
  <c r="AA97" i="11"/>
  <c r="Z97" i="11"/>
  <c r="AB71" i="11"/>
  <c r="AG151" i="11"/>
  <c r="AF125" i="11"/>
  <c r="AE97" i="11"/>
  <c r="AD97" i="11"/>
  <c r="AF71" i="11"/>
  <c r="B72" i="11"/>
  <c r="B126" i="11" s="1"/>
  <c r="D44" i="11"/>
  <c r="F72" i="11"/>
  <c r="F126" i="11" s="1"/>
  <c r="H44" i="11"/>
  <c r="J72" i="11"/>
  <c r="J126" i="11" s="1"/>
  <c r="L44" i="11"/>
  <c r="N72" i="11"/>
  <c r="N126" i="11" s="1"/>
  <c r="P44" i="11"/>
  <c r="R72" i="11"/>
  <c r="R126" i="11" s="1"/>
  <c r="T44" i="11"/>
  <c r="V72" i="11"/>
  <c r="V126" i="11" s="1"/>
  <c r="X44" i="11"/>
  <c r="Z72" i="11"/>
  <c r="Z126" i="11" s="1"/>
  <c r="AB44" i="11"/>
  <c r="AD72" i="11"/>
  <c r="AD126" i="11" s="1"/>
  <c r="AF44" i="11"/>
  <c r="E153" i="11"/>
  <c r="D127" i="11"/>
  <c r="C99" i="11"/>
  <c r="D73" i="11"/>
  <c r="B99" i="11"/>
  <c r="I153" i="11"/>
  <c r="H127" i="11"/>
  <c r="G99" i="11"/>
  <c r="H73" i="11"/>
  <c r="F99" i="11"/>
  <c r="M153" i="11"/>
  <c r="L127" i="11"/>
  <c r="K99" i="11"/>
  <c r="J99" i="11"/>
  <c r="L73" i="11"/>
  <c r="Q153" i="11"/>
  <c r="P127" i="11"/>
  <c r="O99" i="11"/>
  <c r="N99" i="11"/>
  <c r="P73" i="11"/>
  <c r="U153" i="11"/>
  <c r="T127" i="11"/>
  <c r="S99" i="11"/>
  <c r="T73" i="11"/>
  <c r="R99" i="11"/>
  <c r="Y153" i="11"/>
  <c r="X127" i="11"/>
  <c r="W99" i="11"/>
  <c r="X73" i="11"/>
  <c r="V99" i="11"/>
  <c r="AC153" i="11"/>
  <c r="AB127" i="11"/>
  <c r="AA99" i="11"/>
  <c r="Z99" i="11"/>
  <c r="AB73" i="11"/>
  <c r="AG153" i="11"/>
  <c r="AF127" i="11"/>
  <c r="AE99" i="11"/>
  <c r="AD99" i="11"/>
  <c r="AF73" i="11"/>
  <c r="D46" i="11"/>
  <c r="B74" i="11"/>
  <c r="B128" i="11" s="1"/>
  <c r="C46" i="11"/>
  <c r="E46" i="11"/>
  <c r="H46" i="11"/>
  <c r="F74" i="11"/>
  <c r="F128" i="11" s="1"/>
  <c r="G46" i="11"/>
  <c r="I46" i="11"/>
  <c r="L46" i="11"/>
  <c r="J74" i="11"/>
  <c r="J128" i="11" s="1"/>
  <c r="K46" i="11"/>
  <c r="M46" i="11"/>
  <c r="P46" i="11"/>
  <c r="N74" i="11"/>
  <c r="N128" i="11" s="1"/>
  <c r="O46" i="11"/>
  <c r="Q46" i="11"/>
  <c r="T46" i="11"/>
  <c r="R74" i="11"/>
  <c r="R128" i="11" s="1"/>
  <c r="S46" i="11"/>
  <c r="U46" i="11"/>
  <c r="X46" i="11"/>
  <c r="V74" i="11"/>
  <c r="V128" i="11" s="1"/>
  <c r="W46" i="11"/>
  <c r="Y46" i="11"/>
  <c r="AB46" i="11"/>
  <c r="Z74" i="11"/>
  <c r="Z128" i="11" s="1"/>
  <c r="AA46" i="11"/>
  <c r="AC46" i="11"/>
  <c r="AF46" i="11"/>
  <c r="AD74" i="11"/>
  <c r="AD128" i="11" s="1"/>
  <c r="AE46" i="11"/>
  <c r="AG46" i="11"/>
  <c r="D155" i="11"/>
  <c r="C155" i="11"/>
  <c r="B155" i="11"/>
  <c r="E129" i="11"/>
  <c r="E75" i="11"/>
  <c r="H155" i="11"/>
  <c r="G155" i="11"/>
  <c r="F155" i="11"/>
  <c r="I129" i="11"/>
  <c r="I75" i="11"/>
  <c r="L155" i="11"/>
  <c r="K155" i="11"/>
  <c r="J155" i="11"/>
  <c r="M129" i="11"/>
  <c r="M75" i="11"/>
  <c r="P155" i="11"/>
  <c r="O155" i="11"/>
  <c r="N155" i="11"/>
  <c r="Q129" i="11"/>
  <c r="Q75" i="11"/>
  <c r="T155" i="11"/>
  <c r="S155" i="11"/>
  <c r="R155" i="11"/>
  <c r="U129" i="11"/>
  <c r="U75" i="11"/>
  <c r="X155" i="11"/>
  <c r="W155" i="11"/>
  <c r="V155" i="11"/>
  <c r="Y129" i="11"/>
  <c r="Y75" i="11"/>
  <c r="AB155" i="11"/>
  <c r="AA155" i="11"/>
  <c r="Z155" i="11"/>
  <c r="AC129" i="11"/>
  <c r="AC75" i="11"/>
  <c r="AF155" i="11"/>
  <c r="AE155" i="11"/>
  <c r="AD155" i="11"/>
  <c r="AG129" i="11"/>
  <c r="AG75" i="11"/>
  <c r="E156" i="11"/>
  <c r="D130" i="11"/>
  <c r="C102" i="11"/>
  <c r="B102" i="11"/>
  <c r="D76" i="11"/>
  <c r="I156" i="11"/>
  <c r="H130" i="11"/>
  <c r="G102" i="11"/>
  <c r="F102" i="11"/>
  <c r="H76" i="11"/>
  <c r="M156" i="11"/>
  <c r="L130" i="11"/>
  <c r="K102" i="11"/>
  <c r="J102" i="11"/>
  <c r="L76" i="11"/>
  <c r="Q156" i="11"/>
  <c r="P130" i="11"/>
  <c r="O102" i="11"/>
  <c r="N102" i="11"/>
  <c r="P76" i="11"/>
  <c r="U156" i="11"/>
  <c r="T130" i="11"/>
  <c r="S102" i="11"/>
  <c r="R102" i="11"/>
  <c r="T76" i="11"/>
  <c r="Y156" i="11"/>
  <c r="X130" i="11"/>
  <c r="W102" i="11"/>
  <c r="V102" i="11"/>
  <c r="X76" i="11"/>
  <c r="AC156" i="11"/>
  <c r="AB130" i="11"/>
  <c r="AA102" i="11"/>
  <c r="Z102" i="11"/>
  <c r="AB76" i="11"/>
  <c r="AG156" i="11"/>
  <c r="AF130" i="11"/>
  <c r="AE102" i="11"/>
  <c r="AD102" i="11"/>
  <c r="AF76" i="11"/>
  <c r="E103" i="11"/>
  <c r="C131" i="11"/>
  <c r="D103" i="11"/>
  <c r="B49" i="11"/>
  <c r="C77" i="11"/>
  <c r="I103" i="11"/>
  <c r="G131" i="11"/>
  <c r="H103" i="11"/>
  <c r="F49" i="11"/>
  <c r="G77" i="11"/>
  <c r="M103" i="11"/>
  <c r="K131" i="11"/>
  <c r="L103" i="11"/>
  <c r="J49" i="11"/>
  <c r="K77" i="11"/>
  <c r="Q103" i="11"/>
  <c r="O131" i="11"/>
  <c r="P103" i="11"/>
  <c r="N49" i="11"/>
  <c r="O77" i="11"/>
  <c r="U103" i="11"/>
  <c r="S131" i="11"/>
  <c r="T103" i="11"/>
  <c r="R49" i="11"/>
  <c r="S77" i="11"/>
  <c r="Y103" i="11"/>
  <c r="W131" i="11"/>
  <c r="X103" i="11"/>
  <c r="V49" i="11"/>
  <c r="W77" i="11"/>
  <c r="AC103" i="11"/>
  <c r="AA131" i="11"/>
  <c r="AB103" i="11"/>
  <c r="Z49" i="11"/>
  <c r="AA77" i="11"/>
  <c r="AG103" i="11"/>
  <c r="AE131" i="11"/>
  <c r="AF103" i="11"/>
  <c r="AD49" i="11"/>
  <c r="AE77" i="11"/>
  <c r="E50" i="11"/>
  <c r="B78" i="11"/>
  <c r="B132" i="11" s="1"/>
  <c r="D50" i="11"/>
  <c r="C50" i="11"/>
  <c r="I50" i="11"/>
  <c r="F78" i="11"/>
  <c r="F132" i="11" s="1"/>
  <c r="H50" i="11"/>
  <c r="G50" i="11"/>
  <c r="M50" i="11"/>
  <c r="J78" i="11"/>
  <c r="J132" i="11" s="1"/>
  <c r="L50" i="11"/>
  <c r="K50" i="11"/>
  <c r="Q50" i="11"/>
  <c r="N78" i="11"/>
  <c r="N132" i="11" s="1"/>
  <c r="P50" i="11"/>
  <c r="O50" i="11"/>
  <c r="U50" i="11"/>
  <c r="R78" i="11"/>
  <c r="R132" i="11" s="1"/>
  <c r="T50" i="11"/>
  <c r="S50" i="11"/>
  <c r="Y50" i="11"/>
  <c r="V78" i="11"/>
  <c r="V132" i="11" s="1"/>
  <c r="X50" i="11"/>
  <c r="W50" i="11"/>
  <c r="AC50" i="11"/>
  <c r="AB50" i="11"/>
  <c r="Z78" i="11"/>
  <c r="Z132" i="11" s="1"/>
  <c r="AA50" i="11"/>
  <c r="AG50" i="11"/>
  <c r="AF50" i="11"/>
  <c r="AE50" i="11"/>
  <c r="AD78" i="11"/>
  <c r="AD132" i="11" s="1"/>
  <c r="D159" i="11"/>
  <c r="C159" i="11"/>
  <c r="B159" i="11"/>
  <c r="E79" i="11"/>
  <c r="E133" i="11"/>
  <c r="H159" i="11"/>
  <c r="G159" i="11"/>
  <c r="F159" i="11"/>
  <c r="I79" i="11"/>
  <c r="I133" i="11"/>
  <c r="L159" i="11"/>
  <c r="K159" i="11"/>
  <c r="J159" i="11"/>
  <c r="M79" i="11"/>
  <c r="M133" i="11"/>
  <c r="P159" i="11"/>
  <c r="O159" i="11"/>
  <c r="N159" i="11"/>
  <c r="Q79" i="11"/>
  <c r="Q133" i="11"/>
  <c r="T159" i="11"/>
  <c r="S159" i="11"/>
  <c r="R159" i="11"/>
  <c r="U79" i="11"/>
  <c r="U133" i="11"/>
  <c r="X159" i="11"/>
  <c r="W159" i="11"/>
  <c r="V159" i="11"/>
  <c r="Y79" i="11"/>
  <c r="Y133" i="11"/>
  <c r="AB159" i="11"/>
  <c r="AA159" i="11"/>
  <c r="Z159" i="11"/>
  <c r="AC79" i="11"/>
  <c r="AC133" i="11"/>
  <c r="AF159" i="11"/>
  <c r="AE159" i="11"/>
  <c r="AD159" i="11"/>
  <c r="AG79" i="11"/>
  <c r="AG133" i="11"/>
  <c r="D29" i="11"/>
  <c r="H29" i="11"/>
  <c r="L29" i="11"/>
  <c r="P29" i="11"/>
  <c r="T29" i="11"/>
  <c r="X29" i="11"/>
  <c r="AB29" i="11"/>
  <c r="AF29" i="11"/>
  <c r="E30" i="11"/>
  <c r="I30" i="11"/>
  <c r="M30" i="11"/>
  <c r="Q30" i="11"/>
  <c r="U30" i="11"/>
  <c r="Y30" i="11"/>
  <c r="AC30" i="11"/>
  <c r="AG30" i="11"/>
  <c r="B31" i="11"/>
  <c r="F31" i="11"/>
  <c r="J31" i="11"/>
  <c r="N31" i="11"/>
  <c r="R31" i="11"/>
  <c r="V31" i="11"/>
  <c r="Z31" i="11"/>
  <c r="AD31" i="11"/>
  <c r="C32" i="11"/>
  <c r="G32" i="11"/>
  <c r="K32" i="11"/>
  <c r="O32" i="11"/>
  <c r="S32" i="11"/>
  <c r="W32" i="11"/>
  <c r="AA32" i="11"/>
  <c r="AE32" i="11"/>
  <c r="D33" i="11"/>
  <c r="H33" i="11"/>
  <c r="L33" i="11"/>
  <c r="P33" i="11"/>
  <c r="T33" i="11"/>
  <c r="X33" i="11"/>
  <c r="AB33" i="11"/>
  <c r="AF33" i="11"/>
  <c r="E34" i="11"/>
  <c r="I34" i="11"/>
  <c r="M34" i="11"/>
  <c r="Q34" i="11"/>
  <c r="U34" i="11"/>
  <c r="Y34" i="11"/>
  <c r="AC34" i="11"/>
  <c r="AG34" i="11"/>
  <c r="B35" i="11"/>
  <c r="F35" i="11"/>
  <c r="J35" i="11"/>
  <c r="N35" i="11"/>
  <c r="R35" i="11"/>
  <c r="V35" i="11"/>
  <c r="Z35" i="11"/>
  <c r="AD35" i="11"/>
  <c r="C36" i="11"/>
  <c r="G36" i="11"/>
  <c r="K36" i="11"/>
  <c r="O36" i="11"/>
  <c r="S36" i="11"/>
  <c r="W36" i="11"/>
  <c r="AA36" i="11"/>
  <c r="AE36" i="11"/>
  <c r="E38" i="11"/>
  <c r="I38" i="11"/>
  <c r="M38" i="11"/>
  <c r="Q38" i="11"/>
  <c r="U38" i="11"/>
  <c r="Y38" i="11"/>
  <c r="AC38" i="11"/>
  <c r="AG38" i="11"/>
  <c r="C40" i="11"/>
  <c r="G40" i="11"/>
  <c r="K40" i="11"/>
  <c r="O40" i="11"/>
  <c r="S40" i="11"/>
  <c r="W40" i="11"/>
  <c r="AA40" i="11"/>
  <c r="AE40" i="11"/>
  <c r="D41" i="11"/>
  <c r="H41" i="11"/>
  <c r="L41" i="11"/>
  <c r="P41" i="11"/>
  <c r="T41" i="11"/>
  <c r="X41" i="11"/>
  <c r="AB41" i="11"/>
  <c r="AF41" i="11"/>
  <c r="G42" i="11"/>
  <c r="L42" i="11"/>
  <c r="Q42" i="11"/>
  <c r="W42" i="11"/>
  <c r="AB42" i="11"/>
  <c r="AG42" i="11"/>
  <c r="I44" i="11"/>
  <c r="Q44" i="11"/>
  <c r="Y44" i="11"/>
  <c r="AG44" i="11"/>
  <c r="B45" i="11"/>
  <c r="J45" i="11"/>
  <c r="R45" i="11"/>
  <c r="Z45" i="11"/>
  <c r="D149" i="11"/>
  <c r="C149" i="11"/>
  <c r="B149" i="11"/>
  <c r="E123" i="11"/>
  <c r="E69" i="11"/>
  <c r="H149" i="11"/>
  <c r="G149" i="11"/>
  <c r="F149" i="11"/>
  <c r="I123" i="11"/>
  <c r="I69" i="11"/>
  <c r="L149" i="11"/>
  <c r="K149" i="11"/>
  <c r="J149" i="11"/>
  <c r="M123" i="11"/>
  <c r="M69" i="11"/>
  <c r="P149" i="11"/>
  <c r="O149" i="11"/>
  <c r="N149" i="11"/>
  <c r="Q123" i="11"/>
  <c r="Q69" i="11"/>
  <c r="T149" i="11"/>
  <c r="S149" i="11"/>
  <c r="R149" i="11"/>
  <c r="U123" i="11"/>
  <c r="U69" i="11"/>
  <c r="X149" i="11"/>
  <c r="W149" i="11"/>
  <c r="V149" i="11"/>
  <c r="Y123" i="11"/>
  <c r="Y69" i="11"/>
  <c r="AB149" i="11"/>
  <c r="AA149" i="11"/>
  <c r="Z149" i="11"/>
  <c r="AC123" i="11"/>
  <c r="AC69" i="11"/>
  <c r="AF149" i="11"/>
  <c r="AE149" i="11"/>
  <c r="AD149" i="11"/>
  <c r="AG123" i="11"/>
  <c r="AG69" i="11"/>
  <c r="D153" i="11"/>
  <c r="C153" i="11"/>
  <c r="B153" i="11"/>
  <c r="E127" i="11"/>
  <c r="E73" i="11"/>
  <c r="H153" i="11"/>
  <c r="G153" i="11"/>
  <c r="F153" i="11"/>
  <c r="I127" i="11"/>
  <c r="I73" i="11"/>
  <c r="L153" i="11"/>
  <c r="K153" i="11"/>
  <c r="J153" i="11"/>
  <c r="M127" i="11"/>
  <c r="M73" i="11"/>
  <c r="P153" i="11"/>
  <c r="O153" i="11"/>
  <c r="N153" i="11"/>
  <c r="Q127" i="11"/>
  <c r="Q73" i="11"/>
  <c r="T153" i="11"/>
  <c r="S153" i="11"/>
  <c r="R153" i="11"/>
  <c r="U127" i="11"/>
  <c r="U73" i="11"/>
  <c r="X153" i="11"/>
  <c r="W153" i="11"/>
  <c r="V153" i="11"/>
  <c r="Y127" i="11"/>
  <c r="Y73" i="11"/>
  <c r="AB153" i="11"/>
  <c r="AA153" i="11"/>
  <c r="Z153" i="11"/>
  <c r="AC127" i="11"/>
  <c r="AC73" i="11"/>
  <c r="AF153" i="11"/>
  <c r="AE153" i="11"/>
  <c r="AD153" i="11"/>
  <c r="AG127" i="11"/>
  <c r="AG73" i="11"/>
  <c r="E100" i="11"/>
  <c r="D100" i="11"/>
  <c r="C128" i="11"/>
  <c r="C74" i="11"/>
  <c r="B46" i="11"/>
  <c r="I100" i="11"/>
  <c r="H100" i="11"/>
  <c r="G128" i="11"/>
  <c r="G74" i="11"/>
  <c r="F46" i="11"/>
  <c r="M100" i="11"/>
  <c r="L100" i="11"/>
  <c r="K128" i="11"/>
  <c r="K74" i="11"/>
  <c r="J46" i="11"/>
  <c r="Q100" i="11"/>
  <c r="P100" i="11"/>
  <c r="O128" i="11"/>
  <c r="O74" i="11"/>
  <c r="N46" i="11"/>
  <c r="U100" i="11"/>
  <c r="T100" i="11"/>
  <c r="S128" i="11"/>
  <c r="S74" i="11"/>
  <c r="R46" i="11"/>
  <c r="Y100" i="11"/>
  <c r="X100" i="11"/>
  <c r="W128" i="11"/>
  <c r="W74" i="11"/>
  <c r="V46" i="11"/>
  <c r="AC100" i="11"/>
  <c r="AB100" i="11"/>
  <c r="AA128" i="11"/>
  <c r="AA74" i="11"/>
  <c r="Z46" i="11"/>
  <c r="AG100" i="11"/>
  <c r="AF100" i="11"/>
  <c r="AE128" i="11"/>
  <c r="AE74" i="11"/>
  <c r="AD46" i="11"/>
  <c r="D47" i="11"/>
  <c r="C47" i="11"/>
  <c r="B75" i="11"/>
  <c r="B129" i="11" s="1"/>
  <c r="E47" i="11"/>
  <c r="H47" i="11"/>
  <c r="G47" i="11"/>
  <c r="F75" i="11"/>
  <c r="F129" i="11" s="1"/>
  <c r="I47" i="11"/>
  <c r="L47" i="11"/>
  <c r="K47" i="11"/>
  <c r="J75" i="11"/>
  <c r="J129" i="11" s="1"/>
  <c r="M47" i="11"/>
  <c r="P47" i="11"/>
  <c r="O47" i="11"/>
  <c r="N75" i="11"/>
  <c r="N129" i="11" s="1"/>
  <c r="Q47" i="11"/>
  <c r="T47" i="11"/>
  <c r="S47" i="11"/>
  <c r="R75" i="11"/>
  <c r="R129" i="11" s="1"/>
  <c r="U47" i="11"/>
  <c r="X47" i="11"/>
  <c r="W47" i="11"/>
  <c r="V75" i="11"/>
  <c r="V129" i="11" s="1"/>
  <c r="Y47" i="11"/>
  <c r="AB47" i="11"/>
  <c r="AA47" i="11"/>
  <c r="Z75" i="11"/>
  <c r="Z129" i="11" s="1"/>
  <c r="AC47" i="11"/>
  <c r="AF47" i="11"/>
  <c r="AE47" i="11"/>
  <c r="AD75" i="11"/>
  <c r="AD129" i="11" s="1"/>
  <c r="AG47" i="11"/>
  <c r="B156" i="11"/>
  <c r="D156" i="11"/>
  <c r="C156" i="11"/>
  <c r="E130" i="11"/>
  <c r="E76" i="11"/>
  <c r="F156" i="11"/>
  <c r="H156" i="11"/>
  <c r="G156" i="11"/>
  <c r="I130" i="11"/>
  <c r="I76" i="11"/>
  <c r="J156" i="11"/>
  <c r="L156" i="11"/>
  <c r="K156" i="11"/>
  <c r="M130" i="11"/>
  <c r="M76" i="11"/>
  <c r="N156" i="11"/>
  <c r="P156" i="11"/>
  <c r="O156" i="11"/>
  <c r="Q130" i="11"/>
  <c r="Q76" i="11"/>
  <c r="R156" i="11"/>
  <c r="T156" i="11"/>
  <c r="S156" i="11"/>
  <c r="U130" i="11"/>
  <c r="U76" i="11"/>
  <c r="V156" i="11"/>
  <c r="X156" i="11"/>
  <c r="W156" i="11"/>
  <c r="Y130" i="11"/>
  <c r="Y76" i="11"/>
  <c r="Z156" i="11"/>
  <c r="AB156" i="11"/>
  <c r="AA156" i="11"/>
  <c r="AC130" i="11"/>
  <c r="AC76" i="11"/>
  <c r="AD156" i="11"/>
  <c r="AF156" i="11"/>
  <c r="AE156" i="11"/>
  <c r="AG130" i="11"/>
  <c r="AG76" i="11"/>
  <c r="E157" i="11"/>
  <c r="D131" i="11"/>
  <c r="C103" i="11"/>
  <c r="D77" i="11"/>
  <c r="B103" i="11"/>
  <c r="I157" i="11"/>
  <c r="H131" i="11"/>
  <c r="G103" i="11"/>
  <c r="H77" i="11"/>
  <c r="F103" i="11"/>
  <c r="M157" i="11"/>
  <c r="L131" i="11"/>
  <c r="K103" i="11"/>
  <c r="J103" i="11"/>
  <c r="L77" i="11"/>
  <c r="Q157" i="11"/>
  <c r="P131" i="11"/>
  <c r="O103" i="11"/>
  <c r="N103" i="11"/>
  <c r="P77" i="11"/>
  <c r="U157" i="11"/>
  <c r="T131" i="11"/>
  <c r="S103" i="11"/>
  <c r="T77" i="11"/>
  <c r="R103" i="11"/>
  <c r="Y157" i="11"/>
  <c r="X131" i="11"/>
  <c r="W103" i="11"/>
  <c r="X77" i="11"/>
  <c r="V103" i="11"/>
  <c r="AC157" i="11"/>
  <c r="AB131" i="11"/>
  <c r="AA103" i="11"/>
  <c r="Z103" i="11"/>
  <c r="AB77" i="11"/>
  <c r="AG157" i="11"/>
  <c r="AF131" i="11"/>
  <c r="AE103" i="11"/>
  <c r="AD103" i="11"/>
  <c r="AF77" i="11"/>
  <c r="C132" i="11"/>
  <c r="E104" i="11"/>
  <c r="D104" i="11"/>
  <c r="C78" i="11"/>
  <c r="B50" i="11"/>
  <c r="G132" i="11"/>
  <c r="I104" i="11"/>
  <c r="H104" i="11"/>
  <c r="G78" i="11"/>
  <c r="F50" i="11"/>
  <c r="K132" i="11"/>
  <c r="M104" i="11"/>
  <c r="L104" i="11"/>
  <c r="K78" i="11"/>
  <c r="J50" i="11"/>
  <c r="O132" i="11"/>
  <c r="Q104" i="11"/>
  <c r="P104" i="11"/>
  <c r="O78" i="11"/>
  <c r="N50" i="11"/>
  <c r="S132" i="11"/>
  <c r="U104" i="11"/>
  <c r="T104" i="11"/>
  <c r="S78" i="11"/>
  <c r="R50" i="11"/>
  <c r="W132" i="11"/>
  <c r="Y104" i="11"/>
  <c r="W78" i="11"/>
  <c r="X104" i="11"/>
  <c r="V50" i="11"/>
  <c r="AA132" i="11"/>
  <c r="AC104" i="11"/>
  <c r="AA78" i="11"/>
  <c r="AB104" i="11"/>
  <c r="Z50" i="11"/>
  <c r="AE132" i="11"/>
  <c r="AG104" i="11"/>
  <c r="AE78" i="11"/>
  <c r="AF104" i="11"/>
  <c r="AD50" i="11"/>
  <c r="D51" i="11"/>
  <c r="C51" i="11"/>
  <c r="B79" i="11"/>
  <c r="B133" i="11" s="1"/>
  <c r="E51" i="11"/>
  <c r="F79" i="11"/>
  <c r="F133" i="11" s="1"/>
  <c r="H51" i="11"/>
  <c r="G51" i="11"/>
  <c r="I51" i="11"/>
  <c r="L51" i="11"/>
  <c r="J79" i="11"/>
  <c r="J133" i="11" s="1"/>
  <c r="K51" i="11"/>
  <c r="M51" i="11"/>
  <c r="P51" i="11"/>
  <c r="O51" i="11"/>
  <c r="N79" i="11"/>
  <c r="N133" i="11" s="1"/>
  <c r="Q51" i="11"/>
  <c r="T51" i="11"/>
  <c r="S51" i="11"/>
  <c r="R79" i="11"/>
  <c r="R133" i="11" s="1"/>
  <c r="U51" i="11"/>
  <c r="V79" i="11"/>
  <c r="V133" i="11" s="1"/>
  <c r="X51" i="11"/>
  <c r="W51" i="11"/>
  <c r="Y51" i="11"/>
  <c r="AB51" i="11"/>
  <c r="Z79" i="11"/>
  <c r="Z133" i="11" s="1"/>
  <c r="AA51" i="11"/>
  <c r="AC51" i="11"/>
  <c r="AF51" i="11"/>
  <c r="AE51" i="11"/>
  <c r="AD79" i="11"/>
  <c r="AD133" i="11" s="1"/>
  <c r="AG51" i="11"/>
  <c r="E29" i="11"/>
  <c r="I29" i="11"/>
  <c r="M29" i="11"/>
  <c r="Q29" i="11"/>
  <c r="U29" i="11"/>
  <c r="Y29" i="11"/>
  <c r="AC29" i="11"/>
  <c r="AG29" i="11"/>
  <c r="D32" i="11"/>
  <c r="H32" i="11"/>
  <c r="L32" i="11"/>
  <c r="P32" i="11"/>
  <c r="T32" i="11"/>
  <c r="X32" i="11"/>
  <c r="AB32" i="11"/>
  <c r="AF32" i="11"/>
  <c r="E33" i="11"/>
  <c r="I33" i="11"/>
  <c r="M33" i="11"/>
  <c r="Q33" i="11"/>
  <c r="U33" i="11"/>
  <c r="Y33" i="11"/>
  <c r="AC33" i="11"/>
  <c r="AG33" i="11"/>
  <c r="D36" i="11"/>
  <c r="H36" i="11"/>
  <c r="L36" i="11"/>
  <c r="P36" i="11"/>
  <c r="T36" i="11"/>
  <c r="X36" i="11"/>
  <c r="AB36" i="11"/>
  <c r="AF36" i="11"/>
  <c r="C39" i="11"/>
  <c r="G39" i="11"/>
  <c r="K39" i="11"/>
  <c r="O39" i="11"/>
  <c r="S39" i="11"/>
  <c r="W39" i="11"/>
  <c r="AA39" i="11"/>
  <c r="AE39" i="11"/>
  <c r="D40" i="11"/>
  <c r="H40" i="11"/>
  <c r="L40" i="11"/>
  <c r="P40" i="11"/>
  <c r="T40" i="11"/>
  <c r="X40" i="11"/>
  <c r="AB40" i="11"/>
  <c r="AF40" i="11"/>
  <c r="E41" i="11"/>
  <c r="I41" i="11"/>
  <c r="M41" i="11"/>
  <c r="Q41" i="11"/>
  <c r="U41" i="11"/>
  <c r="Y41" i="11"/>
  <c r="AC41" i="11"/>
  <c r="AG41" i="11"/>
  <c r="C42" i="11"/>
  <c r="H42" i="11"/>
  <c r="M42" i="11"/>
  <c r="S42" i="11"/>
  <c r="X42" i="11"/>
  <c r="AC42" i="11"/>
  <c r="F43" i="11"/>
  <c r="N43" i="11"/>
  <c r="V43" i="11"/>
  <c r="AD43" i="11"/>
  <c r="C44" i="11"/>
  <c r="K44" i="11"/>
  <c r="S44" i="11"/>
  <c r="AA44" i="11"/>
  <c r="E96" i="11"/>
  <c r="D96" i="11"/>
  <c r="C124" i="11"/>
  <c r="C70" i="11"/>
  <c r="B42" i="11"/>
  <c r="I96" i="11"/>
  <c r="H96" i="11"/>
  <c r="G124" i="11"/>
  <c r="G70" i="11"/>
  <c r="F42" i="11"/>
  <c r="M96" i="11"/>
  <c r="L96" i="11"/>
  <c r="K124" i="11"/>
  <c r="K70" i="11"/>
  <c r="J42" i="11"/>
  <c r="Q96" i="11"/>
  <c r="P96" i="11"/>
  <c r="O124" i="11"/>
  <c r="O70" i="11"/>
  <c r="N42" i="11"/>
  <c r="U96" i="11"/>
  <c r="T96" i="11"/>
  <c r="S124" i="11"/>
  <c r="S70" i="11"/>
  <c r="R42" i="11"/>
  <c r="Y96" i="11"/>
  <c r="X96" i="11"/>
  <c r="W124" i="11"/>
  <c r="W70" i="11"/>
  <c r="V42" i="11"/>
  <c r="AC96" i="11"/>
  <c r="AB96" i="11"/>
  <c r="AA124" i="11"/>
  <c r="AA70" i="11"/>
  <c r="Z42" i="11"/>
  <c r="AG96" i="11"/>
  <c r="AF96" i="11"/>
  <c r="AE124" i="11"/>
  <c r="AE70" i="11"/>
  <c r="AD42" i="11"/>
  <c r="D151" i="11"/>
  <c r="C151" i="11"/>
  <c r="B151" i="11"/>
  <c r="E125" i="11"/>
  <c r="E71" i="11"/>
  <c r="H151" i="11"/>
  <c r="G151" i="11"/>
  <c r="F151" i="11"/>
  <c r="I125" i="11"/>
  <c r="I71" i="11"/>
  <c r="L151" i="11"/>
  <c r="K151" i="11"/>
  <c r="J151" i="11"/>
  <c r="M125" i="11"/>
  <c r="M71" i="11"/>
  <c r="P151" i="11"/>
  <c r="O151" i="11"/>
  <c r="N151" i="11"/>
  <c r="Q125" i="11"/>
  <c r="Q71" i="11"/>
  <c r="T151" i="11"/>
  <c r="S151" i="11"/>
  <c r="R151" i="11"/>
  <c r="U125" i="11"/>
  <c r="U71" i="11"/>
  <c r="X151" i="11"/>
  <c r="W151" i="11"/>
  <c r="V151" i="11"/>
  <c r="Y125" i="11"/>
  <c r="Y71" i="11"/>
  <c r="AB151" i="11"/>
  <c r="AA151" i="11"/>
  <c r="Z151" i="11"/>
  <c r="AC125" i="11"/>
  <c r="AC71" i="11"/>
  <c r="AF151" i="11"/>
  <c r="AE151" i="11"/>
  <c r="AD151" i="11"/>
  <c r="AG125" i="11"/>
  <c r="AG71" i="11"/>
  <c r="C126" i="11"/>
  <c r="E98" i="11"/>
  <c r="D98" i="11"/>
  <c r="C72" i="11"/>
  <c r="B44" i="11"/>
  <c r="G126" i="11"/>
  <c r="I98" i="11"/>
  <c r="H98" i="11"/>
  <c r="G72" i="11"/>
  <c r="F44" i="11"/>
  <c r="K126" i="11"/>
  <c r="M98" i="11"/>
  <c r="L98" i="11"/>
  <c r="K72" i="11"/>
  <c r="J44" i="11"/>
  <c r="O126" i="11"/>
  <c r="Q98" i="11"/>
  <c r="P98" i="11"/>
  <c r="O72" i="11"/>
  <c r="N44" i="11"/>
  <c r="S126" i="11"/>
  <c r="U98" i="11"/>
  <c r="T98" i="11"/>
  <c r="S72" i="11"/>
  <c r="R44" i="11"/>
  <c r="W126" i="11"/>
  <c r="Y98" i="11"/>
  <c r="X98" i="11"/>
  <c r="W72" i="11"/>
  <c r="V44" i="11"/>
  <c r="AA126" i="11"/>
  <c r="AC98" i="11"/>
  <c r="AB98" i="11"/>
  <c r="AA72" i="11"/>
  <c r="Z44" i="11"/>
  <c r="AE126" i="11"/>
  <c r="AG98" i="11"/>
  <c r="AF98" i="11"/>
  <c r="AE72" i="11"/>
  <c r="AD44" i="11"/>
  <c r="D139" i="11"/>
  <c r="C139" i="11"/>
  <c r="B139" i="11"/>
  <c r="E113" i="11"/>
  <c r="E59" i="11"/>
  <c r="H139" i="11"/>
  <c r="G139" i="11"/>
  <c r="F139" i="11"/>
  <c r="I113" i="11"/>
  <c r="I59" i="11"/>
  <c r="L139" i="11"/>
  <c r="K139" i="11"/>
  <c r="J139" i="11"/>
  <c r="M113" i="11"/>
  <c r="M59" i="11"/>
  <c r="P139" i="11"/>
  <c r="O139" i="11"/>
  <c r="N139" i="11"/>
  <c r="Q113" i="11"/>
  <c r="Q59" i="11"/>
  <c r="T139" i="11"/>
  <c r="S139" i="11"/>
  <c r="R139" i="11"/>
  <c r="U113" i="11"/>
  <c r="U59" i="11"/>
  <c r="X139" i="11"/>
  <c r="W139" i="11"/>
  <c r="V139" i="11"/>
  <c r="Y113" i="11"/>
  <c r="Y59" i="11"/>
  <c r="AB139" i="11"/>
  <c r="AA139" i="11"/>
  <c r="Z139" i="11"/>
  <c r="AC113" i="11"/>
  <c r="AC59" i="11"/>
  <c r="AF139" i="11"/>
  <c r="AE139" i="11"/>
  <c r="AD139" i="11"/>
  <c r="AG113" i="11"/>
  <c r="AG59" i="11"/>
  <c r="E140" i="11"/>
  <c r="C86" i="11"/>
  <c r="B86" i="11"/>
  <c r="D114" i="11"/>
  <c r="D60" i="11"/>
  <c r="I140" i="11"/>
  <c r="G86" i="11"/>
  <c r="F86" i="11"/>
  <c r="H114" i="11"/>
  <c r="H60" i="11"/>
  <c r="M140" i="11"/>
  <c r="K86" i="11"/>
  <c r="J86" i="11"/>
  <c r="L114" i="11"/>
  <c r="L60" i="11"/>
  <c r="Q140" i="11"/>
  <c r="O86" i="11"/>
  <c r="N86" i="11"/>
  <c r="P114" i="11"/>
  <c r="P60" i="11"/>
  <c r="U140" i="11"/>
  <c r="S86" i="11"/>
  <c r="R86" i="11"/>
  <c r="T114" i="11"/>
  <c r="T60" i="11"/>
  <c r="Y140" i="11"/>
  <c r="W86" i="11"/>
  <c r="V86" i="11"/>
  <c r="X114" i="11"/>
  <c r="X60" i="11"/>
  <c r="AC140" i="11"/>
  <c r="AA86" i="11"/>
  <c r="Z86" i="11"/>
  <c r="AB114" i="11"/>
  <c r="AB60" i="11"/>
  <c r="AG140" i="11"/>
  <c r="AE86" i="11"/>
  <c r="AD86" i="11"/>
  <c r="AF114" i="11"/>
  <c r="AF60" i="11"/>
  <c r="E141" i="11"/>
  <c r="D115" i="11"/>
  <c r="C87" i="11"/>
  <c r="B87" i="11"/>
  <c r="D61" i="11"/>
  <c r="I141" i="11"/>
  <c r="H115" i="11"/>
  <c r="G87" i="11"/>
  <c r="F87" i="11"/>
  <c r="H61" i="11"/>
  <c r="M141" i="11"/>
  <c r="L115" i="11"/>
  <c r="K87" i="11"/>
  <c r="J87" i="11"/>
  <c r="L61" i="11"/>
  <c r="Q141" i="11"/>
  <c r="P115" i="11"/>
  <c r="O87" i="11"/>
  <c r="N87" i="11"/>
  <c r="P61" i="11"/>
  <c r="U141" i="11"/>
  <c r="T115" i="11"/>
  <c r="S87" i="11"/>
  <c r="R87" i="11"/>
  <c r="T61" i="11"/>
  <c r="Y141" i="11"/>
  <c r="X115" i="11"/>
  <c r="W87" i="11"/>
  <c r="V87" i="11"/>
  <c r="X61" i="11"/>
  <c r="AC141" i="11"/>
  <c r="AB115" i="11"/>
  <c r="AA87" i="11"/>
  <c r="Z87" i="11"/>
  <c r="AB61" i="11"/>
  <c r="AG141" i="11"/>
  <c r="AF115" i="11"/>
  <c r="AE87" i="11"/>
  <c r="AD87" i="11"/>
  <c r="AF61" i="11"/>
  <c r="E142" i="11"/>
  <c r="D116" i="11"/>
  <c r="C88" i="11"/>
  <c r="B88" i="11"/>
  <c r="D62" i="11"/>
  <c r="I142" i="11"/>
  <c r="H116" i="11"/>
  <c r="G88" i="11"/>
  <c r="F88" i="11"/>
  <c r="H62" i="11"/>
  <c r="M142" i="11"/>
  <c r="L116" i="11"/>
  <c r="K88" i="11"/>
  <c r="J88" i="11"/>
  <c r="L62" i="11"/>
  <c r="Q142" i="11"/>
  <c r="P116" i="11"/>
  <c r="O88" i="11"/>
  <c r="N88" i="11"/>
  <c r="P62" i="11"/>
  <c r="U142" i="11"/>
  <c r="T116" i="11"/>
  <c r="S88" i="11"/>
  <c r="R88" i="11"/>
  <c r="T62" i="11"/>
  <c r="Y142" i="11"/>
  <c r="X116" i="11"/>
  <c r="W88" i="11"/>
  <c r="V88" i="11"/>
  <c r="X62" i="11"/>
  <c r="AC142" i="11"/>
  <c r="AB116" i="11"/>
  <c r="AA88" i="11"/>
  <c r="Z88" i="11"/>
  <c r="AB62" i="11"/>
  <c r="AG142" i="11"/>
  <c r="AF116" i="11"/>
  <c r="AE88" i="11"/>
  <c r="AD88" i="11"/>
  <c r="AF62" i="11"/>
  <c r="D143" i="11"/>
  <c r="C143" i="11"/>
  <c r="B143" i="11"/>
  <c r="E117" i="11"/>
  <c r="E63" i="11"/>
  <c r="H143" i="11"/>
  <c r="G143" i="11"/>
  <c r="F143" i="11"/>
  <c r="I117" i="11"/>
  <c r="I63" i="11"/>
  <c r="L143" i="11"/>
  <c r="K143" i="11"/>
  <c r="J143" i="11"/>
  <c r="M117" i="11"/>
  <c r="M63" i="11"/>
  <c r="P143" i="11"/>
  <c r="O143" i="11"/>
  <c r="N143" i="11"/>
  <c r="Q117" i="11"/>
  <c r="Q63" i="11"/>
  <c r="T143" i="11"/>
  <c r="S143" i="11"/>
  <c r="R143" i="11"/>
  <c r="U117" i="11"/>
  <c r="U63" i="11"/>
  <c r="X143" i="11"/>
  <c r="W143" i="11"/>
  <c r="V143" i="11"/>
  <c r="Y117" i="11"/>
  <c r="Y63" i="11"/>
  <c r="AB143" i="11"/>
  <c r="AA143" i="11"/>
  <c r="Z143" i="11"/>
  <c r="AC117" i="11"/>
  <c r="AC63" i="11"/>
  <c r="AF143" i="11"/>
  <c r="AE143" i="11"/>
  <c r="AD143" i="11"/>
  <c r="AG117" i="11"/>
  <c r="AG63" i="11"/>
  <c r="E91" i="11"/>
  <c r="C119" i="11"/>
  <c r="D91" i="11"/>
  <c r="C65" i="11"/>
  <c r="I91" i="11"/>
  <c r="G119" i="11"/>
  <c r="H91" i="11"/>
  <c r="G65" i="11"/>
  <c r="M91" i="11"/>
  <c r="K119" i="11"/>
  <c r="L91" i="11"/>
  <c r="K65" i="11"/>
  <c r="Q91" i="11"/>
  <c r="O119" i="11"/>
  <c r="P91" i="11"/>
  <c r="O65" i="11"/>
  <c r="U91" i="11"/>
  <c r="S119" i="11"/>
  <c r="T91" i="11"/>
  <c r="S65" i="11"/>
  <c r="Y91" i="11"/>
  <c r="W119" i="11"/>
  <c r="X91" i="11"/>
  <c r="W65" i="11"/>
  <c r="AC91" i="11"/>
  <c r="AA119" i="11"/>
  <c r="AB91" i="11"/>
  <c r="AA65" i="11"/>
  <c r="AG91" i="11"/>
  <c r="AE119" i="11"/>
  <c r="AF91" i="11"/>
  <c r="AE65" i="11"/>
  <c r="E146" i="11"/>
  <c r="D120" i="11"/>
  <c r="C92" i="11"/>
  <c r="B92" i="11"/>
  <c r="D66" i="11"/>
  <c r="I146" i="11"/>
  <c r="H120" i="11"/>
  <c r="G92" i="11"/>
  <c r="F92" i="11"/>
  <c r="H66" i="11"/>
  <c r="M146" i="11"/>
  <c r="L120" i="11"/>
  <c r="K92" i="11"/>
  <c r="J92" i="11"/>
  <c r="L66" i="11"/>
  <c r="Q146" i="11"/>
  <c r="P120" i="11"/>
  <c r="O92" i="11"/>
  <c r="N92" i="11"/>
  <c r="P66" i="11"/>
  <c r="U146" i="11"/>
  <c r="T120" i="11"/>
  <c r="S92" i="11"/>
  <c r="R92" i="11"/>
  <c r="T66" i="11"/>
  <c r="Y146" i="11"/>
  <c r="X120" i="11"/>
  <c r="W92" i="11"/>
  <c r="V92" i="11"/>
  <c r="X66" i="11"/>
  <c r="AC146" i="11"/>
  <c r="AB120" i="11"/>
  <c r="AA92" i="11"/>
  <c r="Z92" i="11"/>
  <c r="AB66" i="11"/>
  <c r="AG146" i="11"/>
  <c r="AF120" i="11"/>
  <c r="AE92" i="11"/>
  <c r="AD92" i="11"/>
  <c r="AF66" i="11"/>
  <c r="E148" i="11"/>
  <c r="C94" i="11"/>
  <c r="D122" i="11"/>
  <c r="B94" i="11"/>
  <c r="D68" i="11"/>
  <c r="I148" i="11"/>
  <c r="G94" i="11"/>
  <c r="H122" i="11"/>
  <c r="F94" i="11"/>
  <c r="H68" i="11"/>
  <c r="M148" i="11"/>
  <c r="K94" i="11"/>
  <c r="L122" i="11"/>
  <c r="J94" i="11"/>
  <c r="L68" i="11"/>
  <c r="Q148" i="11"/>
  <c r="O94" i="11"/>
  <c r="P122" i="11"/>
  <c r="N94" i="11"/>
  <c r="P68" i="11"/>
  <c r="U148" i="11"/>
  <c r="S94" i="11"/>
  <c r="T122" i="11"/>
  <c r="R94" i="11"/>
  <c r="T68" i="11"/>
  <c r="Y148" i="11"/>
  <c r="W94" i="11"/>
  <c r="X122" i="11"/>
  <c r="V94" i="11"/>
  <c r="X68" i="11"/>
  <c r="AC148" i="11"/>
  <c r="AA94" i="11"/>
  <c r="AB122" i="11"/>
  <c r="Z94" i="11"/>
  <c r="AB68" i="11"/>
  <c r="AG148" i="11"/>
  <c r="AE94" i="11"/>
  <c r="AF122" i="11"/>
  <c r="AD94" i="11"/>
  <c r="AF68" i="11"/>
  <c r="E150" i="11"/>
  <c r="D124" i="11"/>
  <c r="C96" i="11"/>
  <c r="B96" i="11"/>
  <c r="D70" i="11"/>
  <c r="I150" i="11"/>
  <c r="H124" i="11"/>
  <c r="G96" i="11"/>
  <c r="F96" i="11"/>
  <c r="H70" i="11"/>
  <c r="M150" i="11"/>
  <c r="L124" i="11"/>
  <c r="K96" i="11"/>
  <c r="J96" i="11"/>
  <c r="L70" i="11"/>
  <c r="Q150" i="11"/>
  <c r="P124" i="11"/>
  <c r="O96" i="11"/>
  <c r="N96" i="11"/>
  <c r="P70" i="11"/>
  <c r="U150" i="11"/>
  <c r="T124" i="11"/>
  <c r="S96" i="11"/>
  <c r="R96" i="11"/>
  <c r="T70" i="11"/>
  <c r="Y150" i="11"/>
  <c r="X124" i="11"/>
  <c r="W96" i="11"/>
  <c r="V96" i="11"/>
  <c r="X70" i="11"/>
  <c r="AC150" i="11"/>
  <c r="AB124" i="11"/>
  <c r="AA96" i="11"/>
  <c r="Z96" i="11"/>
  <c r="AB70" i="11"/>
  <c r="AG150" i="11"/>
  <c r="AF124" i="11"/>
  <c r="AE96" i="11"/>
  <c r="AD96" i="11"/>
  <c r="AF70" i="11"/>
  <c r="E43" i="11"/>
  <c r="C43" i="11"/>
  <c r="B71" i="11"/>
  <c r="B125" i="11" s="1"/>
  <c r="I43" i="11"/>
  <c r="G43" i="11"/>
  <c r="F71" i="11"/>
  <c r="F125" i="11" s="1"/>
  <c r="M43" i="11"/>
  <c r="K43" i="11"/>
  <c r="J71" i="11"/>
  <c r="J125" i="11" s="1"/>
  <c r="Q43" i="11"/>
  <c r="O43" i="11"/>
  <c r="N71" i="11"/>
  <c r="N125" i="11" s="1"/>
  <c r="U43" i="11"/>
  <c r="S43" i="11"/>
  <c r="R71" i="11"/>
  <c r="R125" i="11" s="1"/>
  <c r="Y43" i="11"/>
  <c r="W43" i="11"/>
  <c r="V71" i="11"/>
  <c r="V125" i="11" s="1"/>
  <c r="AC43" i="11"/>
  <c r="AA43" i="11"/>
  <c r="Z71" i="11"/>
  <c r="Z125" i="11" s="1"/>
  <c r="AG43" i="11"/>
  <c r="AE43" i="11"/>
  <c r="AD71" i="11"/>
  <c r="AD125" i="11" s="1"/>
  <c r="E152" i="11"/>
  <c r="C98" i="11"/>
  <c r="D126" i="11"/>
  <c r="B98" i="11"/>
  <c r="D72" i="11"/>
  <c r="I152" i="11"/>
  <c r="G98" i="11"/>
  <c r="H126" i="11"/>
  <c r="F98" i="11"/>
  <c r="H72" i="11"/>
  <c r="M152" i="11"/>
  <c r="K98" i="11"/>
  <c r="L126" i="11"/>
  <c r="J98" i="11"/>
  <c r="L72" i="11"/>
  <c r="Q152" i="11"/>
  <c r="O98" i="11"/>
  <c r="P126" i="11"/>
  <c r="N98" i="11"/>
  <c r="P72" i="11"/>
  <c r="U152" i="11"/>
  <c r="S98" i="11"/>
  <c r="T126" i="11"/>
  <c r="R98" i="11"/>
  <c r="T72" i="11"/>
  <c r="Y152" i="11"/>
  <c r="W98" i="11"/>
  <c r="X126" i="11"/>
  <c r="V98" i="11"/>
  <c r="X72" i="11"/>
  <c r="AC152" i="11"/>
  <c r="AA98" i="11"/>
  <c r="AB126" i="11"/>
  <c r="Z98" i="11"/>
  <c r="AB72" i="11"/>
  <c r="AG152" i="11"/>
  <c r="AE98" i="11"/>
  <c r="AF126" i="11"/>
  <c r="AD98" i="11"/>
  <c r="AF72" i="11"/>
  <c r="C45" i="11"/>
  <c r="E45" i="11"/>
  <c r="B73" i="11"/>
  <c r="B127" i="11" s="1"/>
  <c r="G45" i="11"/>
  <c r="I45" i="11"/>
  <c r="F73" i="11"/>
  <c r="F127" i="11" s="1"/>
  <c r="K45" i="11"/>
  <c r="M45" i="11"/>
  <c r="J73" i="11"/>
  <c r="J127" i="11" s="1"/>
  <c r="O45" i="11"/>
  <c r="Q45" i="11"/>
  <c r="N73" i="11"/>
  <c r="N127" i="11" s="1"/>
  <c r="S45" i="11"/>
  <c r="U45" i="11"/>
  <c r="R73" i="11"/>
  <c r="R127" i="11" s="1"/>
  <c r="W45" i="11"/>
  <c r="Y45" i="11"/>
  <c r="V73" i="11"/>
  <c r="V127" i="11" s="1"/>
  <c r="AA45" i="11"/>
  <c r="AC45" i="11"/>
  <c r="Z73" i="11"/>
  <c r="Z127" i="11" s="1"/>
  <c r="AE45" i="11"/>
  <c r="AG45" i="11"/>
  <c r="AD73" i="11"/>
  <c r="AD127" i="11" s="1"/>
  <c r="E154" i="11"/>
  <c r="D128" i="11"/>
  <c r="C100" i="11"/>
  <c r="B100" i="11"/>
  <c r="D74" i="11"/>
  <c r="I154" i="11"/>
  <c r="H128" i="11"/>
  <c r="G100" i="11"/>
  <c r="F100" i="11"/>
  <c r="H74" i="11"/>
  <c r="M154" i="11"/>
  <c r="L128" i="11"/>
  <c r="K100" i="11"/>
  <c r="J100" i="11"/>
  <c r="L74" i="11"/>
  <c r="Q154" i="11"/>
  <c r="P128" i="11"/>
  <c r="O100" i="11"/>
  <c r="N100" i="11"/>
  <c r="P74" i="11"/>
  <c r="U154" i="11"/>
  <c r="T128" i="11"/>
  <c r="S100" i="11"/>
  <c r="R100" i="11"/>
  <c r="T74" i="11"/>
  <c r="Y154" i="11"/>
  <c r="X128" i="11"/>
  <c r="W100" i="11"/>
  <c r="V100" i="11"/>
  <c r="X74" i="11"/>
  <c r="AC154" i="11"/>
  <c r="AB128" i="11"/>
  <c r="AA100" i="11"/>
  <c r="Z100" i="11"/>
  <c r="AB74" i="11"/>
  <c r="AG154" i="11"/>
  <c r="AF128" i="11"/>
  <c r="AE100" i="11"/>
  <c r="AD100" i="11"/>
  <c r="AF74" i="11"/>
  <c r="E101" i="11"/>
  <c r="D101" i="11"/>
  <c r="C129" i="11"/>
  <c r="C75" i="11"/>
  <c r="B47" i="11"/>
  <c r="I101" i="11"/>
  <c r="H101" i="11"/>
  <c r="G129" i="11"/>
  <c r="G75" i="11"/>
  <c r="F47" i="11"/>
  <c r="M101" i="11"/>
  <c r="L101" i="11"/>
  <c r="K129" i="11"/>
  <c r="K75" i="11"/>
  <c r="J47" i="11"/>
  <c r="Q101" i="11"/>
  <c r="P101" i="11"/>
  <c r="O129" i="11"/>
  <c r="O75" i="11"/>
  <c r="N47" i="11"/>
  <c r="U101" i="11"/>
  <c r="T101" i="11"/>
  <c r="S129" i="11"/>
  <c r="S75" i="11"/>
  <c r="R47" i="11"/>
  <c r="Y101" i="11"/>
  <c r="X101" i="11"/>
  <c r="W129" i="11"/>
  <c r="W75" i="11"/>
  <c r="V47" i="11"/>
  <c r="AC101" i="11"/>
  <c r="AB101" i="11"/>
  <c r="AA129" i="11"/>
  <c r="AA75" i="11"/>
  <c r="Z47" i="11"/>
  <c r="AG101" i="11"/>
  <c r="AF101" i="11"/>
  <c r="AE129" i="11"/>
  <c r="AE75" i="11"/>
  <c r="AD47" i="11"/>
  <c r="C48" i="11"/>
  <c r="B76" i="11"/>
  <c r="B130" i="11" s="1"/>
  <c r="E48" i="11"/>
  <c r="D48" i="11"/>
  <c r="G48" i="11"/>
  <c r="F76" i="11"/>
  <c r="F130" i="11" s="1"/>
  <c r="I48" i="11"/>
  <c r="H48" i="11"/>
  <c r="K48" i="11"/>
  <c r="J76" i="11"/>
  <c r="J130" i="11" s="1"/>
  <c r="M48" i="11"/>
  <c r="L48" i="11"/>
  <c r="O48" i="11"/>
  <c r="N76" i="11"/>
  <c r="N130" i="11" s="1"/>
  <c r="Q48" i="11"/>
  <c r="P48" i="11"/>
  <c r="S48" i="11"/>
  <c r="R76" i="11"/>
  <c r="R130" i="11" s="1"/>
  <c r="U48" i="11"/>
  <c r="T48" i="11"/>
  <c r="W48" i="11"/>
  <c r="V76" i="11"/>
  <c r="V130" i="11" s="1"/>
  <c r="Y48" i="11"/>
  <c r="X48" i="11"/>
  <c r="AA48" i="11"/>
  <c r="Z76" i="11"/>
  <c r="Z130" i="11" s="1"/>
  <c r="AC48" i="11"/>
  <c r="AB48" i="11"/>
  <c r="AE48" i="11"/>
  <c r="AD76" i="11"/>
  <c r="AD130" i="11" s="1"/>
  <c r="AG48" i="11"/>
  <c r="AF48" i="11"/>
  <c r="D157" i="11"/>
  <c r="C157" i="11"/>
  <c r="B157" i="11"/>
  <c r="E131" i="11"/>
  <c r="E77" i="11"/>
  <c r="H157" i="11"/>
  <c r="G157" i="11"/>
  <c r="F157" i="11"/>
  <c r="I131" i="11"/>
  <c r="I77" i="11"/>
  <c r="L157" i="11"/>
  <c r="K157" i="11"/>
  <c r="J157" i="11"/>
  <c r="M131" i="11"/>
  <c r="M77" i="11"/>
  <c r="P157" i="11"/>
  <c r="O157" i="11"/>
  <c r="N157" i="11"/>
  <c r="Q131" i="11"/>
  <c r="Q77" i="11"/>
  <c r="T157" i="11"/>
  <c r="S157" i="11"/>
  <c r="R157" i="11"/>
  <c r="U131" i="11"/>
  <c r="U77" i="11"/>
  <c r="X157" i="11"/>
  <c r="W157" i="11"/>
  <c r="V157" i="11"/>
  <c r="Y131" i="11"/>
  <c r="Y77" i="11"/>
  <c r="AB157" i="11"/>
  <c r="AA157" i="11"/>
  <c r="Z157" i="11"/>
  <c r="AC131" i="11"/>
  <c r="AC77" i="11"/>
  <c r="AF157" i="11"/>
  <c r="AE157" i="11"/>
  <c r="AD157" i="11"/>
  <c r="AG131" i="11"/>
  <c r="AG77" i="11"/>
  <c r="E158" i="11"/>
  <c r="C104" i="11"/>
  <c r="D132" i="11"/>
  <c r="B104" i="11"/>
  <c r="D78" i="11"/>
  <c r="I158" i="11"/>
  <c r="G104" i="11"/>
  <c r="H132" i="11"/>
  <c r="F104" i="11"/>
  <c r="H78" i="11"/>
  <c r="M158" i="11"/>
  <c r="K104" i="11"/>
  <c r="L132" i="11"/>
  <c r="J104" i="11"/>
  <c r="L78" i="11"/>
  <c r="Q158" i="11"/>
  <c r="O104" i="11"/>
  <c r="P132" i="11"/>
  <c r="N104" i="11"/>
  <c r="P78" i="11"/>
  <c r="U158" i="11"/>
  <c r="S104" i="11"/>
  <c r="T132" i="11"/>
  <c r="R104" i="11"/>
  <c r="T78" i="11"/>
  <c r="Y158" i="11"/>
  <c r="W104" i="11"/>
  <c r="X132" i="11"/>
  <c r="V104" i="11"/>
  <c r="X78" i="11"/>
  <c r="AC158" i="11"/>
  <c r="AA104" i="11"/>
  <c r="AB132" i="11"/>
  <c r="AB78" i="11"/>
  <c r="Z104" i="11"/>
  <c r="AG158" i="11"/>
  <c r="AE104" i="11"/>
  <c r="AF132" i="11"/>
  <c r="AD104" i="11"/>
  <c r="AF78" i="11"/>
  <c r="E105" i="11"/>
  <c r="D105" i="11"/>
  <c r="C133" i="11"/>
  <c r="C79" i="11"/>
  <c r="B51" i="11"/>
  <c r="I105" i="11"/>
  <c r="H105" i="11"/>
  <c r="G133" i="11"/>
  <c r="F51" i="11"/>
  <c r="G79" i="11"/>
  <c r="M105" i="11"/>
  <c r="L105" i="11"/>
  <c r="K133" i="11"/>
  <c r="K79" i="11"/>
  <c r="J51" i="11"/>
  <c r="Q105" i="11"/>
  <c r="P105" i="11"/>
  <c r="O133" i="11"/>
  <c r="O79" i="11"/>
  <c r="N51" i="11"/>
  <c r="U105" i="11"/>
  <c r="T105" i="11"/>
  <c r="S133" i="11"/>
  <c r="S79" i="11"/>
  <c r="R51" i="11"/>
  <c r="Y105" i="11"/>
  <c r="X105" i="11"/>
  <c r="W133" i="11"/>
  <c r="V51" i="11"/>
  <c r="W79" i="11"/>
  <c r="AC105" i="11"/>
  <c r="AB105" i="11"/>
  <c r="AA133" i="11"/>
  <c r="AA79" i="11"/>
  <c r="Z51" i="11"/>
  <c r="AG105" i="11"/>
  <c r="AF105" i="11"/>
  <c r="AE133" i="11"/>
  <c r="AE79" i="11"/>
  <c r="AD51" i="11"/>
  <c r="C30" i="11"/>
  <c r="G30" i="11"/>
  <c r="K30" i="11"/>
  <c r="O30" i="11"/>
  <c r="S30" i="11"/>
  <c r="W30" i="11"/>
  <c r="AA30" i="11"/>
  <c r="AE30" i="11"/>
  <c r="E32" i="11"/>
  <c r="I32" i="11"/>
  <c r="M32" i="11"/>
  <c r="Q32" i="11"/>
  <c r="U32" i="11"/>
  <c r="Y32" i="11"/>
  <c r="AC32" i="11"/>
  <c r="AG32" i="11"/>
  <c r="C34" i="11"/>
  <c r="G34" i="11"/>
  <c r="K34" i="11"/>
  <c r="O34" i="11"/>
  <c r="S34" i="11"/>
  <c r="W34" i="11"/>
  <c r="AA34" i="11"/>
  <c r="AE34" i="11"/>
  <c r="E36" i="11"/>
  <c r="I36" i="11"/>
  <c r="M36" i="11"/>
  <c r="Q36" i="11"/>
  <c r="U36" i="11"/>
  <c r="Y36" i="11"/>
  <c r="AC36" i="11"/>
  <c r="AG36" i="11"/>
  <c r="B37" i="11"/>
  <c r="F37" i="11"/>
  <c r="J37" i="11"/>
  <c r="N37" i="11"/>
  <c r="R37" i="11"/>
  <c r="V37" i="11"/>
  <c r="Z37" i="11"/>
  <c r="AD37" i="11"/>
  <c r="C38" i="11"/>
  <c r="G38" i="11"/>
  <c r="K38" i="11"/>
  <c r="O38" i="11"/>
  <c r="S38" i="11"/>
  <c r="W38" i="11"/>
  <c r="AA38" i="11"/>
  <c r="AE38" i="11"/>
  <c r="D39" i="11"/>
  <c r="H39" i="11"/>
  <c r="L39" i="11"/>
  <c r="P39" i="11"/>
  <c r="T39" i="11"/>
  <c r="X39" i="11"/>
  <c r="AB39" i="11"/>
  <c r="AF39" i="11"/>
  <c r="E40" i="11"/>
  <c r="I40" i="11"/>
  <c r="M40" i="11"/>
  <c r="Q40" i="11"/>
  <c r="U40" i="11"/>
  <c r="Y40" i="11"/>
  <c r="AC40" i="11"/>
  <c r="AG40" i="11"/>
  <c r="B41" i="11"/>
  <c r="F41" i="11"/>
  <c r="J41" i="11"/>
  <c r="N41" i="11"/>
  <c r="R41" i="11"/>
  <c r="V41" i="11"/>
  <c r="Z41" i="11"/>
  <c r="AD41" i="11"/>
  <c r="D42" i="11"/>
  <c r="I42" i="11"/>
  <c r="O42" i="11"/>
  <c r="T42" i="11"/>
  <c r="Y42" i="11"/>
  <c r="AE42" i="11"/>
  <c r="H43" i="11"/>
  <c r="P43" i="11"/>
  <c r="X43" i="11"/>
  <c r="AF43" i="11"/>
  <c r="E44" i="11"/>
  <c r="M44" i="11"/>
  <c r="U44" i="11"/>
  <c r="AC44" i="11"/>
  <c r="F45" i="11"/>
  <c r="N45" i="11"/>
  <c r="V45" i="11"/>
  <c r="AD45" i="11"/>
  <c r="B34" i="3"/>
  <c r="CL28" i="11" l="1"/>
  <c r="CH28" i="11"/>
  <c r="CD28" i="11"/>
  <c r="BZ28" i="11"/>
  <c r="CK28" i="11"/>
  <c r="CG28" i="11"/>
  <c r="CC28" i="11"/>
  <c r="BY28" i="11"/>
  <c r="CJ28" i="11"/>
  <c r="CF28" i="11"/>
  <c r="CB28" i="11"/>
  <c r="BX28" i="11"/>
  <c r="CM28" i="11"/>
  <c r="CI28" i="11"/>
  <c r="CE28" i="11"/>
  <c r="CA28" i="11"/>
  <c r="CL15" i="11"/>
  <c r="CH15" i="11"/>
  <c r="CD15" i="11"/>
  <c r="BZ15" i="11"/>
  <c r="CJ15" i="11"/>
  <c r="CF15" i="11"/>
  <c r="CB15" i="11"/>
  <c r="BX15" i="11"/>
  <c r="CM15" i="11"/>
  <c r="CI15" i="11"/>
  <c r="CC15" i="11"/>
  <c r="CK15" i="11"/>
  <c r="CA15" i="11"/>
  <c r="CG15" i="11"/>
  <c r="BY15" i="11"/>
  <c r="CE15" i="11"/>
  <c r="CK10" i="11"/>
  <c r="CG10" i="11"/>
  <c r="CC10" i="11"/>
  <c r="BY10" i="11"/>
  <c r="CJ10" i="11"/>
  <c r="CF10" i="11"/>
  <c r="CB10" i="11"/>
  <c r="BX10" i="11"/>
  <c r="CM10" i="11"/>
  <c r="CI10" i="11"/>
  <c r="CE10" i="11"/>
  <c r="CA10" i="11"/>
  <c r="CL10" i="11"/>
  <c r="CH10" i="11"/>
  <c r="CD10" i="11"/>
  <c r="BZ10" i="11"/>
  <c r="CK3" i="11"/>
  <c r="CG3" i="11"/>
  <c r="CC3" i="11"/>
  <c r="BY3" i="11"/>
  <c r="CE3" i="11"/>
  <c r="CJ3" i="11"/>
  <c r="CF3" i="11"/>
  <c r="CB3" i="11"/>
  <c r="BX3" i="11"/>
  <c r="CI3" i="11"/>
  <c r="CM3" i="11"/>
  <c r="CL3" i="11"/>
  <c r="CH3" i="11"/>
  <c r="CD3" i="11"/>
  <c r="BZ3" i="11"/>
  <c r="CA3" i="11"/>
  <c r="CL16" i="11"/>
  <c r="CH16" i="11"/>
  <c r="CD16" i="11"/>
  <c r="BZ16" i="11"/>
  <c r="CJ16" i="11"/>
  <c r="CF16" i="11"/>
  <c r="CB16" i="11"/>
  <c r="BX16" i="11"/>
  <c r="CM16" i="11"/>
  <c r="CI16" i="11"/>
  <c r="CE16" i="11"/>
  <c r="CA16" i="11"/>
  <c r="BY16" i="11"/>
  <c r="CK16" i="11"/>
  <c r="CG16" i="11"/>
  <c r="CC16" i="11"/>
  <c r="CK8" i="11"/>
  <c r="CG8" i="11"/>
  <c r="CC8" i="11"/>
  <c r="BY8" i="11"/>
  <c r="CJ8" i="11"/>
  <c r="CF8" i="11"/>
  <c r="CB8" i="11"/>
  <c r="BX8" i="11"/>
  <c r="CM8" i="11"/>
  <c r="CI8" i="11"/>
  <c r="CE8" i="11"/>
  <c r="CA8" i="11"/>
  <c r="CL8" i="11"/>
  <c r="CH8" i="11"/>
  <c r="CD8" i="11"/>
  <c r="BZ8" i="11"/>
  <c r="CK7" i="11"/>
  <c r="CG7" i="11"/>
  <c r="CC7" i="11"/>
  <c r="BY7" i="11"/>
  <c r="CJ7" i="11"/>
  <c r="CF7" i="11"/>
  <c r="CB7" i="11"/>
  <c r="BX7" i="11"/>
  <c r="CM7" i="11"/>
  <c r="CI7" i="11"/>
  <c r="CE7" i="11"/>
  <c r="CA7" i="11"/>
  <c r="CL7" i="11"/>
  <c r="CH7" i="11"/>
  <c r="CD7" i="11"/>
  <c r="BZ7" i="11"/>
  <c r="CN22" i="11"/>
  <c r="CN25" i="11"/>
  <c r="CN21" i="11"/>
  <c r="CN24" i="11"/>
  <c r="CN20" i="11"/>
  <c r="CN18" i="11"/>
  <c r="CN9" i="11"/>
  <c r="CN23" i="11"/>
  <c r="CL17" i="11"/>
  <c r="CH17" i="11"/>
  <c r="CD17" i="11"/>
  <c r="BZ17" i="11"/>
  <c r="CJ17" i="11"/>
  <c r="CF17" i="11"/>
  <c r="CB17" i="11"/>
  <c r="BX17" i="11"/>
  <c r="CM17" i="11"/>
  <c r="CI17" i="11"/>
  <c r="CE17" i="11"/>
  <c r="CA17" i="11"/>
  <c r="BY17" i="11"/>
  <c r="CK17" i="11"/>
  <c r="CG17" i="11"/>
  <c r="CC17" i="11"/>
  <c r="CL12" i="11"/>
  <c r="CH12" i="11"/>
  <c r="CD12" i="11"/>
  <c r="BZ12" i="11"/>
  <c r="CJ12" i="11"/>
  <c r="CF12" i="11"/>
  <c r="CB12" i="11"/>
  <c r="BX12" i="11"/>
  <c r="CK12" i="11"/>
  <c r="CC12" i="11"/>
  <c r="CI12" i="11"/>
  <c r="CA12" i="11"/>
  <c r="CG12" i="11"/>
  <c r="BY12" i="11"/>
  <c r="CM12" i="11"/>
  <c r="CE12" i="11"/>
  <c r="CK6" i="11"/>
  <c r="CG6" i="11"/>
  <c r="CC6" i="11"/>
  <c r="BY6" i="11"/>
  <c r="CJ6" i="11"/>
  <c r="CF6" i="11"/>
  <c r="CB6" i="11"/>
  <c r="BX6" i="11"/>
  <c r="CA6" i="11"/>
  <c r="CM6" i="11"/>
  <c r="CI6" i="11"/>
  <c r="CE6" i="11"/>
  <c r="CL6" i="11"/>
  <c r="CH6" i="11"/>
  <c r="CD6" i="11"/>
  <c r="BZ6" i="11"/>
  <c r="CL19" i="11"/>
  <c r="CH19" i="11"/>
  <c r="CD19" i="11"/>
  <c r="BZ19" i="11"/>
  <c r="CK19" i="11"/>
  <c r="CG19" i="11"/>
  <c r="CC19" i="11"/>
  <c r="CJ19" i="11"/>
  <c r="CF19" i="11"/>
  <c r="CB19" i="11"/>
  <c r="BX19" i="11"/>
  <c r="CM19" i="11"/>
  <c r="CI19" i="11"/>
  <c r="CE19" i="11"/>
  <c r="CA19" i="11"/>
  <c r="BY19" i="11"/>
  <c r="CL14" i="11"/>
  <c r="CH14" i="11"/>
  <c r="CD14" i="11"/>
  <c r="BZ14" i="11"/>
  <c r="CJ14" i="11"/>
  <c r="CF14" i="11"/>
  <c r="CB14" i="11"/>
  <c r="BX14" i="11"/>
  <c r="CK14" i="11"/>
  <c r="CC14" i="11"/>
  <c r="CI14" i="11"/>
  <c r="CA14" i="11"/>
  <c r="CG14" i="11"/>
  <c r="BY14" i="11"/>
  <c r="CM14" i="11"/>
  <c r="CE14" i="11"/>
  <c r="CL13" i="11"/>
  <c r="CH13" i="11"/>
  <c r="CD13" i="11"/>
  <c r="BZ13" i="11"/>
  <c r="CJ13" i="11"/>
  <c r="CF13" i="11"/>
  <c r="CB13" i="11"/>
  <c r="BX13" i="11"/>
  <c r="CK13" i="11"/>
  <c r="CC13" i="11"/>
  <c r="CI13" i="11"/>
  <c r="CA13" i="11"/>
  <c r="CG13" i="11"/>
  <c r="BY13" i="11"/>
  <c r="CM13" i="11"/>
  <c r="CE13" i="11"/>
  <c r="CK4" i="11"/>
  <c r="CG4" i="11"/>
  <c r="CC4" i="11"/>
  <c r="BY4" i="11"/>
  <c r="CE4" i="11"/>
  <c r="CJ4" i="11"/>
  <c r="CF4" i="11"/>
  <c r="CB4" i="11"/>
  <c r="BX4" i="11"/>
  <c r="CM4" i="11"/>
  <c r="CI4" i="11"/>
  <c r="CL4" i="11"/>
  <c r="CH4" i="11"/>
  <c r="CD4" i="11"/>
  <c r="BZ4" i="11"/>
  <c r="CA4" i="11"/>
  <c r="CN5" i="11"/>
  <c r="CN11" i="11"/>
  <c r="CF207" i="11"/>
  <c r="CK207" i="11"/>
  <c r="BX207" i="11"/>
  <c r="CE207" i="11"/>
  <c r="CL207" i="11"/>
  <c r="CB207" i="11"/>
  <c r="CA207" i="11"/>
  <c r="CH207" i="11"/>
  <c r="CG207" i="11"/>
  <c r="CJ207" i="11"/>
  <c r="CC207" i="11"/>
  <c r="CI207" i="11"/>
  <c r="BY207" i="11"/>
  <c r="BZ207" i="11"/>
  <c r="CD207" i="11"/>
  <c r="CM207" i="11"/>
  <c r="CN181" i="11"/>
  <c r="BW233" i="11"/>
  <c r="BU259" i="11"/>
  <c r="CN153" i="11"/>
  <c r="BU231" i="11"/>
  <c r="BW205" i="11"/>
  <c r="CD179" i="11"/>
  <c r="CH179" i="11"/>
  <c r="CB179" i="11"/>
  <c r="CL179" i="11"/>
  <c r="CF179" i="11"/>
  <c r="CG179" i="11"/>
  <c r="CI179" i="11"/>
  <c r="BX179" i="11"/>
  <c r="CM179" i="11"/>
  <c r="CK179" i="11"/>
  <c r="CC179" i="11"/>
  <c r="CA179" i="11"/>
  <c r="BZ179" i="11"/>
  <c r="CE179" i="11"/>
  <c r="CJ179" i="11"/>
  <c r="BY179" i="11"/>
  <c r="BU345" i="11"/>
  <c r="BU353" i="11"/>
  <c r="BU236" i="11"/>
  <c r="BU204" i="11"/>
  <c r="BU351" i="11"/>
  <c r="BU409" i="11"/>
  <c r="BV271" i="11"/>
  <c r="BV267" i="11"/>
  <c r="BU216" i="11"/>
  <c r="BU228" i="11"/>
  <c r="BV313" i="11"/>
  <c r="BV279" i="11"/>
  <c r="BV295" i="11"/>
  <c r="BV263" i="11"/>
  <c r="BU208" i="11"/>
  <c r="BU232" i="11"/>
  <c r="BU224" i="11"/>
  <c r="BU347" i="11"/>
  <c r="BU188" i="11"/>
  <c r="BU212" i="11"/>
  <c r="BU381" i="11"/>
  <c r="BU443" i="11"/>
  <c r="BU200" i="11"/>
  <c r="BU192" i="11"/>
  <c r="BU343" i="11"/>
  <c r="BU401" i="11"/>
  <c r="BU367" i="11"/>
  <c r="BU196" i="11"/>
  <c r="BU359" i="11"/>
  <c r="BV303" i="11"/>
  <c r="BV283" i="11"/>
  <c r="BV275" i="11"/>
  <c r="BV259" i="11"/>
  <c r="BU220" i="11"/>
  <c r="P161" i="11"/>
  <c r="O161" i="11"/>
  <c r="N161" i="11"/>
  <c r="Q135" i="11"/>
  <c r="Q81" i="11"/>
  <c r="T161" i="11"/>
  <c r="S161" i="11"/>
  <c r="R161" i="11"/>
  <c r="U135" i="11"/>
  <c r="U81" i="11"/>
  <c r="D161" i="11"/>
  <c r="C161" i="11"/>
  <c r="B161" i="11"/>
  <c r="E135" i="11"/>
  <c r="E81" i="11"/>
  <c r="R160" i="11"/>
  <c r="T160" i="11"/>
  <c r="S160" i="11"/>
  <c r="U134" i="11"/>
  <c r="U80" i="11"/>
  <c r="B160" i="11"/>
  <c r="D160" i="11"/>
  <c r="C160" i="11"/>
  <c r="E134" i="11"/>
  <c r="E80" i="11"/>
  <c r="U107" i="11"/>
  <c r="T107" i="11"/>
  <c r="S135" i="11"/>
  <c r="R53" i="11"/>
  <c r="S81" i="11"/>
  <c r="U106" i="11"/>
  <c r="S80" i="11"/>
  <c r="T106" i="11"/>
  <c r="S134" i="11"/>
  <c r="R52" i="11"/>
  <c r="AC161" i="11"/>
  <c r="AB135" i="11"/>
  <c r="AA107" i="11"/>
  <c r="Z107" i="11"/>
  <c r="AB81" i="11"/>
  <c r="AC160" i="11"/>
  <c r="AB134" i="11"/>
  <c r="AA106" i="11"/>
  <c r="AB80" i="11"/>
  <c r="Z106" i="11"/>
  <c r="Z81" i="11"/>
  <c r="Z135" i="11" s="1"/>
  <c r="AC53" i="11"/>
  <c r="AB53" i="11"/>
  <c r="AA53" i="11"/>
  <c r="AA52" i="11"/>
  <c r="Z80" i="11"/>
  <c r="Z134" i="11" s="1"/>
  <c r="AC52" i="11"/>
  <c r="AB52" i="11"/>
  <c r="I161" i="11"/>
  <c r="G107" i="11"/>
  <c r="H135" i="11"/>
  <c r="F107" i="11"/>
  <c r="H81" i="11"/>
  <c r="I160" i="11"/>
  <c r="H134" i="11"/>
  <c r="G106" i="11"/>
  <c r="F106" i="11"/>
  <c r="H80" i="11"/>
  <c r="B82" i="11"/>
  <c r="B136" i="11" s="1"/>
  <c r="E54" i="11"/>
  <c r="D54" i="11"/>
  <c r="C54" i="11"/>
  <c r="AD160" i="11"/>
  <c r="AF160" i="11"/>
  <c r="AE160" i="11"/>
  <c r="AG134" i="11"/>
  <c r="AG80" i="11"/>
  <c r="AE135" i="11"/>
  <c r="AG107" i="11"/>
  <c r="AF107" i="11"/>
  <c r="AD53" i="11"/>
  <c r="AE81" i="11"/>
  <c r="O135" i="11"/>
  <c r="Q107" i="11"/>
  <c r="P107" i="11"/>
  <c r="N53" i="11"/>
  <c r="O81" i="11"/>
  <c r="AG106" i="11"/>
  <c r="AE80" i="11"/>
  <c r="AF106" i="11"/>
  <c r="AE134" i="11"/>
  <c r="AD52" i="11"/>
  <c r="Q106" i="11"/>
  <c r="O80" i="11"/>
  <c r="P106" i="11"/>
  <c r="O134" i="11"/>
  <c r="N52" i="11"/>
  <c r="U53" i="11"/>
  <c r="T53" i="11"/>
  <c r="R81" i="11"/>
  <c r="R135" i="11" s="1"/>
  <c r="S53" i="11"/>
  <c r="R80" i="11"/>
  <c r="R134" i="11" s="1"/>
  <c r="S52" i="11"/>
  <c r="U52" i="11"/>
  <c r="T52" i="11"/>
  <c r="AG161" i="11"/>
  <c r="AF135" i="11"/>
  <c r="AE107" i="11"/>
  <c r="AD107" i="11"/>
  <c r="AF81" i="11"/>
  <c r="AG160" i="11"/>
  <c r="AF134" i="11"/>
  <c r="AE106" i="11"/>
  <c r="AD106" i="11"/>
  <c r="AF80" i="11"/>
  <c r="N160" i="11"/>
  <c r="P160" i="11"/>
  <c r="O160" i="11"/>
  <c r="Q134" i="11"/>
  <c r="Q80" i="11"/>
  <c r="U161" i="11"/>
  <c r="T135" i="11"/>
  <c r="S107" i="11"/>
  <c r="R107" i="11"/>
  <c r="T81" i="11"/>
  <c r="L161" i="11"/>
  <c r="K161" i="11"/>
  <c r="J161" i="11"/>
  <c r="M135" i="11"/>
  <c r="M81" i="11"/>
  <c r="Z160" i="11"/>
  <c r="AB160" i="11"/>
  <c r="AA160" i="11"/>
  <c r="AC134" i="11"/>
  <c r="AC80" i="11"/>
  <c r="J160" i="11"/>
  <c r="L160" i="11"/>
  <c r="K160" i="11"/>
  <c r="M134" i="11"/>
  <c r="M80" i="11"/>
  <c r="AC107" i="11"/>
  <c r="AB107" i="11"/>
  <c r="AA135" i="11"/>
  <c r="AA81" i="11"/>
  <c r="Z53" i="11"/>
  <c r="M107" i="11"/>
  <c r="L107" i="11"/>
  <c r="K135" i="11"/>
  <c r="K81" i="11"/>
  <c r="J53" i="11"/>
  <c r="AC106" i="11"/>
  <c r="AA80" i="11"/>
  <c r="AB106" i="11"/>
  <c r="AA134" i="11"/>
  <c r="Z52" i="11"/>
  <c r="M106" i="11"/>
  <c r="K80" i="11"/>
  <c r="L106" i="11"/>
  <c r="K134" i="11"/>
  <c r="J52" i="11"/>
  <c r="M161" i="11"/>
  <c r="L135" i="11"/>
  <c r="K107" i="11"/>
  <c r="J107" i="11"/>
  <c r="L81" i="11"/>
  <c r="M160" i="11"/>
  <c r="L134" i="11"/>
  <c r="K106" i="11"/>
  <c r="L80" i="11"/>
  <c r="J106" i="11"/>
  <c r="J81" i="11"/>
  <c r="J135" i="11" s="1"/>
  <c r="M53" i="11"/>
  <c r="L53" i="11"/>
  <c r="K53" i="11"/>
  <c r="K52" i="11"/>
  <c r="J80" i="11"/>
  <c r="J134" i="11" s="1"/>
  <c r="M52" i="11"/>
  <c r="L52" i="11"/>
  <c r="Y161" i="11"/>
  <c r="W107" i="11"/>
  <c r="X135" i="11"/>
  <c r="V107" i="11"/>
  <c r="X81" i="11"/>
  <c r="Y160" i="11"/>
  <c r="X134" i="11"/>
  <c r="W106" i="11"/>
  <c r="V106" i="11"/>
  <c r="X80" i="11"/>
  <c r="AF161" i="11"/>
  <c r="AE161" i="11"/>
  <c r="AD161" i="11"/>
  <c r="AG135" i="11"/>
  <c r="AG81" i="11"/>
  <c r="U160" i="11"/>
  <c r="T134" i="11"/>
  <c r="S106" i="11"/>
  <c r="R106" i="11"/>
  <c r="T80" i="11"/>
  <c r="AB161" i="11"/>
  <c r="AA161" i="11"/>
  <c r="Z161" i="11"/>
  <c r="AC135" i="11"/>
  <c r="AC81" i="11"/>
  <c r="X161" i="11"/>
  <c r="W161" i="11"/>
  <c r="V161" i="11"/>
  <c r="Y135" i="11"/>
  <c r="Y81" i="11"/>
  <c r="H161" i="11"/>
  <c r="G161" i="11"/>
  <c r="F161" i="11"/>
  <c r="I135" i="11"/>
  <c r="I81" i="11"/>
  <c r="V160" i="11"/>
  <c r="X160" i="11"/>
  <c r="W160" i="11"/>
  <c r="Y134" i="11"/>
  <c r="Y80" i="11"/>
  <c r="F160" i="11"/>
  <c r="H160" i="11"/>
  <c r="G160" i="11"/>
  <c r="I134" i="11"/>
  <c r="I80" i="11"/>
  <c r="W135" i="11"/>
  <c r="Y107" i="11"/>
  <c r="X107" i="11"/>
  <c r="V53" i="11"/>
  <c r="W81" i="11"/>
  <c r="G135" i="11"/>
  <c r="I107" i="11"/>
  <c r="H107" i="11"/>
  <c r="F53" i="11"/>
  <c r="G81" i="11"/>
  <c r="Y106" i="11"/>
  <c r="W80" i="11"/>
  <c r="X106" i="11"/>
  <c r="W134" i="11"/>
  <c r="V52" i="11"/>
  <c r="I106" i="11"/>
  <c r="G80" i="11"/>
  <c r="H106" i="11"/>
  <c r="G134" i="11"/>
  <c r="F52" i="11"/>
  <c r="E161" i="11"/>
  <c r="D135" i="11"/>
  <c r="C107" i="11"/>
  <c r="B107" i="11"/>
  <c r="D81" i="11"/>
  <c r="E160" i="11"/>
  <c r="D134" i="11"/>
  <c r="C106" i="11"/>
  <c r="B106" i="11"/>
  <c r="D80" i="11"/>
  <c r="BW27" i="11"/>
  <c r="BW26" i="11"/>
  <c r="Q161" i="11"/>
  <c r="O107" i="11"/>
  <c r="P135" i="11"/>
  <c r="N107" i="11"/>
  <c r="P81" i="11"/>
  <c r="Q160" i="11"/>
  <c r="P134" i="11"/>
  <c r="O106" i="11"/>
  <c r="N106" i="11"/>
  <c r="P80" i="11"/>
  <c r="B107" i="4"/>
  <c r="B108" i="4"/>
  <c r="B109" i="4"/>
  <c r="B110" i="4"/>
  <c r="B111" i="4"/>
  <c r="CN13" i="11" l="1"/>
  <c r="CN14" i="11"/>
  <c r="CN6" i="11"/>
  <c r="CN12" i="11"/>
  <c r="CN17" i="11"/>
  <c r="CN7" i="11"/>
  <c r="CN8" i="11"/>
  <c r="CN16" i="11"/>
  <c r="CN10" i="11"/>
  <c r="CN15" i="11"/>
  <c r="CN28" i="11"/>
  <c r="CL27" i="11"/>
  <c r="CH27" i="11"/>
  <c r="CD27" i="11"/>
  <c r="BZ27" i="11"/>
  <c r="CK27" i="11"/>
  <c r="CG27" i="11"/>
  <c r="CC27" i="11"/>
  <c r="BY27" i="11"/>
  <c r="CJ27" i="11"/>
  <c r="CF27" i="11"/>
  <c r="CB27" i="11"/>
  <c r="BX27" i="11"/>
  <c r="CM27" i="11"/>
  <c r="CI27" i="11"/>
  <c r="CE27" i="11"/>
  <c r="CA27" i="11"/>
  <c r="CN19" i="11"/>
  <c r="CL26" i="11"/>
  <c r="CH26" i="11"/>
  <c r="CD26" i="11"/>
  <c r="BZ26" i="11"/>
  <c r="CK26" i="11"/>
  <c r="CG26" i="11"/>
  <c r="CC26" i="11"/>
  <c r="BY26" i="11"/>
  <c r="CJ26" i="11"/>
  <c r="CF26" i="11"/>
  <c r="CB26" i="11"/>
  <c r="BX26" i="11"/>
  <c r="CM26" i="11"/>
  <c r="CI26" i="11"/>
  <c r="CE26" i="11"/>
  <c r="CA26" i="11"/>
  <c r="CN4" i="11"/>
  <c r="CN3" i="11"/>
  <c r="BW259" i="11"/>
  <c r="BU285" i="11"/>
  <c r="CN207" i="11"/>
  <c r="CL233" i="11"/>
  <c r="CG233" i="11"/>
  <c r="CH233" i="11"/>
  <c r="CI233" i="11"/>
  <c r="BZ233" i="11"/>
  <c r="CA233" i="11"/>
  <c r="CC233" i="11"/>
  <c r="CM233" i="11"/>
  <c r="CF233" i="11"/>
  <c r="BY233" i="11"/>
  <c r="CK233" i="11"/>
  <c r="CB233" i="11"/>
  <c r="CD233" i="11"/>
  <c r="CE233" i="11"/>
  <c r="BX233" i="11"/>
  <c r="CJ233" i="11"/>
  <c r="CN179" i="11"/>
  <c r="CK205" i="11"/>
  <c r="CJ205" i="11"/>
  <c r="CE205" i="11"/>
  <c r="CF205" i="11"/>
  <c r="CL205" i="11"/>
  <c r="CB205" i="11"/>
  <c r="BY205" i="11"/>
  <c r="BX205" i="11"/>
  <c r="CC205" i="11"/>
  <c r="CA205" i="11"/>
  <c r="CG205" i="11"/>
  <c r="CI205" i="11"/>
  <c r="CH205" i="11"/>
  <c r="CM205" i="11"/>
  <c r="CD205" i="11"/>
  <c r="BZ205" i="11"/>
  <c r="BW231" i="11"/>
  <c r="BU257" i="11"/>
  <c r="BU246" i="11"/>
  <c r="BU222" i="11"/>
  <c r="BU427" i="11"/>
  <c r="BU369" i="11"/>
  <c r="BU226" i="11"/>
  <c r="BU407" i="11"/>
  <c r="BU214" i="11"/>
  <c r="BU250" i="11"/>
  <c r="BU234" i="11"/>
  <c r="BU242" i="11"/>
  <c r="BU377" i="11"/>
  <c r="BV301" i="11"/>
  <c r="BV329" i="11"/>
  <c r="BV321" i="11"/>
  <c r="BV339" i="11"/>
  <c r="BV297" i="11"/>
  <c r="BU379" i="11"/>
  <c r="BU385" i="11"/>
  <c r="BU393" i="11"/>
  <c r="BU218" i="11"/>
  <c r="BU469" i="11"/>
  <c r="BU238" i="11"/>
  <c r="BU373" i="11"/>
  <c r="BU258" i="11"/>
  <c r="BU254" i="11"/>
  <c r="BU435" i="11"/>
  <c r="BU230" i="11"/>
  <c r="BU262" i="11"/>
  <c r="BV285" i="11"/>
  <c r="BV309" i="11"/>
  <c r="BV289" i="11"/>
  <c r="BV305" i="11"/>
  <c r="BV293" i="11"/>
  <c r="BU371" i="11"/>
  <c r="E53" i="11"/>
  <c r="D53" i="11"/>
  <c r="B81" i="11"/>
  <c r="B135" i="11" s="1"/>
  <c r="C53" i="11"/>
  <c r="E106" i="11"/>
  <c r="C80" i="11"/>
  <c r="D106" i="11"/>
  <c r="C134" i="11"/>
  <c r="B52" i="11"/>
  <c r="B80" i="11"/>
  <c r="B134" i="11" s="1"/>
  <c r="C52" i="11"/>
  <c r="E52" i="11"/>
  <c r="D52" i="11"/>
  <c r="E107" i="11"/>
  <c r="D107" i="11"/>
  <c r="C135" i="11"/>
  <c r="B53" i="11"/>
  <c r="C81" i="11"/>
  <c r="B106" i="4"/>
  <c r="B105" i="4"/>
  <c r="B104" i="4"/>
  <c r="B103" i="4"/>
  <c r="B102" i="4"/>
  <c r="B101" i="4"/>
  <c r="B100" i="4"/>
  <c r="B99" i="4"/>
  <c r="B98" i="4"/>
  <c r="B97" i="4"/>
  <c r="B96" i="4"/>
  <c r="B95" i="4"/>
  <c r="B94" i="4"/>
  <c r="B93" i="4"/>
  <c r="B92" i="4"/>
  <c r="B91" i="4"/>
  <c r="B90" i="4"/>
  <c r="B89" i="4"/>
  <c r="B88" i="4"/>
  <c r="B87" i="4"/>
  <c r="B86" i="4"/>
  <c r="B85" i="4"/>
  <c r="B84" i="4"/>
  <c r="B83" i="4"/>
  <c r="B82" i="4"/>
  <c r="B81" i="4"/>
  <c r="B80" i="4"/>
  <c r="B79" i="4"/>
  <c r="B78" i="4"/>
  <c r="B77" i="4"/>
  <c r="B76" i="4"/>
  <c r="B75" i="4"/>
  <c r="B74" i="4"/>
  <c r="B73" i="4"/>
  <c r="B72" i="4"/>
  <c r="B71" i="4"/>
  <c r="B70" i="4"/>
  <c r="B69" i="4"/>
  <c r="B68" i="4"/>
  <c r="B67" i="4"/>
  <c r="B66" i="4"/>
  <c r="B65" i="4"/>
  <c r="B64" i="4"/>
  <c r="B63" i="4"/>
  <c r="B62" i="4"/>
  <c r="B61" i="4"/>
  <c r="B60" i="4"/>
  <c r="B59" i="4"/>
  <c r="B58" i="4"/>
  <c r="B57" i="4"/>
  <c r="B56" i="4"/>
  <c r="B55" i="4"/>
  <c r="B54" i="4"/>
  <c r="B52" i="4"/>
  <c r="B51" i="4"/>
  <c r="B50" i="4"/>
  <c r="B49" i="4"/>
  <c r="B48" i="4"/>
  <c r="B47" i="4"/>
  <c r="B46" i="4"/>
  <c r="B45" i="4"/>
  <c r="B44" i="4"/>
  <c r="B43" i="4"/>
  <c r="B42" i="4"/>
  <c r="B41" i="4"/>
  <c r="B40" i="4"/>
  <c r="B39" i="4"/>
  <c r="B38" i="4"/>
  <c r="B37" i="4"/>
  <c r="B36" i="4"/>
  <c r="B35" i="4"/>
  <c r="B34" i="4"/>
  <c r="B33" i="4"/>
  <c r="B32" i="4"/>
  <c r="B31" i="4"/>
  <c r="B30" i="4"/>
  <c r="B29" i="4"/>
  <c r="B28" i="4"/>
  <c r="B27" i="4"/>
  <c r="B26" i="4"/>
  <c r="B25" i="4"/>
  <c r="B24" i="4"/>
  <c r="B23" i="4"/>
  <c r="B22" i="4"/>
  <c r="B21" i="4"/>
  <c r="B20" i="4"/>
  <c r="B19" i="4"/>
  <c r="B18" i="4"/>
  <c r="B17" i="4"/>
  <c r="B16" i="4"/>
  <c r="B15" i="4"/>
  <c r="B14" i="4"/>
  <c r="B13" i="4"/>
  <c r="B12" i="4"/>
  <c r="B11" i="4"/>
  <c r="B10" i="4"/>
  <c r="B9" i="4"/>
  <c r="B8" i="4"/>
  <c r="B7" i="4"/>
  <c r="B6" i="4"/>
  <c r="B5" i="4"/>
  <c r="B4" i="4"/>
  <c r="B3" i="4"/>
  <c r="I1" i="4"/>
  <c r="BX70" i="3"/>
  <c r="BV70" i="3"/>
  <c r="BX69" i="3"/>
  <c r="BV69" i="3"/>
  <c r="BX68" i="3"/>
  <c r="E67" i="2" s="1"/>
  <c r="D67" i="2" s="1"/>
  <c r="BV68" i="3"/>
  <c r="BX67" i="3"/>
  <c r="BV67" i="3"/>
  <c r="BX66" i="3"/>
  <c r="BV66" i="3"/>
  <c r="BX65" i="3"/>
  <c r="E64" i="2" s="1"/>
  <c r="D64" i="2" s="1"/>
  <c r="BV65" i="3"/>
  <c r="BX64" i="3"/>
  <c r="E63" i="2" s="1"/>
  <c r="D63" i="2" s="1"/>
  <c r="BV64" i="3"/>
  <c r="BX63" i="3"/>
  <c r="BV63" i="3"/>
  <c r="BX62" i="3"/>
  <c r="E61" i="2" s="1"/>
  <c r="D61" i="2" s="1"/>
  <c r="BV62" i="3"/>
  <c r="BX61" i="3"/>
  <c r="BV61" i="3"/>
  <c r="BX60" i="3"/>
  <c r="E59" i="2" s="1"/>
  <c r="D59" i="2" s="1"/>
  <c r="BV60" i="3"/>
  <c r="BX59" i="3"/>
  <c r="BV59" i="3"/>
  <c r="BX58" i="3"/>
  <c r="E57" i="2" s="1"/>
  <c r="D57" i="2" s="1"/>
  <c r="BV58" i="3"/>
  <c r="BX57" i="3"/>
  <c r="BV57" i="3"/>
  <c r="BX56" i="3"/>
  <c r="E55" i="2" s="1"/>
  <c r="D55" i="2" s="1"/>
  <c r="BV56" i="3"/>
  <c r="BX55" i="3"/>
  <c r="BV55" i="3"/>
  <c r="BX54" i="3"/>
  <c r="E52" i="2" s="1"/>
  <c r="D52" i="2" s="1"/>
  <c r="BV54" i="3"/>
  <c r="BX53" i="3"/>
  <c r="BV53" i="3"/>
  <c r="BX52" i="3"/>
  <c r="E50" i="2" s="1"/>
  <c r="D50" i="2" s="1"/>
  <c r="BV52" i="3"/>
  <c r="BX51" i="3"/>
  <c r="BV51" i="3"/>
  <c r="BX50" i="3"/>
  <c r="E48" i="2" s="1"/>
  <c r="D48" i="2" s="1"/>
  <c r="BV50" i="3"/>
  <c r="BX49" i="3"/>
  <c r="BV49" i="3"/>
  <c r="BX48" i="3"/>
  <c r="E46" i="2" s="1"/>
  <c r="D46" i="2" s="1"/>
  <c r="BV48" i="3"/>
  <c r="BX47" i="3"/>
  <c r="BV47" i="3"/>
  <c r="BX46" i="3"/>
  <c r="E44" i="2" s="1"/>
  <c r="D44" i="2" s="1"/>
  <c r="BV46" i="3"/>
  <c r="BX45" i="3"/>
  <c r="BV45" i="3"/>
  <c r="BX44" i="3"/>
  <c r="E42" i="2" s="1"/>
  <c r="D42" i="2" s="1"/>
  <c r="BV44" i="3"/>
  <c r="BX43" i="3"/>
  <c r="BV43" i="3"/>
  <c r="BX42" i="3"/>
  <c r="E40" i="2" s="1"/>
  <c r="D40" i="2" s="1"/>
  <c r="BV42" i="3"/>
  <c r="BX41" i="3"/>
  <c r="E39" i="2" s="1"/>
  <c r="D39" i="2" s="1"/>
  <c r="BV41" i="3"/>
  <c r="BX40" i="3"/>
  <c r="E38" i="2" s="1"/>
  <c r="D38" i="2" s="1"/>
  <c r="BV40" i="3"/>
  <c r="BX39" i="3"/>
  <c r="BV39" i="3"/>
  <c r="BX38" i="3"/>
  <c r="E36" i="2" s="1"/>
  <c r="D36" i="2" s="1"/>
  <c r="BV38" i="3"/>
  <c r="BX37" i="3"/>
  <c r="E35" i="2" s="1"/>
  <c r="D35" i="2" s="1"/>
  <c r="BV37" i="3"/>
  <c r="BX36" i="3"/>
  <c r="E34" i="2" s="1"/>
  <c r="D34" i="2" s="1"/>
  <c r="BV36" i="3"/>
  <c r="BX35" i="3"/>
  <c r="BV35" i="3"/>
  <c r="M35" i="3"/>
  <c r="L35" i="3"/>
  <c r="BX34" i="3"/>
  <c r="E32" i="2" s="1"/>
  <c r="D32" i="2" s="1"/>
  <c r="BV34" i="3"/>
  <c r="M34" i="3"/>
  <c r="L34" i="3"/>
  <c r="BX33" i="3"/>
  <c r="E31" i="2" s="1"/>
  <c r="D31" i="2" s="1"/>
  <c r="BV33" i="3"/>
  <c r="M33" i="3"/>
  <c r="L33" i="3"/>
  <c r="C29" i="3"/>
  <c r="BX32" i="3"/>
  <c r="E30" i="2" s="1"/>
  <c r="D30" i="2" s="1"/>
  <c r="BV32" i="3"/>
  <c r="AU32" i="3"/>
  <c r="AR32" i="3"/>
  <c r="AQ32" i="3"/>
  <c r="M32" i="3"/>
  <c r="L32" i="3"/>
  <c r="BX31" i="3"/>
  <c r="E29" i="2" s="1"/>
  <c r="D29" i="2" s="1"/>
  <c r="BV31" i="3"/>
  <c r="M31" i="3"/>
  <c r="L31" i="3"/>
  <c r="BX30" i="3"/>
  <c r="E28" i="2" s="1"/>
  <c r="D28" i="2" s="1"/>
  <c r="BV30" i="3"/>
  <c r="M30" i="3"/>
  <c r="L30" i="3"/>
  <c r="BX29" i="3"/>
  <c r="E27" i="2" s="1"/>
  <c r="D27" i="2" s="1"/>
  <c r="BV29" i="3"/>
  <c r="M29" i="3"/>
  <c r="L29" i="3"/>
  <c r="BX28" i="3"/>
  <c r="E26" i="2" s="1"/>
  <c r="D26" i="2" s="1"/>
  <c r="BV28" i="3"/>
  <c r="AU28" i="3"/>
  <c r="AR28" i="3"/>
  <c r="AQ28" i="3"/>
  <c r="M28" i="3"/>
  <c r="L28" i="3"/>
  <c r="BX27" i="3"/>
  <c r="BV27" i="3"/>
  <c r="M27" i="3"/>
  <c r="L27" i="3"/>
  <c r="BX26" i="3"/>
  <c r="BV26" i="3"/>
  <c r="M26" i="3"/>
  <c r="L26" i="3"/>
  <c r="BX25" i="3"/>
  <c r="BV25" i="3"/>
  <c r="M25" i="3"/>
  <c r="L25" i="3"/>
  <c r="BX24" i="3"/>
  <c r="BV24" i="3"/>
  <c r="AU24" i="3"/>
  <c r="AR24" i="3"/>
  <c r="AQ24" i="3"/>
  <c r="M24" i="3"/>
  <c r="L24" i="3"/>
  <c r="BX23" i="3"/>
  <c r="E21" i="2" s="1"/>
  <c r="D21" i="2" s="1"/>
  <c r="BV23" i="3"/>
  <c r="M23" i="3"/>
  <c r="L23" i="3"/>
  <c r="BX22" i="3"/>
  <c r="E20" i="2" s="1"/>
  <c r="D20" i="2" s="1"/>
  <c r="BV22" i="3"/>
  <c r="M22" i="3"/>
  <c r="L22" i="3"/>
  <c r="BX21" i="3"/>
  <c r="E19" i="2" s="1"/>
  <c r="D19" i="2" s="1"/>
  <c r="BV21" i="3"/>
  <c r="M21" i="3"/>
  <c r="L21" i="3"/>
  <c r="BX20" i="3"/>
  <c r="E18" i="2" s="1"/>
  <c r="D18" i="2" s="1"/>
  <c r="BV20" i="3"/>
  <c r="AU20" i="3"/>
  <c r="AR20" i="3"/>
  <c r="AQ20" i="3"/>
  <c r="M20" i="3"/>
  <c r="L20" i="3"/>
  <c r="BX19" i="3"/>
  <c r="E17" i="2" s="1"/>
  <c r="D17" i="2" s="1"/>
  <c r="BV19" i="3"/>
  <c r="M19" i="3"/>
  <c r="L19" i="3"/>
  <c r="BX18" i="3"/>
  <c r="E16" i="2" s="1"/>
  <c r="D16" i="2" s="1"/>
  <c r="BV18" i="3"/>
  <c r="M18" i="3"/>
  <c r="L18" i="3"/>
  <c r="BX17" i="3"/>
  <c r="E15" i="2" s="1"/>
  <c r="D15" i="2" s="1"/>
  <c r="BV17" i="3"/>
  <c r="M17" i="3"/>
  <c r="L17" i="3"/>
  <c r="BX16" i="3"/>
  <c r="E14" i="2" s="1"/>
  <c r="D14" i="2" s="1"/>
  <c r="BV16" i="3"/>
  <c r="AU16" i="3"/>
  <c r="AR16" i="3"/>
  <c r="AQ16" i="3"/>
  <c r="M16" i="3"/>
  <c r="L16" i="3"/>
  <c r="BX15" i="3"/>
  <c r="BV15" i="3"/>
  <c r="M15" i="3"/>
  <c r="L15" i="3"/>
  <c r="BX14" i="3"/>
  <c r="E12" i="2" s="1"/>
  <c r="D12" i="2" s="1"/>
  <c r="BV14" i="3"/>
  <c r="M14" i="3"/>
  <c r="L14" i="3"/>
  <c r="BX13" i="3"/>
  <c r="E11" i="2" s="1"/>
  <c r="D11" i="2" s="1"/>
  <c r="BV13" i="3"/>
  <c r="M13" i="3"/>
  <c r="L13" i="3"/>
  <c r="BX12" i="3"/>
  <c r="E10" i="2" s="1"/>
  <c r="D10" i="2" s="1"/>
  <c r="BV12" i="3"/>
  <c r="AU12" i="3"/>
  <c r="AR12" i="3"/>
  <c r="AQ12" i="3"/>
  <c r="M12" i="3"/>
  <c r="L12" i="3"/>
  <c r="BX11" i="3"/>
  <c r="BV11" i="3"/>
  <c r="M11" i="3"/>
  <c r="L11" i="3"/>
  <c r="B11" i="3"/>
  <c r="B15" i="3" s="1"/>
  <c r="B19" i="3" s="1"/>
  <c r="B23" i="3" s="1"/>
  <c r="B27" i="3" s="1"/>
  <c r="B31" i="3" s="1"/>
  <c r="B35" i="3" s="1"/>
  <c r="BX10" i="3"/>
  <c r="E8" i="2" s="1"/>
  <c r="D8" i="2" s="1"/>
  <c r="BV10" i="3"/>
  <c r="M10" i="3"/>
  <c r="L10" i="3"/>
  <c r="B10" i="3"/>
  <c r="B14" i="3" s="1"/>
  <c r="B18" i="3" s="1"/>
  <c r="B22" i="3" s="1"/>
  <c r="B26" i="3" s="1"/>
  <c r="B30" i="3" s="1"/>
  <c r="BX9" i="3"/>
  <c r="E7" i="2" s="1"/>
  <c r="D7" i="2" s="1"/>
  <c r="BV9" i="3"/>
  <c r="M9" i="3"/>
  <c r="L9" i="3"/>
  <c r="B9" i="3"/>
  <c r="B13" i="3" s="1"/>
  <c r="B17" i="3" s="1"/>
  <c r="B21" i="3" s="1"/>
  <c r="B25" i="3" s="1"/>
  <c r="B29" i="3" s="1"/>
  <c r="B33" i="3" s="1"/>
  <c r="BX8" i="3"/>
  <c r="E6" i="2" s="1"/>
  <c r="D6" i="2" s="1"/>
  <c r="BV8" i="3"/>
  <c r="AU8" i="3"/>
  <c r="AR8" i="3"/>
  <c r="AQ8" i="3"/>
  <c r="M8" i="3"/>
  <c r="L8" i="3"/>
  <c r="B8" i="3"/>
  <c r="B12" i="3" s="1"/>
  <c r="B16" i="3" s="1"/>
  <c r="B20" i="3" s="1"/>
  <c r="B24" i="3" s="1"/>
  <c r="B28" i="3" s="1"/>
  <c r="B32" i="3" s="1"/>
  <c r="C4" i="3"/>
  <c r="BX7" i="3"/>
  <c r="E5" i="2" s="1"/>
  <c r="BV7" i="3"/>
  <c r="BT7" i="3"/>
  <c r="M7" i="3"/>
  <c r="L7" i="3"/>
  <c r="M6" i="3"/>
  <c r="L6" i="3"/>
  <c r="M5" i="3"/>
  <c r="L5" i="3"/>
  <c r="M4" i="3"/>
  <c r="L4" i="3"/>
  <c r="E69" i="2"/>
  <c r="D69" i="2" s="1"/>
  <c r="E68" i="2"/>
  <c r="D68" i="2" s="1"/>
  <c r="E66" i="2"/>
  <c r="D66" i="2" s="1"/>
  <c r="E65" i="2"/>
  <c r="D65" i="2" s="1"/>
  <c r="E62" i="2"/>
  <c r="D62" i="2" s="1"/>
  <c r="E60" i="2"/>
  <c r="D60" i="2" s="1"/>
  <c r="E58" i="2"/>
  <c r="D58" i="2" s="1"/>
  <c r="E56" i="2"/>
  <c r="D56" i="2" s="1"/>
  <c r="E54" i="2"/>
  <c r="D54" i="2" s="1"/>
  <c r="E51" i="2"/>
  <c r="D51" i="2" s="1"/>
  <c r="E49" i="2"/>
  <c r="D49" i="2" s="1"/>
  <c r="E47" i="2"/>
  <c r="D47" i="2" s="1"/>
  <c r="E45" i="2"/>
  <c r="D45" i="2" s="1"/>
  <c r="E43" i="2"/>
  <c r="D43" i="2" s="1"/>
  <c r="E41" i="2"/>
  <c r="D41" i="2" s="1"/>
  <c r="E37" i="2"/>
  <c r="D37" i="2" s="1"/>
  <c r="E33" i="2"/>
  <c r="D33" i="2" s="1"/>
  <c r="E25" i="2"/>
  <c r="D25" i="2" s="1"/>
  <c r="E24" i="2"/>
  <c r="D24" i="2" s="1"/>
  <c r="E23" i="2"/>
  <c r="D23" i="2" s="1"/>
  <c r="E22" i="2"/>
  <c r="D22" i="2" s="1"/>
  <c r="F34" i="7"/>
  <c r="E13" i="2"/>
  <c r="D13" i="2" s="1"/>
  <c r="E9" i="2"/>
  <c r="D9" i="2" s="1"/>
  <c r="CN26" i="11" l="1"/>
  <c r="CN27" i="11"/>
  <c r="D5" i="2"/>
  <c r="E7" i="7"/>
  <c r="D7" i="7" s="1"/>
  <c r="CN233" i="11"/>
  <c r="BW285" i="11"/>
  <c r="BU311" i="11"/>
  <c r="BZ259" i="11"/>
  <c r="CK259" i="11"/>
  <c r="BY259" i="11"/>
  <c r="CF259" i="11"/>
  <c r="CH259" i="11"/>
  <c r="CD259" i="11"/>
  <c r="CI259" i="11"/>
  <c r="CL259" i="11"/>
  <c r="CE259" i="11"/>
  <c r="CG259" i="11"/>
  <c r="CJ259" i="11"/>
  <c r="CC259" i="11"/>
  <c r="CA259" i="11"/>
  <c r="BX259" i="11"/>
  <c r="CM259" i="11"/>
  <c r="CB259" i="11"/>
  <c r="BW257" i="11"/>
  <c r="BU283" i="11"/>
  <c r="CL231" i="11"/>
  <c r="CA231" i="11"/>
  <c r="CG231" i="11"/>
  <c r="CH231" i="11"/>
  <c r="CI231" i="11"/>
  <c r="CJ231" i="11"/>
  <c r="CF231" i="11"/>
  <c r="CC231" i="11"/>
  <c r="CM231" i="11"/>
  <c r="CE231" i="11"/>
  <c r="CK231" i="11"/>
  <c r="BZ231" i="11"/>
  <c r="BY231" i="11"/>
  <c r="BX231" i="11"/>
  <c r="CB231" i="11"/>
  <c r="CD231" i="11"/>
  <c r="CN205" i="11"/>
  <c r="F46" i="2"/>
  <c r="F89" i="7" s="1"/>
  <c r="F30" i="7"/>
  <c r="F42" i="7"/>
  <c r="F7" i="7"/>
  <c r="BO34" i="3"/>
  <c r="AD5" i="10"/>
  <c r="AC1" i="11" s="1"/>
  <c r="AC2" i="11" s="1"/>
  <c r="BO7" i="3"/>
  <c r="C5" i="10"/>
  <c r="B1" i="11" s="1"/>
  <c r="B2" i="11" s="1"/>
  <c r="BT3" i="11" s="1"/>
  <c r="BU397" i="11"/>
  <c r="BU288" i="11"/>
  <c r="BU461" i="11"/>
  <c r="BU284" i="11"/>
  <c r="BU264" i="11"/>
  <c r="BU244" i="11"/>
  <c r="BU419" i="11"/>
  <c r="BU405" i="11"/>
  <c r="BU268" i="11"/>
  <c r="BU276" i="11"/>
  <c r="BU433" i="11"/>
  <c r="BU248" i="11"/>
  <c r="BV331" i="11"/>
  <c r="BV335" i="11"/>
  <c r="BV323" i="11"/>
  <c r="BV347" i="11"/>
  <c r="BV327" i="11"/>
  <c r="BU395" i="11"/>
  <c r="BU256" i="11"/>
  <c r="BU280" i="11"/>
  <c r="BU495" i="11"/>
  <c r="BU260" i="11"/>
  <c r="BU240" i="11"/>
  <c r="BU252" i="11"/>
  <c r="BU453" i="11"/>
  <c r="BU272" i="11"/>
  <c r="BV319" i="11"/>
  <c r="BV315" i="11"/>
  <c r="BV311" i="11"/>
  <c r="BU399" i="11"/>
  <c r="BU411" i="11"/>
  <c r="BV365" i="11"/>
  <c r="BV355" i="11"/>
  <c r="BU403" i="11"/>
  <c r="F10" i="7"/>
  <c r="K35" i="2"/>
  <c r="F68" i="7" s="1"/>
  <c r="C32" i="3"/>
  <c r="C9" i="3"/>
  <c r="C14" i="3"/>
  <c r="C19" i="3"/>
  <c r="C24" i="3"/>
  <c r="C25" i="3"/>
  <c r="F32" i="7"/>
  <c r="C5" i="3"/>
  <c r="C15" i="3"/>
  <c r="C20" i="3"/>
  <c r="S5" i="10" s="1"/>
  <c r="R1" i="11" s="1"/>
  <c r="R2" i="11" s="1"/>
  <c r="C21" i="3"/>
  <c r="C26" i="3"/>
  <c r="C35" i="3"/>
  <c r="C10" i="3"/>
  <c r="F17" i="7"/>
  <c r="F19" i="7"/>
  <c r="C11" i="3"/>
  <c r="J5" i="10" s="1"/>
  <c r="I1" i="11" s="1"/>
  <c r="I2" i="11" s="1"/>
  <c r="BT185" i="11" s="1"/>
  <c r="C16" i="3"/>
  <c r="O5" i="10" s="1"/>
  <c r="N1" i="11" s="1"/>
  <c r="N2" i="11" s="1"/>
  <c r="C17" i="3"/>
  <c r="C22" i="3"/>
  <c r="C27" i="3"/>
  <c r="Z5" i="10" s="1"/>
  <c r="Y1" i="11" s="1"/>
  <c r="Y2" i="11" s="1"/>
  <c r="C30" i="3"/>
  <c r="AA5" i="10" s="1"/>
  <c r="Z1" i="11" s="1"/>
  <c r="Z2" i="11" s="1"/>
  <c r="C34" i="3"/>
  <c r="C7" i="3"/>
  <c r="F14" i="7"/>
  <c r="F38" i="7"/>
  <c r="C6" i="3"/>
  <c r="C8" i="3"/>
  <c r="C12" i="3"/>
  <c r="C13" i="3"/>
  <c r="C18" i="3"/>
  <c r="C23" i="3"/>
  <c r="C28" i="3"/>
  <c r="C31" i="3"/>
  <c r="C33" i="3"/>
  <c r="K25" i="2"/>
  <c r="F48" i="7" s="1"/>
  <c r="K44" i="2"/>
  <c r="F86" i="7" s="1"/>
  <c r="K28" i="2"/>
  <c r="F54" i="7" s="1"/>
  <c r="K31" i="2"/>
  <c r="F60" i="7" s="1"/>
  <c r="F50" i="2"/>
  <c r="F97" i="7" s="1"/>
  <c r="F34" i="2"/>
  <c r="F65" i="7" s="1"/>
  <c r="K46" i="2"/>
  <c r="F90" i="7" s="1"/>
  <c r="F72" i="7"/>
  <c r="BO14" i="3"/>
  <c r="BO19" i="3"/>
  <c r="BO30" i="3"/>
  <c r="CN259" i="11" l="1"/>
  <c r="CN231" i="11"/>
  <c r="BW311" i="11"/>
  <c r="BU337" i="11"/>
  <c r="CH285" i="11"/>
  <c r="CF285" i="11"/>
  <c r="CJ285" i="11"/>
  <c r="CA285" i="11"/>
  <c r="CC285" i="11"/>
  <c r="BZ285" i="11"/>
  <c r="CB285" i="11"/>
  <c r="BX285" i="11"/>
  <c r="CG285" i="11"/>
  <c r="CL285" i="11"/>
  <c r="CD285" i="11"/>
  <c r="CM285" i="11"/>
  <c r="CK285" i="11"/>
  <c r="BY285" i="11"/>
  <c r="CE285" i="11"/>
  <c r="CI285" i="11"/>
  <c r="BW283" i="11"/>
  <c r="BU309" i="11"/>
  <c r="CE257" i="11"/>
  <c r="BZ257" i="11"/>
  <c r="CA257" i="11"/>
  <c r="CL257" i="11"/>
  <c r="CI257" i="11"/>
  <c r="CF257" i="11"/>
  <c r="CH257" i="11"/>
  <c r="CD257" i="11"/>
  <c r="BY257" i="11"/>
  <c r="CB257" i="11"/>
  <c r="CM257" i="11"/>
  <c r="BX257" i="11"/>
  <c r="CG257" i="11"/>
  <c r="CC257" i="11"/>
  <c r="CK257" i="11"/>
  <c r="CJ257" i="11"/>
  <c r="BT627" i="11"/>
  <c r="BT628" i="11" s="1"/>
  <c r="BT629" i="11" s="1"/>
  <c r="BT630" i="11" s="1"/>
  <c r="BT631" i="11" s="1"/>
  <c r="BT632" i="11" s="1"/>
  <c r="BT633" i="11" s="1"/>
  <c r="BT634" i="11" s="1"/>
  <c r="BT635" i="11" s="1"/>
  <c r="BT636" i="11" s="1"/>
  <c r="BT637" i="11" s="1"/>
  <c r="BT638" i="11" s="1"/>
  <c r="BT639" i="11" s="1"/>
  <c r="BT640" i="11" s="1"/>
  <c r="BT641" i="11" s="1"/>
  <c r="BT642" i="11" s="1"/>
  <c r="BT643" i="11" s="1"/>
  <c r="BT644" i="11" s="1"/>
  <c r="BT645" i="11" s="1"/>
  <c r="BT646" i="11" s="1"/>
  <c r="BT647" i="11" s="1"/>
  <c r="BT648" i="11" s="1"/>
  <c r="BT649" i="11" s="1"/>
  <c r="BT650" i="11" s="1"/>
  <c r="BT651" i="11" s="1"/>
  <c r="BT652" i="11" s="1"/>
  <c r="BT705" i="11"/>
  <c r="BT706" i="11" s="1"/>
  <c r="BT707" i="11" s="1"/>
  <c r="BT708" i="11" s="1"/>
  <c r="BT709" i="11" s="1"/>
  <c r="BT710" i="11" s="1"/>
  <c r="BT711" i="11" s="1"/>
  <c r="BT712" i="11" s="1"/>
  <c r="BT713" i="11" s="1"/>
  <c r="BT714" i="11" s="1"/>
  <c r="BT715" i="11" s="1"/>
  <c r="BT716" i="11" s="1"/>
  <c r="BT717" i="11" s="1"/>
  <c r="BT718" i="11" s="1"/>
  <c r="BT719" i="11" s="1"/>
  <c r="BT720" i="11" s="1"/>
  <c r="BT721" i="11" s="1"/>
  <c r="BT722" i="11" s="1"/>
  <c r="BT723" i="11" s="1"/>
  <c r="BT724" i="11" s="1"/>
  <c r="BT725" i="11" s="1"/>
  <c r="BT726" i="11" s="1"/>
  <c r="BT727" i="11" s="1"/>
  <c r="BT728" i="11" s="1"/>
  <c r="BT729" i="11" s="1"/>
  <c r="BT730" i="11" s="1"/>
  <c r="BT315" i="11"/>
  <c r="BT316" i="11" s="1"/>
  <c r="BT317" i="11" s="1"/>
  <c r="BT419" i="11"/>
  <c r="BT420" i="11" s="1"/>
  <c r="BT421" i="11" s="1"/>
  <c r="BT422" i="11" s="1"/>
  <c r="BT423" i="11" s="1"/>
  <c r="BT424" i="11" s="1"/>
  <c r="BT425" i="11" s="1"/>
  <c r="BT426" i="11" s="1"/>
  <c r="BT427" i="11" s="1"/>
  <c r="BT428" i="11" s="1"/>
  <c r="BT429" i="11" s="1"/>
  <c r="BT430" i="11" s="1"/>
  <c r="BT431" i="11" s="1"/>
  <c r="BT432" i="11" s="1"/>
  <c r="BT433" i="11" s="1"/>
  <c r="BT434" i="11" s="1"/>
  <c r="BT435" i="11" s="1"/>
  <c r="BT436" i="11" s="1"/>
  <c r="BT437" i="11" s="1"/>
  <c r="BT438" i="11" s="1"/>
  <c r="BT439" i="11" s="1"/>
  <c r="BT440" i="11" s="1"/>
  <c r="BT441" i="11" s="1"/>
  <c r="BT442" i="11" s="1"/>
  <c r="BT443" i="11" s="1"/>
  <c r="BT444" i="11" s="1"/>
  <c r="BT601" i="11"/>
  <c r="BT602" i="11" s="1"/>
  <c r="BT603" i="11" s="1"/>
  <c r="BT604" i="11" s="1"/>
  <c r="BT605" i="11" s="1"/>
  <c r="BT606" i="11" s="1"/>
  <c r="BT607" i="11" s="1"/>
  <c r="BT608" i="11" s="1"/>
  <c r="BT609" i="11" s="1"/>
  <c r="BT610" i="11" s="1"/>
  <c r="BT611" i="11" s="1"/>
  <c r="BT612" i="11" s="1"/>
  <c r="BT613" i="11" s="1"/>
  <c r="BT614" i="11" s="1"/>
  <c r="BT615" i="11" s="1"/>
  <c r="BT616" i="11" s="1"/>
  <c r="BT617" i="11" s="1"/>
  <c r="BT618" i="11" s="1"/>
  <c r="BT619" i="11" s="1"/>
  <c r="BT620" i="11" s="1"/>
  <c r="BT621" i="11" s="1"/>
  <c r="BT622" i="11" s="1"/>
  <c r="BT623" i="11" s="1"/>
  <c r="BT624" i="11" s="1"/>
  <c r="BT625" i="11" s="1"/>
  <c r="BT626" i="11" s="1"/>
  <c r="BO31" i="3"/>
  <c r="K39" i="2"/>
  <c r="F76" i="7" s="1"/>
  <c r="F9" i="7"/>
  <c r="BO15" i="3"/>
  <c r="K5" i="10"/>
  <c r="J1" i="11" s="1"/>
  <c r="J2" i="11" s="1"/>
  <c r="BT211" i="11" s="1"/>
  <c r="BO23" i="3"/>
  <c r="BO38" i="3"/>
  <c r="AH5" i="10"/>
  <c r="AG1" i="11" s="1"/>
  <c r="AG2" i="11" s="1"/>
  <c r="BO21" i="3"/>
  <c r="Q5" i="10"/>
  <c r="P1" i="11" s="1"/>
  <c r="P2" i="11" s="1"/>
  <c r="BO9" i="3"/>
  <c r="E5" i="10"/>
  <c r="D1" i="11" s="1"/>
  <c r="D2" i="11" s="1"/>
  <c r="BT55" i="11" s="1"/>
  <c r="F36" i="2"/>
  <c r="F69" i="7" s="1"/>
  <c r="F35" i="7"/>
  <c r="F43" i="2"/>
  <c r="F83" i="7" s="1"/>
  <c r="F20" i="7"/>
  <c r="F74" i="7"/>
  <c r="F11" i="7"/>
  <c r="BO10" i="3"/>
  <c r="F5" i="10"/>
  <c r="E1" i="11" s="1"/>
  <c r="E2" i="11" s="1"/>
  <c r="BT81" i="11" s="1"/>
  <c r="BO25" i="3"/>
  <c r="U5" i="10"/>
  <c r="T1" i="11" s="1"/>
  <c r="T2" i="11" s="1"/>
  <c r="F45" i="2"/>
  <c r="F87" i="7" s="1"/>
  <c r="F24" i="7"/>
  <c r="K43" i="2"/>
  <c r="F84" i="7" s="1"/>
  <c r="F15" i="7"/>
  <c r="BO13" i="3"/>
  <c r="I5" i="10"/>
  <c r="H1" i="11" s="1"/>
  <c r="H2" i="11" s="1"/>
  <c r="BT159" i="11" s="1"/>
  <c r="F73" i="7"/>
  <c r="F8" i="7"/>
  <c r="BO29" i="3"/>
  <c r="Y5" i="10"/>
  <c r="X1" i="11" s="1"/>
  <c r="X2" i="11" s="1"/>
  <c r="BO8" i="3"/>
  <c r="D5" i="10"/>
  <c r="C1" i="11" s="1"/>
  <c r="C2" i="11" s="1"/>
  <c r="BT29" i="11" s="1"/>
  <c r="BO17" i="3"/>
  <c r="M5" i="10"/>
  <c r="L1" i="11" s="1"/>
  <c r="L2" i="11" s="1"/>
  <c r="BT263" i="11" s="1"/>
  <c r="BO37" i="3"/>
  <c r="AG5" i="10"/>
  <c r="AF1" i="11" s="1"/>
  <c r="AF2" i="11" s="1"/>
  <c r="BT4" i="11"/>
  <c r="CP3" i="11"/>
  <c r="BO16" i="3"/>
  <c r="L5" i="10"/>
  <c r="K1" i="11" s="1"/>
  <c r="K2" i="11" s="1"/>
  <c r="BT237" i="11" s="1"/>
  <c r="BO35" i="3"/>
  <c r="AE5" i="10"/>
  <c r="AD1" i="11" s="1"/>
  <c r="AD2" i="11" s="1"/>
  <c r="BO20" i="3"/>
  <c r="P5" i="10"/>
  <c r="O1" i="11" s="1"/>
  <c r="O2" i="11" s="1"/>
  <c r="K42" i="2"/>
  <c r="F82" i="7" s="1"/>
  <c r="F21" i="7"/>
  <c r="K40" i="2"/>
  <c r="F78" i="7" s="1"/>
  <c r="F13" i="7"/>
  <c r="BO24" i="3"/>
  <c r="T5" i="10"/>
  <c r="S1" i="11" s="1"/>
  <c r="S2" i="11" s="1"/>
  <c r="BO28" i="3"/>
  <c r="X5" i="10"/>
  <c r="W1" i="11" s="1"/>
  <c r="W2" i="11" s="1"/>
  <c r="BO12" i="3"/>
  <c r="H5" i="10"/>
  <c r="G1" i="11" s="1"/>
  <c r="G2" i="11" s="1"/>
  <c r="BT133" i="11" s="1"/>
  <c r="F71" i="7"/>
  <c r="F12" i="7"/>
  <c r="BO32" i="3"/>
  <c r="AB5" i="10"/>
  <c r="AA1" i="11" s="1"/>
  <c r="AA2" i="11" s="1"/>
  <c r="F42" i="2"/>
  <c r="F81" i="7" s="1"/>
  <c r="F18" i="7"/>
  <c r="BO33" i="3"/>
  <c r="AC5" i="10"/>
  <c r="AB1" i="11" s="1"/>
  <c r="AB2" i="11" s="1"/>
  <c r="K52" i="2"/>
  <c r="F102" i="7" s="1"/>
  <c r="F37" i="7"/>
  <c r="BO27" i="3"/>
  <c r="W5" i="10"/>
  <c r="V1" i="11" s="1"/>
  <c r="V2" i="11" s="1"/>
  <c r="K51" i="2"/>
  <c r="F100" i="7" s="1"/>
  <c r="F31" i="7"/>
  <c r="K49" i="2"/>
  <c r="F96" i="7" s="1"/>
  <c r="F33" i="7"/>
  <c r="K45" i="2"/>
  <c r="F88" i="7" s="1"/>
  <c r="F29" i="7"/>
  <c r="F44" i="2"/>
  <c r="F85" i="7" s="1"/>
  <c r="F16" i="7"/>
  <c r="K29" i="2"/>
  <c r="F56" i="7" s="1"/>
  <c r="F28" i="7"/>
  <c r="F49" i="2"/>
  <c r="F95" i="7" s="1"/>
  <c r="F36" i="7"/>
  <c r="BO26" i="3"/>
  <c r="V5" i="10"/>
  <c r="U1" i="11" s="1"/>
  <c r="U2" i="11" s="1"/>
  <c r="BO11" i="3"/>
  <c r="G5" i="10"/>
  <c r="F1" i="11" s="1"/>
  <c r="F2" i="11" s="1"/>
  <c r="BT107" i="11" s="1"/>
  <c r="F41" i="2"/>
  <c r="F79" i="7" s="1"/>
  <c r="F22" i="7"/>
  <c r="BT186" i="11"/>
  <c r="CP185" i="11"/>
  <c r="F29" i="2"/>
  <c r="F55" i="7" s="1"/>
  <c r="F26" i="7"/>
  <c r="K48" i="2"/>
  <c r="F94" i="7" s="1"/>
  <c r="F25" i="7"/>
  <c r="BO36" i="3"/>
  <c r="AF5" i="10"/>
  <c r="AE1" i="11" s="1"/>
  <c r="AE2" i="11" s="1"/>
  <c r="BO18" i="3"/>
  <c r="N5" i="10"/>
  <c r="M1" i="11" s="1"/>
  <c r="M2" i="11" s="1"/>
  <c r="K30" i="2"/>
  <c r="F58" i="7" s="1"/>
  <c r="F23" i="7"/>
  <c r="BO22" i="3"/>
  <c r="R5" i="10"/>
  <c r="Q1" i="11" s="1"/>
  <c r="Q2" i="11" s="1"/>
  <c r="K47" i="2"/>
  <c r="F92" i="7" s="1"/>
  <c r="F27" i="7"/>
  <c r="BU429" i="11"/>
  <c r="BU425" i="11"/>
  <c r="BU298" i="11"/>
  <c r="BU278" i="11"/>
  <c r="BU286" i="11"/>
  <c r="BU306" i="11"/>
  <c r="BU421" i="11"/>
  <c r="BU274" i="11"/>
  <c r="BU302" i="11"/>
  <c r="BU431" i="11"/>
  <c r="BU270" i="11"/>
  <c r="BU310" i="11"/>
  <c r="BU314" i="11"/>
  <c r="BV391" i="11"/>
  <c r="BV373" i="11"/>
  <c r="BV361" i="11"/>
  <c r="BU437" i="11"/>
  <c r="BU479" i="11"/>
  <c r="BU266" i="11"/>
  <c r="BU521" i="11"/>
  <c r="BU282" i="11"/>
  <c r="BU459" i="11"/>
  <c r="BU294" i="11"/>
  <c r="BU445" i="11"/>
  <c r="BU290" i="11"/>
  <c r="BU487" i="11"/>
  <c r="BU423" i="11"/>
  <c r="BV341" i="11"/>
  <c r="BV381" i="11"/>
  <c r="BV337" i="11"/>
  <c r="BV345" i="11"/>
  <c r="BV353" i="11"/>
  <c r="BV349" i="11"/>
  <c r="BV357" i="11"/>
  <c r="F35" i="2"/>
  <c r="F67" i="7" s="1"/>
  <c r="F48" i="2"/>
  <c r="F93" i="7" s="1"/>
  <c r="K34" i="2"/>
  <c r="F66" i="7" s="1"/>
  <c r="F52" i="2"/>
  <c r="F101" i="7" s="1"/>
  <c r="F33" i="2"/>
  <c r="F63" i="7" s="1"/>
  <c r="F51" i="2"/>
  <c r="F99" i="7" s="1"/>
  <c r="K33" i="2"/>
  <c r="F64" i="7" s="1"/>
  <c r="F39" i="2"/>
  <c r="F75" i="7" s="1"/>
  <c r="F21" i="2"/>
  <c r="F39" i="7" s="1"/>
  <c r="K27" i="2"/>
  <c r="F52" i="7" s="1"/>
  <c r="K41" i="2"/>
  <c r="F80" i="7" s="1"/>
  <c r="K26" i="2"/>
  <c r="F50" i="7" s="1"/>
  <c r="F40" i="2"/>
  <c r="F77" i="7" s="1"/>
  <c r="K21" i="2"/>
  <c r="F40" i="7" s="1"/>
  <c r="F24" i="2"/>
  <c r="F45" i="7" s="1"/>
  <c r="F44" i="7"/>
  <c r="K50" i="2"/>
  <c r="F98" i="7" s="1"/>
  <c r="K24" i="2"/>
  <c r="F46" i="7" s="1"/>
  <c r="F32" i="2"/>
  <c r="F61" i="7" s="1"/>
  <c r="F47" i="2"/>
  <c r="F91" i="7" s="1"/>
  <c r="K36" i="2"/>
  <c r="F70" i="7" s="1"/>
  <c r="F25" i="2"/>
  <c r="F47" i="7" s="1"/>
  <c r="K32" i="2"/>
  <c r="F62" i="7" s="1"/>
  <c r="F31" i="2"/>
  <c r="F59" i="7" s="1"/>
  <c r="F43" i="7"/>
  <c r="F28" i="2"/>
  <c r="F53" i="7" s="1"/>
  <c r="F27" i="2"/>
  <c r="F51" i="7" s="1"/>
  <c r="F26" i="2"/>
  <c r="F49" i="7" s="1"/>
  <c r="F30" i="2"/>
  <c r="F57" i="7" s="1"/>
  <c r="CP315" i="11" l="1"/>
  <c r="CN285" i="11"/>
  <c r="BW337" i="11"/>
  <c r="BU363" i="11"/>
  <c r="BX311" i="11"/>
  <c r="CK311" i="11"/>
  <c r="CA311" i="11"/>
  <c r="BZ311" i="11"/>
  <c r="CC311" i="11"/>
  <c r="CE311" i="11"/>
  <c r="CF311" i="11"/>
  <c r="CJ311" i="11"/>
  <c r="BY311" i="11"/>
  <c r="CI311" i="11"/>
  <c r="CD311" i="11"/>
  <c r="CM311" i="11"/>
  <c r="CB311" i="11"/>
  <c r="CG311" i="11"/>
  <c r="CL311" i="11"/>
  <c r="CH311" i="11"/>
  <c r="CN257" i="11"/>
  <c r="BW309" i="11"/>
  <c r="BU335" i="11"/>
  <c r="CK283" i="11"/>
  <c r="CB283" i="11"/>
  <c r="CD283" i="11"/>
  <c r="BZ283" i="11"/>
  <c r="CC283" i="11"/>
  <c r="CG283" i="11"/>
  <c r="BX283" i="11"/>
  <c r="BY283" i="11"/>
  <c r="CH283" i="11"/>
  <c r="CJ283" i="11"/>
  <c r="CL283" i="11"/>
  <c r="CM283" i="11"/>
  <c r="CF283" i="11"/>
  <c r="CA283" i="11"/>
  <c r="CE283" i="11"/>
  <c r="CI283" i="11"/>
  <c r="BT783" i="11"/>
  <c r="BT784" i="11" s="1"/>
  <c r="BT785" i="11" s="1"/>
  <c r="BT786" i="11" s="1"/>
  <c r="BT787" i="11" s="1"/>
  <c r="BT788" i="11" s="1"/>
  <c r="BT789" i="11" s="1"/>
  <c r="BT790" i="11" s="1"/>
  <c r="BT791" i="11" s="1"/>
  <c r="BT792" i="11" s="1"/>
  <c r="BT793" i="11" s="1"/>
  <c r="BT794" i="11" s="1"/>
  <c r="BT795" i="11" s="1"/>
  <c r="BT796" i="11" s="1"/>
  <c r="BT797" i="11" s="1"/>
  <c r="BT798" i="11" s="1"/>
  <c r="BT799" i="11" s="1"/>
  <c r="BT800" i="11" s="1"/>
  <c r="BT801" i="11" s="1"/>
  <c r="BT802" i="11" s="1"/>
  <c r="BT803" i="11" s="1"/>
  <c r="BT804" i="11" s="1"/>
  <c r="BT805" i="11" s="1"/>
  <c r="BT806" i="11" s="1"/>
  <c r="BT807" i="11" s="1"/>
  <c r="BT808" i="11" s="1"/>
  <c r="BT757" i="11"/>
  <c r="BT758" i="11" s="1"/>
  <c r="BT759" i="11" s="1"/>
  <c r="BT760" i="11" s="1"/>
  <c r="BT761" i="11" s="1"/>
  <c r="BT762" i="11" s="1"/>
  <c r="BT763" i="11" s="1"/>
  <c r="BT764" i="11" s="1"/>
  <c r="BT765" i="11" s="1"/>
  <c r="BT766" i="11" s="1"/>
  <c r="BT767" i="11" s="1"/>
  <c r="BT768" i="11" s="1"/>
  <c r="BT769" i="11" s="1"/>
  <c r="BT770" i="11" s="1"/>
  <c r="BT771" i="11" s="1"/>
  <c r="BT772" i="11" s="1"/>
  <c r="BT773" i="11" s="1"/>
  <c r="BT774" i="11" s="1"/>
  <c r="BT775" i="11" s="1"/>
  <c r="BT776" i="11" s="1"/>
  <c r="BT777" i="11" s="1"/>
  <c r="BT778" i="11" s="1"/>
  <c r="BT779" i="11" s="1"/>
  <c r="BT780" i="11" s="1"/>
  <c r="BT781" i="11" s="1"/>
  <c r="BT782" i="11" s="1"/>
  <c r="BT679" i="11"/>
  <c r="BT680" i="11" s="1"/>
  <c r="BT681" i="11" s="1"/>
  <c r="BT682" i="11" s="1"/>
  <c r="BT683" i="11" s="1"/>
  <c r="BT684" i="11" s="1"/>
  <c r="BT685" i="11" s="1"/>
  <c r="BT686" i="11" s="1"/>
  <c r="BT687" i="11" s="1"/>
  <c r="BT688" i="11" s="1"/>
  <c r="BT689" i="11" s="1"/>
  <c r="BT690" i="11" s="1"/>
  <c r="BT691" i="11" s="1"/>
  <c r="BT692" i="11" s="1"/>
  <c r="BT693" i="11" s="1"/>
  <c r="BT694" i="11" s="1"/>
  <c r="BT695" i="11" s="1"/>
  <c r="BT696" i="11" s="1"/>
  <c r="BT697" i="11" s="1"/>
  <c r="BT698" i="11" s="1"/>
  <c r="BT699" i="11" s="1"/>
  <c r="BT700" i="11" s="1"/>
  <c r="BT701" i="11" s="1"/>
  <c r="BT702" i="11" s="1"/>
  <c r="BT703" i="11" s="1"/>
  <c r="BT704" i="11" s="1"/>
  <c r="BT653" i="11"/>
  <c r="BT654" i="11" s="1"/>
  <c r="BT655" i="11" s="1"/>
  <c r="BT656" i="11" s="1"/>
  <c r="BT657" i="11" s="1"/>
  <c r="BT658" i="11" s="1"/>
  <c r="BT659" i="11" s="1"/>
  <c r="BT660" i="11" s="1"/>
  <c r="BT661" i="11" s="1"/>
  <c r="BT662" i="11" s="1"/>
  <c r="BT663" i="11" s="1"/>
  <c r="BT664" i="11" s="1"/>
  <c r="BT665" i="11" s="1"/>
  <c r="BT666" i="11" s="1"/>
  <c r="BT667" i="11" s="1"/>
  <c r="BT668" i="11" s="1"/>
  <c r="BT669" i="11" s="1"/>
  <c r="BT670" i="11" s="1"/>
  <c r="BT671" i="11" s="1"/>
  <c r="BT672" i="11" s="1"/>
  <c r="BT673" i="11" s="1"/>
  <c r="BT674" i="11" s="1"/>
  <c r="BT675" i="11" s="1"/>
  <c r="BT676" i="11" s="1"/>
  <c r="BT677" i="11" s="1"/>
  <c r="BT678" i="11" s="1"/>
  <c r="BT731" i="11"/>
  <c r="BT732" i="11" s="1"/>
  <c r="BT733" i="11" s="1"/>
  <c r="BT734" i="11" s="1"/>
  <c r="BT735" i="11" s="1"/>
  <c r="BT736" i="11" s="1"/>
  <c r="BT737" i="11" s="1"/>
  <c r="BT738" i="11" s="1"/>
  <c r="BT739" i="11" s="1"/>
  <c r="BT740" i="11" s="1"/>
  <c r="BT741" i="11" s="1"/>
  <c r="BT742" i="11" s="1"/>
  <c r="BT743" i="11" s="1"/>
  <c r="BT744" i="11" s="1"/>
  <c r="BT745" i="11" s="1"/>
  <c r="BT746" i="11" s="1"/>
  <c r="BT747" i="11" s="1"/>
  <c r="BT748" i="11" s="1"/>
  <c r="BT749" i="11" s="1"/>
  <c r="BT750" i="11" s="1"/>
  <c r="BT751" i="11" s="1"/>
  <c r="BT752" i="11" s="1"/>
  <c r="BT753" i="11" s="1"/>
  <c r="BT754" i="11" s="1"/>
  <c r="BT755" i="11" s="1"/>
  <c r="BT756" i="11" s="1"/>
  <c r="BT809" i="11"/>
  <c r="BT810" i="11" s="1"/>
  <c r="BT811" i="11" s="1"/>
  <c r="BT812" i="11" s="1"/>
  <c r="BT813" i="11" s="1"/>
  <c r="BT814" i="11" s="1"/>
  <c r="BT815" i="11" s="1"/>
  <c r="BT816" i="11" s="1"/>
  <c r="BT817" i="11" s="1"/>
  <c r="BT818" i="11" s="1"/>
  <c r="BT819" i="11" s="1"/>
  <c r="BT820" i="11" s="1"/>
  <c r="BT821" i="11" s="1"/>
  <c r="BT822" i="11" s="1"/>
  <c r="BT823" i="11" s="1"/>
  <c r="BT824" i="11" s="1"/>
  <c r="BT825" i="11" s="1"/>
  <c r="BT826" i="11" s="1"/>
  <c r="BT827" i="11" s="1"/>
  <c r="BT828" i="11" s="1"/>
  <c r="BT829" i="11" s="1"/>
  <c r="BT830" i="11" s="1"/>
  <c r="BT318" i="11"/>
  <c r="BT319" i="11" s="1"/>
  <c r="BT320" i="11" s="1"/>
  <c r="BT321" i="11" s="1"/>
  <c r="BT322" i="11" s="1"/>
  <c r="BT323" i="11" s="1"/>
  <c r="BT324" i="11" s="1"/>
  <c r="BT325" i="11" s="1"/>
  <c r="BT326" i="11" s="1"/>
  <c r="BT327" i="11" s="1"/>
  <c r="BT328" i="11" s="1"/>
  <c r="BT329" i="11" s="1"/>
  <c r="CP317" i="11"/>
  <c r="BT445" i="11"/>
  <c r="BT446" i="11" s="1"/>
  <c r="BT447" i="11" s="1"/>
  <c r="BT448" i="11" s="1"/>
  <c r="BT449" i="11" s="1"/>
  <c r="BT450" i="11" s="1"/>
  <c r="BT451" i="11" s="1"/>
  <c r="BT452" i="11" s="1"/>
  <c r="BT453" i="11" s="1"/>
  <c r="BT454" i="11" s="1"/>
  <c r="BT455" i="11" s="1"/>
  <c r="BT456" i="11" s="1"/>
  <c r="BT457" i="11" s="1"/>
  <c r="BT458" i="11" s="1"/>
  <c r="BT459" i="11" s="1"/>
  <c r="BT460" i="11" s="1"/>
  <c r="BT461" i="11" s="1"/>
  <c r="BT462" i="11" s="1"/>
  <c r="BT463" i="11" s="1"/>
  <c r="BT464" i="11" s="1"/>
  <c r="BT465" i="11" s="1"/>
  <c r="BT466" i="11" s="1"/>
  <c r="BT467" i="11" s="1"/>
  <c r="BT468" i="11" s="1"/>
  <c r="BT469" i="11" s="1"/>
  <c r="BT470" i="11" s="1"/>
  <c r="BT575" i="11"/>
  <c r="BT576" i="11" s="1"/>
  <c r="BT577" i="11" s="1"/>
  <c r="BT578" i="11" s="1"/>
  <c r="BT579" i="11" s="1"/>
  <c r="BT580" i="11" s="1"/>
  <c r="BT581" i="11" s="1"/>
  <c r="BT582" i="11" s="1"/>
  <c r="BT583" i="11" s="1"/>
  <c r="BT584" i="11" s="1"/>
  <c r="BT585" i="11" s="1"/>
  <c r="BT586" i="11" s="1"/>
  <c r="BT587" i="11" s="1"/>
  <c r="BT588" i="11" s="1"/>
  <c r="BT589" i="11" s="1"/>
  <c r="BT590" i="11" s="1"/>
  <c r="BT591" i="11" s="1"/>
  <c r="BT592" i="11" s="1"/>
  <c r="BT593" i="11" s="1"/>
  <c r="BT594" i="11" s="1"/>
  <c r="BT595" i="11" s="1"/>
  <c r="BT596" i="11" s="1"/>
  <c r="BT597" i="11" s="1"/>
  <c r="BT598" i="11" s="1"/>
  <c r="BT599" i="11" s="1"/>
  <c r="BT600" i="11" s="1"/>
  <c r="BT393" i="11"/>
  <c r="BT394" i="11" s="1"/>
  <c r="BT395" i="11" s="1"/>
  <c r="BT289" i="11"/>
  <c r="BT290" i="11" s="1"/>
  <c r="BT523" i="11"/>
  <c r="BT524" i="11" s="1"/>
  <c r="BT525" i="11" s="1"/>
  <c r="BT526" i="11" s="1"/>
  <c r="BT527" i="11" s="1"/>
  <c r="BT528" i="11" s="1"/>
  <c r="BT529" i="11" s="1"/>
  <c r="BT530" i="11" s="1"/>
  <c r="BT531" i="11" s="1"/>
  <c r="BT532" i="11" s="1"/>
  <c r="BT533" i="11" s="1"/>
  <c r="BT534" i="11" s="1"/>
  <c r="BT535" i="11" s="1"/>
  <c r="BT536" i="11" s="1"/>
  <c r="BT537" i="11" s="1"/>
  <c r="BT538" i="11" s="1"/>
  <c r="BT539" i="11" s="1"/>
  <c r="BT540" i="11" s="1"/>
  <c r="BT541" i="11" s="1"/>
  <c r="BT542" i="11" s="1"/>
  <c r="BT543" i="11" s="1"/>
  <c r="BT544" i="11" s="1"/>
  <c r="BT545" i="11" s="1"/>
  <c r="BT546" i="11" s="1"/>
  <c r="BT547" i="11" s="1"/>
  <c r="BT548" i="11" s="1"/>
  <c r="BT497" i="11"/>
  <c r="BT498" i="11" s="1"/>
  <c r="BT499" i="11" s="1"/>
  <c r="BT500" i="11" s="1"/>
  <c r="BT501" i="11" s="1"/>
  <c r="BT502" i="11" s="1"/>
  <c r="BT503" i="11" s="1"/>
  <c r="BT504" i="11" s="1"/>
  <c r="BT505" i="11" s="1"/>
  <c r="BT506" i="11" s="1"/>
  <c r="BT507" i="11" s="1"/>
  <c r="BT508" i="11" s="1"/>
  <c r="BT509" i="11" s="1"/>
  <c r="BT510" i="11" s="1"/>
  <c r="BT511" i="11" s="1"/>
  <c r="BT512" i="11" s="1"/>
  <c r="BT513" i="11" s="1"/>
  <c r="BT514" i="11" s="1"/>
  <c r="BT515" i="11" s="1"/>
  <c r="BT516" i="11" s="1"/>
  <c r="BT517" i="11" s="1"/>
  <c r="BT518" i="11" s="1"/>
  <c r="BT519" i="11" s="1"/>
  <c r="BT520" i="11" s="1"/>
  <c r="BT521" i="11" s="1"/>
  <c r="BT522" i="11" s="1"/>
  <c r="BT549" i="11"/>
  <c r="BT550" i="11" s="1"/>
  <c r="BT551" i="11" s="1"/>
  <c r="BT552" i="11" s="1"/>
  <c r="BT553" i="11" s="1"/>
  <c r="BT554" i="11" s="1"/>
  <c r="BT555" i="11" s="1"/>
  <c r="BT556" i="11" s="1"/>
  <c r="BT557" i="11" s="1"/>
  <c r="BT558" i="11" s="1"/>
  <c r="BT559" i="11" s="1"/>
  <c r="BT560" i="11" s="1"/>
  <c r="BT561" i="11" s="1"/>
  <c r="BT562" i="11" s="1"/>
  <c r="BT563" i="11" s="1"/>
  <c r="BT564" i="11" s="1"/>
  <c r="BT565" i="11" s="1"/>
  <c r="BT566" i="11" s="1"/>
  <c r="BT567" i="11" s="1"/>
  <c r="BT568" i="11" s="1"/>
  <c r="BT569" i="11" s="1"/>
  <c r="BT570" i="11" s="1"/>
  <c r="BT571" i="11" s="1"/>
  <c r="BT572" i="11" s="1"/>
  <c r="BT573" i="11" s="1"/>
  <c r="BT574" i="11" s="1"/>
  <c r="BT341" i="11"/>
  <c r="BT342" i="11" s="1"/>
  <c r="BT343" i="11" s="1"/>
  <c r="BT471" i="11"/>
  <c r="BT472" i="11" s="1"/>
  <c r="BT473" i="11" s="1"/>
  <c r="BT474" i="11" s="1"/>
  <c r="BT475" i="11" s="1"/>
  <c r="BT476" i="11" s="1"/>
  <c r="BT477" i="11" s="1"/>
  <c r="BT478" i="11" s="1"/>
  <c r="BT479" i="11" s="1"/>
  <c r="BT480" i="11" s="1"/>
  <c r="BT481" i="11" s="1"/>
  <c r="BT482" i="11" s="1"/>
  <c r="BT483" i="11" s="1"/>
  <c r="BT484" i="11" s="1"/>
  <c r="BT485" i="11" s="1"/>
  <c r="BT486" i="11" s="1"/>
  <c r="BT487" i="11" s="1"/>
  <c r="BT488" i="11" s="1"/>
  <c r="BT489" i="11" s="1"/>
  <c r="BT490" i="11" s="1"/>
  <c r="BT491" i="11" s="1"/>
  <c r="BT492" i="11" s="1"/>
  <c r="BT493" i="11" s="1"/>
  <c r="BT494" i="11" s="1"/>
  <c r="BT495" i="11" s="1"/>
  <c r="BT496" i="11" s="1"/>
  <c r="BT367" i="11"/>
  <c r="BT368" i="11" s="1"/>
  <c r="BT369" i="11" s="1"/>
  <c r="CP323" i="11"/>
  <c r="BT108" i="11"/>
  <c r="CP107" i="11"/>
  <c r="BT264" i="11"/>
  <c r="BT265" i="11" s="1"/>
  <c r="CP263" i="11"/>
  <c r="BT160" i="11"/>
  <c r="CP159" i="11"/>
  <c r="CP81" i="11"/>
  <c r="BT82" i="11"/>
  <c r="BT56" i="11"/>
  <c r="CP55" i="11"/>
  <c r="BT212" i="11"/>
  <c r="CP211" i="11"/>
  <c r="H16" i="3"/>
  <c r="F41" i="7"/>
  <c r="BT187" i="11"/>
  <c r="CP186" i="11"/>
  <c r="BT134" i="11"/>
  <c r="CP133" i="11"/>
  <c r="BT5" i="11"/>
  <c r="CP4" i="11"/>
  <c r="CP29" i="11"/>
  <c r="BT30" i="11"/>
  <c r="BT238" i="11"/>
  <c r="CP237" i="11"/>
  <c r="BV379" i="11"/>
  <c r="BV367" i="11"/>
  <c r="BV375" i="11"/>
  <c r="BV407" i="11"/>
  <c r="BU513" i="11"/>
  <c r="BU471" i="11"/>
  <c r="BU485" i="11"/>
  <c r="BU547" i="11"/>
  <c r="BU292" i="11"/>
  <c r="CP437" i="11"/>
  <c r="BU463" i="11"/>
  <c r="BU340" i="11"/>
  <c r="BU296" i="11"/>
  <c r="BU328" i="11"/>
  <c r="CP421" i="11"/>
  <c r="BU447" i="11"/>
  <c r="BU304" i="11"/>
  <c r="BU451" i="11"/>
  <c r="BV363" i="11"/>
  <c r="BV399" i="11"/>
  <c r="BU449" i="11"/>
  <c r="BU316" i="11"/>
  <c r="BU320" i="11"/>
  <c r="BU308" i="11"/>
  <c r="BU505" i="11"/>
  <c r="BU336" i="11"/>
  <c r="BU457" i="11"/>
  <c r="BU300" i="11"/>
  <c r="BU332" i="11"/>
  <c r="BU312" i="11"/>
  <c r="BU324" i="11"/>
  <c r="CP429" i="11"/>
  <c r="BU455" i="11"/>
  <c r="BV383" i="11"/>
  <c r="BV371" i="11"/>
  <c r="BV387" i="11"/>
  <c r="BV417" i="11"/>
  <c r="G4" i="3"/>
  <c r="I22" i="3"/>
  <c r="E31" i="3"/>
  <c r="I34" i="3"/>
  <c r="F10" i="3"/>
  <c r="H4" i="3"/>
  <c r="E21" i="3"/>
  <c r="G33" i="3"/>
  <c r="E25" i="3"/>
  <c r="G8" i="3"/>
  <c r="F18" i="3"/>
  <c r="I32" i="3"/>
  <c r="H12" i="3"/>
  <c r="H5" i="3"/>
  <c r="I27" i="3"/>
  <c r="G30" i="3"/>
  <c r="H32" i="3"/>
  <c r="G17" i="3"/>
  <c r="E32" i="3"/>
  <c r="G26" i="3"/>
  <c r="H8" i="3"/>
  <c r="F34" i="3"/>
  <c r="G13" i="3"/>
  <c r="H23" i="3"/>
  <c r="G16" i="3"/>
  <c r="I19" i="3"/>
  <c r="H28" i="3"/>
  <c r="E12" i="3"/>
  <c r="H6" i="3"/>
  <c r="E30" i="3"/>
  <c r="E18" i="3"/>
  <c r="F27" i="3"/>
  <c r="G6" i="3"/>
  <c r="E22" i="3"/>
  <c r="H9" i="3"/>
  <c r="F5" i="3"/>
  <c r="G22" i="3"/>
  <c r="G7" i="3"/>
  <c r="F32" i="3"/>
  <c r="E6" i="3"/>
  <c r="H15" i="3"/>
  <c r="E33" i="3"/>
  <c r="E13" i="3"/>
  <c r="H29" i="3"/>
  <c r="F15" i="3"/>
  <c r="F8" i="3"/>
  <c r="G32" i="3"/>
  <c r="E29" i="3"/>
  <c r="F28" i="3"/>
  <c r="F25" i="3"/>
  <c r="F24" i="3"/>
  <c r="E19" i="3"/>
  <c r="I15" i="3"/>
  <c r="G12" i="3"/>
  <c r="I35" i="3"/>
  <c r="I33" i="3"/>
  <c r="E17" i="3"/>
  <c r="G5" i="3"/>
  <c r="H35" i="3"/>
  <c r="G25" i="3"/>
  <c r="H21" i="3"/>
  <c r="E4" i="3"/>
  <c r="I11" i="3"/>
  <c r="I28" i="3"/>
  <c r="G18" i="3"/>
  <c r="E9" i="3"/>
  <c r="I13" i="3"/>
  <c r="I5" i="3"/>
  <c r="I23" i="3"/>
  <c r="H34" i="3"/>
  <c r="H33" i="3"/>
  <c r="G31" i="3"/>
  <c r="G23" i="3"/>
  <c r="E16" i="3"/>
  <c r="G20" i="3"/>
  <c r="F4" i="3"/>
  <c r="F6" i="3"/>
  <c r="I26" i="3"/>
  <c r="H20" i="3"/>
  <c r="G34" i="3"/>
  <c r="F35" i="3"/>
  <c r="F29" i="3"/>
  <c r="G24" i="3"/>
  <c r="G21" i="3"/>
  <c r="H14" i="3"/>
  <c r="E8" i="3"/>
  <c r="I4" i="3"/>
  <c r="H19" i="3"/>
  <c r="H7" i="3"/>
  <c r="F21" i="3"/>
  <c r="H25" i="3"/>
  <c r="G15" i="3"/>
  <c r="I14" i="3"/>
  <c r="G11" i="3"/>
  <c r="F11" i="3"/>
  <c r="I16" i="3"/>
  <c r="J16" i="3" s="1"/>
  <c r="H27" i="3"/>
  <c r="G19" i="3"/>
  <c r="E5" i="3"/>
  <c r="I31" i="3"/>
  <c r="F33" i="3"/>
  <c r="E27" i="3"/>
  <c r="I21" i="3"/>
  <c r="E23" i="3"/>
  <c r="I17" i="3"/>
  <c r="F13" i="3"/>
  <c r="H13" i="3"/>
  <c r="J13" i="3" s="1"/>
  <c r="I8" i="3"/>
  <c r="H26" i="3"/>
  <c r="F26" i="3"/>
  <c r="H22" i="3"/>
  <c r="E7" i="3"/>
  <c r="G29" i="3"/>
  <c r="F17" i="3"/>
  <c r="G27" i="3"/>
  <c r="E35" i="3"/>
  <c r="F30" i="3"/>
  <c r="F22" i="3"/>
  <c r="G14" i="3"/>
  <c r="E15" i="3"/>
  <c r="F12" i="3"/>
  <c r="H11" i="3"/>
  <c r="H30" i="3"/>
  <c r="H24" i="3"/>
  <c r="G35" i="3"/>
  <c r="E34" i="3"/>
  <c r="K34" i="3" s="1"/>
  <c r="G28" i="3"/>
  <c r="F23" i="3"/>
  <c r="F19" i="3"/>
  <c r="I9" i="3"/>
  <c r="F7" i="3"/>
  <c r="H10" i="3"/>
  <c r="H18" i="3"/>
  <c r="H31" i="3"/>
  <c r="I25" i="3"/>
  <c r="J25" i="3" s="1"/>
  <c r="F20" i="3"/>
  <c r="F14" i="3"/>
  <c r="H17" i="3"/>
  <c r="I10" i="3"/>
  <c r="F9" i="3"/>
  <c r="I18" i="3"/>
  <c r="I24" i="3"/>
  <c r="F16" i="3"/>
  <c r="G9" i="3"/>
  <c r="E28" i="3"/>
  <c r="F31" i="3"/>
  <c r="E24" i="3"/>
  <c r="E26" i="3"/>
  <c r="E20" i="3"/>
  <c r="E14" i="3"/>
  <c r="E10" i="3"/>
  <c r="E11" i="3"/>
  <c r="G10" i="3"/>
  <c r="I30" i="3"/>
  <c r="I7" i="3"/>
  <c r="I29" i="3"/>
  <c r="I6" i="3"/>
  <c r="I12" i="3"/>
  <c r="I20" i="3"/>
  <c r="CP325" i="11" l="1"/>
  <c r="CP341" i="11"/>
  <c r="CN311" i="11"/>
  <c r="BW363" i="11"/>
  <c r="BU389" i="11"/>
  <c r="CF337" i="11"/>
  <c r="CJ337" i="11"/>
  <c r="CL337" i="11"/>
  <c r="CK337" i="11"/>
  <c r="CB337" i="11"/>
  <c r="BX337" i="11"/>
  <c r="CE337" i="11"/>
  <c r="CA337" i="11"/>
  <c r="BZ337" i="11"/>
  <c r="BY337" i="11"/>
  <c r="CC337" i="11"/>
  <c r="CH337" i="11"/>
  <c r="CM337" i="11"/>
  <c r="CD337" i="11"/>
  <c r="CG337" i="11"/>
  <c r="CI337" i="11"/>
  <c r="BW335" i="11"/>
  <c r="BU361" i="11"/>
  <c r="CN283" i="11"/>
  <c r="CM309" i="11"/>
  <c r="CI309" i="11"/>
  <c r="CE309" i="11"/>
  <c r="BY309" i="11"/>
  <c r="CD309" i="11"/>
  <c r="CA309" i="11"/>
  <c r="CB309" i="11"/>
  <c r="CG309" i="11"/>
  <c r="BZ309" i="11"/>
  <c r="CC309" i="11"/>
  <c r="BX309" i="11"/>
  <c r="CK309" i="11"/>
  <c r="CF309" i="11"/>
  <c r="CL309" i="11"/>
  <c r="CJ309" i="11"/>
  <c r="CH309" i="11"/>
  <c r="CP321" i="11"/>
  <c r="CP319" i="11"/>
  <c r="CP264" i="11"/>
  <c r="CP289" i="11"/>
  <c r="BT396" i="11"/>
  <c r="BT397" i="11" s="1"/>
  <c r="BT398" i="11" s="1"/>
  <c r="BT399" i="11" s="1"/>
  <c r="BT400" i="11" s="1"/>
  <c r="BT401" i="11" s="1"/>
  <c r="BT402" i="11" s="1"/>
  <c r="BT403" i="11" s="1"/>
  <c r="CP395" i="11"/>
  <c r="CP830" i="11"/>
  <c r="BT831" i="11"/>
  <c r="BT832" i="11" s="1"/>
  <c r="BT370" i="11"/>
  <c r="BT371" i="11" s="1"/>
  <c r="BT372" i="11" s="1"/>
  <c r="BT373" i="11" s="1"/>
  <c r="CP369" i="11"/>
  <c r="BT291" i="11"/>
  <c r="CP290" i="11"/>
  <c r="CP343" i="11"/>
  <c r="BT344" i="11"/>
  <c r="BT345" i="11" s="1"/>
  <c r="BT346" i="11" s="1"/>
  <c r="BT347" i="11" s="1"/>
  <c r="BT348" i="11" s="1"/>
  <c r="BT349" i="11" s="1"/>
  <c r="BT350" i="11" s="1"/>
  <c r="BT351" i="11" s="1"/>
  <c r="CP351" i="11" s="1"/>
  <c r="D24" i="3"/>
  <c r="K18" i="3"/>
  <c r="K32" i="3"/>
  <c r="CP327" i="11"/>
  <c r="BT266" i="11"/>
  <c r="BT267" i="11" s="1"/>
  <c r="CP265" i="11"/>
  <c r="BT239" i="11"/>
  <c r="CP238" i="11"/>
  <c r="BT135" i="11"/>
  <c r="CP134" i="11"/>
  <c r="BT6" i="11"/>
  <c r="CP5" i="11"/>
  <c r="BT213" i="11"/>
  <c r="CP212" i="11"/>
  <c r="BT57" i="11"/>
  <c r="CP56" i="11"/>
  <c r="BT161" i="11"/>
  <c r="CP160" i="11"/>
  <c r="BT330" i="11"/>
  <c r="BT331" i="11" s="1"/>
  <c r="CP329" i="11"/>
  <c r="BT31" i="11"/>
  <c r="CP30" i="11"/>
  <c r="BT188" i="11"/>
  <c r="CP187" i="11"/>
  <c r="BT83" i="11"/>
  <c r="CP82" i="11"/>
  <c r="BT109" i="11"/>
  <c r="CP108" i="11"/>
  <c r="K22" i="3"/>
  <c r="D32" i="3"/>
  <c r="J9" i="3"/>
  <c r="D13" i="3"/>
  <c r="K21" i="3"/>
  <c r="BU481" i="11"/>
  <c r="CP455" i="11"/>
  <c r="BU326" i="11"/>
  <c r="CP320" i="11"/>
  <c r="BU346" i="11"/>
  <c r="BU475" i="11"/>
  <c r="BU330" i="11"/>
  <c r="CP447" i="11"/>
  <c r="BU473" i="11"/>
  <c r="BU322" i="11"/>
  <c r="CP463" i="11"/>
  <c r="BU489" i="11"/>
  <c r="BU573" i="11"/>
  <c r="BU497" i="11"/>
  <c r="BV443" i="11"/>
  <c r="BV397" i="11"/>
  <c r="BU338" i="11"/>
  <c r="BU362" i="11"/>
  <c r="BV389" i="11"/>
  <c r="BV433" i="11"/>
  <c r="BV393" i="11"/>
  <c r="CP367" i="11"/>
  <c r="BU358" i="11"/>
  <c r="BU483" i="11"/>
  <c r="BU531" i="11"/>
  <c r="CP316" i="11"/>
  <c r="BU342" i="11"/>
  <c r="BU477" i="11"/>
  <c r="BU366" i="11"/>
  <c r="BU318" i="11"/>
  <c r="BV413" i="11"/>
  <c r="BV409" i="11"/>
  <c r="CP324" i="11"/>
  <c r="BU350" i="11"/>
  <c r="BU334" i="11"/>
  <c r="BV425" i="11"/>
  <c r="CP328" i="11"/>
  <c r="BU354" i="11"/>
  <c r="BU511" i="11"/>
  <c r="BU539" i="11"/>
  <c r="BV401" i="11"/>
  <c r="BV405" i="11"/>
  <c r="J28" i="3"/>
  <c r="D6" i="3"/>
  <c r="J23" i="3"/>
  <c r="D31" i="3"/>
  <c r="J34" i="3"/>
  <c r="J29" i="3"/>
  <c r="K19" i="3"/>
  <c r="K12" i="3"/>
  <c r="J27" i="3"/>
  <c r="K6" i="3"/>
  <c r="J32" i="3"/>
  <c r="K29" i="3"/>
  <c r="K5" i="3"/>
  <c r="D8" i="3"/>
  <c r="J22" i="3"/>
  <c r="J20" i="3"/>
  <c r="J11" i="3"/>
  <c r="J14" i="3"/>
  <c r="K35" i="3"/>
  <c r="K24" i="3"/>
  <c r="J6" i="3"/>
  <c r="J17" i="3"/>
  <c r="K17" i="3"/>
  <c r="K15" i="3"/>
  <c r="D5" i="3"/>
  <c r="J7" i="3"/>
  <c r="J8" i="3"/>
  <c r="J12" i="3"/>
  <c r="K10" i="3"/>
  <c r="J26" i="3"/>
  <c r="K30" i="3"/>
  <c r="K4" i="3"/>
  <c r="D23" i="3"/>
  <c r="J4" i="3"/>
  <c r="D30" i="3"/>
  <c r="K9" i="3"/>
  <c r="J5" i="3"/>
  <c r="D17" i="3"/>
  <c r="D26" i="3"/>
  <c r="J19" i="3"/>
  <c r="K7" i="3"/>
  <c r="J33" i="3"/>
  <c r="D27" i="3"/>
  <c r="D11" i="3"/>
  <c r="D9" i="3"/>
  <c r="D4" i="3"/>
  <c r="D25" i="3"/>
  <c r="K8" i="3"/>
  <c r="D33" i="3"/>
  <c r="D7" i="3"/>
  <c r="D22" i="3"/>
  <c r="D14" i="3"/>
  <c r="D20" i="3"/>
  <c r="D28" i="3"/>
  <c r="K28" i="3"/>
  <c r="K31" i="3"/>
  <c r="K25" i="3"/>
  <c r="K33" i="3"/>
  <c r="D18" i="3"/>
  <c r="D21" i="3"/>
  <c r="D34" i="3"/>
  <c r="K14" i="3"/>
  <c r="D29" i="3"/>
  <c r="D16" i="3"/>
  <c r="J15" i="3"/>
  <c r="K13" i="3"/>
  <c r="K16" i="3"/>
  <c r="D19" i="3"/>
  <c r="D12" i="3"/>
  <c r="J30" i="3"/>
  <c r="K20" i="3"/>
  <c r="J10" i="3"/>
  <c r="K23" i="3"/>
  <c r="J24" i="3"/>
  <c r="D15" i="3"/>
  <c r="D35" i="3"/>
  <c r="K27" i="3"/>
  <c r="K11" i="3"/>
  <c r="J35" i="3"/>
  <c r="J18" i="3"/>
  <c r="D10" i="3"/>
  <c r="J31" i="3"/>
  <c r="K26" i="3"/>
  <c r="J21" i="3"/>
  <c r="BW389" i="11" l="1"/>
  <c r="BU415" i="11"/>
  <c r="CC363" i="11"/>
  <c r="BY363" i="11"/>
  <c r="CF363" i="11"/>
  <c r="CG363" i="11"/>
  <c r="BZ363" i="11"/>
  <c r="CM363" i="11"/>
  <c r="CI363" i="11"/>
  <c r="CD363" i="11"/>
  <c r="CJ363" i="11"/>
  <c r="CL363" i="11"/>
  <c r="CE363" i="11"/>
  <c r="BX363" i="11"/>
  <c r="CA363" i="11"/>
  <c r="CK363" i="11"/>
  <c r="CB363" i="11"/>
  <c r="CH363" i="11"/>
  <c r="CP345" i="11"/>
  <c r="CN337" i="11"/>
  <c r="CN309" i="11"/>
  <c r="BW361" i="11"/>
  <c r="BU387" i="11"/>
  <c r="CJ335" i="11"/>
  <c r="CA335" i="11"/>
  <c r="CF335" i="11"/>
  <c r="BY335" i="11"/>
  <c r="CE335" i="11"/>
  <c r="CM335" i="11"/>
  <c r="CG335" i="11"/>
  <c r="BX335" i="11"/>
  <c r="CI335" i="11"/>
  <c r="CH335" i="11"/>
  <c r="CB335" i="11"/>
  <c r="CC335" i="11"/>
  <c r="CL335" i="11"/>
  <c r="BZ335" i="11"/>
  <c r="CK335" i="11"/>
  <c r="CD335" i="11"/>
  <c r="CP399" i="11"/>
  <c r="CP371" i="11"/>
  <c r="BT352" i="11"/>
  <c r="BT353" i="11" s="1"/>
  <c r="BT354" i="11" s="1"/>
  <c r="BT355" i="11" s="1"/>
  <c r="CP355" i="11" s="1"/>
  <c r="CP347" i="11"/>
  <c r="CP349" i="11"/>
  <c r="BT404" i="11"/>
  <c r="BT405" i="11" s="1"/>
  <c r="BT406" i="11" s="1"/>
  <c r="BT407" i="11" s="1"/>
  <c r="CP403" i="11"/>
  <c r="BT292" i="11"/>
  <c r="CP291" i="11"/>
  <c r="BT374" i="11"/>
  <c r="BT375" i="11" s="1"/>
  <c r="CP373" i="11"/>
  <c r="N17" i="3"/>
  <c r="BT84" i="11"/>
  <c r="CP83" i="11"/>
  <c r="BT189" i="11"/>
  <c r="CP188" i="11"/>
  <c r="CP266" i="11"/>
  <c r="BT240" i="11"/>
  <c r="CP239" i="11"/>
  <c r="BT162" i="11"/>
  <c r="CP161" i="11"/>
  <c r="CP213" i="11"/>
  <c r="BT214" i="11"/>
  <c r="BT110" i="11"/>
  <c r="CP109" i="11"/>
  <c r="BT833" i="11"/>
  <c r="CP832" i="11"/>
  <c r="BT32" i="11"/>
  <c r="CP31" i="11"/>
  <c r="BT332" i="11"/>
  <c r="BT333" i="11" s="1"/>
  <c r="CP331" i="11"/>
  <c r="BT136" i="11"/>
  <c r="CP135" i="11"/>
  <c r="BT58" i="11"/>
  <c r="CP57" i="11"/>
  <c r="BT7" i="11"/>
  <c r="CP6" i="11"/>
  <c r="BT268" i="11"/>
  <c r="CP267" i="11"/>
  <c r="BU565" i="11"/>
  <c r="BU380" i="11"/>
  <c r="CP350" i="11"/>
  <c r="BU376" i="11"/>
  <c r="BU392" i="11"/>
  <c r="BU368" i="11"/>
  <c r="CP342" i="11"/>
  <c r="BU509" i="11"/>
  <c r="BU364" i="11"/>
  <c r="CP322" i="11"/>
  <c r="BU348" i="11"/>
  <c r="CP330" i="11"/>
  <c r="BU356" i="11"/>
  <c r="CP346" i="11"/>
  <c r="BU372" i="11"/>
  <c r="BU352" i="11"/>
  <c r="CP326" i="11"/>
  <c r="BV431" i="11"/>
  <c r="BV451" i="11"/>
  <c r="CP425" i="11"/>
  <c r="BV439" i="11"/>
  <c r="BV419" i="11"/>
  <c r="CP393" i="11"/>
  <c r="BV415" i="11"/>
  <c r="BV469" i="11"/>
  <c r="CP443" i="11"/>
  <c r="BU599" i="11"/>
  <c r="BU537" i="11"/>
  <c r="BU360" i="11"/>
  <c r="CP318" i="11"/>
  <c r="BU344" i="11"/>
  <c r="BU503" i="11"/>
  <c r="BU557" i="11"/>
  <c r="BU384" i="11"/>
  <c r="BU388" i="11"/>
  <c r="CP489" i="11"/>
  <c r="BU515" i="11"/>
  <c r="CP473" i="11"/>
  <c r="BU499" i="11"/>
  <c r="BU501" i="11"/>
  <c r="BV427" i="11"/>
  <c r="CP401" i="11"/>
  <c r="BV435" i="11"/>
  <c r="BV459" i="11"/>
  <c r="CP433" i="11"/>
  <c r="BV423" i="11"/>
  <c r="CP397" i="11"/>
  <c r="BU523" i="11"/>
  <c r="CP481" i="11"/>
  <c r="BU507" i="11"/>
  <c r="N32" i="3"/>
  <c r="N15" i="3"/>
  <c r="N4" i="3"/>
  <c r="N28" i="3"/>
  <c r="N29" i="3"/>
  <c r="N13" i="3"/>
  <c r="N5" i="3"/>
  <c r="N6" i="3"/>
  <c r="N30" i="3"/>
  <c r="N7" i="3"/>
  <c r="N9" i="3"/>
  <c r="N31" i="3"/>
  <c r="N25" i="3"/>
  <c r="N14" i="3"/>
  <c r="N19" i="3"/>
  <c r="N18" i="3"/>
  <c r="N11" i="3"/>
  <c r="N12" i="3"/>
  <c r="N35" i="3"/>
  <c r="N24" i="3"/>
  <c r="N27" i="3"/>
  <c r="N23" i="3"/>
  <c r="N34" i="3"/>
  <c r="N26" i="3"/>
  <c r="N20" i="3"/>
  <c r="N22" i="3"/>
  <c r="N8" i="3"/>
  <c r="N33" i="3"/>
  <c r="N10" i="3"/>
  <c r="N21" i="3"/>
  <c r="N16" i="3"/>
  <c r="CP354" i="11" l="1"/>
  <c r="CP405" i="11"/>
  <c r="CN363" i="11"/>
  <c r="BW415" i="11"/>
  <c r="BU441" i="11"/>
  <c r="CD389" i="11"/>
  <c r="CH389" i="11"/>
  <c r="CK389" i="11"/>
  <c r="CG389" i="11"/>
  <c r="CE389" i="11"/>
  <c r="CC389" i="11"/>
  <c r="BZ389" i="11"/>
  <c r="CL389" i="11"/>
  <c r="CM389" i="11"/>
  <c r="CF389" i="11"/>
  <c r="BX389" i="11"/>
  <c r="CJ389" i="11"/>
  <c r="BY389" i="11"/>
  <c r="CB389" i="11"/>
  <c r="CA389" i="11"/>
  <c r="CI389" i="11"/>
  <c r="CN335" i="11"/>
  <c r="BW387" i="11"/>
  <c r="BU413" i="11"/>
  <c r="CG361" i="11"/>
  <c r="BX361" i="11"/>
  <c r="CI361" i="11"/>
  <c r="CJ361" i="11"/>
  <c r="CK361" i="11"/>
  <c r="CD361" i="11"/>
  <c r="CA361" i="11"/>
  <c r="CB361" i="11"/>
  <c r="CH361" i="11"/>
  <c r="CL361" i="11"/>
  <c r="CE361" i="11"/>
  <c r="CC361" i="11"/>
  <c r="BZ361" i="11"/>
  <c r="CM361" i="11"/>
  <c r="CF361" i="11"/>
  <c r="BY361" i="11"/>
  <c r="BT356" i="11"/>
  <c r="BT357" i="11" s="1"/>
  <c r="BT358" i="11" s="1"/>
  <c r="BT359" i="11" s="1"/>
  <c r="CP353" i="11"/>
  <c r="BT408" i="11"/>
  <c r="BT409" i="11" s="1"/>
  <c r="CP407" i="11"/>
  <c r="BT293" i="11"/>
  <c r="CP292" i="11"/>
  <c r="BT376" i="11"/>
  <c r="BT377" i="11" s="1"/>
  <c r="CP375" i="11"/>
  <c r="BT269" i="11"/>
  <c r="CP268" i="11"/>
  <c r="BT59" i="11"/>
  <c r="CP58" i="11"/>
  <c r="BT334" i="11"/>
  <c r="BT335" i="11" s="1"/>
  <c r="CP333" i="11"/>
  <c r="BT834" i="11"/>
  <c r="CP834" i="11" s="1"/>
  <c r="CP833" i="11"/>
  <c r="BT215" i="11"/>
  <c r="CP214" i="11"/>
  <c r="CP332" i="11"/>
  <c r="BT190" i="11"/>
  <c r="CP189" i="11"/>
  <c r="BT8" i="11"/>
  <c r="CP7" i="11"/>
  <c r="BT137" i="11"/>
  <c r="CP136" i="11"/>
  <c r="CP32" i="11"/>
  <c r="BT33" i="11"/>
  <c r="CP110" i="11"/>
  <c r="BT111" i="11"/>
  <c r="BT241" i="11"/>
  <c r="CP240" i="11"/>
  <c r="BT163" i="11"/>
  <c r="CP162" i="11"/>
  <c r="BT85" i="11"/>
  <c r="CP84" i="11"/>
  <c r="BU533" i="11"/>
  <c r="CP507" i="11"/>
  <c r="BU525" i="11"/>
  <c r="CP499" i="11"/>
  <c r="BU414" i="11"/>
  <c r="CP344" i="11"/>
  <c r="BU370" i="11"/>
  <c r="BU625" i="11"/>
  <c r="CP372" i="11"/>
  <c r="BU398" i="11"/>
  <c r="CP348" i="11"/>
  <c r="BU374" i="11"/>
  <c r="BU418" i="11"/>
  <c r="BV449" i="11"/>
  <c r="CP423" i="11"/>
  <c r="BV461" i="11"/>
  <c r="CP435" i="11"/>
  <c r="BU583" i="11"/>
  <c r="BV441" i="11"/>
  <c r="BV465" i="11"/>
  <c r="BV457" i="11"/>
  <c r="CP431" i="11"/>
  <c r="BU535" i="11"/>
  <c r="BU406" i="11"/>
  <c r="BU549" i="11"/>
  <c r="BU541" i="11"/>
  <c r="CP515" i="11"/>
  <c r="BU529" i="11"/>
  <c r="BU386" i="11"/>
  <c r="BU563" i="11"/>
  <c r="CP356" i="11"/>
  <c r="BU382" i="11"/>
  <c r="BU390" i="11"/>
  <c r="BU402" i="11"/>
  <c r="BU591" i="11"/>
  <c r="BV485" i="11"/>
  <c r="CP459" i="11"/>
  <c r="BV453" i="11"/>
  <c r="CP427" i="11"/>
  <c r="BU527" i="11"/>
  <c r="BU410" i="11"/>
  <c r="BV495" i="11"/>
  <c r="CP469" i="11"/>
  <c r="BV445" i="11"/>
  <c r="CP419" i="11"/>
  <c r="BV477" i="11"/>
  <c r="CP451" i="11"/>
  <c r="CP352" i="11"/>
  <c r="BU378" i="11"/>
  <c r="CP368" i="11"/>
  <c r="BU394" i="11"/>
  <c r="O15" i="3"/>
  <c r="P15" i="3" s="1"/>
  <c r="Q29" i="3"/>
  <c r="O29" i="3"/>
  <c r="P29" i="3" s="1"/>
  <c r="O23" i="3"/>
  <c r="P23" i="3" s="1"/>
  <c r="Q13" i="3"/>
  <c r="O24" i="3"/>
  <c r="P24" i="3" s="1"/>
  <c r="Q12" i="3"/>
  <c r="O13" i="3"/>
  <c r="P13" i="3" s="1"/>
  <c r="O12" i="3"/>
  <c r="P12" i="3" s="1"/>
  <c r="Q15" i="3"/>
  <c r="Q11" i="3"/>
  <c r="Q28" i="3"/>
  <c r="O7" i="3"/>
  <c r="P7" i="3" s="1"/>
  <c r="Q4" i="3"/>
  <c r="O27" i="3"/>
  <c r="P27" i="3" s="1"/>
  <c r="O4" i="3"/>
  <c r="P4" i="3" s="1"/>
  <c r="Q16" i="3"/>
  <c r="Q27" i="3"/>
  <c r="Q31" i="3"/>
  <c r="O6" i="3"/>
  <c r="P6" i="3" s="1"/>
  <c r="Q6" i="3"/>
  <c r="Q30" i="3"/>
  <c r="O5" i="3"/>
  <c r="P5" i="3" s="1"/>
  <c r="Q5" i="3"/>
  <c r="O31" i="3"/>
  <c r="P31" i="3" s="1"/>
  <c r="O30" i="3"/>
  <c r="P30" i="3" s="1"/>
  <c r="O28" i="3"/>
  <c r="P28" i="3" s="1"/>
  <c r="Q7" i="3"/>
  <c r="O22" i="3"/>
  <c r="P22" i="3" s="1"/>
  <c r="Q9" i="3"/>
  <c r="O19" i="3"/>
  <c r="P19" i="3" s="1"/>
  <c r="Q23" i="3"/>
  <c r="O14" i="3"/>
  <c r="P14" i="3" s="1"/>
  <c r="O9" i="3"/>
  <c r="P9" i="3" s="1"/>
  <c r="Q14" i="3"/>
  <c r="O11" i="3"/>
  <c r="P11" i="3" s="1"/>
  <c r="O17" i="3"/>
  <c r="P17" i="3" s="1"/>
  <c r="O8" i="3"/>
  <c r="P8" i="3" s="1"/>
  <c r="O18" i="3"/>
  <c r="P18" i="3" s="1"/>
  <c r="Q32" i="3"/>
  <c r="Q26" i="3"/>
  <c r="O25" i="3"/>
  <c r="P25" i="3" s="1"/>
  <c r="Q25" i="3"/>
  <c r="Q35" i="3"/>
  <c r="Q34" i="3"/>
  <c r="O32" i="3"/>
  <c r="P32" i="3" s="1"/>
  <c r="Q24" i="3"/>
  <c r="O10" i="3"/>
  <c r="P10" i="3" s="1"/>
  <c r="Q10" i="3"/>
  <c r="O33" i="3"/>
  <c r="P33" i="3" s="1"/>
  <c r="O16" i="3"/>
  <c r="P16" i="3" s="1"/>
  <c r="O34" i="3"/>
  <c r="P34" i="3" s="1"/>
  <c r="O35" i="3"/>
  <c r="P35" i="3" s="1"/>
  <c r="Q33" i="3"/>
  <c r="O26" i="3"/>
  <c r="P26" i="3" s="1"/>
  <c r="Q8" i="3"/>
  <c r="Q18" i="3"/>
  <c r="Q17" i="3"/>
  <c r="Q19" i="3"/>
  <c r="R19" i="3" s="1"/>
  <c r="Q22" i="3"/>
  <c r="O20" i="3"/>
  <c r="P20" i="3" s="1"/>
  <c r="Q20" i="3"/>
  <c r="Q21" i="3"/>
  <c r="O21" i="3"/>
  <c r="P21" i="3" s="1"/>
  <c r="BW441" i="11" l="1"/>
  <c r="BU467" i="11"/>
  <c r="CN389" i="11"/>
  <c r="CI415" i="11"/>
  <c r="BZ415" i="11"/>
  <c r="CJ415" i="11"/>
  <c r="BX415" i="11"/>
  <c r="CC415" i="11"/>
  <c r="CD415" i="11"/>
  <c r="CM415" i="11"/>
  <c r="CE415" i="11"/>
  <c r="CK415" i="11"/>
  <c r="CH415" i="11"/>
  <c r="CB415" i="11"/>
  <c r="CG415" i="11"/>
  <c r="BY415" i="11"/>
  <c r="CA415" i="11"/>
  <c r="CL415" i="11"/>
  <c r="CF415" i="11"/>
  <c r="CP357" i="11"/>
  <c r="BW413" i="11"/>
  <c r="BU439" i="11"/>
  <c r="CD387" i="11"/>
  <c r="BX387" i="11"/>
  <c r="CM387" i="11"/>
  <c r="BY387" i="11"/>
  <c r="CK387" i="11"/>
  <c r="CH387" i="11"/>
  <c r="CJ387" i="11"/>
  <c r="CB387" i="11"/>
  <c r="CE387" i="11"/>
  <c r="BZ387" i="11"/>
  <c r="CG387" i="11"/>
  <c r="CI387" i="11"/>
  <c r="CF387" i="11"/>
  <c r="CL387" i="11"/>
  <c r="CA387" i="11"/>
  <c r="CC387" i="11"/>
  <c r="CN361" i="11"/>
  <c r="CP376" i="11"/>
  <c r="BT410" i="11"/>
  <c r="BT411" i="11" s="1"/>
  <c r="CP409" i="11"/>
  <c r="BT378" i="11"/>
  <c r="BT379" i="11" s="1"/>
  <c r="CP377" i="11"/>
  <c r="BT294" i="11"/>
  <c r="CP293" i="11"/>
  <c r="CP334" i="11"/>
  <c r="BT242" i="11"/>
  <c r="CP241" i="11"/>
  <c r="BT9" i="11"/>
  <c r="CP8" i="11"/>
  <c r="BT191" i="11"/>
  <c r="CP190" i="11"/>
  <c r="BT86" i="11"/>
  <c r="CP85" i="11"/>
  <c r="BT164" i="11"/>
  <c r="CP163" i="11"/>
  <c r="BT112" i="11"/>
  <c r="CP111" i="11"/>
  <c r="BT60" i="11"/>
  <c r="CP59" i="11"/>
  <c r="BT138" i="11"/>
  <c r="CP137" i="11"/>
  <c r="CP358" i="11"/>
  <c r="BT360" i="11"/>
  <c r="BT361" i="11" s="1"/>
  <c r="CP359" i="11"/>
  <c r="BT34" i="11"/>
  <c r="CP33" i="11"/>
  <c r="BT216" i="11"/>
  <c r="CP215" i="11"/>
  <c r="BT336" i="11"/>
  <c r="CP335" i="11"/>
  <c r="BT270" i="11"/>
  <c r="CP269" i="11"/>
  <c r="R23" i="3"/>
  <c r="CP394" i="11"/>
  <c r="BU420" i="11"/>
  <c r="BU553" i="11"/>
  <c r="CP402" i="11"/>
  <c r="BU428" i="11"/>
  <c r="BU408" i="11"/>
  <c r="BU412" i="11"/>
  <c r="CP406" i="11"/>
  <c r="BU432" i="11"/>
  <c r="CP374" i="11"/>
  <c r="BU400" i="11"/>
  <c r="BU651" i="11"/>
  <c r="CP370" i="11"/>
  <c r="BU396" i="11"/>
  <c r="BV503" i="11"/>
  <c r="CP477" i="11"/>
  <c r="BV521" i="11"/>
  <c r="CP495" i="11"/>
  <c r="BV511" i="11"/>
  <c r="CP485" i="11"/>
  <c r="BU567" i="11"/>
  <c r="CP541" i="11"/>
  <c r="BV483" i="11"/>
  <c r="CP457" i="11"/>
  <c r="BV467" i="11"/>
  <c r="CP441" i="11"/>
  <c r="BV475" i="11"/>
  <c r="CP449" i="11"/>
  <c r="CP525" i="11"/>
  <c r="BU551" i="11"/>
  <c r="BU404" i="11"/>
  <c r="BU436" i="11"/>
  <c r="BU416" i="11"/>
  <c r="BU589" i="11"/>
  <c r="BU575" i="11"/>
  <c r="BU561" i="11"/>
  <c r="BU444" i="11"/>
  <c r="CP398" i="11"/>
  <c r="BU424" i="11"/>
  <c r="BU440" i="11"/>
  <c r="BV471" i="11"/>
  <c r="CP445" i="11"/>
  <c r="BV479" i="11"/>
  <c r="CP453" i="11"/>
  <c r="BU617" i="11"/>
  <c r="BU555" i="11"/>
  <c r="BV491" i="11"/>
  <c r="BU609" i="11"/>
  <c r="BV487" i="11"/>
  <c r="CP461" i="11"/>
  <c r="CP533" i="11"/>
  <c r="BU559" i="11"/>
  <c r="R15" i="3"/>
  <c r="R30" i="3"/>
  <c r="R12" i="3"/>
  <c r="R29" i="3"/>
  <c r="R9" i="3"/>
  <c r="R7" i="3"/>
  <c r="R6" i="3"/>
  <c r="R28" i="3"/>
  <c r="R13" i="3"/>
  <c r="R16" i="3"/>
  <c r="R4" i="3"/>
  <c r="R24" i="3"/>
  <c r="R14" i="3"/>
  <c r="R27" i="3"/>
  <c r="R17" i="3"/>
  <c r="R18" i="3"/>
  <c r="R31" i="3"/>
  <c r="R11" i="3"/>
  <c r="R5" i="3"/>
  <c r="R22" i="3"/>
  <c r="R32" i="3"/>
  <c r="R35" i="3"/>
  <c r="R10" i="3"/>
  <c r="R34" i="3"/>
  <c r="R26" i="3"/>
  <c r="R33" i="3"/>
  <c r="R25" i="3"/>
  <c r="R8" i="3"/>
  <c r="R21" i="3"/>
  <c r="R20" i="3"/>
  <c r="CP410" i="11" l="1"/>
  <c r="CN415" i="11"/>
  <c r="BW467" i="11"/>
  <c r="BU493" i="11"/>
  <c r="CB441" i="11"/>
  <c r="CE441" i="11"/>
  <c r="BZ441" i="11"/>
  <c r="CI441" i="11"/>
  <c r="CM441" i="11"/>
  <c r="CD441" i="11"/>
  <c r="CA441" i="11"/>
  <c r="CG441" i="11"/>
  <c r="CH441" i="11"/>
  <c r="BX441" i="11"/>
  <c r="CK441" i="11"/>
  <c r="BY441" i="11"/>
  <c r="CF441" i="11"/>
  <c r="CJ441" i="11"/>
  <c r="CL441" i="11"/>
  <c r="CC441" i="11"/>
  <c r="CN387" i="11"/>
  <c r="BW439" i="11"/>
  <c r="BU465" i="11"/>
  <c r="CM413" i="11"/>
  <c r="CL413" i="11"/>
  <c r="CJ413" i="11"/>
  <c r="CC413" i="11"/>
  <c r="CA413" i="11"/>
  <c r="CH413" i="11"/>
  <c r="CE413" i="11"/>
  <c r="BX413" i="11"/>
  <c r="CB413" i="11"/>
  <c r="CI413" i="11"/>
  <c r="CD413" i="11"/>
  <c r="CK413" i="11"/>
  <c r="BZ413" i="11"/>
  <c r="CF413" i="11"/>
  <c r="BY413" i="11"/>
  <c r="CG413" i="11"/>
  <c r="CP378" i="11"/>
  <c r="BT412" i="11"/>
  <c r="BT413" i="11" s="1"/>
  <c r="CP411" i="11"/>
  <c r="BT380" i="11"/>
  <c r="CP379" i="11"/>
  <c r="BT295" i="11"/>
  <c r="CP294" i="11"/>
  <c r="BT337" i="11"/>
  <c r="CP336" i="11"/>
  <c r="CP34" i="11"/>
  <c r="BT35" i="11"/>
  <c r="BT61" i="11"/>
  <c r="CP60" i="11"/>
  <c r="BT165" i="11"/>
  <c r="CP164" i="11"/>
  <c r="BT139" i="11"/>
  <c r="CP138" i="11"/>
  <c r="BT10" i="11"/>
  <c r="CP9" i="11"/>
  <c r="BT271" i="11"/>
  <c r="CP270" i="11"/>
  <c r="BT217" i="11"/>
  <c r="CP216" i="11"/>
  <c r="BT362" i="11"/>
  <c r="CP361" i="11"/>
  <c r="CP360" i="11"/>
  <c r="BT113" i="11"/>
  <c r="CP112" i="11"/>
  <c r="CP86" i="11"/>
  <c r="BT87" i="11"/>
  <c r="BT192" i="11"/>
  <c r="CP191" i="11"/>
  <c r="BT243" i="11"/>
  <c r="CP242" i="11"/>
  <c r="CP559" i="11"/>
  <c r="BU585" i="11"/>
  <c r="BU635" i="11"/>
  <c r="BU581" i="11"/>
  <c r="CP440" i="11"/>
  <c r="BU466" i="11"/>
  <c r="CP424" i="11"/>
  <c r="BU450" i="11"/>
  <c r="BU587" i="11"/>
  <c r="CP436" i="11"/>
  <c r="BU462" i="11"/>
  <c r="CP551" i="11"/>
  <c r="BU577" i="11"/>
  <c r="CP396" i="11"/>
  <c r="BU422" i="11"/>
  <c r="CP400" i="11"/>
  <c r="BU426" i="11"/>
  <c r="CP432" i="11"/>
  <c r="BU458" i="11"/>
  <c r="CP408" i="11"/>
  <c r="BU434" i="11"/>
  <c r="BU579" i="11"/>
  <c r="BV505" i="11"/>
  <c r="CP479" i="11"/>
  <c r="BU615" i="11"/>
  <c r="BV493" i="11"/>
  <c r="CP467" i="11"/>
  <c r="CP567" i="11"/>
  <c r="BU593" i="11"/>
  <c r="BV547" i="11"/>
  <c r="CP521" i="11"/>
  <c r="BU643" i="11"/>
  <c r="CP444" i="11"/>
  <c r="BU470" i="11"/>
  <c r="BU442" i="11"/>
  <c r="CP404" i="11"/>
  <c r="BU430" i="11"/>
  <c r="BU677" i="11"/>
  <c r="BU438" i="11"/>
  <c r="CP428" i="11"/>
  <c r="BU454" i="11"/>
  <c r="CP420" i="11"/>
  <c r="BU446" i="11"/>
  <c r="BV513" i="11"/>
  <c r="CP487" i="11"/>
  <c r="BV517" i="11"/>
  <c r="BV497" i="11"/>
  <c r="CP471" i="11"/>
  <c r="BU601" i="11"/>
  <c r="BV501" i="11"/>
  <c r="CP475" i="11"/>
  <c r="BV509" i="11"/>
  <c r="CP483" i="11"/>
  <c r="BV537" i="11"/>
  <c r="CP511" i="11"/>
  <c r="BV529" i="11"/>
  <c r="CP503" i="11"/>
  <c r="S14" i="3"/>
  <c r="S13" i="3"/>
  <c r="S12" i="3"/>
  <c r="S19" i="3"/>
  <c r="S6" i="3"/>
  <c r="S15" i="3"/>
  <c r="S29" i="3"/>
  <c r="S7" i="3"/>
  <c r="S30" i="3"/>
  <c r="S28" i="3"/>
  <c r="S31" i="3"/>
  <c r="S32" i="3"/>
  <c r="S26" i="3"/>
  <c r="S17" i="3"/>
  <c r="S16" i="3"/>
  <c r="S11" i="3"/>
  <c r="S18" i="3"/>
  <c r="S23" i="3"/>
  <c r="S20" i="3"/>
  <c r="S27" i="3"/>
  <c r="S5" i="3"/>
  <c r="S4" i="3"/>
  <c r="S22" i="3"/>
  <c r="S25" i="3"/>
  <c r="S10" i="3"/>
  <c r="S24" i="3"/>
  <c r="S21" i="3"/>
  <c r="S8" i="3"/>
  <c r="S33" i="3"/>
  <c r="S34" i="3"/>
  <c r="S35" i="3"/>
  <c r="S9" i="3"/>
  <c r="U12" i="3" l="1"/>
  <c r="V12" i="3" s="1"/>
  <c r="CP412" i="11"/>
  <c r="BW493" i="11"/>
  <c r="CP493" i="11" s="1"/>
  <c r="BU519" i="11"/>
  <c r="CI467" i="11"/>
  <c r="BX467" i="11"/>
  <c r="CL467" i="11"/>
  <c r="CD467" i="11"/>
  <c r="CF467" i="11"/>
  <c r="CJ467" i="11"/>
  <c r="CA467" i="11"/>
  <c r="BY467" i="11"/>
  <c r="CK467" i="11"/>
  <c r="CB467" i="11"/>
  <c r="BZ467" i="11"/>
  <c r="CG467" i="11"/>
  <c r="CH467" i="11"/>
  <c r="CE467" i="11"/>
  <c r="CC467" i="11"/>
  <c r="CM467" i="11"/>
  <c r="CN441" i="11"/>
  <c r="CN413" i="11"/>
  <c r="BW465" i="11"/>
  <c r="BU491" i="11"/>
  <c r="CI439" i="11"/>
  <c r="BX439" i="11"/>
  <c r="CA439" i="11"/>
  <c r="CJ439" i="11"/>
  <c r="CF439" i="11"/>
  <c r="CK439" i="11"/>
  <c r="BY439" i="11"/>
  <c r="CC439" i="11"/>
  <c r="CL439" i="11"/>
  <c r="CB439" i="11"/>
  <c r="CD439" i="11"/>
  <c r="CM439" i="11"/>
  <c r="CE439" i="11"/>
  <c r="CH439" i="11"/>
  <c r="CG439" i="11"/>
  <c r="BZ439" i="11"/>
  <c r="CP439" i="11"/>
  <c r="BT414" i="11"/>
  <c r="CP413" i="11"/>
  <c r="BT296" i="11"/>
  <c r="CP295" i="11"/>
  <c r="BT381" i="11"/>
  <c r="CP380" i="11"/>
  <c r="BT244" i="11"/>
  <c r="CP243" i="11"/>
  <c r="BT36" i="11"/>
  <c r="CP35" i="11"/>
  <c r="BT363" i="11"/>
  <c r="CP362" i="11"/>
  <c r="BT272" i="11"/>
  <c r="CP271" i="11"/>
  <c r="BT166" i="11"/>
  <c r="CP165" i="11"/>
  <c r="BT193" i="11"/>
  <c r="CP192" i="11"/>
  <c r="BT114" i="11"/>
  <c r="CP113" i="11"/>
  <c r="BT88" i="11"/>
  <c r="CP87" i="11"/>
  <c r="BT218" i="11"/>
  <c r="CP217" i="11"/>
  <c r="BT11" i="11"/>
  <c r="CP10" i="11"/>
  <c r="BT140" i="11"/>
  <c r="CP139" i="11"/>
  <c r="BT62" i="11"/>
  <c r="CP61" i="11"/>
  <c r="BT338" i="11"/>
  <c r="CP337" i="11"/>
  <c r="BU472" i="11"/>
  <c r="CP446" i="11"/>
  <c r="BU464" i="11"/>
  <c r="CP438" i="11"/>
  <c r="BU703" i="11"/>
  <c r="CP442" i="11"/>
  <c r="BU468" i="11"/>
  <c r="CP434" i="11"/>
  <c r="BU460" i="11"/>
  <c r="CP426" i="11"/>
  <c r="BU452" i="11"/>
  <c r="CP577" i="11"/>
  <c r="BU603" i="11"/>
  <c r="BU613" i="11"/>
  <c r="CP466" i="11"/>
  <c r="BU492" i="11"/>
  <c r="BU661" i="11"/>
  <c r="BV555" i="11"/>
  <c r="CP529" i="11"/>
  <c r="BV535" i="11"/>
  <c r="CP509" i="11"/>
  <c r="BU627" i="11"/>
  <c r="BV543" i="11"/>
  <c r="BV573" i="11"/>
  <c r="CP547" i="11"/>
  <c r="BV519" i="11"/>
  <c r="BV531" i="11"/>
  <c r="CP505" i="11"/>
  <c r="BU480" i="11"/>
  <c r="CP454" i="11"/>
  <c r="CP430" i="11"/>
  <c r="BU456" i="11"/>
  <c r="BU496" i="11"/>
  <c r="CP470" i="11"/>
  <c r="BU669" i="11"/>
  <c r="CP593" i="11"/>
  <c r="BU619" i="11"/>
  <c r="BU605" i="11"/>
  <c r="CP458" i="11"/>
  <c r="BU484" i="11"/>
  <c r="BU448" i="11"/>
  <c r="CP422" i="11"/>
  <c r="BU488" i="11"/>
  <c r="CP462" i="11"/>
  <c r="CP450" i="11"/>
  <c r="BU476" i="11"/>
  <c r="CP585" i="11"/>
  <c r="BU611" i="11"/>
  <c r="BV563" i="11"/>
  <c r="CP537" i="11"/>
  <c r="BV527" i="11"/>
  <c r="CP501" i="11"/>
  <c r="BV523" i="11"/>
  <c r="CP497" i="11"/>
  <c r="BV539" i="11"/>
  <c r="CP513" i="11"/>
  <c r="BU641" i="11"/>
  <c r="BU607" i="11"/>
  <c r="U20" i="3"/>
  <c r="V20" i="3" s="1"/>
  <c r="U14" i="3"/>
  <c r="V14" i="3" s="1"/>
  <c r="A12" i="3"/>
  <c r="U13" i="3"/>
  <c r="V13" i="3" s="1"/>
  <c r="W12" i="3" s="1"/>
  <c r="U27" i="3"/>
  <c r="V27" i="3" s="1"/>
  <c r="U7" i="3"/>
  <c r="A7" i="3" s="1"/>
  <c r="U30" i="3"/>
  <c r="U15" i="3"/>
  <c r="V15" i="3" s="1"/>
  <c r="Y14" i="3" s="1"/>
  <c r="U33" i="3"/>
  <c r="A33" i="3" s="1"/>
  <c r="U9" i="3"/>
  <c r="V9" i="3" s="1"/>
  <c r="U31" i="3"/>
  <c r="V31" i="3" s="1"/>
  <c r="Y30" i="3" s="1"/>
  <c r="U28" i="3"/>
  <c r="V28" i="3" s="1"/>
  <c r="U19" i="3"/>
  <c r="A19" i="3" s="1"/>
  <c r="U29" i="3"/>
  <c r="A29" i="3" s="1"/>
  <c r="U23" i="3"/>
  <c r="A23" i="3" s="1"/>
  <c r="U11" i="3"/>
  <c r="V11" i="3" s="1"/>
  <c r="U5" i="3"/>
  <c r="V5" i="3" s="1"/>
  <c r="U16" i="3"/>
  <c r="V16" i="3" s="1"/>
  <c r="U4" i="3"/>
  <c r="A4" i="3" s="1"/>
  <c r="U6" i="3"/>
  <c r="V6" i="3" s="1"/>
  <c r="U35" i="3"/>
  <c r="V35" i="3" s="1"/>
  <c r="U17" i="3"/>
  <c r="U24" i="3"/>
  <c r="V24" i="3" s="1"/>
  <c r="U21" i="3"/>
  <c r="A21" i="3" s="1"/>
  <c r="U34" i="3"/>
  <c r="A34" i="3" s="1"/>
  <c r="U26" i="3"/>
  <c r="A26" i="3" s="1"/>
  <c r="U8" i="3"/>
  <c r="U25" i="3"/>
  <c r="V25" i="3" s="1"/>
  <c r="U18" i="3"/>
  <c r="U22" i="3"/>
  <c r="V22" i="3" s="1"/>
  <c r="U32" i="3"/>
  <c r="A32" i="3" s="1"/>
  <c r="U10" i="3"/>
  <c r="A10" i="3" s="1"/>
  <c r="CN467" i="11" l="1"/>
  <c r="BW519" i="11"/>
  <c r="CP519" i="11" s="1"/>
  <c r="BU545" i="11"/>
  <c r="CL493" i="11"/>
  <c r="CI493" i="11"/>
  <c r="CB493" i="11"/>
  <c r="CM493" i="11"/>
  <c r="CA493" i="11"/>
  <c r="BY493" i="11"/>
  <c r="CE493" i="11"/>
  <c r="CG493" i="11"/>
  <c r="CD493" i="11"/>
  <c r="CK493" i="11"/>
  <c r="BZ493" i="11"/>
  <c r="CF493" i="11"/>
  <c r="CH493" i="11"/>
  <c r="BX493" i="11"/>
  <c r="CC493" i="11"/>
  <c r="CJ493" i="11"/>
  <c r="BW491" i="11"/>
  <c r="BU517" i="11"/>
  <c r="CI465" i="11"/>
  <c r="CJ465" i="11"/>
  <c r="CA465" i="11"/>
  <c r="BX465" i="11"/>
  <c r="CL465" i="11"/>
  <c r="CC465" i="11"/>
  <c r="CM465" i="11"/>
  <c r="CK465" i="11"/>
  <c r="CB465" i="11"/>
  <c r="BY465" i="11"/>
  <c r="BZ465" i="11"/>
  <c r="CE465" i="11"/>
  <c r="CH465" i="11"/>
  <c r="CF465" i="11"/>
  <c r="CD465" i="11"/>
  <c r="CG465" i="11"/>
  <c r="CP465" i="11"/>
  <c r="CN439" i="11"/>
  <c r="BT415" i="11"/>
  <c r="CP414" i="11"/>
  <c r="BT297" i="11"/>
  <c r="CP296" i="11"/>
  <c r="BT382" i="11"/>
  <c r="CP381" i="11"/>
  <c r="X13" i="3"/>
  <c r="X14" i="3" s="1"/>
  <c r="BT339" i="11"/>
  <c r="CP338" i="11"/>
  <c r="BT141" i="11"/>
  <c r="CP140" i="11"/>
  <c r="BT219" i="11"/>
  <c r="CP218" i="11"/>
  <c r="BT115" i="11"/>
  <c r="CP114" i="11"/>
  <c r="BT167" i="11"/>
  <c r="CP166" i="11"/>
  <c r="BT273" i="11"/>
  <c r="CP272" i="11"/>
  <c r="BT37" i="11"/>
  <c r="CP36" i="11"/>
  <c r="CP62" i="11"/>
  <c r="BT63" i="11"/>
  <c r="BT12" i="11"/>
  <c r="CP11" i="11"/>
  <c r="CP88" i="11"/>
  <c r="BT89" i="11"/>
  <c r="BT194" i="11"/>
  <c r="CP193" i="11"/>
  <c r="BT364" i="11"/>
  <c r="CP363" i="11"/>
  <c r="BT245" i="11"/>
  <c r="CP244" i="11"/>
  <c r="CP611" i="11"/>
  <c r="BU637" i="11"/>
  <c r="CP484" i="11"/>
  <c r="BU510" i="11"/>
  <c r="CP619" i="11"/>
  <c r="BU645" i="11"/>
  <c r="CP492" i="11"/>
  <c r="BU518" i="11"/>
  <c r="CP603" i="11"/>
  <c r="BU629" i="11"/>
  <c r="CP460" i="11"/>
  <c r="BU486" i="11"/>
  <c r="CP468" i="11"/>
  <c r="BU494" i="11"/>
  <c r="BU633" i="11"/>
  <c r="BV565" i="11"/>
  <c r="CP539" i="11"/>
  <c r="BV553" i="11"/>
  <c r="CP527" i="11"/>
  <c r="CP488" i="11"/>
  <c r="BU514" i="11"/>
  <c r="CP496" i="11"/>
  <c r="BU522" i="11"/>
  <c r="BV557" i="11"/>
  <c r="CP531" i="11"/>
  <c r="BV599" i="11"/>
  <c r="CP573" i="11"/>
  <c r="BU653" i="11"/>
  <c r="BV581" i="11"/>
  <c r="CP555" i="11"/>
  <c r="CP464" i="11"/>
  <c r="BU490" i="11"/>
  <c r="BU667" i="11"/>
  <c r="CP476" i="11"/>
  <c r="BU502" i="11"/>
  <c r="BU695" i="11"/>
  <c r="CP456" i="11"/>
  <c r="BU482" i="11"/>
  <c r="BU687" i="11"/>
  <c r="CP452" i="11"/>
  <c r="BU478" i="11"/>
  <c r="BU729" i="11"/>
  <c r="BV549" i="11"/>
  <c r="CP523" i="11"/>
  <c r="BV589" i="11"/>
  <c r="CP563" i="11"/>
  <c r="CP448" i="11"/>
  <c r="BU474" i="11"/>
  <c r="BU631" i="11"/>
  <c r="CP480" i="11"/>
  <c r="BU506" i="11"/>
  <c r="BV545" i="11"/>
  <c r="BV569" i="11"/>
  <c r="BV561" i="11"/>
  <c r="CP535" i="11"/>
  <c r="BU639" i="11"/>
  <c r="CP472" i="11"/>
  <c r="BU498" i="11"/>
  <c r="V23" i="3"/>
  <c r="Y22" i="3" s="1"/>
  <c r="A31" i="3"/>
  <c r="V26" i="3"/>
  <c r="X25" i="3" s="1"/>
  <c r="A22" i="3"/>
  <c r="A28" i="3"/>
  <c r="V33" i="3"/>
  <c r="W32" i="3" s="1"/>
  <c r="A27" i="3"/>
  <c r="A13" i="3"/>
  <c r="A15" i="3"/>
  <c r="A14" i="3"/>
  <c r="X5" i="3"/>
  <c r="X6" i="3" s="1"/>
  <c r="A9" i="3"/>
  <c r="V29" i="3"/>
  <c r="W28" i="3" s="1"/>
  <c r="W29" i="3" s="1"/>
  <c r="V19" i="3"/>
  <c r="Y18" i="3" s="1"/>
  <c r="Y19" i="3" s="1"/>
  <c r="BB18" i="3" s="1"/>
  <c r="W8" i="3"/>
  <c r="W9" i="3" s="1"/>
  <c r="A20" i="3"/>
  <c r="V7" i="3"/>
  <c r="Y6" i="3" s="1"/>
  <c r="A5" i="3"/>
  <c r="A11" i="3"/>
  <c r="A30" i="3"/>
  <c r="V30" i="3"/>
  <c r="X29" i="3" s="1"/>
  <c r="X30" i="3" s="1"/>
  <c r="V21" i="3"/>
  <c r="W20" i="3" s="1"/>
  <c r="A6" i="3"/>
  <c r="A16" i="3"/>
  <c r="A35" i="3"/>
  <c r="A24" i="3"/>
  <c r="Y10" i="3"/>
  <c r="Y11" i="3" s="1"/>
  <c r="BA10" i="3" s="1"/>
  <c r="V4" i="3"/>
  <c r="V32" i="3"/>
  <c r="A25" i="3"/>
  <c r="V17" i="3"/>
  <c r="W16" i="3" s="1"/>
  <c r="A17" i="3"/>
  <c r="V34" i="3"/>
  <c r="X33" i="3" s="1"/>
  <c r="V8" i="3"/>
  <c r="A8" i="3"/>
  <c r="A18" i="3"/>
  <c r="V18" i="3"/>
  <c r="X17" i="3" s="1"/>
  <c r="V10" i="3"/>
  <c r="X9" i="3" s="1"/>
  <c r="X21" i="3"/>
  <c r="W4" i="3"/>
  <c r="Y26" i="3"/>
  <c r="Y34" i="3"/>
  <c r="Y31" i="3"/>
  <c r="AY30" i="3" s="1"/>
  <c r="W13" i="3"/>
  <c r="Y15" i="3"/>
  <c r="BA14" i="3" s="1"/>
  <c r="W24" i="3"/>
  <c r="CN493" i="11" l="1"/>
  <c r="BW545" i="11"/>
  <c r="BU571" i="11"/>
  <c r="CC519" i="11"/>
  <c r="CM519" i="11"/>
  <c r="CF519" i="11"/>
  <c r="CH519" i="11"/>
  <c r="CL519" i="11"/>
  <c r="CK519" i="11"/>
  <c r="CD519" i="11"/>
  <c r="BZ519" i="11"/>
  <c r="CB519" i="11"/>
  <c r="BX519" i="11"/>
  <c r="BY519" i="11"/>
  <c r="CJ519" i="11"/>
  <c r="CG519" i="11"/>
  <c r="CA519" i="11"/>
  <c r="CE519" i="11"/>
  <c r="CI519" i="11"/>
  <c r="CN465" i="11"/>
  <c r="BW517" i="11"/>
  <c r="BU543" i="11"/>
  <c r="CL491" i="11"/>
  <c r="CE491" i="11"/>
  <c r="CK491" i="11"/>
  <c r="BZ491" i="11"/>
  <c r="CG491" i="11"/>
  <c r="BX491" i="11"/>
  <c r="CI491" i="11"/>
  <c r="CF491" i="11"/>
  <c r="CJ491" i="11"/>
  <c r="CC491" i="11"/>
  <c r="BY491" i="11"/>
  <c r="CH491" i="11"/>
  <c r="CA491" i="11"/>
  <c r="CB491" i="11"/>
  <c r="CM491" i="11"/>
  <c r="CD491" i="11"/>
  <c r="CP491" i="11"/>
  <c r="BT416" i="11"/>
  <c r="CP415" i="11"/>
  <c r="CP297" i="11"/>
  <c r="BT298" i="11"/>
  <c r="BT383" i="11"/>
  <c r="CP382" i="11"/>
  <c r="BT90" i="11"/>
  <c r="CP89" i="11"/>
  <c r="BT64" i="11"/>
  <c r="CP63" i="11"/>
  <c r="BT246" i="11"/>
  <c r="CP245" i="11"/>
  <c r="BT274" i="11"/>
  <c r="CP273" i="11"/>
  <c r="BT116" i="11"/>
  <c r="CP115" i="11"/>
  <c r="CP141" i="11"/>
  <c r="BT142" i="11"/>
  <c r="BT365" i="11"/>
  <c r="CP364" i="11"/>
  <c r="BT195" i="11"/>
  <c r="CP194" i="11"/>
  <c r="BT13" i="11"/>
  <c r="CP12" i="11"/>
  <c r="BT38" i="11"/>
  <c r="CP37" i="11"/>
  <c r="BT168" i="11"/>
  <c r="CP167" i="11"/>
  <c r="BT220" i="11"/>
  <c r="CP219" i="11"/>
  <c r="BT340" i="11"/>
  <c r="CP340" i="11" s="1"/>
  <c r="CP339" i="11"/>
  <c r="CP498" i="11"/>
  <c r="BU524" i="11"/>
  <c r="BU657" i="11"/>
  <c r="BU755" i="11"/>
  <c r="BU504" i="11"/>
  <c r="CP478" i="11"/>
  <c r="CP482" i="11"/>
  <c r="BU508" i="11"/>
  <c r="BU528" i="11"/>
  <c r="CP502" i="11"/>
  <c r="CP490" i="11"/>
  <c r="BU516" i="11"/>
  <c r="BU679" i="11"/>
  <c r="CP514" i="11"/>
  <c r="BU540" i="11"/>
  <c r="BU520" i="11"/>
  <c r="CP494" i="11"/>
  <c r="CP629" i="11"/>
  <c r="BU655" i="11"/>
  <c r="BU536" i="11"/>
  <c r="CP510" i="11"/>
  <c r="BV587" i="11"/>
  <c r="CP561" i="11"/>
  <c r="BV571" i="11"/>
  <c r="CP545" i="11"/>
  <c r="BV615" i="11"/>
  <c r="CP589" i="11"/>
  <c r="BV583" i="11"/>
  <c r="CP557" i="11"/>
  <c r="BV591" i="11"/>
  <c r="CP565" i="11"/>
  <c r="BU665" i="11"/>
  <c r="CP506" i="11"/>
  <c r="BU532" i="11"/>
  <c r="CP474" i="11"/>
  <c r="BU500" i="11"/>
  <c r="BU713" i="11"/>
  <c r="BU721" i="11"/>
  <c r="BU693" i="11"/>
  <c r="CP522" i="11"/>
  <c r="BU548" i="11"/>
  <c r="BU659" i="11"/>
  <c r="BU512" i="11"/>
  <c r="CP486" i="11"/>
  <c r="CP518" i="11"/>
  <c r="BU544" i="11"/>
  <c r="CP645" i="11"/>
  <c r="BU671" i="11"/>
  <c r="CP637" i="11"/>
  <c r="BU663" i="11"/>
  <c r="BV595" i="11"/>
  <c r="BV575" i="11"/>
  <c r="CP549" i="11"/>
  <c r="BV607" i="11"/>
  <c r="CP581" i="11"/>
  <c r="BV625" i="11"/>
  <c r="CP599" i="11"/>
  <c r="BV579" i="11"/>
  <c r="CP553" i="11"/>
  <c r="Y7" i="3"/>
  <c r="BB6" i="3" s="1"/>
  <c r="AX14" i="3"/>
  <c r="W17" i="3"/>
  <c r="W18" i="3" s="1"/>
  <c r="X18" i="3"/>
  <c r="AX10" i="3"/>
  <c r="X10" i="3"/>
  <c r="X11" i="3" s="1"/>
  <c r="AO10" i="3" s="1"/>
  <c r="BA18" i="3"/>
  <c r="BC18" i="3" s="1"/>
  <c r="AY18" i="3"/>
  <c r="AX30" i="3"/>
  <c r="BD30" i="3" s="1"/>
  <c r="AX18" i="3"/>
  <c r="AZ18" i="3"/>
  <c r="AY14" i="3"/>
  <c r="AZ14" i="3"/>
  <c r="BB14" i="3"/>
  <c r="BC14" i="3" s="1"/>
  <c r="BB30" i="3"/>
  <c r="BA30" i="3"/>
  <c r="BA11" i="3"/>
  <c r="BB11" i="3"/>
  <c r="AZ11" i="3"/>
  <c r="AY11" i="3"/>
  <c r="AX11" i="3"/>
  <c r="Y23" i="3"/>
  <c r="BA22" i="3" s="1"/>
  <c r="AY10" i="3"/>
  <c r="X15" i="3"/>
  <c r="AO14" i="3" s="1"/>
  <c r="W14" i="3"/>
  <c r="Y27" i="3"/>
  <c r="AZ26" i="3" s="1"/>
  <c r="X34" i="3"/>
  <c r="X22" i="3"/>
  <c r="W21" i="3"/>
  <c r="X31" i="3"/>
  <c r="AM30" i="3" s="1"/>
  <c r="AZ10" i="3"/>
  <c r="BB10" i="3"/>
  <c r="BC10" i="3" s="1"/>
  <c r="BA19" i="3"/>
  <c r="BB19" i="3"/>
  <c r="AX19" i="3"/>
  <c r="AY19" i="3"/>
  <c r="AZ19" i="3"/>
  <c r="AZ30" i="3"/>
  <c r="W25" i="3"/>
  <c r="W10" i="3"/>
  <c r="BA15" i="3"/>
  <c r="BB15" i="3"/>
  <c r="AX15" i="3"/>
  <c r="AZ15" i="3"/>
  <c r="AY15" i="3"/>
  <c r="X7" i="3"/>
  <c r="AM6" i="3" s="1"/>
  <c r="Y35" i="3"/>
  <c r="AY34" i="3" s="1"/>
  <c r="W33" i="3"/>
  <c r="W30" i="3"/>
  <c r="BB31" i="3"/>
  <c r="BA31" i="3"/>
  <c r="AX31" i="3"/>
  <c r="AY31" i="3"/>
  <c r="AZ31" i="3"/>
  <c r="W5" i="3"/>
  <c r="X26" i="3"/>
  <c r="CN519" i="11" l="1"/>
  <c r="BW571" i="11"/>
  <c r="CP571" i="11" s="1"/>
  <c r="BU597" i="11"/>
  <c r="CC545" i="11"/>
  <c r="CA545" i="11"/>
  <c r="BY545" i="11"/>
  <c r="CI545" i="11"/>
  <c r="CG545" i="11"/>
  <c r="CK545" i="11"/>
  <c r="CB545" i="11"/>
  <c r="CD545" i="11"/>
  <c r="BX545" i="11"/>
  <c r="BZ545" i="11"/>
  <c r="CJ545" i="11"/>
  <c r="CL545" i="11"/>
  <c r="CE545" i="11"/>
  <c r="CF545" i="11"/>
  <c r="CH545" i="11"/>
  <c r="CM545" i="11"/>
  <c r="BW543" i="11"/>
  <c r="BU569" i="11"/>
  <c r="CL517" i="11"/>
  <c r="CK517" i="11"/>
  <c r="CD517" i="11"/>
  <c r="CH517" i="11"/>
  <c r="CB517" i="11"/>
  <c r="BY517" i="11"/>
  <c r="CC517" i="11"/>
  <c r="CF517" i="11"/>
  <c r="BZ517" i="11"/>
  <c r="CI517" i="11"/>
  <c r="CM517" i="11"/>
  <c r="CA517" i="11"/>
  <c r="CG517" i="11"/>
  <c r="BX517" i="11"/>
  <c r="CJ517" i="11"/>
  <c r="CE517" i="11"/>
  <c r="CP517" i="11"/>
  <c r="CN491" i="11"/>
  <c r="BT417" i="11"/>
  <c r="CP416" i="11"/>
  <c r="BT384" i="11"/>
  <c r="CP383" i="11"/>
  <c r="CP298" i="11"/>
  <c r="BT299" i="11"/>
  <c r="AX6" i="3"/>
  <c r="BT169" i="11"/>
  <c r="CP168" i="11"/>
  <c r="BT14" i="11"/>
  <c r="CP13" i="11"/>
  <c r="BT366" i="11"/>
  <c r="CP366" i="11" s="1"/>
  <c r="CP365" i="11"/>
  <c r="BT117" i="11"/>
  <c r="CP116" i="11"/>
  <c r="BT65" i="11"/>
  <c r="CP64" i="11"/>
  <c r="BT143" i="11"/>
  <c r="CP142" i="11"/>
  <c r="BT221" i="11"/>
  <c r="CP220" i="11"/>
  <c r="BT39" i="11"/>
  <c r="CP38" i="11"/>
  <c r="BT196" i="11"/>
  <c r="CP195" i="11"/>
  <c r="BT275" i="11"/>
  <c r="CP274" i="11"/>
  <c r="BT247" i="11"/>
  <c r="CP246" i="11"/>
  <c r="BT91" i="11"/>
  <c r="CP90" i="11"/>
  <c r="CP671" i="11"/>
  <c r="BU697" i="11"/>
  <c r="CP548" i="11"/>
  <c r="BU574" i="11"/>
  <c r="BU747" i="11"/>
  <c r="CP532" i="11"/>
  <c r="BU558" i="11"/>
  <c r="BU705" i="11"/>
  <c r="BU683" i="11"/>
  <c r="BV605" i="11"/>
  <c r="CP579" i="11"/>
  <c r="BV633" i="11"/>
  <c r="CP607" i="11"/>
  <c r="BV621" i="11"/>
  <c r="CP512" i="11"/>
  <c r="BU538" i="11"/>
  <c r="BV617" i="11"/>
  <c r="CP591" i="11"/>
  <c r="BV641" i="11"/>
  <c r="CP615" i="11"/>
  <c r="BV613" i="11"/>
  <c r="CP587" i="11"/>
  <c r="CP520" i="11"/>
  <c r="BU546" i="11"/>
  <c r="CP528" i="11"/>
  <c r="BU554" i="11"/>
  <c r="CP504" i="11"/>
  <c r="BU530" i="11"/>
  <c r="CP663" i="11"/>
  <c r="BU689" i="11"/>
  <c r="CP544" i="11"/>
  <c r="BU570" i="11"/>
  <c r="BU685" i="11"/>
  <c r="BU719" i="11"/>
  <c r="BU739" i="11"/>
  <c r="CP500" i="11"/>
  <c r="BU526" i="11"/>
  <c r="BU691" i="11"/>
  <c r="CP655" i="11"/>
  <c r="BU681" i="11"/>
  <c r="CP540" i="11"/>
  <c r="BU566" i="11"/>
  <c r="CP516" i="11"/>
  <c r="BU542" i="11"/>
  <c r="CP508" i="11"/>
  <c r="BU534" i="11"/>
  <c r="BU781" i="11"/>
  <c r="CP524" i="11"/>
  <c r="BU550" i="11"/>
  <c r="BV651" i="11"/>
  <c r="CP625" i="11"/>
  <c r="BV601" i="11"/>
  <c r="CP575" i="11"/>
  <c r="BV609" i="11"/>
  <c r="CP583" i="11"/>
  <c r="BV597" i="11"/>
  <c r="CP536" i="11"/>
  <c r="BU562" i="11"/>
  <c r="BB7" i="3"/>
  <c r="X19" i="3"/>
  <c r="AM18" i="3" s="1"/>
  <c r="AY7" i="3"/>
  <c r="BA6" i="3"/>
  <c r="BC6" i="3" s="1"/>
  <c r="AX7" i="3"/>
  <c r="AZ6" i="3"/>
  <c r="AZ7" i="3"/>
  <c r="BA7" i="3"/>
  <c r="AY6" i="3"/>
  <c r="BD14" i="3"/>
  <c r="AZ34" i="3"/>
  <c r="AY26" i="3"/>
  <c r="BD18" i="3"/>
  <c r="AN10" i="3"/>
  <c r="BD10" i="3"/>
  <c r="BC30" i="3"/>
  <c r="AN29" i="3"/>
  <c r="AX22" i="3"/>
  <c r="AY22" i="3"/>
  <c r="BB22" i="3"/>
  <c r="BC22" i="3" s="1"/>
  <c r="AN14" i="3"/>
  <c r="AN13" i="3"/>
  <c r="AL14" i="3"/>
  <c r="AP14" i="3"/>
  <c r="AQ14" i="3" s="1"/>
  <c r="AM14" i="3"/>
  <c r="AZ22" i="3"/>
  <c r="AP29" i="3"/>
  <c r="AL30" i="3"/>
  <c r="AR30" i="3" s="1"/>
  <c r="AN30" i="3"/>
  <c r="AP30" i="3"/>
  <c r="AO30" i="3"/>
  <c r="BD31" i="3"/>
  <c r="AO29" i="3"/>
  <c r="BA26" i="3"/>
  <c r="BD15" i="3"/>
  <c r="AL6" i="3"/>
  <c r="AR6" i="3" s="1"/>
  <c r="AP6" i="3"/>
  <c r="AX34" i="3"/>
  <c r="BD34" i="3" s="1"/>
  <c r="BB34" i="3"/>
  <c r="AN6" i="3"/>
  <c r="AO6" i="3"/>
  <c r="W31" i="3"/>
  <c r="AC30" i="3" s="1"/>
  <c r="BC31" i="3"/>
  <c r="W34" i="3"/>
  <c r="BA35" i="3"/>
  <c r="BB35" i="3"/>
  <c r="AX35" i="3"/>
  <c r="AZ35" i="3"/>
  <c r="AY35" i="3"/>
  <c r="W26" i="3"/>
  <c r="BC19" i="3"/>
  <c r="X23" i="3"/>
  <c r="AN22" i="3" s="1"/>
  <c r="W19" i="3"/>
  <c r="AB16" i="3" s="1"/>
  <c r="X35" i="3"/>
  <c r="AN34" i="3" s="1"/>
  <c r="BD11" i="3"/>
  <c r="AS11" i="3"/>
  <c r="AO11" i="3"/>
  <c r="AT11" i="3"/>
  <c r="AV11" i="3"/>
  <c r="AP11" i="3"/>
  <c r="AM11" i="3"/>
  <c r="AL11" i="3"/>
  <c r="AN11" i="3"/>
  <c r="AM9" i="3"/>
  <c r="AL9" i="3"/>
  <c r="AO9" i="3"/>
  <c r="AN9" i="3"/>
  <c r="AL10" i="3"/>
  <c r="X27" i="3"/>
  <c r="AP26" i="3" s="1"/>
  <c r="BA27" i="3"/>
  <c r="BB27" i="3"/>
  <c r="AZ27" i="3"/>
  <c r="AX27" i="3"/>
  <c r="AY27" i="3"/>
  <c r="BC11" i="3"/>
  <c r="AP9" i="3"/>
  <c r="AM10" i="3"/>
  <c r="AP10" i="3"/>
  <c r="AQ10" i="3" s="1"/>
  <c r="W6" i="3"/>
  <c r="BA34" i="3"/>
  <c r="AO7" i="3"/>
  <c r="AP7" i="3"/>
  <c r="AN7" i="3"/>
  <c r="AL7" i="3"/>
  <c r="AM7" i="3"/>
  <c r="AL5" i="3"/>
  <c r="AO5" i="3"/>
  <c r="AN5" i="3"/>
  <c r="AP5" i="3"/>
  <c r="AM5" i="3"/>
  <c r="BC15" i="3"/>
  <c r="W11" i="3"/>
  <c r="Z8" i="3" s="1"/>
  <c r="BD19" i="3"/>
  <c r="AT31" i="3"/>
  <c r="AP31" i="3"/>
  <c r="AS31" i="3"/>
  <c r="AV31" i="3"/>
  <c r="AO31" i="3"/>
  <c r="AL31" i="3"/>
  <c r="AN31" i="3"/>
  <c r="AM31" i="3"/>
  <c r="AM29" i="3"/>
  <c r="AL29" i="3"/>
  <c r="W22" i="3"/>
  <c r="AX26" i="3"/>
  <c r="BB26" i="3"/>
  <c r="W15" i="3"/>
  <c r="AA14" i="3" s="1"/>
  <c r="AS15" i="3"/>
  <c r="AO15" i="3"/>
  <c r="AV15" i="3"/>
  <c r="AT15" i="3"/>
  <c r="AP15" i="3"/>
  <c r="AN15" i="3"/>
  <c r="AM15" i="3"/>
  <c r="AL15" i="3"/>
  <c r="AO13" i="3"/>
  <c r="AL13" i="3"/>
  <c r="AM13" i="3"/>
  <c r="AP13" i="3"/>
  <c r="BA23" i="3"/>
  <c r="BB23" i="3"/>
  <c r="AX23" i="3"/>
  <c r="AZ23" i="3"/>
  <c r="AY23" i="3"/>
  <c r="CN545" i="11" l="1"/>
  <c r="CN517" i="11"/>
  <c r="BW597" i="11"/>
  <c r="BU623" i="11"/>
  <c r="CJ571" i="11"/>
  <c r="CC571" i="11"/>
  <c r="CE571" i="11"/>
  <c r="CK571" i="11"/>
  <c r="CA571" i="11"/>
  <c r="CF571" i="11"/>
  <c r="CI571" i="11"/>
  <c r="BX571" i="11"/>
  <c r="BY571" i="11"/>
  <c r="BZ571" i="11"/>
  <c r="CL571" i="11"/>
  <c r="CB571" i="11"/>
  <c r="CH571" i="11"/>
  <c r="CG571" i="11"/>
  <c r="CD571" i="11"/>
  <c r="CM571" i="11"/>
  <c r="BW569" i="11"/>
  <c r="BU595" i="11"/>
  <c r="CK543" i="11"/>
  <c r="CE543" i="11"/>
  <c r="CJ543" i="11"/>
  <c r="BY543" i="11"/>
  <c r="CH543" i="11"/>
  <c r="CG543" i="11"/>
  <c r="BX543" i="11"/>
  <c r="BZ543" i="11"/>
  <c r="CD543" i="11"/>
  <c r="CM543" i="11"/>
  <c r="CC543" i="11"/>
  <c r="CA543" i="11"/>
  <c r="CI543" i="11"/>
  <c r="CF543" i="11"/>
  <c r="CL543" i="11"/>
  <c r="CB543" i="11"/>
  <c r="CP543" i="11"/>
  <c r="BT418" i="11"/>
  <c r="CP418" i="11" s="1"/>
  <c r="CP417" i="11"/>
  <c r="CP299" i="11"/>
  <c r="BT300" i="11"/>
  <c r="BT385" i="11"/>
  <c r="CP384" i="11"/>
  <c r="BD6" i="3"/>
  <c r="BC7" i="3"/>
  <c r="BT248" i="11"/>
  <c r="CP247" i="11"/>
  <c r="BT197" i="11"/>
  <c r="CP196" i="11"/>
  <c r="BT222" i="11"/>
  <c r="CP221" i="11"/>
  <c r="CP65" i="11"/>
  <c r="BT66" i="11"/>
  <c r="BT118" i="11"/>
  <c r="CP117" i="11"/>
  <c r="BT15" i="11"/>
  <c r="CP14" i="11"/>
  <c r="BT92" i="11"/>
  <c r="CP91" i="11"/>
  <c r="BT276" i="11"/>
  <c r="CP275" i="11"/>
  <c r="CP39" i="11"/>
  <c r="BT40" i="11"/>
  <c r="CP143" i="11"/>
  <c r="BT144" i="11"/>
  <c r="BT170" i="11"/>
  <c r="CP169" i="11"/>
  <c r="AP18" i="3"/>
  <c r="AP19" i="3"/>
  <c r="AL19" i="3"/>
  <c r="AM17" i="3"/>
  <c r="AP17" i="3"/>
  <c r="AO19" i="3"/>
  <c r="AL18" i="3"/>
  <c r="AR18" i="3" s="1"/>
  <c r="AM19" i="3"/>
  <c r="CP562" i="11"/>
  <c r="BU588" i="11"/>
  <c r="BU568" i="11"/>
  <c r="CP542" i="11"/>
  <c r="CP681" i="11"/>
  <c r="BU707" i="11"/>
  <c r="CP526" i="11"/>
  <c r="BU552" i="11"/>
  <c r="BU745" i="11"/>
  <c r="CP570" i="11"/>
  <c r="BU596" i="11"/>
  <c r="CP530" i="11"/>
  <c r="BU556" i="11"/>
  <c r="CP546" i="11"/>
  <c r="BU572" i="11"/>
  <c r="CP538" i="11"/>
  <c r="BU564" i="11"/>
  <c r="BU709" i="11"/>
  <c r="CP574" i="11"/>
  <c r="BU600" i="11"/>
  <c r="BV635" i="11"/>
  <c r="CP609" i="11"/>
  <c r="BV677" i="11"/>
  <c r="CP651" i="11"/>
  <c r="BU807" i="11"/>
  <c r="BV667" i="11"/>
  <c r="CP641" i="11"/>
  <c r="BV659" i="11"/>
  <c r="CP633" i="11"/>
  <c r="CP550" i="11"/>
  <c r="BU576" i="11"/>
  <c r="CP534" i="11"/>
  <c r="BU560" i="11"/>
  <c r="CP566" i="11"/>
  <c r="BU592" i="11"/>
  <c r="BU717" i="11"/>
  <c r="BU765" i="11"/>
  <c r="BU711" i="11"/>
  <c r="CP689" i="11"/>
  <c r="BU715" i="11"/>
  <c r="CP554" i="11"/>
  <c r="BU580" i="11"/>
  <c r="BU731" i="11"/>
  <c r="CP558" i="11"/>
  <c r="BU584" i="11"/>
  <c r="BU773" i="11"/>
  <c r="CP697" i="11"/>
  <c r="BU723" i="11"/>
  <c r="BV623" i="11"/>
  <c r="CP597" i="11"/>
  <c r="BV627" i="11"/>
  <c r="CP601" i="11"/>
  <c r="BV639" i="11"/>
  <c r="CP613" i="11"/>
  <c r="BV643" i="11"/>
  <c r="CP617" i="11"/>
  <c r="BV647" i="11"/>
  <c r="BV631" i="11"/>
  <c r="CP605" i="11"/>
  <c r="AO18" i="3"/>
  <c r="AQ18" i="3" s="1"/>
  <c r="AN17" i="3"/>
  <c r="AO17" i="3"/>
  <c r="AV19" i="3"/>
  <c r="AS19" i="3"/>
  <c r="AN18" i="3"/>
  <c r="AL17" i="3"/>
  <c r="AN19" i="3"/>
  <c r="AT19" i="3"/>
  <c r="BD7" i="3"/>
  <c r="AO21" i="3"/>
  <c r="BD26" i="3"/>
  <c r="AR5" i="3"/>
  <c r="AB10" i="3"/>
  <c r="BD22" i="3"/>
  <c r="BC34" i="3"/>
  <c r="Z28" i="3"/>
  <c r="AA29" i="3"/>
  <c r="AQ30" i="3"/>
  <c r="AR14" i="3"/>
  <c r="AC29" i="3"/>
  <c r="AA28" i="3"/>
  <c r="AB28" i="3"/>
  <c r="AD29" i="3"/>
  <c r="AB29" i="3"/>
  <c r="AO22" i="3"/>
  <c r="AB30" i="3"/>
  <c r="AQ29" i="3"/>
  <c r="AM33" i="3"/>
  <c r="AD28" i="3"/>
  <c r="AQ6" i="3"/>
  <c r="AB8" i="3"/>
  <c r="AR10" i="3"/>
  <c r="Z16" i="3"/>
  <c r="AL22" i="3"/>
  <c r="AA18" i="3"/>
  <c r="AM22" i="3"/>
  <c r="AP22" i="3"/>
  <c r="AC17" i="3"/>
  <c r="BC26" i="3"/>
  <c r="AD17" i="3"/>
  <c r="AM26" i="3"/>
  <c r="AA12" i="3"/>
  <c r="AQ7" i="3"/>
  <c r="AA30" i="3"/>
  <c r="AP33" i="3"/>
  <c r="AO34" i="3"/>
  <c r="AC10" i="3"/>
  <c r="AL26" i="3"/>
  <c r="Z30" i="3"/>
  <c r="AC14" i="3"/>
  <c r="AQ13" i="3"/>
  <c r="AU15" i="3"/>
  <c r="BC23" i="3"/>
  <c r="Z10" i="3"/>
  <c r="AR11" i="3"/>
  <c r="AC16" i="3"/>
  <c r="Z18" i="3"/>
  <c r="AC8" i="3"/>
  <c r="AU31" i="3"/>
  <c r="AA8" i="3"/>
  <c r="AF8" i="3" s="1"/>
  <c r="AA10" i="3"/>
  <c r="AD10" i="3"/>
  <c r="AU11" i="3"/>
  <c r="AA16" i="3"/>
  <c r="AD18" i="3"/>
  <c r="AC18" i="3"/>
  <c r="BD35" i="3"/>
  <c r="BD27" i="3"/>
  <c r="AR29" i="3"/>
  <c r="AQ31" i="3"/>
  <c r="AQ5" i="3"/>
  <c r="W7" i="3"/>
  <c r="AC4" i="3" s="1"/>
  <c r="AL25" i="3"/>
  <c r="AN26" i="3"/>
  <c r="AO26" i="3"/>
  <c r="AQ26" i="3" s="1"/>
  <c r="AL34" i="3"/>
  <c r="AC19" i="3"/>
  <c r="AD19" i="3"/>
  <c r="AA19" i="3"/>
  <c r="Z19" i="3"/>
  <c r="AB19" i="3"/>
  <c r="AB17" i="3"/>
  <c r="Z17" i="3"/>
  <c r="AA17" i="3"/>
  <c r="W27" i="3"/>
  <c r="AC26" i="3" s="1"/>
  <c r="W35" i="3"/>
  <c r="AB32" i="3" s="1"/>
  <c r="AM25" i="3"/>
  <c r="BD23" i="3"/>
  <c r="AB14" i="3"/>
  <c r="AR13" i="3"/>
  <c r="AR15" i="3"/>
  <c r="Z14" i="3"/>
  <c r="AF14" i="3" s="1"/>
  <c r="AD14" i="3"/>
  <c r="W23" i="3"/>
  <c r="Z22" i="3" s="1"/>
  <c r="AR31" i="3"/>
  <c r="AC11" i="3"/>
  <c r="AD11" i="3"/>
  <c r="AB11" i="3"/>
  <c r="AA11" i="3"/>
  <c r="Z11" i="3"/>
  <c r="AC9" i="3"/>
  <c r="Z9" i="3"/>
  <c r="AD8" i="3"/>
  <c r="AD9" i="3"/>
  <c r="AA9" i="3"/>
  <c r="AB9" i="3"/>
  <c r="BC27" i="3"/>
  <c r="AQ9" i="3"/>
  <c r="AM34" i="3"/>
  <c r="AP34" i="3"/>
  <c r="AD16" i="3"/>
  <c r="AB18" i="3"/>
  <c r="AS23" i="3"/>
  <c r="AO23" i="3"/>
  <c r="AV23" i="3"/>
  <c r="AT23" i="3"/>
  <c r="AP23" i="3"/>
  <c r="AL23" i="3"/>
  <c r="AN23" i="3"/>
  <c r="AM23" i="3"/>
  <c r="AN21" i="3"/>
  <c r="AP21" i="3"/>
  <c r="AM21" i="3"/>
  <c r="AL21" i="3"/>
  <c r="BC35" i="3"/>
  <c r="AC28" i="3"/>
  <c r="AD30" i="3"/>
  <c r="AE30" i="3" s="1"/>
  <c r="AQ15" i="3"/>
  <c r="AC12" i="3"/>
  <c r="AR7" i="3"/>
  <c r="AO27" i="3"/>
  <c r="AP27" i="3"/>
  <c r="AN27" i="3"/>
  <c r="AL27" i="3"/>
  <c r="AM27" i="3"/>
  <c r="AN25" i="3"/>
  <c r="AP25" i="3"/>
  <c r="AQ11" i="3"/>
  <c r="AC15" i="3"/>
  <c r="AD15" i="3"/>
  <c r="AB15" i="3"/>
  <c r="AA15" i="3"/>
  <c r="Z15" i="3"/>
  <c r="AB13" i="3"/>
  <c r="AB12" i="3"/>
  <c r="AA13" i="3"/>
  <c r="AD12" i="3"/>
  <c r="Z13" i="3"/>
  <c r="AC13" i="3"/>
  <c r="AD13" i="3"/>
  <c r="Z12" i="3"/>
  <c r="AR9" i="3"/>
  <c r="AS9" i="3" s="1"/>
  <c r="AS35" i="3"/>
  <c r="AO35" i="3"/>
  <c r="AV35" i="3"/>
  <c r="AT35" i="3"/>
  <c r="AP35" i="3"/>
  <c r="AL35" i="3"/>
  <c r="AN35" i="3"/>
  <c r="AM35" i="3"/>
  <c r="AL33" i="3"/>
  <c r="AO33" i="3"/>
  <c r="AN33" i="3"/>
  <c r="AD31" i="3"/>
  <c r="AC31" i="3"/>
  <c r="Z31" i="3"/>
  <c r="AA31" i="3"/>
  <c r="AB31" i="3"/>
  <c r="Z29" i="3"/>
  <c r="AO25" i="3"/>
  <c r="AQ17" i="3" l="1"/>
  <c r="CN571" i="11"/>
  <c r="BW623" i="11"/>
  <c r="CP623" i="11" s="1"/>
  <c r="BU649" i="11"/>
  <c r="CI597" i="11"/>
  <c r="BZ597" i="11"/>
  <c r="CH597" i="11"/>
  <c r="CK597" i="11"/>
  <c r="CL597" i="11"/>
  <c r="CJ597" i="11"/>
  <c r="CG597" i="11"/>
  <c r="CF597" i="11"/>
  <c r="BX597" i="11"/>
  <c r="CC597" i="11"/>
  <c r="CA597" i="11"/>
  <c r="CE597" i="11"/>
  <c r="CB597" i="11"/>
  <c r="BY597" i="11"/>
  <c r="CD597" i="11"/>
  <c r="CM597" i="11"/>
  <c r="BW595" i="11"/>
  <c r="BU621" i="11"/>
  <c r="CN543" i="11"/>
  <c r="CE569" i="11"/>
  <c r="BY569" i="11"/>
  <c r="CK569" i="11"/>
  <c r="CD569" i="11"/>
  <c r="CM569" i="11"/>
  <c r="CI569" i="11"/>
  <c r="CA569" i="11"/>
  <c r="CB569" i="11"/>
  <c r="BZ569" i="11"/>
  <c r="CL569" i="11"/>
  <c r="BX569" i="11"/>
  <c r="CJ569" i="11"/>
  <c r="CG569" i="11"/>
  <c r="CC569" i="11"/>
  <c r="CH569" i="11"/>
  <c r="CF569" i="11"/>
  <c r="CP569" i="11"/>
  <c r="CP300" i="11"/>
  <c r="BT301" i="11"/>
  <c r="BT386" i="11"/>
  <c r="CP385" i="11"/>
  <c r="AQ19" i="3"/>
  <c r="AR19" i="3"/>
  <c r="AS5" i="3"/>
  <c r="AS7" i="3"/>
  <c r="AR17" i="3"/>
  <c r="BT145" i="11"/>
  <c r="CP144" i="11"/>
  <c r="CP66" i="11"/>
  <c r="BT67" i="11"/>
  <c r="BT171" i="11"/>
  <c r="CP170" i="11"/>
  <c r="BT277" i="11"/>
  <c r="CP276" i="11"/>
  <c r="BT16" i="11"/>
  <c r="CP15" i="11"/>
  <c r="BT198" i="11"/>
  <c r="CP197" i="11"/>
  <c r="BT41" i="11"/>
  <c r="CP40" i="11"/>
  <c r="BT93" i="11"/>
  <c r="CP92" i="11"/>
  <c r="CP118" i="11"/>
  <c r="BT119" i="11"/>
  <c r="BT223" i="11"/>
  <c r="CP222" i="11"/>
  <c r="BT249" i="11"/>
  <c r="CP248" i="11"/>
  <c r="AQ21" i="3"/>
  <c r="CP723" i="11"/>
  <c r="BU749" i="11"/>
  <c r="CP584" i="11"/>
  <c r="BU610" i="11"/>
  <c r="CP580" i="11"/>
  <c r="BU606" i="11"/>
  <c r="BU737" i="11"/>
  <c r="BU743" i="11"/>
  <c r="CP560" i="11"/>
  <c r="BU586" i="11"/>
  <c r="BU735" i="11"/>
  <c r="CP572" i="11"/>
  <c r="BU598" i="11"/>
  <c r="BU622" i="11"/>
  <c r="CP596" i="11"/>
  <c r="CP552" i="11"/>
  <c r="BU578" i="11"/>
  <c r="BV657" i="11"/>
  <c r="CP631" i="11"/>
  <c r="BV669" i="11"/>
  <c r="CP643" i="11"/>
  <c r="BV653" i="11"/>
  <c r="CP627" i="11"/>
  <c r="BV685" i="11"/>
  <c r="CP659" i="11"/>
  <c r="BV661" i="11"/>
  <c r="CP635" i="11"/>
  <c r="CP568" i="11"/>
  <c r="BU594" i="11"/>
  <c r="BU757" i="11"/>
  <c r="CP715" i="11"/>
  <c r="BU741" i="11"/>
  <c r="BU791" i="11"/>
  <c r="CP592" i="11"/>
  <c r="BU618" i="11"/>
  <c r="CP576" i="11"/>
  <c r="BU602" i="11"/>
  <c r="BU626" i="11"/>
  <c r="CP600" i="11"/>
  <c r="CP564" i="11"/>
  <c r="BU590" i="11"/>
  <c r="CP556" i="11"/>
  <c r="BU582" i="11"/>
  <c r="BU771" i="11"/>
  <c r="CP707" i="11"/>
  <c r="BU733" i="11"/>
  <c r="CP588" i="11"/>
  <c r="BU614" i="11"/>
  <c r="BV673" i="11"/>
  <c r="BV665" i="11"/>
  <c r="CP639" i="11"/>
  <c r="BV649" i="11"/>
  <c r="BU799" i="11"/>
  <c r="BV693" i="11"/>
  <c r="CP667" i="11"/>
  <c r="BV703" i="11"/>
  <c r="CP677" i="11"/>
  <c r="AU19" i="3"/>
  <c r="AE29" i="3"/>
  <c r="AS10" i="3"/>
  <c r="AT9" i="3" s="1"/>
  <c r="AU9" i="3" s="1"/>
  <c r="AR33" i="3"/>
  <c r="AQ22" i="3"/>
  <c r="AF29" i="3"/>
  <c r="AF10" i="3"/>
  <c r="AE28" i="3"/>
  <c r="AS29" i="3"/>
  <c r="AS30" i="3"/>
  <c r="AS6" i="3"/>
  <c r="AF28" i="3"/>
  <c r="AQ33" i="3"/>
  <c r="AF16" i="3"/>
  <c r="AD25" i="3"/>
  <c r="AR34" i="3"/>
  <c r="AE14" i="3"/>
  <c r="AD5" i="3"/>
  <c r="AB5" i="3"/>
  <c r="AR26" i="3"/>
  <c r="AC25" i="3"/>
  <c r="AQ34" i="3"/>
  <c r="AR22" i="3"/>
  <c r="AB4" i="3"/>
  <c r="AE8" i="3"/>
  <c r="Z6" i="3"/>
  <c r="AE18" i="3"/>
  <c r="AE17" i="3"/>
  <c r="Z4" i="3"/>
  <c r="AA6" i="3"/>
  <c r="AF30" i="3"/>
  <c r="AF12" i="3"/>
  <c r="AD32" i="3"/>
  <c r="AD4" i="3"/>
  <c r="AE4" i="3" s="1"/>
  <c r="AB6" i="3"/>
  <c r="AD6" i="3"/>
  <c r="AA33" i="3"/>
  <c r="AD24" i="3"/>
  <c r="AQ25" i="3"/>
  <c r="AA4" i="3"/>
  <c r="AE16" i="3"/>
  <c r="AE10" i="3"/>
  <c r="AS14" i="3"/>
  <c r="AB34" i="3"/>
  <c r="AF18" i="3"/>
  <c r="AA22" i="3"/>
  <c r="AF22" i="3" s="1"/>
  <c r="AD20" i="3"/>
  <c r="AC20" i="3"/>
  <c r="AB20" i="3"/>
  <c r="AC22" i="3"/>
  <c r="AC34" i="3"/>
  <c r="AF17" i="3"/>
  <c r="AQ35" i="3"/>
  <c r="AF13" i="3"/>
  <c r="AR27" i="3"/>
  <c r="AR25" i="3"/>
  <c r="AR35" i="3"/>
  <c r="AE13" i="3"/>
  <c r="AE15" i="3"/>
  <c r="AR23" i="3"/>
  <c r="Z20" i="3"/>
  <c r="AB22" i="3"/>
  <c r="AB24" i="3"/>
  <c r="AA26" i="3"/>
  <c r="Z24" i="3"/>
  <c r="AB26" i="3"/>
  <c r="AD26" i="3"/>
  <c r="AE26" i="3" s="1"/>
  <c r="AF15" i="3"/>
  <c r="AE12" i="3"/>
  <c r="AF9" i="3"/>
  <c r="AD22" i="3"/>
  <c r="AC24" i="3"/>
  <c r="Z26" i="3"/>
  <c r="AR21" i="3"/>
  <c r="AS21" i="3" s="1"/>
  <c r="AF11" i="3"/>
  <c r="AC35" i="3"/>
  <c r="AD35" i="3"/>
  <c r="AB35" i="3"/>
  <c r="AA35" i="3"/>
  <c r="Z35" i="3"/>
  <c r="AC32" i="3"/>
  <c r="AD33" i="3"/>
  <c r="AB33" i="3"/>
  <c r="AC33" i="3"/>
  <c r="Z33" i="3"/>
  <c r="AA32" i="3"/>
  <c r="AF19" i="3"/>
  <c r="AE19" i="3"/>
  <c r="AE31" i="3"/>
  <c r="AU35" i="3"/>
  <c r="AQ23" i="3"/>
  <c r="AE11" i="3"/>
  <c r="AA20" i="3"/>
  <c r="AS13" i="3"/>
  <c r="Z34" i="3"/>
  <c r="AC27" i="3"/>
  <c r="AD27" i="3"/>
  <c r="AA27" i="3"/>
  <c r="Z27" i="3"/>
  <c r="AB27" i="3"/>
  <c r="Z25" i="3"/>
  <c r="AB25" i="3"/>
  <c r="AA24" i="3"/>
  <c r="AA25" i="3"/>
  <c r="AC7" i="3"/>
  <c r="AD7" i="3"/>
  <c r="AA7" i="3"/>
  <c r="Z7" i="3"/>
  <c r="AB7" i="3"/>
  <c r="Z5" i="3"/>
  <c r="AC5" i="3"/>
  <c r="AA5" i="3"/>
  <c r="AF31" i="3"/>
  <c r="AQ27" i="3"/>
  <c r="AU23" i="3"/>
  <c r="AE9" i="3"/>
  <c r="AC23" i="3"/>
  <c r="AD23" i="3"/>
  <c r="AA23" i="3"/>
  <c r="Z23" i="3"/>
  <c r="AB23" i="3"/>
  <c r="AA21" i="3"/>
  <c r="AC21" i="3"/>
  <c r="AB21" i="3"/>
  <c r="Z21" i="3"/>
  <c r="AD21" i="3"/>
  <c r="Z32" i="3"/>
  <c r="AA34" i="3"/>
  <c r="AD34" i="3"/>
  <c r="AC6" i="3"/>
  <c r="CN597" i="11" l="1"/>
  <c r="BW649" i="11"/>
  <c r="BU675" i="11"/>
  <c r="CE623" i="11"/>
  <c r="BZ623" i="11"/>
  <c r="CJ623" i="11"/>
  <c r="CI623" i="11"/>
  <c r="CG623" i="11"/>
  <c r="CK623" i="11"/>
  <c r="CC623" i="11"/>
  <c r="CF623" i="11"/>
  <c r="CD623" i="11"/>
  <c r="CA623" i="11"/>
  <c r="CM623" i="11"/>
  <c r="CB623" i="11"/>
  <c r="BY623" i="11"/>
  <c r="CH623" i="11"/>
  <c r="BX623" i="11"/>
  <c r="CL623" i="11"/>
  <c r="CN569" i="11"/>
  <c r="BW621" i="11"/>
  <c r="BU647" i="11"/>
  <c r="CH595" i="11"/>
  <c r="BZ595" i="11"/>
  <c r="CI595" i="11"/>
  <c r="CG595" i="11"/>
  <c r="CF595" i="11"/>
  <c r="BX595" i="11"/>
  <c r="CB595" i="11"/>
  <c r="BY595" i="11"/>
  <c r="CM595" i="11"/>
  <c r="CC595" i="11"/>
  <c r="CA595" i="11"/>
  <c r="CE595" i="11"/>
  <c r="CD595" i="11"/>
  <c r="CK595" i="11"/>
  <c r="CL595" i="11"/>
  <c r="CJ595" i="11"/>
  <c r="CP595" i="11"/>
  <c r="BT302" i="11"/>
  <c r="CP301" i="11"/>
  <c r="BT387" i="11"/>
  <c r="CP386" i="11"/>
  <c r="AT5" i="3"/>
  <c r="AU5" i="3" s="1"/>
  <c r="AS25" i="3"/>
  <c r="AS22" i="3"/>
  <c r="AT21" i="3" s="1"/>
  <c r="AU21" i="3" s="1"/>
  <c r="AS27" i="3"/>
  <c r="AS17" i="3"/>
  <c r="AT14" i="3"/>
  <c r="AU14" i="3" s="1"/>
  <c r="AS18" i="3"/>
  <c r="AT7" i="3"/>
  <c r="AU7" i="3" s="1"/>
  <c r="AV7" i="3" s="1"/>
  <c r="BT120" i="11"/>
  <c r="CP119" i="11"/>
  <c r="BT68" i="11"/>
  <c r="CP67" i="11"/>
  <c r="BT250" i="11"/>
  <c r="CP249" i="11"/>
  <c r="BT199" i="11"/>
  <c r="CP198" i="11"/>
  <c r="BT278" i="11"/>
  <c r="CP277" i="11"/>
  <c r="BT224" i="11"/>
  <c r="CP223" i="11"/>
  <c r="BT94" i="11"/>
  <c r="CP93" i="11"/>
  <c r="BT42" i="11"/>
  <c r="CP41" i="11"/>
  <c r="BT17" i="11"/>
  <c r="CP16" i="11"/>
  <c r="BT172" i="11"/>
  <c r="CP171" i="11"/>
  <c r="BT146" i="11"/>
  <c r="CP145" i="11"/>
  <c r="BV719" i="11"/>
  <c r="CP693" i="11"/>
  <c r="BV675" i="11"/>
  <c r="CP649" i="11"/>
  <c r="BV699" i="11"/>
  <c r="BV687" i="11"/>
  <c r="CP661" i="11"/>
  <c r="BV679" i="11"/>
  <c r="CP653" i="11"/>
  <c r="BV683" i="11"/>
  <c r="CP657" i="11"/>
  <c r="CP622" i="11"/>
  <c r="BU648" i="11"/>
  <c r="CP586" i="11"/>
  <c r="BU612" i="11"/>
  <c r="BU763" i="11"/>
  <c r="CP610" i="11"/>
  <c r="BU636" i="11"/>
  <c r="BU825" i="11"/>
  <c r="CP614" i="11"/>
  <c r="BU640" i="11"/>
  <c r="BU797" i="11"/>
  <c r="CP590" i="11"/>
  <c r="BU616" i="11"/>
  <c r="CP618" i="11"/>
  <c r="BU644" i="11"/>
  <c r="CP741" i="11"/>
  <c r="BU767" i="11"/>
  <c r="CP594" i="11"/>
  <c r="BU620" i="11"/>
  <c r="CP578" i="11"/>
  <c r="BU604" i="11"/>
  <c r="CP598" i="11"/>
  <c r="BU624" i="11"/>
  <c r="BV729" i="11"/>
  <c r="CP703" i="11"/>
  <c r="BV691" i="11"/>
  <c r="CP665" i="11"/>
  <c r="CP626" i="11"/>
  <c r="BU652" i="11"/>
  <c r="BV711" i="11"/>
  <c r="CP685" i="11"/>
  <c r="BV695" i="11"/>
  <c r="CP669" i="11"/>
  <c r="BU769" i="11"/>
  <c r="CP606" i="11"/>
  <c r="BU632" i="11"/>
  <c r="CP749" i="11"/>
  <c r="BU775" i="11"/>
  <c r="CP733" i="11"/>
  <c r="BU759" i="11"/>
  <c r="CP582" i="11"/>
  <c r="BU608" i="11"/>
  <c r="CP602" i="11"/>
  <c r="BU628" i="11"/>
  <c r="BU817" i="11"/>
  <c r="BU783" i="11"/>
  <c r="BU761" i="11"/>
  <c r="AF6" i="3"/>
  <c r="AG31" i="3"/>
  <c r="AG10" i="3"/>
  <c r="AG15" i="3"/>
  <c r="AT10" i="3"/>
  <c r="AU10" i="3" s="1"/>
  <c r="AG11" i="3"/>
  <c r="AG30" i="3"/>
  <c r="AG16" i="3"/>
  <c r="AG17" i="3"/>
  <c r="AG18" i="3"/>
  <c r="AG19" i="3"/>
  <c r="AG14" i="3"/>
  <c r="AT30" i="3"/>
  <c r="AU30" i="3" s="1"/>
  <c r="AT29" i="3"/>
  <c r="AU29" i="3" s="1"/>
  <c r="AT6" i="3"/>
  <c r="AU6" i="3" s="1"/>
  <c r="AG12" i="3"/>
  <c r="AG13" i="3"/>
  <c r="AS26" i="3"/>
  <c r="AG9" i="3"/>
  <c r="AG8" i="3"/>
  <c r="AG28" i="3"/>
  <c r="AG29" i="3"/>
  <c r="AS34" i="3"/>
  <c r="AS33" i="3"/>
  <c r="AF25" i="3"/>
  <c r="AE5" i="3"/>
  <c r="AF33" i="3"/>
  <c r="AE32" i="3"/>
  <c r="AF20" i="3"/>
  <c r="AE25" i="3"/>
  <c r="AE27" i="3"/>
  <c r="AF4" i="3"/>
  <c r="AE6" i="3"/>
  <c r="AF24" i="3"/>
  <c r="AE24" i="3"/>
  <c r="AF34" i="3"/>
  <c r="AE20" i="3"/>
  <c r="AE34" i="3"/>
  <c r="AE22" i="3"/>
  <c r="AE21" i="3"/>
  <c r="AF23" i="3"/>
  <c r="AE23" i="3"/>
  <c r="AF27" i="3"/>
  <c r="AF7" i="3"/>
  <c r="AF26" i="3"/>
  <c r="AF21" i="3"/>
  <c r="AE7" i="3"/>
  <c r="AF35" i="3"/>
  <c r="AF32" i="3"/>
  <c r="AE35" i="3"/>
  <c r="AT13" i="3"/>
  <c r="AU13" i="3" s="1"/>
  <c r="AF5" i="3"/>
  <c r="AE33" i="3"/>
  <c r="CN623" i="11" l="1"/>
  <c r="BW675" i="11"/>
  <c r="BU701" i="11"/>
  <c r="CJ649" i="11"/>
  <c r="BX649" i="11"/>
  <c r="CF649" i="11"/>
  <c r="BZ649" i="11"/>
  <c r="CB649" i="11"/>
  <c r="CM649" i="11"/>
  <c r="CD649" i="11"/>
  <c r="CL649" i="11"/>
  <c r="CG649" i="11"/>
  <c r="CH649" i="11"/>
  <c r="CK649" i="11"/>
  <c r="CC649" i="11"/>
  <c r="BY649" i="11"/>
  <c r="CI649" i="11"/>
  <c r="CA649" i="11"/>
  <c r="CE649" i="11"/>
  <c r="BW647" i="11"/>
  <c r="BU673" i="11"/>
  <c r="CA621" i="11"/>
  <c r="CL621" i="11"/>
  <c r="BZ621" i="11"/>
  <c r="CI621" i="11"/>
  <c r="BY621" i="11"/>
  <c r="CE621" i="11"/>
  <c r="CJ621" i="11"/>
  <c r="CC621" i="11"/>
  <c r="CD621" i="11"/>
  <c r="CF621" i="11"/>
  <c r="CH621" i="11"/>
  <c r="CB621" i="11"/>
  <c r="CM621" i="11"/>
  <c r="CK621" i="11"/>
  <c r="BX621" i="11"/>
  <c r="CG621" i="11"/>
  <c r="CP621" i="11"/>
  <c r="CN595" i="11"/>
  <c r="BT388" i="11"/>
  <c r="CP387" i="11"/>
  <c r="BT303" i="11"/>
  <c r="CP302" i="11"/>
  <c r="AV21" i="3"/>
  <c r="AT22" i="3"/>
  <c r="AU22" i="3" s="1"/>
  <c r="AV22" i="3" s="1"/>
  <c r="AT27" i="3"/>
  <c r="AU27" i="3" s="1"/>
  <c r="AV27" i="3" s="1"/>
  <c r="AT18" i="3"/>
  <c r="AU18" i="3" s="1"/>
  <c r="AT17" i="3"/>
  <c r="AU17" i="3" s="1"/>
  <c r="CP146" i="11"/>
  <c r="BT147" i="11"/>
  <c r="BT18" i="11"/>
  <c r="CP17" i="11"/>
  <c r="BT95" i="11"/>
  <c r="CP94" i="11"/>
  <c r="BT279" i="11"/>
  <c r="CP278" i="11"/>
  <c r="BT69" i="11"/>
  <c r="CP68" i="11"/>
  <c r="BT173" i="11"/>
  <c r="CP172" i="11"/>
  <c r="BT43" i="11"/>
  <c r="CP42" i="11"/>
  <c r="BT225" i="11"/>
  <c r="CP224" i="11"/>
  <c r="BT200" i="11"/>
  <c r="CP199" i="11"/>
  <c r="BT251" i="11"/>
  <c r="CP250" i="11"/>
  <c r="BT121" i="11"/>
  <c r="CP120" i="11"/>
  <c r="CP604" i="11"/>
  <c r="BU630" i="11"/>
  <c r="CP640" i="11"/>
  <c r="BU666" i="11"/>
  <c r="BV737" i="11"/>
  <c r="CP711" i="11"/>
  <c r="BV717" i="11"/>
  <c r="CP691" i="11"/>
  <c r="BV709" i="11"/>
  <c r="CP683" i="11"/>
  <c r="BV713" i="11"/>
  <c r="CP687" i="11"/>
  <c r="BV701" i="11"/>
  <c r="CP675" i="11"/>
  <c r="BU787" i="11"/>
  <c r="CP759" i="11"/>
  <c r="BU785" i="11"/>
  <c r="CP632" i="11"/>
  <c r="BU658" i="11"/>
  <c r="CP652" i="11"/>
  <c r="BU678" i="11"/>
  <c r="CP624" i="11"/>
  <c r="BU650" i="11"/>
  <c r="CP620" i="11"/>
  <c r="BU646" i="11"/>
  <c r="CP644" i="11"/>
  <c r="BU670" i="11"/>
  <c r="BU789" i="11"/>
  <c r="CP648" i="11"/>
  <c r="BU674" i="11"/>
  <c r="BU809" i="11"/>
  <c r="CP628" i="11"/>
  <c r="BU654" i="11"/>
  <c r="CP608" i="11"/>
  <c r="BU634" i="11"/>
  <c r="CP775" i="11"/>
  <c r="BU801" i="11"/>
  <c r="BU795" i="11"/>
  <c r="BU793" i="11"/>
  <c r="CP767" i="11"/>
  <c r="CP616" i="11"/>
  <c r="BU642" i="11"/>
  <c r="CP636" i="11"/>
  <c r="BU662" i="11"/>
  <c r="CP612" i="11"/>
  <c r="BU638" i="11"/>
  <c r="BV721" i="11"/>
  <c r="CP695" i="11"/>
  <c r="BV755" i="11"/>
  <c r="CP729" i="11"/>
  <c r="BU823" i="11"/>
  <c r="BV705" i="11"/>
  <c r="CP679" i="11"/>
  <c r="BV725" i="11"/>
  <c r="BV745" i="11"/>
  <c r="CP719" i="11"/>
  <c r="AV10" i="3"/>
  <c r="AV9" i="3"/>
  <c r="AG23" i="3"/>
  <c r="AG32" i="3"/>
  <c r="AG33" i="3"/>
  <c r="AG34" i="3"/>
  <c r="AG35" i="3"/>
  <c r="AG22" i="3"/>
  <c r="AG7" i="3"/>
  <c r="AG6" i="3"/>
  <c r="AH30" i="3"/>
  <c r="AI30" i="3" s="1"/>
  <c r="AH31" i="3"/>
  <c r="AI31" i="3" s="1"/>
  <c r="AH10" i="3"/>
  <c r="AI10" i="3" s="1"/>
  <c r="AH11" i="3"/>
  <c r="AI11" i="3" s="1"/>
  <c r="AH16" i="3"/>
  <c r="AH17" i="3"/>
  <c r="AI17" i="3" s="1"/>
  <c r="AH18" i="3"/>
  <c r="AI18" i="3" s="1"/>
  <c r="AH19" i="3"/>
  <c r="AV30" i="3"/>
  <c r="AH14" i="3"/>
  <c r="AI14" i="3" s="1"/>
  <c r="AH15" i="3"/>
  <c r="AI15" i="3" s="1"/>
  <c r="AV29" i="3"/>
  <c r="AV6" i="3"/>
  <c r="AV5" i="3"/>
  <c r="AH12" i="3"/>
  <c r="AI12" i="3" s="1"/>
  <c r="AH13" i="3"/>
  <c r="AI13" i="3" s="1"/>
  <c r="AT26" i="3"/>
  <c r="AU26" i="3" s="1"/>
  <c r="AT25" i="3"/>
  <c r="AU25" i="3" s="1"/>
  <c r="AT33" i="3"/>
  <c r="AU33" i="3" s="1"/>
  <c r="AT34" i="3"/>
  <c r="AU34" i="3" s="1"/>
  <c r="AH8" i="3"/>
  <c r="AH9" i="3"/>
  <c r="AI9" i="3" s="1"/>
  <c r="AG24" i="3"/>
  <c r="AG25" i="3"/>
  <c r="AG26" i="3"/>
  <c r="AG27" i="3"/>
  <c r="AH28" i="3"/>
  <c r="AI28" i="3" s="1"/>
  <c r="AH29" i="3"/>
  <c r="AI29" i="3" s="1"/>
  <c r="AG20" i="3"/>
  <c r="AG21" i="3"/>
  <c r="AV13" i="3"/>
  <c r="AV14" i="3"/>
  <c r="AG4" i="3"/>
  <c r="AG5" i="3"/>
  <c r="CN649" i="11" l="1"/>
  <c r="CN621" i="11"/>
  <c r="BW701" i="11"/>
  <c r="BU727" i="11"/>
  <c r="CG675" i="11"/>
  <c r="CC675" i="11"/>
  <c r="BY675" i="11"/>
  <c r="CI675" i="11"/>
  <c r="CK675" i="11"/>
  <c r="CA675" i="11"/>
  <c r="BX675" i="11"/>
  <c r="BZ675" i="11"/>
  <c r="CJ675" i="11"/>
  <c r="CL675" i="11"/>
  <c r="CE675" i="11"/>
  <c r="CF675" i="11"/>
  <c r="CH675" i="11"/>
  <c r="CM675" i="11"/>
  <c r="CB675" i="11"/>
  <c r="CD675" i="11"/>
  <c r="BW673" i="11"/>
  <c r="BU699" i="11"/>
  <c r="CH647" i="11"/>
  <c r="CL647" i="11"/>
  <c r="CM647" i="11"/>
  <c r="CC647" i="11"/>
  <c r="CG647" i="11"/>
  <c r="BX647" i="11"/>
  <c r="CK647" i="11"/>
  <c r="CJ647" i="11"/>
  <c r="CF647" i="11"/>
  <c r="CE647" i="11"/>
  <c r="BZ647" i="11"/>
  <c r="BY647" i="11"/>
  <c r="CI647" i="11"/>
  <c r="CA647" i="11"/>
  <c r="CB647" i="11"/>
  <c r="CD647" i="11"/>
  <c r="CP647" i="11"/>
  <c r="BT304" i="11"/>
  <c r="CP303" i="11"/>
  <c r="BT389" i="11"/>
  <c r="CP388" i="11"/>
  <c r="AV18" i="3"/>
  <c r="AV17" i="3"/>
  <c r="AI16" i="3"/>
  <c r="BE18" i="3"/>
  <c r="BE19" i="3"/>
  <c r="BT122" i="11"/>
  <c r="CP121" i="11"/>
  <c r="BT201" i="11"/>
  <c r="CP200" i="11"/>
  <c r="BT44" i="11"/>
  <c r="CP43" i="11"/>
  <c r="BT70" i="11"/>
  <c r="CP69" i="11"/>
  <c r="BT280" i="11"/>
  <c r="CP279" i="11"/>
  <c r="BT19" i="11"/>
  <c r="CP18" i="11"/>
  <c r="BT148" i="11"/>
  <c r="CP147" i="11"/>
  <c r="BT252" i="11"/>
  <c r="CP251" i="11"/>
  <c r="BT226" i="11"/>
  <c r="CP225" i="11"/>
  <c r="BT174" i="11"/>
  <c r="CP173" i="11"/>
  <c r="BT96" i="11"/>
  <c r="CP95" i="11"/>
  <c r="CP646" i="11"/>
  <c r="BU672" i="11"/>
  <c r="CP678" i="11"/>
  <c r="BU704" i="11"/>
  <c r="CP785" i="11"/>
  <c r="BU811" i="11"/>
  <c r="CP811" i="11" s="1"/>
  <c r="BV743" i="11"/>
  <c r="CP717" i="11"/>
  <c r="CP638" i="11"/>
  <c r="BU664" i="11"/>
  <c r="CP642" i="11"/>
  <c r="BU668" i="11"/>
  <c r="CP634" i="11"/>
  <c r="BU660" i="11"/>
  <c r="BU815" i="11"/>
  <c r="BV739" i="11"/>
  <c r="CP713" i="11"/>
  <c r="CP666" i="11"/>
  <c r="BU692" i="11"/>
  <c r="BV771" i="11"/>
  <c r="CP745" i="11"/>
  <c r="BV731" i="11"/>
  <c r="CP705" i="11"/>
  <c r="BV781" i="11"/>
  <c r="CP755" i="11"/>
  <c r="CP662" i="11"/>
  <c r="BU688" i="11"/>
  <c r="CP801" i="11"/>
  <c r="BU827" i="11"/>
  <c r="CP827" i="11" s="1"/>
  <c r="CP654" i="11"/>
  <c r="BU680" i="11"/>
  <c r="CP674" i="11"/>
  <c r="BU700" i="11"/>
  <c r="BV727" i="11"/>
  <c r="CP701" i="11"/>
  <c r="BV735" i="11"/>
  <c r="CP709" i="11"/>
  <c r="CP630" i="11"/>
  <c r="BU656" i="11"/>
  <c r="BV751" i="11"/>
  <c r="BV747" i="11"/>
  <c r="CP721" i="11"/>
  <c r="BU821" i="11"/>
  <c r="CP793" i="11"/>
  <c r="BU819" i="11"/>
  <c r="CP819" i="11" s="1"/>
  <c r="CP670" i="11"/>
  <c r="BU696" i="11"/>
  <c r="CP650" i="11"/>
  <c r="BU676" i="11"/>
  <c r="CP658" i="11"/>
  <c r="BU684" i="11"/>
  <c r="BU813" i="11"/>
  <c r="BV763" i="11"/>
  <c r="CP737" i="11"/>
  <c r="AH6" i="3"/>
  <c r="AI6" i="3" s="1"/>
  <c r="AH7" i="3"/>
  <c r="AI7" i="3" s="1"/>
  <c r="AJ30" i="3"/>
  <c r="AK30" i="3" s="1"/>
  <c r="AW30" i="3" s="1"/>
  <c r="AJ31" i="3"/>
  <c r="AK31" i="3" s="1"/>
  <c r="AW31" i="3" s="1"/>
  <c r="AH20" i="3"/>
  <c r="AI20" i="3" s="1"/>
  <c r="AI19" i="3"/>
  <c r="AH32" i="3"/>
  <c r="AH33" i="3"/>
  <c r="AI33" i="3" s="1"/>
  <c r="AH34" i="3"/>
  <c r="AI34" i="3" s="1"/>
  <c r="AH35" i="3"/>
  <c r="AI35" i="3" s="1"/>
  <c r="AV25" i="3"/>
  <c r="AH22" i="3"/>
  <c r="AI22" i="3" s="1"/>
  <c r="AH23" i="3"/>
  <c r="AI23" i="3" s="1"/>
  <c r="AJ14" i="3"/>
  <c r="AK14" i="3" s="1"/>
  <c r="AW14" i="3" s="1"/>
  <c r="AJ15" i="3"/>
  <c r="AK15" i="3" s="1"/>
  <c r="AW15" i="3" s="1"/>
  <c r="AJ12" i="3"/>
  <c r="AK12" i="3" s="1"/>
  <c r="AJ13" i="3"/>
  <c r="AK13" i="3" s="1"/>
  <c r="AW13" i="3" s="1"/>
  <c r="BI13" i="3" s="1"/>
  <c r="AV26" i="3"/>
  <c r="BE14" i="3"/>
  <c r="BE15" i="3"/>
  <c r="AH21" i="3"/>
  <c r="AI21" i="3" s="1"/>
  <c r="AV33" i="3"/>
  <c r="BE10" i="3"/>
  <c r="BE11" i="3"/>
  <c r="AJ28" i="3"/>
  <c r="AK28" i="3" s="1"/>
  <c r="AW28" i="3" s="1"/>
  <c r="BI28" i="3" s="1"/>
  <c r="AJ29" i="3"/>
  <c r="AK29" i="3" s="1"/>
  <c r="AW29" i="3" s="1"/>
  <c r="BI29" i="3" s="1"/>
  <c r="AV34" i="3"/>
  <c r="BE30" i="3"/>
  <c r="BE31" i="3"/>
  <c r="AH24" i="3"/>
  <c r="AH25" i="3"/>
  <c r="AI25" i="3" s="1"/>
  <c r="AH26" i="3"/>
  <c r="AI26" i="3" s="1"/>
  <c r="AH27" i="3"/>
  <c r="AI27" i="3" s="1"/>
  <c r="AI8" i="3"/>
  <c r="AH4" i="3"/>
  <c r="AH5" i="3"/>
  <c r="AI5" i="3" s="1"/>
  <c r="BW727" i="11" l="1"/>
  <c r="BU753" i="11"/>
  <c r="CN675" i="11"/>
  <c r="CE701" i="11"/>
  <c r="CB701" i="11"/>
  <c r="CI701" i="11"/>
  <c r="CM701" i="11"/>
  <c r="BX701" i="11"/>
  <c r="CG701" i="11"/>
  <c r="CH701" i="11"/>
  <c r="CF701" i="11"/>
  <c r="CC701" i="11"/>
  <c r="BY701" i="11"/>
  <c r="CD701" i="11"/>
  <c r="CA701" i="11"/>
  <c r="BZ701" i="11"/>
  <c r="CL701" i="11"/>
  <c r="CK701" i="11"/>
  <c r="CJ701" i="11"/>
  <c r="CN647" i="11"/>
  <c r="BW699" i="11"/>
  <c r="BU725" i="11"/>
  <c r="CK673" i="11"/>
  <c r="CG673" i="11"/>
  <c r="BY673" i="11"/>
  <c r="CC673" i="11"/>
  <c r="CF673" i="11"/>
  <c r="CH673" i="11"/>
  <c r="CM673" i="11"/>
  <c r="BZ673" i="11"/>
  <c r="CB673" i="11"/>
  <c r="CD673" i="11"/>
  <c r="BX673" i="11"/>
  <c r="CA673" i="11"/>
  <c r="CE673" i="11"/>
  <c r="CI673" i="11"/>
  <c r="CJ673" i="11"/>
  <c r="CL673" i="11"/>
  <c r="CP673" i="11"/>
  <c r="BT390" i="11"/>
  <c r="CP389" i="11"/>
  <c r="BT305" i="11"/>
  <c r="CP304" i="11"/>
  <c r="BE22" i="3"/>
  <c r="BF19" i="3"/>
  <c r="BG19" i="3" s="1"/>
  <c r="BH19" i="3" s="1"/>
  <c r="BF18" i="3"/>
  <c r="BG18" i="3" s="1"/>
  <c r="BT97" i="11"/>
  <c r="CP96" i="11"/>
  <c r="BT175" i="11"/>
  <c r="CP174" i="11"/>
  <c r="BT253" i="11"/>
  <c r="CP252" i="11"/>
  <c r="BT20" i="11"/>
  <c r="CP19" i="11"/>
  <c r="BT71" i="11"/>
  <c r="CP70" i="11"/>
  <c r="BT202" i="11"/>
  <c r="CP201" i="11"/>
  <c r="BT227" i="11"/>
  <c r="CP226" i="11"/>
  <c r="BT149" i="11"/>
  <c r="CP148" i="11"/>
  <c r="BT281" i="11"/>
  <c r="CP280" i="11"/>
  <c r="BT45" i="11"/>
  <c r="CP44" i="11"/>
  <c r="BT123" i="11"/>
  <c r="CP122" i="11"/>
  <c r="BV761" i="11"/>
  <c r="CP735" i="11"/>
  <c r="BV797" i="11"/>
  <c r="CP771" i="11"/>
  <c r="CP656" i="11"/>
  <c r="BU682" i="11"/>
  <c r="CP680" i="11"/>
  <c r="BU706" i="11"/>
  <c r="CP688" i="11"/>
  <c r="BU714" i="11"/>
  <c r="CP692" i="11"/>
  <c r="BU718" i="11"/>
  <c r="CP668" i="11"/>
  <c r="BU694" i="11"/>
  <c r="CP704" i="11"/>
  <c r="BU730" i="11"/>
  <c r="CP676" i="11"/>
  <c r="BU702" i="11"/>
  <c r="BV777" i="11"/>
  <c r="BV807" i="11"/>
  <c r="CP807" i="11" s="1"/>
  <c r="CP781" i="11"/>
  <c r="BV765" i="11"/>
  <c r="CP739" i="11"/>
  <c r="CP684" i="11"/>
  <c r="BU710" i="11"/>
  <c r="CP696" i="11"/>
  <c r="BU722" i="11"/>
  <c r="BV773" i="11"/>
  <c r="CP747" i="11"/>
  <c r="BV753" i="11"/>
  <c r="CP727" i="11"/>
  <c r="BV757" i="11"/>
  <c r="CP731" i="11"/>
  <c r="BV769" i="11"/>
  <c r="CP743" i="11"/>
  <c r="BV789" i="11"/>
  <c r="CP763" i="11"/>
  <c r="CP700" i="11"/>
  <c r="BU726" i="11"/>
  <c r="CP660" i="11"/>
  <c r="BU686" i="11"/>
  <c r="CP664" i="11"/>
  <c r="BU690" i="11"/>
  <c r="CP672" i="11"/>
  <c r="BU698" i="11"/>
  <c r="AI4" i="3"/>
  <c r="AJ6" i="3" s="1"/>
  <c r="AK6" i="3" s="1"/>
  <c r="AW6" i="3" s="1"/>
  <c r="BE6" i="3"/>
  <c r="BE7" i="3"/>
  <c r="BF7" i="3" s="1"/>
  <c r="BG7" i="3" s="1"/>
  <c r="AI32" i="3"/>
  <c r="AJ32" i="3" s="1"/>
  <c r="AK32" i="3" s="1"/>
  <c r="AW32" i="3" s="1"/>
  <c r="BI32" i="3" s="1"/>
  <c r="BE34" i="3"/>
  <c r="BE35" i="3"/>
  <c r="AW12" i="3"/>
  <c r="BI12" i="3" s="1"/>
  <c r="AJ34" i="3"/>
  <c r="AK34" i="3" s="1"/>
  <c r="AW34" i="3" s="1"/>
  <c r="AJ16" i="3"/>
  <c r="AK16" i="3" s="1"/>
  <c r="AW16" i="3" s="1"/>
  <c r="BI16" i="3" s="1"/>
  <c r="AJ10" i="3"/>
  <c r="AK10" i="3" s="1"/>
  <c r="AW10" i="3" s="1"/>
  <c r="AJ11" i="3"/>
  <c r="AK11" i="3" s="1"/>
  <c r="AW11" i="3" s="1"/>
  <c r="AJ17" i="3"/>
  <c r="AK17" i="3" s="1"/>
  <c r="AW17" i="3" s="1"/>
  <c r="BI17" i="3" s="1"/>
  <c r="AJ19" i="3"/>
  <c r="AK19" i="3" s="1"/>
  <c r="AW19" i="3" s="1"/>
  <c r="AJ18" i="3"/>
  <c r="AK18" i="3" s="1"/>
  <c r="AW18" i="3" s="1"/>
  <c r="AJ22" i="3"/>
  <c r="AK22" i="3" s="1"/>
  <c r="AW22" i="3" s="1"/>
  <c r="AJ23" i="3"/>
  <c r="AK23" i="3" s="1"/>
  <c r="AW23" i="3" s="1"/>
  <c r="AI24" i="3"/>
  <c r="AJ24" i="3" s="1"/>
  <c r="BE26" i="3"/>
  <c r="BE27" i="3"/>
  <c r="BF14" i="3"/>
  <c r="BG14" i="3" s="1"/>
  <c r="BF15" i="3"/>
  <c r="BG15" i="3" s="1"/>
  <c r="BE23" i="3"/>
  <c r="BF30" i="3"/>
  <c r="BG30" i="3" s="1"/>
  <c r="BF11" i="3"/>
  <c r="BG11" i="3" s="1"/>
  <c r="BF10" i="3"/>
  <c r="BG10" i="3" s="1"/>
  <c r="AJ8" i="3"/>
  <c r="AK8" i="3" s="1"/>
  <c r="AW8" i="3" s="1"/>
  <c r="BI8" i="3" s="1"/>
  <c r="AJ9" i="3"/>
  <c r="AK9" i="3" s="1"/>
  <c r="AW9" i="3" s="1"/>
  <c r="BI9" i="3" s="1"/>
  <c r="BF31" i="3"/>
  <c r="BG31" i="3" s="1"/>
  <c r="AJ20" i="3"/>
  <c r="AK20" i="3" s="1"/>
  <c r="AW20" i="3" s="1"/>
  <c r="BI20" i="3" s="1"/>
  <c r="AJ21" i="3"/>
  <c r="AK21" i="3" s="1"/>
  <c r="AW21" i="3" s="1"/>
  <c r="BI21" i="3" s="1"/>
  <c r="BF23" i="3"/>
  <c r="BF22" i="3"/>
  <c r="BG22" i="3" l="1"/>
  <c r="CN701" i="11"/>
  <c r="BW753" i="11"/>
  <c r="BU779" i="11"/>
  <c r="BZ727" i="11"/>
  <c r="CJ727" i="11"/>
  <c r="CD727" i="11"/>
  <c r="CE727" i="11"/>
  <c r="CL727" i="11"/>
  <c r="BX727" i="11"/>
  <c r="CI727" i="11"/>
  <c r="CA727" i="11"/>
  <c r="CF727" i="11"/>
  <c r="BY727" i="11"/>
  <c r="CC727" i="11"/>
  <c r="CK727" i="11"/>
  <c r="CB727" i="11"/>
  <c r="CG727" i="11"/>
  <c r="CH727" i="11"/>
  <c r="CM727" i="11"/>
  <c r="BW725" i="11"/>
  <c r="BU751" i="11"/>
  <c r="CN673" i="11"/>
  <c r="CI699" i="11"/>
  <c r="CG699" i="11"/>
  <c r="CA699" i="11"/>
  <c r="CL699" i="11"/>
  <c r="CJ699" i="11"/>
  <c r="CK699" i="11"/>
  <c r="BY699" i="11"/>
  <c r="CF699" i="11"/>
  <c r="CB699" i="11"/>
  <c r="CH699" i="11"/>
  <c r="CE699" i="11"/>
  <c r="BX699" i="11"/>
  <c r="CD699" i="11"/>
  <c r="CM699" i="11"/>
  <c r="BZ699" i="11"/>
  <c r="CC699" i="11"/>
  <c r="CP699" i="11"/>
  <c r="BT391" i="11"/>
  <c r="CP390" i="11"/>
  <c r="BT306" i="11"/>
  <c r="CP305" i="11"/>
  <c r="BI19" i="3"/>
  <c r="BH18" i="3"/>
  <c r="BI18" i="3" s="1"/>
  <c r="BT124" i="11"/>
  <c r="CP123" i="11"/>
  <c r="BT282" i="11"/>
  <c r="CP281" i="11"/>
  <c r="BT228" i="11"/>
  <c r="CP227" i="11"/>
  <c r="BT203" i="11"/>
  <c r="CP202" i="11"/>
  <c r="BT21" i="11"/>
  <c r="CP20" i="11"/>
  <c r="BT176" i="11"/>
  <c r="CP175" i="11"/>
  <c r="BT46" i="11"/>
  <c r="CP45" i="11"/>
  <c r="BT150" i="11"/>
  <c r="CP149" i="11"/>
  <c r="BT72" i="11"/>
  <c r="CP71" i="11"/>
  <c r="BT254" i="11"/>
  <c r="CP253" i="11"/>
  <c r="BT98" i="11"/>
  <c r="CP97" i="11"/>
  <c r="AJ4" i="3"/>
  <c r="AK4" i="3" s="1"/>
  <c r="AW4" i="3" s="1"/>
  <c r="BI4" i="3" s="1"/>
  <c r="CP690" i="11"/>
  <c r="BU716" i="11"/>
  <c r="CP726" i="11"/>
  <c r="BU752" i="11"/>
  <c r="BV783" i="11"/>
  <c r="CP757" i="11"/>
  <c r="BV799" i="11"/>
  <c r="CP773" i="11"/>
  <c r="CP718" i="11"/>
  <c r="BU744" i="11"/>
  <c r="CP706" i="11"/>
  <c r="BU732" i="11"/>
  <c r="CP722" i="11"/>
  <c r="BU748" i="11"/>
  <c r="CP694" i="11"/>
  <c r="BU720" i="11"/>
  <c r="BV823" i="11"/>
  <c r="CP823" i="11" s="1"/>
  <c r="CP797" i="11"/>
  <c r="CP698" i="11"/>
  <c r="BU724" i="11"/>
  <c r="CP686" i="11"/>
  <c r="BU712" i="11"/>
  <c r="BV795" i="11"/>
  <c r="CP769" i="11"/>
  <c r="BV779" i="11"/>
  <c r="CP753" i="11"/>
  <c r="BV791" i="11"/>
  <c r="CP765" i="11"/>
  <c r="BV803" i="11"/>
  <c r="CP714" i="11"/>
  <c r="BU740" i="11"/>
  <c r="CP682" i="11"/>
  <c r="BU708" i="11"/>
  <c r="BV815" i="11"/>
  <c r="CP815" i="11" s="1"/>
  <c r="CP789" i="11"/>
  <c r="CP710" i="11"/>
  <c r="BU736" i="11"/>
  <c r="CP702" i="11"/>
  <c r="BU728" i="11"/>
  <c r="CP730" i="11"/>
  <c r="BU756" i="11"/>
  <c r="BV787" i="11"/>
  <c r="CP761" i="11"/>
  <c r="AJ7" i="3"/>
  <c r="AK7" i="3" s="1"/>
  <c r="AW7" i="3" s="1"/>
  <c r="AJ5" i="3"/>
  <c r="AK5" i="3" s="1"/>
  <c r="AW5" i="3" s="1"/>
  <c r="BI5" i="3" s="1"/>
  <c r="AJ35" i="3"/>
  <c r="AK35" i="3" s="1"/>
  <c r="AW35" i="3" s="1"/>
  <c r="AJ33" i="3"/>
  <c r="AK33" i="3" s="1"/>
  <c r="AW33" i="3" s="1"/>
  <c r="BI33" i="3" s="1"/>
  <c r="BF6" i="3"/>
  <c r="BG6" i="3" s="1"/>
  <c r="BF35" i="3"/>
  <c r="BG35" i="3" s="1"/>
  <c r="BF34" i="3"/>
  <c r="BG34" i="3" s="1"/>
  <c r="AJ27" i="3"/>
  <c r="AK27" i="3" s="1"/>
  <c r="AW27" i="3" s="1"/>
  <c r="BG23" i="3"/>
  <c r="BH23" i="3" s="1"/>
  <c r="AJ25" i="3"/>
  <c r="AK25" i="3" s="1"/>
  <c r="AW25" i="3" s="1"/>
  <c r="BI25" i="3" s="1"/>
  <c r="AJ26" i="3"/>
  <c r="AK26" i="3" s="1"/>
  <c r="AW26" i="3" s="1"/>
  <c r="AK24" i="3"/>
  <c r="AW24" i="3" s="1"/>
  <c r="BI24" i="3" s="1"/>
  <c r="BF26" i="3"/>
  <c r="BG26" i="3" s="1"/>
  <c r="BF27" i="3"/>
  <c r="BG27" i="3" s="1"/>
  <c r="BH15" i="3"/>
  <c r="BI15" i="3" s="1"/>
  <c r="BH14" i="3"/>
  <c r="BI14" i="3" s="1"/>
  <c r="BH11" i="3"/>
  <c r="BI11" i="3" s="1"/>
  <c r="BH31" i="3"/>
  <c r="BI31" i="3" s="1"/>
  <c r="BH30" i="3"/>
  <c r="BI30" i="3" s="1"/>
  <c r="BH10" i="3"/>
  <c r="BI10" i="3" s="1"/>
  <c r="BH22" i="3"/>
  <c r="BI22" i="3" s="1"/>
  <c r="BW779" i="11" l="1"/>
  <c r="BU805" i="11"/>
  <c r="CL753" i="11"/>
  <c r="CG753" i="11"/>
  <c r="BX753" i="11"/>
  <c r="BZ753" i="11"/>
  <c r="CB753" i="11"/>
  <c r="CM753" i="11"/>
  <c r="CI753" i="11"/>
  <c r="CJ753" i="11"/>
  <c r="CC753" i="11"/>
  <c r="BY753" i="11"/>
  <c r="CE753" i="11"/>
  <c r="CF753" i="11"/>
  <c r="CH753" i="11"/>
  <c r="CD753" i="11"/>
  <c r="CK753" i="11"/>
  <c r="CA753" i="11"/>
  <c r="CN727" i="11"/>
  <c r="CN699" i="11"/>
  <c r="BW751" i="11"/>
  <c r="BU777" i="11"/>
  <c r="CD725" i="11"/>
  <c r="CJ725" i="11"/>
  <c r="CE725" i="11"/>
  <c r="CI725" i="11"/>
  <c r="BX725" i="11"/>
  <c r="CA725" i="11"/>
  <c r="CC725" i="11"/>
  <c r="CM725" i="11"/>
  <c r="CK725" i="11"/>
  <c r="CB725" i="11"/>
  <c r="CL725" i="11"/>
  <c r="BY725" i="11"/>
  <c r="CF725" i="11"/>
  <c r="CH725" i="11"/>
  <c r="BZ725" i="11"/>
  <c r="CG725" i="11"/>
  <c r="CP725" i="11"/>
  <c r="BT392" i="11"/>
  <c r="CP392" i="11" s="1"/>
  <c r="CP391" i="11"/>
  <c r="BT307" i="11"/>
  <c r="CP306" i="11"/>
  <c r="BJ17" i="3"/>
  <c r="BK17" i="3" s="1"/>
  <c r="BJ19" i="3"/>
  <c r="BK19" i="3" s="1"/>
  <c r="BJ16" i="3"/>
  <c r="BK16" i="3" s="1"/>
  <c r="BJ18" i="3"/>
  <c r="BK18" i="3" s="1"/>
  <c r="BT99" i="11"/>
  <c r="CP98" i="11"/>
  <c r="BT73" i="11"/>
  <c r="CP72" i="11"/>
  <c r="BT151" i="11"/>
  <c r="CP150" i="11"/>
  <c r="BT177" i="11"/>
  <c r="CP176" i="11"/>
  <c r="BT204" i="11"/>
  <c r="CP203" i="11"/>
  <c r="BT283" i="11"/>
  <c r="CP282" i="11"/>
  <c r="BT255" i="11"/>
  <c r="CP254" i="11"/>
  <c r="BT47" i="11"/>
  <c r="CP46" i="11"/>
  <c r="BT22" i="11"/>
  <c r="CP21" i="11"/>
  <c r="BT229" i="11"/>
  <c r="CP228" i="11"/>
  <c r="BT125" i="11"/>
  <c r="CP124" i="11"/>
  <c r="CP728" i="11"/>
  <c r="BU754" i="11"/>
  <c r="CP740" i="11"/>
  <c r="BU766" i="11"/>
  <c r="CP724" i="11"/>
  <c r="BU750" i="11"/>
  <c r="CP720" i="11"/>
  <c r="BU746" i="11"/>
  <c r="CP732" i="11"/>
  <c r="BU758" i="11"/>
  <c r="CP752" i="11"/>
  <c r="BU778" i="11"/>
  <c r="BV813" i="11"/>
  <c r="CP813" i="11" s="1"/>
  <c r="CP787" i="11"/>
  <c r="BV817" i="11"/>
  <c r="CP817" i="11" s="1"/>
  <c r="CP791" i="11"/>
  <c r="BV821" i="11"/>
  <c r="CP821" i="11" s="1"/>
  <c r="CP795" i="11"/>
  <c r="BV825" i="11"/>
  <c r="CP825" i="11" s="1"/>
  <c r="CP799" i="11"/>
  <c r="CP756" i="11"/>
  <c r="BU782" i="11"/>
  <c r="CP736" i="11"/>
  <c r="BU762" i="11"/>
  <c r="CP708" i="11"/>
  <c r="BU734" i="11"/>
  <c r="CP712" i="11"/>
  <c r="BU738" i="11"/>
  <c r="CP748" i="11"/>
  <c r="BU774" i="11"/>
  <c r="CP744" i="11"/>
  <c r="BU770" i="11"/>
  <c r="CP716" i="11"/>
  <c r="BU742" i="11"/>
  <c r="BV829" i="11"/>
  <c r="BV805" i="11"/>
  <c r="CP779" i="11"/>
  <c r="BV809" i="11"/>
  <c r="CP809" i="11" s="1"/>
  <c r="CP783" i="11"/>
  <c r="BH6" i="3"/>
  <c r="BI6" i="3" s="1"/>
  <c r="BH7" i="3"/>
  <c r="BI7" i="3" s="1"/>
  <c r="BH34" i="3"/>
  <c r="BI34" i="3" s="1"/>
  <c r="BH35" i="3"/>
  <c r="BI35" i="3" s="1"/>
  <c r="BI23" i="3"/>
  <c r="BJ21" i="3" s="1"/>
  <c r="BK21" i="3" s="1"/>
  <c r="BH26" i="3"/>
  <c r="BI26" i="3" s="1"/>
  <c r="BH27" i="3"/>
  <c r="BI27" i="3" s="1"/>
  <c r="BJ14" i="3"/>
  <c r="BK14" i="3" s="1"/>
  <c r="BJ13" i="3"/>
  <c r="BK13" i="3" s="1"/>
  <c r="BJ12" i="3"/>
  <c r="BK12" i="3" s="1"/>
  <c r="BJ15" i="3"/>
  <c r="BK15" i="3" s="1"/>
  <c r="BJ11" i="3"/>
  <c r="BK11" i="3" s="1"/>
  <c r="BJ28" i="3"/>
  <c r="BK28" i="3" s="1"/>
  <c r="BJ29" i="3"/>
  <c r="BK29" i="3" s="1"/>
  <c r="BJ30" i="3"/>
  <c r="BK30" i="3" s="1"/>
  <c r="BJ31" i="3"/>
  <c r="BK31" i="3" s="1"/>
  <c r="BJ10" i="3"/>
  <c r="BK10" i="3" s="1"/>
  <c r="BJ9" i="3"/>
  <c r="BK9" i="3" s="1"/>
  <c r="BJ8" i="3"/>
  <c r="BK8" i="3" s="1"/>
  <c r="Q23" i="2" l="1"/>
  <c r="BW805" i="11"/>
  <c r="CP805" i="11" s="1"/>
  <c r="BU831" i="11"/>
  <c r="BW831" i="11" s="1"/>
  <c r="CN753" i="11"/>
  <c r="CE779" i="11"/>
  <c r="CG779" i="11"/>
  <c r="CI779" i="11"/>
  <c r="BX779" i="11"/>
  <c r="BY779" i="11"/>
  <c r="CM779" i="11"/>
  <c r="CB779" i="11"/>
  <c r="BZ779" i="11"/>
  <c r="CC779" i="11"/>
  <c r="CD779" i="11"/>
  <c r="CA779" i="11"/>
  <c r="CL779" i="11"/>
  <c r="CK779" i="11"/>
  <c r="CJ779" i="11"/>
  <c r="CH779" i="11"/>
  <c r="CF779" i="11"/>
  <c r="CN725" i="11"/>
  <c r="BW777" i="11"/>
  <c r="BU803" i="11"/>
  <c r="CG751" i="11"/>
  <c r="CK751" i="11"/>
  <c r="BY751" i="11"/>
  <c r="CL751" i="11"/>
  <c r="CD751" i="11"/>
  <c r="CA751" i="11"/>
  <c r="BZ751" i="11"/>
  <c r="BX751" i="11"/>
  <c r="CI751" i="11"/>
  <c r="CE751" i="11"/>
  <c r="CJ751" i="11"/>
  <c r="CC751" i="11"/>
  <c r="CF751" i="11"/>
  <c r="CH751" i="11"/>
  <c r="CM751" i="11"/>
  <c r="CB751" i="11"/>
  <c r="CP751" i="11"/>
  <c r="Q24" i="2"/>
  <c r="BT308" i="11"/>
  <c r="CP307" i="11"/>
  <c r="Q26" i="2"/>
  <c r="W26" i="2" s="1"/>
  <c r="Q25" i="2"/>
  <c r="W25" i="2" s="1"/>
  <c r="BT126" i="11"/>
  <c r="CP125" i="11"/>
  <c r="BT23" i="11"/>
  <c r="CP22" i="11"/>
  <c r="BT284" i="11"/>
  <c r="CP283" i="11"/>
  <c r="CP177" i="11"/>
  <c r="BT178" i="11"/>
  <c r="BT74" i="11"/>
  <c r="CP73" i="11"/>
  <c r="BT230" i="11"/>
  <c r="CP229" i="11"/>
  <c r="BT48" i="11"/>
  <c r="CP47" i="11"/>
  <c r="BT256" i="11"/>
  <c r="CP255" i="11"/>
  <c r="BT205" i="11"/>
  <c r="CP204" i="11"/>
  <c r="BT152" i="11"/>
  <c r="CP151" i="11"/>
  <c r="BT100" i="11"/>
  <c r="CP99" i="11"/>
  <c r="CP770" i="11"/>
  <c r="BU796" i="11"/>
  <c r="CP738" i="11"/>
  <c r="BU764" i="11"/>
  <c r="CP762" i="11"/>
  <c r="BU788" i="11"/>
  <c r="CP778" i="11"/>
  <c r="BU804" i="11"/>
  <c r="CP804" i="11" s="1"/>
  <c r="CP746" i="11"/>
  <c r="BU772" i="11"/>
  <c r="CP766" i="11"/>
  <c r="BU792" i="11"/>
  <c r="CP742" i="11"/>
  <c r="BU768" i="11"/>
  <c r="CP774" i="11"/>
  <c r="BU800" i="11"/>
  <c r="CP734" i="11"/>
  <c r="BU760" i="11"/>
  <c r="BU808" i="11"/>
  <c r="CP808" i="11" s="1"/>
  <c r="CP782" i="11"/>
  <c r="CP758" i="11"/>
  <c r="BU784" i="11"/>
  <c r="CP750" i="11"/>
  <c r="BU776" i="11"/>
  <c r="CP754" i="11"/>
  <c r="BU780" i="11"/>
  <c r="BJ4" i="3"/>
  <c r="BK4" i="3" s="1"/>
  <c r="BJ6" i="3"/>
  <c r="BK6" i="3" s="1"/>
  <c r="BJ5" i="3"/>
  <c r="BK5" i="3" s="1"/>
  <c r="BJ7" i="3"/>
  <c r="BK7" i="3" s="1"/>
  <c r="BJ20" i="3"/>
  <c r="BK20" i="3" s="1"/>
  <c r="BJ23" i="3"/>
  <c r="BK23" i="3" s="1"/>
  <c r="BJ35" i="3"/>
  <c r="BK35" i="3" s="1"/>
  <c r="BJ22" i="3"/>
  <c r="BK22" i="3" s="1"/>
  <c r="BJ33" i="3"/>
  <c r="BK33" i="3" s="1"/>
  <c r="BJ34" i="3"/>
  <c r="BK34" i="3" s="1"/>
  <c r="BJ32" i="3"/>
  <c r="BK32" i="3" s="1"/>
  <c r="U24" i="2"/>
  <c r="V24" i="2"/>
  <c r="T24" i="2"/>
  <c r="W24" i="2"/>
  <c r="R24" i="2"/>
  <c r="S24" i="2"/>
  <c r="W23" i="2"/>
  <c r="T23" i="2"/>
  <c r="U23" i="2"/>
  <c r="R23" i="2"/>
  <c r="S23" i="2"/>
  <c r="V23" i="2"/>
  <c r="T25" i="2"/>
  <c r="BJ24" i="3"/>
  <c r="BK24" i="3" s="1"/>
  <c r="BJ26" i="3"/>
  <c r="BK26" i="3" s="1"/>
  <c r="BJ25" i="3"/>
  <c r="BK25" i="3" s="1"/>
  <c r="BJ27" i="3"/>
  <c r="BK27" i="3" s="1"/>
  <c r="Q20" i="2"/>
  <c r="Q17" i="2"/>
  <c r="Q18" i="2"/>
  <c r="Q19" i="2"/>
  <c r="Q42" i="2"/>
  <c r="Q43" i="2"/>
  <c r="S43" i="2" s="1"/>
  <c r="Q12" i="2"/>
  <c r="Q13" i="2"/>
  <c r="Q11" i="2"/>
  <c r="Q14" i="2"/>
  <c r="Q41" i="2"/>
  <c r="Q44" i="2"/>
  <c r="Q30" i="2" l="1"/>
  <c r="T26" i="2"/>
  <c r="S26" i="2"/>
  <c r="CN779" i="11"/>
  <c r="R26" i="2"/>
  <c r="U26" i="2"/>
  <c r="V26" i="2"/>
  <c r="CJ831" i="11"/>
  <c r="BY831" i="11"/>
  <c r="BZ831" i="11"/>
  <c r="CC831" i="11"/>
  <c r="CG831" i="11"/>
  <c r="CH831" i="11"/>
  <c r="CK831" i="11"/>
  <c r="CD831" i="11"/>
  <c r="CL831" i="11"/>
  <c r="CM831" i="11"/>
  <c r="BX831" i="11"/>
  <c r="CA831" i="11"/>
  <c r="CB831" i="11"/>
  <c r="CI831" i="11"/>
  <c r="CE831" i="11"/>
  <c r="CF831" i="11"/>
  <c r="CP831" i="11"/>
  <c r="CG805" i="11"/>
  <c r="CJ805" i="11"/>
  <c r="CB805" i="11"/>
  <c r="BZ805" i="11"/>
  <c r="CE805" i="11"/>
  <c r="CF805" i="11"/>
  <c r="CA805" i="11"/>
  <c r="CL805" i="11"/>
  <c r="CI805" i="11"/>
  <c r="CK805" i="11"/>
  <c r="CM805" i="11"/>
  <c r="CH805" i="11"/>
  <c r="BX805" i="11"/>
  <c r="BY805" i="11"/>
  <c r="CC805" i="11"/>
  <c r="CD805" i="11"/>
  <c r="CN751" i="11"/>
  <c r="BW803" i="11"/>
  <c r="BU829" i="11"/>
  <c r="BW829" i="11" s="1"/>
  <c r="CI777" i="11"/>
  <c r="CA777" i="11"/>
  <c r="CH777" i="11"/>
  <c r="CE777" i="11"/>
  <c r="CM777" i="11"/>
  <c r="BZ777" i="11"/>
  <c r="CC777" i="11"/>
  <c r="CG777" i="11"/>
  <c r="CB777" i="11"/>
  <c r="CD777" i="11"/>
  <c r="BY777" i="11"/>
  <c r="CL777" i="11"/>
  <c r="BX777" i="11"/>
  <c r="CJ777" i="11"/>
  <c r="CK777" i="11"/>
  <c r="CF777" i="11"/>
  <c r="CP777" i="11"/>
  <c r="R25" i="2"/>
  <c r="BY25" i="3" s="1"/>
  <c r="U25" i="2"/>
  <c r="S25" i="2"/>
  <c r="V25" i="2"/>
  <c r="BT309" i="11"/>
  <c r="CP308" i="11"/>
  <c r="BT101" i="11"/>
  <c r="CP100" i="11"/>
  <c r="BT206" i="11"/>
  <c r="CP205" i="11"/>
  <c r="BT49" i="11"/>
  <c r="CP48" i="11"/>
  <c r="BT75" i="11"/>
  <c r="CP74" i="11"/>
  <c r="BT285" i="11"/>
  <c r="CP284" i="11"/>
  <c r="BT24" i="11"/>
  <c r="CP23" i="11"/>
  <c r="BT179" i="11"/>
  <c r="CP178" i="11"/>
  <c r="BT153" i="11"/>
  <c r="CP152" i="11"/>
  <c r="BT257" i="11"/>
  <c r="CP256" i="11"/>
  <c r="BT231" i="11"/>
  <c r="CP230" i="11"/>
  <c r="BT127" i="11"/>
  <c r="CP126" i="11"/>
  <c r="CP776" i="11"/>
  <c r="BU802" i="11"/>
  <c r="CP800" i="11"/>
  <c r="BU826" i="11"/>
  <c r="CP826" i="11" s="1"/>
  <c r="CP792" i="11"/>
  <c r="BU818" i="11"/>
  <c r="CP818" i="11" s="1"/>
  <c r="CP764" i="11"/>
  <c r="BU790" i="11"/>
  <c r="CP780" i="11"/>
  <c r="BU806" i="11"/>
  <c r="CP806" i="11" s="1"/>
  <c r="CP784" i="11"/>
  <c r="BU810" i="11"/>
  <c r="CP810" i="11" s="1"/>
  <c r="CP760" i="11"/>
  <c r="BU786" i="11"/>
  <c r="CP768" i="11"/>
  <c r="BU794" i="11"/>
  <c r="CP772" i="11"/>
  <c r="BU798" i="11"/>
  <c r="CP788" i="11"/>
  <c r="BU814" i="11"/>
  <c r="CP814" i="11" s="1"/>
  <c r="CP796" i="11"/>
  <c r="BU822" i="11"/>
  <c r="CP822" i="11" s="1"/>
  <c r="Q29" i="2"/>
  <c r="W29" i="2" s="1"/>
  <c r="Q5" i="2"/>
  <c r="Q8" i="2"/>
  <c r="Q6" i="2"/>
  <c r="Q7" i="2"/>
  <c r="Q32" i="2"/>
  <c r="T32" i="2" s="1"/>
  <c r="Q31" i="2"/>
  <c r="S31" i="2" s="1"/>
  <c r="T42" i="2"/>
  <c r="Q48" i="2"/>
  <c r="Q47" i="2"/>
  <c r="Q50" i="2"/>
  <c r="Q49" i="2"/>
  <c r="W42" i="2"/>
  <c r="U43" i="2"/>
  <c r="W43" i="2"/>
  <c r="V43" i="2"/>
  <c r="R43" i="2"/>
  <c r="T43" i="2"/>
  <c r="R42" i="2"/>
  <c r="S42" i="2"/>
  <c r="V42" i="2"/>
  <c r="U42" i="2"/>
  <c r="Q37" i="2"/>
  <c r="Q36" i="2"/>
  <c r="Q38" i="2"/>
  <c r="Q35" i="2"/>
  <c r="W19" i="2"/>
  <c r="U19" i="2"/>
  <c r="T19" i="2"/>
  <c r="V19" i="2"/>
  <c r="R19" i="2"/>
  <c r="S19" i="2"/>
  <c r="U18" i="2"/>
  <c r="W18" i="2"/>
  <c r="V18" i="2"/>
  <c r="R18" i="2"/>
  <c r="S18" i="2"/>
  <c r="T18" i="2"/>
  <c r="U17" i="2"/>
  <c r="V17" i="2"/>
  <c r="T17" i="2"/>
  <c r="S17" i="2"/>
  <c r="R17" i="2"/>
  <c r="W17" i="2"/>
  <c r="S20" i="2"/>
  <c r="V20" i="2"/>
  <c r="T20" i="2"/>
  <c r="W20" i="2"/>
  <c r="U20" i="2"/>
  <c r="R20" i="2"/>
  <c r="T41" i="2"/>
  <c r="R41" i="2"/>
  <c r="S41" i="2"/>
  <c r="U41" i="2"/>
  <c r="V41" i="2"/>
  <c r="W41" i="2"/>
  <c r="S12" i="2"/>
  <c r="R12" i="2"/>
  <c r="W12" i="2"/>
  <c r="T12" i="2"/>
  <c r="U12" i="2"/>
  <c r="V12" i="2"/>
  <c r="T14" i="2"/>
  <c r="R14" i="2"/>
  <c r="W14" i="2"/>
  <c r="U14" i="2"/>
  <c r="S14" i="2"/>
  <c r="V14" i="2"/>
  <c r="U11" i="2"/>
  <c r="R11" i="2"/>
  <c r="T11" i="2"/>
  <c r="S11" i="2"/>
  <c r="V11" i="2"/>
  <c r="W11" i="2"/>
  <c r="W44" i="2"/>
  <c r="T44" i="2"/>
  <c r="U44" i="2"/>
  <c r="R44" i="2"/>
  <c r="S44" i="2"/>
  <c r="V44" i="2"/>
  <c r="T13" i="2"/>
  <c r="S13" i="2"/>
  <c r="R13" i="2"/>
  <c r="V13" i="2"/>
  <c r="W13" i="2"/>
  <c r="U13" i="2"/>
  <c r="T30" i="2"/>
  <c r="V30" i="2"/>
  <c r="U30" i="2"/>
  <c r="W30" i="2"/>
  <c r="S30" i="2"/>
  <c r="R30" i="2"/>
  <c r="K61" i="2" l="1"/>
  <c r="F59" i="2"/>
  <c r="F55" i="2"/>
  <c r="K56" i="2"/>
  <c r="F12" i="8" s="1"/>
  <c r="AN2" i="11" s="1"/>
  <c r="F57" i="2"/>
  <c r="K54" i="2"/>
  <c r="K55" i="2"/>
  <c r="F10" i="8" s="1"/>
  <c r="AL2" i="11" s="1"/>
  <c r="F56" i="2"/>
  <c r="F11" i="8" s="1"/>
  <c r="AM2" i="11" s="1"/>
  <c r="CN805" i="11"/>
  <c r="CN831" i="11"/>
  <c r="CN777" i="11"/>
  <c r="CJ829" i="11"/>
  <c r="CG829" i="11"/>
  <c r="CK829" i="11"/>
  <c r="BZ829" i="11"/>
  <c r="CA829" i="11"/>
  <c r="CB829" i="11"/>
  <c r="BY829" i="11"/>
  <c r="CD829" i="11"/>
  <c r="CE829" i="11"/>
  <c r="CF829" i="11"/>
  <c r="CH829" i="11"/>
  <c r="CL829" i="11"/>
  <c r="CM829" i="11"/>
  <c r="BX829" i="11"/>
  <c r="CC829" i="11"/>
  <c r="CI829" i="11"/>
  <c r="CP829" i="11"/>
  <c r="CC803" i="11"/>
  <c r="CE803" i="11"/>
  <c r="CI803" i="11"/>
  <c r="CA803" i="11"/>
  <c r="BX803" i="11"/>
  <c r="CK803" i="11"/>
  <c r="CL803" i="11"/>
  <c r="CB803" i="11"/>
  <c r="CF803" i="11"/>
  <c r="CH803" i="11"/>
  <c r="CG803" i="11"/>
  <c r="BY803" i="11"/>
  <c r="BZ803" i="11"/>
  <c r="CM803" i="11"/>
  <c r="CJ803" i="11"/>
  <c r="CD803" i="11"/>
  <c r="CP803" i="11"/>
  <c r="BT310" i="11"/>
  <c r="CP309" i="11"/>
  <c r="T29" i="2"/>
  <c r="S29" i="2"/>
  <c r="BT128" i="11"/>
  <c r="CP127" i="11"/>
  <c r="BT232" i="11"/>
  <c r="CP231" i="11"/>
  <c r="BT154" i="11"/>
  <c r="CP153" i="11"/>
  <c r="BT25" i="11"/>
  <c r="CP24" i="11"/>
  <c r="BT76" i="11"/>
  <c r="CP75" i="11"/>
  <c r="BT207" i="11"/>
  <c r="CP206" i="11"/>
  <c r="BT258" i="11"/>
  <c r="CP257" i="11"/>
  <c r="BT180" i="11"/>
  <c r="CP179" i="11"/>
  <c r="BT286" i="11"/>
  <c r="CP285" i="11"/>
  <c r="BT50" i="11"/>
  <c r="CP49" i="11"/>
  <c r="BT102" i="11"/>
  <c r="CP101" i="11"/>
  <c r="U29" i="2"/>
  <c r="R29" i="2"/>
  <c r="W32" i="2"/>
  <c r="W31" i="2"/>
  <c r="V29" i="2"/>
  <c r="R32" i="2"/>
  <c r="U32" i="2"/>
  <c r="S32" i="2"/>
  <c r="V32" i="2"/>
  <c r="CP794" i="11"/>
  <c r="BU820" i="11"/>
  <c r="CP820" i="11" s="1"/>
  <c r="BU816" i="11"/>
  <c r="CP816" i="11" s="1"/>
  <c r="CP790" i="11"/>
  <c r="CP798" i="11"/>
  <c r="BU824" i="11"/>
  <c r="CP824" i="11" s="1"/>
  <c r="BU812" i="11"/>
  <c r="CP812" i="11" s="1"/>
  <c r="CP786" i="11"/>
  <c r="CP802" i="11"/>
  <c r="BU828" i="11"/>
  <c r="CP828" i="11" s="1"/>
  <c r="T31" i="2"/>
  <c r="V31" i="2"/>
  <c r="W7" i="2"/>
  <c r="S7" i="2"/>
  <c r="U7" i="2"/>
  <c r="V7" i="2"/>
  <c r="T7" i="2"/>
  <c r="R7" i="2"/>
  <c r="S6" i="2"/>
  <c r="T6" i="2"/>
  <c r="W6" i="2"/>
  <c r="V6" i="2"/>
  <c r="R6" i="2"/>
  <c r="U6" i="2"/>
  <c r="W8" i="2"/>
  <c r="T8" i="2"/>
  <c r="V8" i="2"/>
  <c r="S8" i="2"/>
  <c r="R8" i="2"/>
  <c r="U8" i="2"/>
  <c r="S5" i="2"/>
  <c r="T5" i="2"/>
  <c r="W5" i="2"/>
  <c r="V5" i="2"/>
  <c r="R5" i="2"/>
  <c r="U5" i="2"/>
  <c r="R31" i="2"/>
  <c r="U31" i="2"/>
  <c r="V49" i="2"/>
  <c r="T49" i="2"/>
  <c r="U49" i="2"/>
  <c r="R49" i="2"/>
  <c r="S49" i="2"/>
  <c r="W49" i="2"/>
  <c r="U50" i="2"/>
  <c r="W50" i="2"/>
  <c r="R50" i="2"/>
  <c r="S50" i="2"/>
  <c r="V50" i="2"/>
  <c r="T50" i="2"/>
  <c r="V47" i="2"/>
  <c r="U47" i="2"/>
  <c r="T47" i="2"/>
  <c r="R47" i="2"/>
  <c r="S47" i="2"/>
  <c r="W47" i="2"/>
  <c r="S48" i="2"/>
  <c r="R48" i="2"/>
  <c r="V48" i="2"/>
  <c r="T48" i="2"/>
  <c r="U48" i="2"/>
  <c r="W48" i="2"/>
  <c r="BO57" i="3"/>
  <c r="BQ57" i="3" s="1"/>
  <c r="S36" i="2"/>
  <c r="R36" i="2"/>
  <c r="T36" i="2"/>
  <c r="W36" i="2"/>
  <c r="V36" i="2"/>
  <c r="U36" i="2"/>
  <c r="U37" i="2"/>
  <c r="T37" i="2"/>
  <c r="S37" i="2"/>
  <c r="R37" i="2"/>
  <c r="V37" i="2"/>
  <c r="W37" i="2"/>
  <c r="R35" i="2"/>
  <c r="S35" i="2"/>
  <c r="V35" i="2"/>
  <c r="U35" i="2"/>
  <c r="W35" i="2"/>
  <c r="T35" i="2"/>
  <c r="U38" i="2"/>
  <c r="V38" i="2"/>
  <c r="W38" i="2"/>
  <c r="T38" i="2"/>
  <c r="S38" i="2"/>
  <c r="R38" i="2"/>
  <c r="F9" i="8"/>
  <c r="AK2" i="11" s="1"/>
  <c r="BY19" i="3"/>
  <c r="BY43" i="3"/>
  <c r="F13" i="8"/>
  <c r="AO2" i="11" s="1"/>
  <c r="BY13" i="3"/>
  <c r="F8" i="8"/>
  <c r="AJ2" i="11" s="1"/>
  <c r="AL26" i="11" l="1"/>
  <c r="AL10" i="11"/>
  <c r="AL15" i="11"/>
  <c r="AL23" i="11"/>
  <c r="AL13" i="11"/>
  <c r="AL7" i="11"/>
  <c r="AL11" i="11"/>
  <c r="AL22" i="11"/>
  <c r="AL6" i="11"/>
  <c r="AL9" i="11"/>
  <c r="AL17" i="11"/>
  <c r="AL3" i="11"/>
  <c r="AL27" i="11"/>
  <c r="AL5" i="11"/>
  <c r="AL18" i="11"/>
  <c r="AL25" i="11"/>
  <c r="AL4" i="11"/>
  <c r="AL24" i="11"/>
  <c r="AL28" i="11"/>
  <c r="AL21" i="11"/>
  <c r="AL14" i="11"/>
  <c r="AL20" i="11"/>
  <c r="AL8" i="11"/>
  <c r="AL19" i="11"/>
  <c r="AL12" i="11"/>
  <c r="AL16" i="11"/>
  <c r="F54" i="2"/>
  <c r="K57" i="2"/>
  <c r="K58" i="2"/>
  <c r="F60" i="2"/>
  <c r="K59" i="2"/>
  <c r="F61" i="2"/>
  <c r="K60" i="2"/>
  <c r="F58" i="2"/>
  <c r="AM25" i="11"/>
  <c r="AM9" i="11"/>
  <c r="AM14" i="11"/>
  <c r="AM6" i="11"/>
  <c r="AM12" i="11"/>
  <c r="AM27" i="11"/>
  <c r="AM15" i="11"/>
  <c r="AM22" i="11"/>
  <c r="AM4" i="11"/>
  <c r="AM21" i="11"/>
  <c r="AM5" i="11"/>
  <c r="AM8" i="11"/>
  <c r="AM28" i="11"/>
  <c r="AM7" i="11"/>
  <c r="AM16" i="11"/>
  <c r="AM10" i="11"/>
  <c r="AM13" i="11"/>
  <c r="AM18" i="11"/>
  <c r="AM17" i="11"/>
  <c r="AM24" i="11"/>
  <c r="AM3" i="11"/>
  <c r="AM23" i="11"/>
  <c r="AM11" i="11"/>
  <c r="AM26" i="11"/>
  <c r="AM19" i="11"/>
  <c r="AM20" i="11"/>
  <c r="BO42" i="3"/>
  <c r="BQ42" i="3" s="1"/>
  <c r="CN829" i="11"/>
  <c r="CN803" i="11"/>
  <c r="AN28" i="11"/>
  <c r="AN24" i="11"/>
  <c r="AN20" i="11"/>
  <c r="AN16" i="11"/>
  <c r="AN12" i="11"/>
  <c r="AN8" i="11"/>
  <c r="AN4" i="11"/>
  <c r="AN23" i="11"/>
  <c r="AN18" i="11"/>
  <c r="AN13" i="11"/>
  <c r="AN7" i="11"/>
  <c r="AN21" i="11"/>
  <c r="AN10" i="11"/>
  <c r="AN27" i="11"/>
  <c r="AN22" i="11"/>
  <c r="AN17" i="11"/>
  <c r="AN11" i="11"/>
  <c r="AN6" i="11"/>
  <c r="AN26" i="11"/>
  <c r="AN15" i="11"/>
  <c r="AN5" i="11"/>
  <c r="AN25" i="11"/>
  <c r="AN19" i="11"/>
  <c r="AN14" i="11"/>
  <c r="AN9" i="11"/>
  <c r="AN3" i="11"/>
  <c r="AO27" i="11"/>
  <c r="AO23" i="11"/>
  <c r="AO19" i="11"/>
  <c r="AO15" i="11"/>
  <c r="AO11" i="11"/>
  <c r="AO7" i="11"/>
  <c r="AO3" i="11"/>
  <c r="AO28" i="11"/>
  <c r="AO22" i="11"/>
  <c r="AO17" i="11"/>
  <c r="AO12" i="11"/>
  <c r="AO6" i="11"/>
  <c r="AO20" i="11"/>
  <c r="AO4" i="11"/>
  <c r="AO26" i="11"/>
  <c r="AO21" i="11"/>
  <c r="AO16" i="11"/>
  <c r="AO10" i="11"/>
  <c r="AO5" i="11"/>
  <c r="AO25" i="11"/>
  <c r="AO14" i="11"/>
  <c r="AO9" i="11"/>
  <c r="AO24" i="11"/>
  <c r="AO18" i="11"/>
  <c r="AO13" i="11"/>
  <c r="AO8" i="11"/>
  <c r="AJ28" i="11"/>
  <c r="AJ24" i="11"/>
  <c r="AJ20" i="11"/>
  <c r="AJ16" i="11"/>
  <c r="AJ12" i="11"/>
  <c r="AJ8" i="11"/>
  <c r="AJ4" i="11"/>
  <c r="AJ27" i="11"/>
  <c r="AJ22" i="11"/>
  <c r="AJ17" i="11"/>
  <c r="AJ11" i="11"/>
  <c r="AJ6" i="11"/>
  <c r="AJ25" i="11"/>
  <c r="AJ9" i="11"/>
  <c r="AJ26" i="11"/>
  <c r="AJ21" i="11"/>
  <c r="AJ15" i="11"/>
  <c r="AJ10" i="11"/>
  <c r="AJ5" i="11"/>
  <c r="AJ3" i="11"/>
  <c r="AJ19" i="11"/>
  <c r="AJ14" i="11"/>
  <c r="AJ23" i="11"/>
  <c r="AJ18" i="11"/>
  <c r="AJ13" i="11"/>
  <c r="AJ7" i="11"/>
  <c r="AK27" i="11"/>
  <c r="AK23" i="11"/>
  <c r="AK19" i="11"/>
  <c r="AK15" i="11"/>
  <c r="AK11" i="11"/>
  <c r="AK7" i="11"/>
  <c r="AK3" i="11"/>
  <c r="AK26" i="11"/>
  <c r="AK21" i="11"/>
  <c r="AK16" i="11"/>
  <c r="AK10" i="11"/>
  <c r="AK5" i="11"/>
  <c r="AK24" i="11"/>
  <c r="AK25" i="11"/>
  <c r="AK20" i="11"/>
  <c r="AK14" i="11"/>
  <c r="AK9" i="11"/>
  <c r="AK4" i="11"/>
  <c r="AK18" i="11"/>
  <c r="AK13" i="11"/>
  <c r="AK6" i="11"/>
  <c r="AK8" i="11"/>
  <c r="AK28" i="11"/>
  <c r="AK22" i="11"/>
  <c r="AK17" i="11"/>
  <c r="AK12" i="11"/>
  <c r="BT311" i="11"/>
  <c r="CP310" i="11"/>
  <c r="BY31" i="3"/>
  <c r="BT51" i="11"/>
  <c r="CP50" i="11"/>
  <c r="BT181" i="11"/>
  <c r="CP180" i="11"/>
  <c r="BT208" i="11"/>
  <c r="CP207" i="11"/>
  <c r="BT26" i="11"/>
  <c r="CP25" i="11"/>
  <c r="BT233" i="11"/>
  <c r="CP232" i="11"/>
  <c r="BT103" i="11"/>
  <c r="CP102" i="11"/>
  <c r="BT287" i="11"/>
  <c r="CP286" i="11"/>
  <c r="BT259" i="11"/>
  <c r="CP258" i="11"/>
  <c r="BT77" i="11"/>
  <c r="CP76" i="11"/>
  <c r="BT155" i="11"/>
  <c r="CP154" i="11"/>
  <c r="BT129" i="11"/>
  <c r="CP128" i="11"/>
  <c r="F33" i="8"/>
  <c r="F15" i="8"/>
  <c r="AQ2" i="11" s="1"/>
  <c r="F20" i="8"/>
  <c r="AV2" i="11" s="1"/>
  <c r="F28" i="8"/>
  <c r="BB2" i="11" s="1"/>
  <c r="BY7" i="3"/>
  <c r="F29" i="8"/>
  <c r="BC2" i="11" s="1"/>
  <c r="BY49" i="3"/>
  <c r="BO45" i="3"/>
  <c r="BQ45" i="3" s="1"/>
  <c r="F17" i="8"/>
  <c r="AS2" i="11" s="1"/>
  <c r="BO63" i="3"/>
  <c r="BQ63" i="3" s="1"/>
  <c r="F22" i="8"/>
  <c r="AX2" i="11" s="1"/>
  <c r="BO43" i="3"/>
  <c r="BQ43" i="3" s="1"/>
  <c r="BO58" i="3"/>
  <c r="BQ58" i="3" s="1"/>
  <c r="BO41" i="3"/>
  <c r="BQ41" i="3" s="1"/>
  <c r="F32" i="8"/>
  <c r="BF2" i="11" s="1"/>
  <c r="BY37" i="3"/>
  <c r="F16" i="8"/>
  <c r="AR2" i="11" s="1"/>
  <c r="BO56" i="3"/>
  <c r="BQ56" i="3" s="1"/>
  <c r="AS27" i="11" l="1"/>
  <c r="AS23" i="11"/>
  <c r="AS19" i="11"/>
  <c r="AS15" i="11"/>
  <c r="AS11" i="11"/>
  <c r="AS7" i="11"/>
  <c r="AS3" i="11"/>
  <c r="AS24" i="11"/>
  <c r="AS18" i="11"/>
  <c r="AS13" i="11"/>
  <c r="AS8" i="11"/>
  <c r="AS21" i="11"/>
  <c r="AS28" i="11"/>
  <c r="AS22" i="11"/>
  <c r="AS17" i="11"/>
  <c r="AS12" i="11"/>
  <c r="AS6" i="11"/>
  <c r="AS26" i="11"/>
  <c r="AS5" i="11"/>
  <c r="AS16" i="11"/>
  <c r="AS10" i="11"/>
  <c r="AS25" i="11"/>
  <c r="AS20" i="11"/>
  <c r="AS14" i="11"/>
  <c r="AS9" i="11"/>
  <c r="AS4" i="11"/>
  <c r="BG2" i="11"/>
  <c r="AX26" i="11"/>
  <c r="AX22" i="11"/>
  <c r="AX18" i="11"/>
  <c r="AX14" i="11"/>
  <c r="AX10" i="11"/>
  <c r="AX6" i="11"/>
  <c r="AX24" i="11"/>
  <c r="AX19" i="11"/>
  <c r="AX13" i="11"/>
  <c r="AX8" i="11"/>
  <c r="AX3" i="11"/>
  <c r="AX21" i="11"/>
  <c r="AX5" i="11"/>
  <c r="AX28" i="11"/>
  <c r="AX23" i="11"/>
  <c r="AX17" i="11"/>
  <c r="AX12" i="11"/>
  <c r="AX7" i="11"/>
  <c r="AX11" i="11"/>
  <c r="AX4" i="11"/>
  <c r="AX27" i="11"/>
  <c r="AX16" i="11"/>
  <c r="AX25" i="11"/>
  <c r="AX20" i="11"/>
  <c r="AX15" i="11"/>
  <c r="AX9" i="11"/>
  <c r="AQ25" i="11"/>
  <c r="AQ21" i="11"/>
  <c r="AQ17" i="11"/>
  <c r="AQ13" i="11"/>
  <c r="AQ9" i="11"/>
  <c r="AQ5" i="11"/>
  <c r="AQ26" i="11"/>
  <c r="AQ20" i="11"/>
  <c r="AQ15" i="11"/>
  <c r="AQ10" i="11"/>
  <c r="AQ4" i="11"/>
  <c r="AQ3" i="11"/>
  <c r="AQ28" i="11"/>
  <c r="AQ7" i="11"/>
  <c r="AQ24" i="11"/>
  <c r="AQ19" i="11"/>
  <c r="AQ14" i="11"/>
  <c r="AQ8" i="11"/>
  <c r="AQ23" i="11"/>
  <c r="AQ18" i="11"/>
  <c r="AQ12" i="11"/>
  <c r="AQ27" i="11"/>
  <c r="AQ22" i="11"/>
  <c r="AQ16" i="11"/>
  <c r="AQ11" i="11"/>
  <c r="AQ6" i="11"/>
  <c r="AR28" i="11"/>
  <c r="AR24" i="11"/>
  <c r="AR20" i="11"/>
  <c r="AR16" i="11"/>
  <c r="AR12" i="11"/>
  <c r="AR8" i="11"/>
  <c r="AR4" i="11"/>
  <c r="AR25" i="11"/>
  <c r="AR19" i="11"/>
  <c r="AR14" i="11"/>
  <c r="AR9" i="11"/>
  <c r="AR3" i="11"/>
  <c r="AR7" i="11"/>
  <c r="AR17" i="11"/>
  <c r="AR23" i="11"/>
  <c r="AR18" i="11"/>
  <c r="AR13" i="11"/>
  <c r="AR22" i="11"/>
  <c r="AR11" i="11"/>
  <c r="AR5" i="11"/>
  <c r="AR27" i="11"/>
  <c r="AR6" i="11"/>
  <c r="AR26" i="11"/>
  <c r="AR21" i="11"/>
  <c r="AR15" i="11"/>
  <c r="AR10" i="11"/>
  <c r="BB27" i="11"/>
  <c r="BB23" i="11"/>
  <c r="BB19" i="11"/>
  <c r="BC45" i="11" s="1"/>
  <c r="BB15" i="11"/>
  <c r="BB11" i="11"/>
  <c r="BC37" i="11" s="1"/>
  <c r="BB7" i="11"/>
  <c r="BB3" i="11"/>
  <c r="BC29" i="11" s="1"/>
  <c r="BB26" i="11"/>
  <c r="BB21" i="11"/>
  <c r="BC47" i="11" s="1"/>
  <c r="BB16" i="11"/>
  <c r="BB10" i="11"/>
  <c r="BC36" i="11" s="1"/>
  <c r="BB5" i="11"/>
  <c r="BC31" i="11" s="1"/>
  <c r="BB4" i="11"/>
  <c r="BB8" i="11"/>
  <c r="BB25" i="11"/>
  <c r="BC51" i="11" s="1"/>
  <c r="BB20" i="11"/>
  <c r="BB14" i="11"/>
  <c r="BC40" i="11" s="1"/>
  <c r="BB9" i="11"/>
  <c r="BB24" i="11"/>
  <c r="BC50" i="11" s="1"/>
  <c r="BB18" i="11"/>
  <c r="BB13" i="11"/>
  <c r="BB28" i="11"/>
  <c r="BB22" i="11"/>
  <c r="BC48" i="11" s="1"/>
  <c r="BB17" i="11"/>
  <c r="BC43" i="11" s="1"/>
  <c r="BB12" i="11"/>
  <c r="BB6" i="11"/>
  <c r="BT312" i="11"/>
  <c r="CP311" i="11"/>
  <c r="BF27" i="11"/>
  <c r="BG53" i="11" s="1"/>
  <c r="BF23" i="11"/>
  <c r="BF19" i="11"/>
  <c r="BF15" i="11"/>
  <c r="BF11" i="11"/>
  <c r="BF7" i="11"/>
  <c r="BF3" i="11"/>
  <c r="BG29" i="11" s="1"/>
  <c r="BF28" i="11"/>
  <c r="BF22" i="11"/>
  <c r="BF17" i="11"/>
  <c r="BG43" i="11" s="1"/>
  <c r="BF12" i="11"/>
  <c r="BG38" i="11" s="1"/>
  <c r="BF6" i="11"/>
  <c r="BF25" i="11"/>
  <c r="BG51" i="11" s="1"/>
  <c r="BF20" i="11"/>
  <c r="BG46" i="11" s="1"/>
  <c r="BF9" i="11"/>
  <c r="BG35" i="11" s="1"/>
  <c r="BF4" i="11"/>
  <c r="BF26" i="11"/>
  <c r="BF21" i="11"/>
  <c r="BG47" i="11" s="1"/>
  <c r="BF16" i="11"/>
  <c r="BG42" i="11" s="1"/>
  <c r="BF10" i="11"/>
  <c r="BF5" i="11"/>
  <c r="BF14" i="11"/>
  <c r="BG40" i="11" s="1"/>
  <c r="BF24" i="11"/>
  <c r="BG50" i="11" s="1"/>
  <c r="BF18" i="11"/>
  <c r="BF13" i="11"/>
  <c r="BF8" i="11"/>
  <c r="BC26" i="11"/>
  <c r="BC22" i="11"/>
  <c r="BC18" i="11"/>
  <c r="BC14" i="11"/>
  <c r="BC10" i="11"/>
  <c r="BC6" i="11"/>
  <c r="BC25" i="11"/>
  <c r="BC20" i="11"/>
  <c r="BC15" i="11"/>
  <c r="BC9" i="11"/>
  <c r="BC4" i="11"/>
  <c r="BC3" i="11"/>
  <c r="BC17" i="11"/>
  <c r="BC7" i="11"/>
  <c r="BC24" i="11"/>
  <c r="BC19" i="11"/>
  <c r="BC13" i="11"/>
  <c r="BC8" i="11"/>
  <c r="BC23" i="11"/>
  <c r="BC5" i="11"/>
  <c r="BC28" i="11"/>
  <c r="BC12" i="11"/>
  <c r="BC27" i="11"/>
  <c r="BC21" i="11"/>
  <c r="BC16" i="11"/>
  <c r="BC11" i="11"/>
  <c r="AV28" i="11"/>
  <c r="AV24" i="11"/>
  <c r="AV20" i="11"/>
  <c r="AV16" i="11"/>
  <c r="AV12" i="11"/>
  <c r="AV8" i="11"/>
  <c r="AV4" i="11"/>
  <c r="AV26" i="11"/>
  <c r="AV21" i="11"/>
  <c r="AV15" i="11"/>
  <c r="AV10" i="11"/>
  <c r="AV5" i="11"/>
  <c r="AV23" i="11"/>
  <c r="AV25" i="11"/>
  <c r="AV19" i="11"/>
  <c r="AV14" i="11"/>
  <c r="AV9" i="11"/>
  <c r="AV3" i="11"/>
  <c r="AV18" i="11"/>
  <c r="AV13" i="11"/>
  <c r="AV6" i="11"/>
  <c r="AV7" i="11"/>
  <c r="AV27" i="11"/>
  <c r="AV22" i="11"/>
  <c r="AV17" i="11"/>
  <c r="AV11" i="11"/>
  <c r="BO67" i="3"/>
  <c r="BQ67" i="3" s="1"/>
  <c r="BT156" i="11"/>
  <c r="CP155" i="11"/>
  <c r="BT260" i="11"/>
  <c r="CP259" i="11"/>
  <c r="BT104" i="11"/>
  <c r="CP103" i="11"/>
  <c r="BT27" i="11"/>
  <c r="CP26" i="11"/>
  <c r="BT182" i="11"/>
  <c r="CP181" i="11"/>
  <c r="BT130" i="11"/>
  <c r="CP129" i="11"/>
  <c r="BT78" i="11"/>
  <c r="CP77" i="11"/>
  <c r="BT288" i="11"/>
  <c r="CP288" i="11" s="1"/>
  <c r="CP287" i="11"/>
  <c r="BT234" i="11"/>
  <c r="CP233" i="11"/>
  <c r="CP208" i="11"/>
  <c r="BT209" i="11"/>
  <c r="BT52" i="11"/>
  <c r="CP51" i="11"/>
  <c r="BO44" i="3"/>
  <c r="BQ44" i="3" s="1"/>
  <c r="F26" i="8"/>
  <c r="AZ2" i="11" s="1"/>
  <c r="CO816" i="11"/>
  <c r="CO786" i="11"/>
  <c r="BO62" i="3"/>
  <c r="BQ62" i="3" s="1"/>
  <c r="BO65" i="3"/>
  <c r="BQ65" i="3" s="1"/>
  <c r="BO59" i="3"/>
  <c r="BQ59" i="3" s="1"/>
  <c r="F14" i="8"/>
  <c r="AP2" i="11" s="1"/>
  <c r="BO40" i="3"/>
  <c r="BQ40" i="3" s="1"/>
  <c r="F7" i="8"/>
  <c r="AI2" i="11" s="1"/>
  <c r="F39" i="8"/>
  <c r="F37" i="8"/>
  <c r="BI2" i="11" s="1"/>
  <c r="BO47" i="3"/>
  <c r="BQ47" i="3" s="1"/>
  <c r="F21" i="8"/>
  <c r="AW2" i="11" s="1"/>
  <c r="F18" i="8"/>
  <c r="AT2" i="11" s="1"/>
  <c r="BO61" i="3"/>
  <c r="BQ61" i="3" s="1"/>
  <c r="BO66" i="3"/>
  <c r="BQ66" i="3" s="1"/>
  <c r="F31" i="8"/>
  <c r="BE2" i="11" s="1"/>
  <c r="BO46" i="3"/>
  <c r="BQ46" i="3" s="1"/>
  <c r="F19" i="8"/>
  <c r="AU2" i="11" s="1"/>
  <c r="BO64" i="3"/>
  <c r="BQ64" i="3" s="1"/>
  <c r="F27" i="8"/>
  <c r="BA2" i="11" s="1"/>
  <c r="BC32" i="11"/>
  <c r="BC39" i="11"/>
  <c r="BC46" i="11"/>
  <c r="BC38" i="11"/>
  <c r="BC53" i="11"/>
  <c r="BC35" i="11"/>
  <c r="BC44" i="11"/>
  <c r="BC34" i="11"/>
  <c r="BC49" i="11"/>
  <c r="BC30" i="11"/>
  <c r="BC54" i="11"/>
  <c r="BC42" i="11"/>
  <c r="BC33" i="11"/>
  <c r="BC52" i="11"/>
  <c r="BC41" i="11"/>
  <c r="BG37" i="11"/>
  <c r="BG31" i="11"/>
  <c r="BG45" i="11"/>
  <c r="BG36" i="11"/>
  <c r="BG44" i="11"/>
  <c r="BG34" i="11"/>
  <c r="BG49" i="11"/>
  <c r="BG30" i="11"/>
  <c r="BG54" i="11"/>
  <c r="BG33" i="11"/>
  <c r="BG52" i="11"/>
  <c r="BG41" i="11"/>
  <c r="BG32" i="11"/>
  <c r="BG48" i="11"/>
  <c r="BG39" i="11"/>
  <c r="BO49" i="3"/>
  <c r="BQ49" i="3" s="1"/>
  <c r="BO60" i="3"/>
  <c r="BQ60" i="3" s="1"/>
  <c r="BO51" i="3"/>
  <c r="BQ51" i="3" s="1"/>
  <c r="F30" i="8"/>
  <c r="BD2" i="11" s="1"/>
  <c r="F38" i="8"/>
  <c r="BJ2" i="11" s="1"/>
  <c r="BO53" i="3" l="1"/>
  <c r="BQ53" i="3" s="1"/>
  <c r="CO596" i="11"/>
  <c r="CO815" i="11"/>
  <c r="CO774" i="11"/>
  <c r="AZ25" i="11"/>
  <c r="AZ21" i="11"/>
  <c r="AZ17" i="11"/>
  <c r="AZ13" i="11"/>
  <c r="AZ9" i="11"/>
  <c r="AZ5" i="11"/>
  <c r="AZ28" i="11"/>
  <c r="AZ23" i="11"/>
  <c r="AZ18" i="11"/>
  <c r="AZ12" i="11"/>
  <c r="AZ7" i="11"/>
  <c r="AZ20" i="11"/>
  <c r="AZ10" i="11"/>
  <c r="AZ4" i="11"/>
  <c r="AZ27" i="11"/>
  <c r="AZ22" i="11"/>
  <c r="AZ16" i="11"/>
  <c r="AZ11" i="11"/>
  <c r="AZ6" i="11"/>
  <c r="AZ26" i="11"/>
  <c r="AZ15" i="11"/>
  <c r="AZ3" i="11"/>
  <c r="AZ24" i="11"/>
  <c r="AZ19" i="11"/>
  <c r="AZ14" i="11"/>
  <c r="AZ8" i="11"/>
  <c r="CO501" i="11"/>
  <c r="BD25" i="11"/>
  <c r="BD21" i="11"/>
  <c r="BD17" i="11"/>
  <c r="BD13" i="11"/>
  <c r="BD9" i="11"/>
  <c r="BD5" i="11"/>
  <c r="BD24" i="11"/>
  <c r="BD19" i="11"/>
  <c r="BD14" i="11"/>
  <c r="BD8" i="11"/>
  <c r="BD3" i="11"/>
  <c r="BD7" i="11"/>
  <c r="BD28" i="11"/>
  <c r="BD23" i="11"/>
  <c r="BD18" i="11"/>
  <c r="BD12" i="11"/>
  <c r="BD22" i="11"/>
  <c r="BD11" i="11"/>
  <c r="BD27" i="11"/>
  <c r="BD16" i="11"/>
  <c r="BD6" i="11"/>
  <c r="BD26" i="11"/>
  <c r="BD20" i="11"/>
  <c r="BD15" i="11"/>
  <c r="BD10" i="11"/>
  <c r="BD4" i="11"/>
  <c r="CO798" i="11"/>
  <c r="CO820" i="11"/>
  <c r="CO661" i="11"/>
  <c r="CO496" i="11"/>
  <c r="CO354" i="11"/>
  <c r="CO290" i="11"/>
  <c r="CO204" i="11"/>
  <c r="CO17" i="11"/>
  <c r="CO177" i="11"/>
  <c r="CO108" i="11"/>
  <c r="CO90" i="11"/>
  <c r="CO622" i="11"/>
  <c r="CO603" i="11"/>
  <c r="CO410" i="11"/>
  <c r="CO338" i="11"/>
  <c r="CO214" i="11"/>
  <c r="CO275" i="11"/>
  <c r="CO180" i="11"/>
  <c r="CO82" i="11"/>
  <c r="CO113" i="11"/>
  <c r="CO728" i="11"/>
  <c r="CO726" i="11"/>
  <c r="CO703" i="11"/>
  <c r="CO516" i="11"/>
  <c r="CO619" i="11"/>
  <c r="CO412" i="11"/>
  <c r="CO397" i="11"/>
  <c r="CO355" i="11"/>
  <c r="CO283" i="11"/>
  <c r="CO140" i="11"/>
  <c r="CO11" i="11"/>
  <c r="CO138" i="11"/>
  <c r="CO716" i="11"/>
  <c r="CO592" i="11"/>
  <c r="CO653" i="11"/>
  <c r="CO607" i="11"/>
  <c r="CO531" i="11"/>
  <c r="CO406" i="11"/>
  <c r="CO346" i="11"/>
  <c r="CO395" i="11"/>
  <c r="CO313" i="11"/>
  <c r="CO13" i="11"/>
  <c r="CO161" i="11"/>
  <c r="CO97" i="11"/>
  <c r="CO829" i="11"/>
  <c r="CO783" i="11"/>
  <c r="CO814" i="11"/>
  <c r="CO770" i="11"/>
  <c r="CO560" i="11"/>
  <c r="CO655" i="11"/>
  <c r="CO430" i="11"/>
  <c r="CO382" i="11"/>
  <c r="CO447" i="11"/>
  <c r="CO280" i="11"/>
  <c r="CO224" i="11"/>
  <c r="CO184" i="11"/>
  <c r="CO32" i="11"/>
  <c r="CO110" i="11"/>
  <c r="CO711" i="11"/>
  <c r="CO584" i="11"/>
  <c r="CO543" i="11"/>
  <c r="CO374" i="11"/>
  <c r="CO362" i="11"/>
  <c r="CO323" i="11"/>
  <c r="CO303" i="11"/>
  <c r="CO172" i="11"/>
  <c r="CO235" i="11"/>
  <c r="CO229" i="11"/>
  <c r="CO718" i="11"/>
  <c r="CO620" i="11"/>
  <c r="CO715" i="11"/>
  <c r="CO478" i="11"/>
  <c r="CO577" i="11"/>
  <c r="CO352" i="11"/>
  <c r="CO336" i="11"/>
  <c r="CO411" i="11"/>
  <c r="CO27" i="11"/>
  <c r="CO100" i="11"/>
  <c r="CO63" i="11"/>
  <c r="CO94" i="11"/>
  <c r="CO732" i="11"/>
  <c r="CO778" i="11"/>
  <c r="CO590" i="11"/>
  <c r="CO583" i="11"/>
  <c r="CO555" i="11"/>
  <c r="CO525" i="11"/>
  <c r="CO334" i="11"/>
  <c r="CO335" i="11"/>
  <c r="CO192" i="11"/>
  <c r="CO227" i="11"/>
  <c r="CO133" i="11"/>
  <c r="CO122" i="11"/>
  <c r="CO643" i="11"/>
  <c r="CO683" i="11"/>
  <c r="CO627" i="11"/>
  <c r="CO545" i="11"/>
  <c r="CO466" i="11"/>
  <c r="CO392" i="11"/>
  <c r="CO367" i="11"/>
  <c r="CO293" i="11"/>
  <c r="CO269" i="11"/>
  <c r="CO38" i="11"/>
  <c r="CO96" i="11"/>
  <c r="CO40" i="11"/>
  <c r="CO694" i="11"/>
  <c r="CO576" i="11"/>
  <c r="CO442" i="11"/>
  <c r="CO541" i="11"/>
  <c r="CO324" i="11"/>
  <c r="CO248" i="11"/>
  <c r="CO351" i="11"/>
  <c r="CO215" i="11"/>
  <c r="CO25" i="11"/>
  <c r="CO833" i="11"/>
  <c r="CO799" i="11"/>
  <c r="CO618" i="11"/>
  <c r="CO677" i="11"/>
  <c r="CO595" i="11"/>
  <c r="CO593" i="11"/>
  <c r="CO418" i="11"/>
  <c r="CO332" i="11"/>
  <c r="CO331" i="11"/>
  <c r="CO194" i="11"/>
  <c r="CO28" i="11"/>
  <c r="CO84" i="11"/>
  <c r="CO50" i="11"/>
  <c r="CO648" i="11"/>
  <c r="CO621" i="11"/>
  <c r="CO623" i="11"/>
  <c r="CO591" i="11"/>
  <c r="CO529" i="11"/>
  <c r="CO461" i="11"/>
  <c r="CO489" i="11"/>
  <c r="CO268" i="11"/>
  <c r="CO259" i="11"/>
  <c r="CO10" i="11"/>
  <c r="CO88" i="11"/>
  <c r="CO22" i="11"/>
  <c r="CO753" i="11"/>
  <c r="CO788" i="11"/>
  <c r="CO689" i="11"/>
  <c r="CO679" i="11"/>
  <c r="CO542" i="11"/>
  <c r="CO539" i="11"/>
  <c r="CO436" i="11"/>
  <c r="CO409" i="11"/>
  <c r="CO302" i="11"/>
  <c r="CO242" i="11"/>
  <c r="CO168" i="11"/>
  <c r="CO18" i="11"/>
  <c r="CO155" i="11"/>
  <c r="CO247" i="11"/>
  <c r="CO650" i="11"/>
  <c r="CO599" i="11"/>
  <c r="CO517" i="11"/>
  <c r="CO348" i="11"/>
  <c r="CO292" i="11"/>
  <c r="CO250" i="11"/>
  <c r="CO190" i="11"/>
  <c r="CO255" i="11"/>
  <c r="CO71" i="11"/>
  <c r="CO135" i="11"/>
  <c r="CO699" i="11"/>
  <c r="CO552" i="11"/>
  <c r="CO675" i="11"/>
  <c r="CO524" i="11"/>
  <c r="CO523" i="11"/>
  <c r="CO465" i="11"/>
  <c r="CO326" i="11"/>
  <c r="CO244" i="11"/>
  <c r="CO212" i="11"/>
  <c r="CO207" i="11"/>
  <c r="CO181" i="11"/>
  <c r="CO201" i="11"/>
  <c r="CO114" i="11"/>
  <c r="CO757" i="11"/>
  <c r="CO710" i="11"/>
  <c r="CO631" i="11"/>
  <c r="CO645" i="11"/>
  <c r="CO422" i="11"/>
  <c r="CO439" i="11"/>
  <c r="CO312" i="11"/>
  <c r="CO238" i="11"/>
  <c r="CO257" i="11"/>
  <c r="CO197" i="11"/>
  <c r="CO47" i="11"/>
  <c r="CO832" i="11"/>
  <c r="CO748" i="11"/>
  <c r="CO784" i="11"/>
  <c r="BG26" i="11"/>
  <c r="BF52" i="11" s="1"/>
  <c r="BG22" i="11"/>
  <c r="BF48" i="11" s="1"/>
  <c r="BG18" i="11"/>
  <c r="BF44" i="11" s="1"/>
  <c r="BG14" i="11"/>
  <c r="BF40" i="11" s="1"/>
  <c r="BG10" i="11"/>
  <c r="BF36" i="11" s="1"/>
  <c r="BG6" i="11"/>
  <c r="BF32" i="11" s="1"/>
  <c r="BG27" i="11"/>
  <c r="BF53" i="11" s="1"/>
  <c r="BG21" i="11"/>
  <c r="BF47" i="11" s="1"/>
  <c r="BG16" i="11"/>
  <c r="BF42" i="11" s="1"/>
  <c r="BG11" i="11"/>
  <c r="BF37" i="11" s="1"/>
  <c r="BG5" i="11"/>
  <c r="BF31" i="11" s="1"/>
  <c r="BG8" i="11"/>
  <c r="BF34" i="11" s="1"/>
  <c r="BG25" i="11"/>
  <c r="BF51" i="11" s="1"/>
  <c r="BG20" i="11"/>
  <c r="BF46" i="11" s="1"/>
  <c r="BG15" i="11"/>
  <c r="BF41" i="11" s="1"/>
  <c r="BG9" i="11"/>
  <c r="BF35" i="11" s="1"/>
  <c r="BG4" i="11"/>
  <c r="BF30" i="11" s="1"/>
  <c r="BG24" i="11"/>
  <c r="BF50" i="11" s="1"/>
  <c r="BG13" i="11"/>
  <c r="BF39" i="11" s="1"/>
  <c r="BG3" i="11"/>
  <c r="BF29" i="11" s="1"/>
  <c r="BG7" i="11"/>
  <c r="BF33" i="11" s="1"/>
  <c r="BG19" i="11"/>
  <c r="BF45" i="11" s="1"/>
  <c r="BG28" i="11"/>
  <c r="BF54" i="11" s="1"/>
  <c r="BG23" i="11"/>
  <c r="BF49" i="11" s="1"/>
  <c r="BG17" i="11"/>
  <c r="BF43" i="11" s="1"/>
  <c r="BG12" i="11"/>
  <c r="BF38" i="11" s="1"/>
  <c r="CO316" i="11"/>
  <c r="AT26" i="11"/>
  <c r="AT22" i="11"/>
  <c r="AT18" i="11"/>
  <c r="AT14" i="11"/>
  <c r="AT10" i="11"/>
  <c r="AT6" i="11"/>
  <c r="AT28" i="11"/>
  <c r="AT23" i="11"/>
  <c r="AT17" i="11"/>
  <c r="AT12" i="11"/>
  <c r="AT7" i="11"/>
  <c r="AT25" i="11"/>
  <c r="AT20" i="11"/>
  <c r="AT9" i="11"/>
  <c r="AT4" i="11"/>
  <c r="AT27" i="11"/>
  <c r="AT21" i="11"/>
  <c r="AT16" i="11"/>
  <c r="AT11" i="11"/>
  <c r="AT5" i="11"/>
  <c r="AT15" i="11"/>
  <c r="AT3" i="11"/>
  <c r="AT24" i="11"/>
  <c r="AT19" i="11"/>
  <c r="AT13" i="11"/>
  <c r="AT8" i="11"/>
  <c r="BK2" i="11"/>
  <c r="CO802" i="11"/>
  <c r="CO578" i="11"/>
  <c r="CO617" i="11"/>
  <c r="CO408" i="11"/>
  <c r="BA28" i="11"/>
  <c r="BA24" i="11"/>
  <c r="BA20" i="11"/>
  <c r="BA16" i="11"/>
  <c r="BA12" i="11"/>
  <c r="BA8" i="11"/>
  <c r="BA4" i="11"/>
  <c r="BA27" i="11"/>
  <c r="BA22" i="11"/>
  <c r="BA17" i="11"/>
  <c r="BA11" i="11"/>
  <c r="BA6" i="11"/>
  <c r="BA26" i="11"/>
  <c r="BA21" i="11"/>
  <c r="BA15" i="11"/>
  <c r="BA10" i="11"/>
  <c r="BA5" i="11"/>
  <c r="BA25" i="11"/>
  <c r="BA3" i="11"/>
  <c r="BA19" i="11"/>
  <c r="BA14" i="11"/>
  <c r="BA9" i="11"/>
  <c r="BA23" i="11"/>
  <c r="BA18" i="11"/>
  <c r="BA13" i="11"/>
  <c r="BA7" i="11"/>
  <c r="BE28" i="11"/>
  <c r="BE24" i="11"/>
  <c r="BE20" i="11"/>
  <c r="BE16" i="11"/>
  <c r="BE12" i="11"/>
  <c r="BE8" i="11"/>
  <c r="BE4" i="11"/>
  <c r="BE23" i="11"/>
  <c r="BE18" i="11"/>
  <c r="BE13" i="11"/>
  <c r="BE7" i="11"/>
  <c r="BE21" i="11"/>
  <c r="BE10" i="11"/>
  <c r="BE27" i="11"/>
  <c r="BE22" i="11"/>
  <c r="BE17" i="11"/>
  <c r="BE11" i="11"/>
  <c r="BE6" i="11"/>
  <c r="BE26" i="11"/>
  <c r="BE15" i="11"/>
  <c r="BE5" i="11"/>
  <c r="BE3" i="11"/>
  <c r="BE25" i="11"/>
  <c r="BE19" i="11"/>
  <c r="BE14" i="11"/>
  <c r="BE9" i="11"/>
  <c r="AW27" i="11"/>
  <c r="AW23" i="11"/>
  <c r="AW19" i="11"/>
  <c r="AW15" i="11"/>
  <c r="AW11" i="11"/>
  <c r="AW7" i="11"/>
  <c r="AW3" i="11"/>
  <c r="AW25" i="11"/>
  <c r="AW20" i="11"/>
  <c r="AW14" i="11"/>
  <c r="AW9" i="11"/>
  <c r="AW4" i="11"/>
  <c r="AW8" i="11"/>
  <c r="AW22" i="11"/>
  <c r="AW17" i="11"/>
  <c r="AW6" i="11"/>
  <c r="AW24" i="11"/>
  <c r="AW18" i="11"/>
  <c r="AW13" i="11"/>
  <c r="AW28" i="11"/>
  <c r="AW12" i="11"/>
  <c r="AW26" i="11"/>
  <c r="AW21" i="11"/>
  <c r="AW16" i="11"/>
  <c r="AW10" i="11"/>
  <c r="AW5" i="11"/>
  <c r="AI25" i="11"/>
  <c r="AI21" i="11"/>
  <c r="AI17" i="11"/>
  <c r="AI13" i="11"/>
  <c r="AI9" i="11"/>
  <c r="AI5" i="11"/>
  <c r="AI28" i="11"/>
  <c r="AI23" i="11"/>
  <c r="AI18" i="11"/>
  <c r="AI12" i="11"/>
  <c r="AI7" i="11"/>
  <c r="AI26" i="11"/>
  <c r="AI20" i="11"/>
  <c r="AI10" i="11"/>
  <c r="AI4" i="11"/>
  <c r="AI27" i="11"/>
  <c r="AI22" i="11"/>
  <c r="AI16" i="11"/>
  <c r="AI11" i="11"/>
  <c r="AI6" i="11"/>
  <c r="AI15" i="11"/>
  <c r="AI3" i="11"/>
  <c r="AI24" i="11"/>
  <c r="AI19" i="11"/>
  <c r="AI14" i="11"/>
  <c r="AI8" i="11"/>
  <c r="CO794" i="11"/>
  <c r="CO812" i="11"/>
  <c r="CO613" i="11"/>
  <c r="CO594" i="11"/>
  <c r="CO512" i="11"/>
  <c r="CO519" i="11"/>
  <c r="CO495" i="11"/>
  <c r="CO330" i="11"/>
  <c r="CO347" i="11"/>
  <c r="CO271" i="11"/>
  <c r="CO8" i="11"/>
  <c r="CO102" i="11"/>
  <c r="CO77" i="11"/>
  <c r="CO765" i="11"/>
  <c r="CO681" i="11"/>
  <c r="CO513" i="11"/>
  <c r="CO457" i="11"/>
  <c r="CO308" i="11"/>
  <c r="CO264" i="11"/>
  <c r="CO182" i="11"/>
  <c r="CO127" i="11"/>
  <c r="CO39" i="11"/>
  <c r="CO137" i="11"/>
  <c r="CO690" i="11"/>
  <c r="CO667" i="11"/>
  <c r="CO647" i="11"/>
  <c r="CO571" i="11"/>
  <c r="CO434" i="11"/>
  <c r="CO398" i="11"/>
  <c r="CO399" i="11"/>
  <c r="CO252" i="11"/>
  <c r="CO186" i="11"/>
  <c r="CO173" i="11"/>
  <c r="CO49" i="11"/>
  <c r="CO68" i="11"/>
  <c r="CO736" i="11"/>
  <c r="CO579" i="11"/>
  <c r="CO580" i="11"/>
  <c r="CO520" i="11"/>
  <c r="CO458" i="11"/>
  <c r="CO485" i="11"/>
  <c r="CO463" i="11"/>
  <c r="CO341" i="11"/>
  <c r="CO162" i="11"/>
  <c r="CO831" i="11"/>
  <c r="CO189" i="11"/>
  <c r="CO42" i="11"/>
  <c r="CO779" i="11"/>
  <c r="CO760" i="11"/>
  <c r="BT313" i="11"/>
  <c r="CP312" i="11"/>
  <c r="CO742" i="11"/>
  <c r="CO556" i="11"/>
  <c r="CO482" i="11"/>
  <c r="CO450" i="11"/>
  <c r="CO453" i="11"/>
  <c r="CO387" i="11"/>
  <c r="CO234" i="11"/>
  <c r="CO178" i="11"/>
  <c r="CO51" i="11"/>
  <c r="CO185" i="11"/>
  <c r="CO60" i="11"/>
  <c r="CO813" i="11"/>
  <c r="CO548" i="11"/>
  <c r="CO537" i="11"/>
  <c r="CO427" i="11"/>
  <c r="CO340" i="11"/>
  <c r="CO272" i="11"/>
  <c r="CO210" i="11"/>
  <c r="CO199" i="11"/>
  <c r="CO203" i="11"/>
  <c r="CO221" i="11"/>
  <c r="CO724" i="11"/>
  <c r="CO752" i="11"/>
  <c r="CO558" i="11"/>
  <c r="CO498" i="11"/>
  <c r="CO483" i="11"/>
  <c r="CO515" i="11"/>
  <c r="CO375" i="11"/>
  <c r="CO226" i="11"/>
  <c r="CO249" i="11"/>
  <c r="CO119" i="11"/>
  <c r="CO44" i="11"/>
  <c r="CO95" i="11"/>
  <c r="CO616" i="11"/>
  <c r="CO734" i="11"/>
  <c r="CO635" i="11"/>
  <c r="CO637" i="11"/>
  <c r="CO454" i="11"/>
  <c r="CO378" i="11"/>
  <c r="CO304" i="11"/>
  <c r="CO319" i="11"/>
  <c r="CO333" i="11"/>
  <c r="CO147" i="11"/>
  <c r="CO129" i="11"/>
  <c r="CO702" i="11"/>
  <c r="CO536" i="11"/>
  <c r="CO693" i="11"/>
  <c r="CO605" i="11"/>
  <c r="CO514" i="11"/>
  <c r="CO404" i="11"/>
  <c r="CO469" i="11"/>
  <c r="CO421" i="11"/>
  <c r="CO254" i="11"/>
  <c r="CO223" i="11"/>
  <c r="CO41" i="11"/>
  <c r="CO109" i="11"/>
  <c r="CO86" i="11"/>
  <c r="CO624" i="11"/>
  <c r="CO553" i="11"/>
  <c r="CO547" i="11"/>
  <c r="CO388" i="11"/>
  <c r="CO379" i="11"/>
  <c r="CO329" i="11"/>
  <c r="CO233" i="11"/>
  <c r="CO99" i="11"/>
  <c r="CO171" i="11"/>
  <c r="CO20" i="11"/>
  <c r="CO795" i="11"/>
  <c r="CO641" i="11"/>
  <c r="CO723" i="11"/>
  <c r="CO549" i="11"/>
  <c r="CO462" i="11"/>
  <c r="CO435" i="11"/>
  <c r="CO383" i="11"/>
  <c r="CO309" i="11"/>
  <c r="CO170" i="11"/>
  <c r="CO35" i="11"/>
  <c r="CO167" i="11"/>
  <c r="CO126" i="11"/>
  <c r="CO767" i="11"/>
  <c r="CO762" i="11"/>
  <c r="CO564" i="11"/>
  <c r="CO506" i="11"/>
  <c r="CO509" i="11"/>
  <c r="CO380" i="11"/>
  <c r="CO300" i="11"/>
  <c r="CO327" i="11"/>
  <c r="CO325" i="11"/>
  <c r="CO65" i="11"/>
  <c r="CO158" i="11"/>
  <c r="CO91" i="11"/>
  <c r="CO730" i="11"/>
  <c r="CO826" i="11"/>
  <c r="CO632" i="11"/>
  <c r="CO782" i="11"/>
  <c r="CO749" i="11"/>
  <c r="CO544" i="11"/>
  <c r="CO573" i="11"/>
  <c r="CO370" i="11"/>
  <c r="CO425" i="11"/>
  <c r="CO256" i="11"/>
  <c r="CO295" i="11"/>
  <c r="CO12" i="11"/>
  <c r="CO111" i="11"/>
  <c r="CO24" i="11"/>
  <c r="CO791" i="11"/>
  <c r="CO706" i="11"/>
  <c r="CO474" i="11"/>
  <c r="CO420" i="11"/>
  <c r="CO372" i="11"/>
  <c r="CO298" i="11"/>
  <c r="CO218" i="11"/>
  <c r="CO164" i="11"/>
  <c r="CO142" i="11"/>
  <c r="CO193" i="11"/>
  <c r="CO157" i="11"/>
  <c r="CO803" i="11"/>
  <c r="CO575" i="11"/>
  <c r="CO568" i="11"/>
  <c r="CO540" i="11"/>
  <c r="CO497" i="11"/>
  <c r="CO402" i="11"/>
  <c r="CO328" i="11"/>
  <c r="CO403" i="11"/>
  <c r="CO241" i="11"/>
  <c r="CO307" i="11"/>
  <c r="CO265" i="11"/>
  <c r="CO61" i="11"/>
  <c r="CO695" i="11"/>
  <c r="CO626" i="11"/>
  <c r="CO586" i="11"/>
  <c r="CO504" i="11"/>
  <c r="CO510" i="11"/>
  <c r="CO491" i="11"/>
  <c r="CO431" i="11"/>
  <c r="CO266" i="11"/>
  <c r="CO222" i="11"/>
  <c r="CO7" i="11"/>
  <c r="CO93" i="11"/>
  <c r="CO89" i="11"/>
  <c r="CO146" i="11"/>
  <c r="CO777" i="11"/>
  <c r="CO792" i="11"/>
  <c r="CO480" i="11"/>
  <c r="BJ28" i="11"/>
  <c r="BJ24" i="11"/>
  <c r="BJ20" i="11"/>
  <c r="BJ16" i="11"/>
  <c r="BJ12" i="11"/>
  <c r="BJ8" i="11"/>
  <c r="BJ4" i="11"/>
  <c r="BJ25" i="11"/>
  <c r="BJ19" i="11"/>
  <c r="BJ14" i="11"/>
  <c r="BJ9" i="11"/>
  <c r="BJ3" i="11"/>
  <c r="BJ17" i="11"/>
  <c r="BJ23" i="11"/>
  <c r="BJ18" i="11"/>
  <c r="BJ13" i="11"/>
  <c r="BJ7" i="11"/>
  <c r="BJ22" i="11"/>
  <c r="BJ11" i="11"/>
  <c r="BJ27" i="11"/>
  <c r="BJ6" i="11"/>
  <c r="BJ26" i="11"/>
  <c r="BJ21" i="11"/>
  <c r="BJ15" i="11"/>
  <c r="BJ10" i="11"/>
  <c r="BJ5" i="11"/>
  <c r="CO486" i="11"/>
  <c r="CO240" i="11"/>
  <c r="CO46" i="11"/>
  <c r="CO120" i="11"/>
  <c r="CO805" i="11"/>
  <c r="CO561" i="11"/>
  <c r="CO503" i="11"/>
  <c r="CO364" i="11"/>
  <c r="CO455" i="11"/>
  <c r="CO246" i="11"/>
  <c r="CO245" i="11"/>
  <c r="CO128" i="11"/>
  <c r="CO64" i="11"/>
  <c r="CO149" i="11"/>
  <c r="CO797" i="11"/>
  <c r="CO746" i="11"/>
  <c r="CO554" i="11"/>
  <c r="CO557" i="11"/>
  <c r="CO521" i="11"/>
  <c r="CO376" i="11"/>
  <c r="CO391" i="11"/>
  <c r="CO301" i="11"/>
  <c r="CO3" i="11"/>
  <c r="CO143" i="11"/>
  <c r="CO150" i="11"/>
  <c r="CO74" i="11"/>
  <c r="CO821" i="11"/>
  <c r="CO750" i="11"/>
  <c r="CO570" i="11"/>
  <c r="CO494" i="11"/>
  <c r="CO505" i="11"/>
  <c r="CO344" i="11"/>
  <c r="CO407" i="11"/>
  <c r="CO297" i="11"/>
  <c r="CO287" i="11"/>
  <c r="CO53" i="11"/>
  <c r="CO191" i="11"/>
  <c r="CO121" i="11"/>
  <c r="CO823" i="11"/>
  <c r="CO818" i="11"/>
  <c r="CO825" i="11"/>
  <c r="CO741" i="11"/>
  <c r="CO809" i="11"/>
  <c r="CO550" i="11"/>
  <c r="CO518" i="11"/>
  <c r="CO567" i="11"/>
  <c r="CO451" i="11"/>
  <c r="CO349" i="11"/>
  <c r="CO188" i="11"/>
  <c r="CO152" i="11"/>
  <c r="CO132" i="11"/>
  <c r="CO34" i="11"/>
  <c r="CO69" i="11"/>
  <c r="CO769" i="11"/>
  <c r="CO569" i="11"/>
  <c r="CO444" i="11"/>
  <c r="CO423" i="11"/>
  <c r="CO306" i="11"/>
  <c r="CO385" i="11"/>
  <c r="CO206" i="11"/>
  <c r="CO98" i="11"/>
  <c r="CO72" i="11"/>
  <c r="CO179" i="11"/>
  <c r="CO582" i="11"/>
  <c r="CO657" i="11"/>
  <c r="CO530" i="11"/>
  <c r="CO476" i="11"/>
  <c r="CO400" i="11"/>
  <c r="CO393" i="11"/>
  <c r="CO429" i="11"/>
  <c r="CO263" i="11"/>
  <c r="CO156" i="11"/>
  <c r="CO125" i="11"/>
  <c r="CO183" i="11"/>
  <c r="CO33" i="11"/>
  <c r="CO804" i="11"/>
  <c r="CO773" i="11"/>
  <c r="CO651" i="11"/>
  <c r="CO490" i="11"/>
  <c r="CO479" i="11"/>
  <c r="CO507" i="11"/>
  <c r="CO373" i="11"/>
  <c r="CO258" i="11"/>
  <c r="CO277" i="11"/>
  <c r="CO43" i="11"/>
  <c r="CO225" i="11"/>
  <c r="CO806" i="11"/>
  <c r="CO758" i="11"/>
  <c r="CO673" i="11"/>
  <c r="CO532" i="11"/>
  <c r="CO535" i="11"/>
  <c r="CO477" i="11"/>
  <c r="CO433" i="11"/>
  <c r="CO365" i="11"/>
  <c r="CO200" i="11"/>
  <c r="CO4" i="11"/>
  <c r="CO139" i="11"/>
  <c r="CO48" i="11"/>
  <c r="CO116" i="11"/>
  <c r="CO640" i="11"/>
  <c r="CO502" i="11"/>
  <c r="CO551" i="11"/>
  <c r="CO368" i="11"/>
  <c r="CO278" i="11"/>
  <c r="CO339" i="11"/>
  <c r="CO15" i="11"/>
  <c r="CO217" i="11"/>
  <c r="CO205" i="11"/>
  <c r="CO165" i="11"/>
  <c r="CO644" i="11"/>
  <c r="CO598" i="11"/>
  <c r="CO546" i="11"/>
  <c r="CO589" i="11"/>
  <c r="CO467" i="11"/>
  <c r="CO384" i="11"/>
  <c r="CO345" i="11"/>
  <c r="CO285" i="11"/>
  <c r="CO176" i="11"/>
  <c r="CO54" i="11"/>
  <c r="CO153" i="11"/>
  <c r="CO58" i="11"/>
  <c r="CO756" i="11"/>
  <c r="CO740" i="11"/>
  <c r="CO574" i="11"/>
  <c r="CO629" i="11"/>
  <c r="CO432" i="11"/>
  <c r="CO360" i="11"/>
  <c r="CO337" i="11"/>
  <c r="CO369" i="11"/>
  <c r="CO317" i="11"/>
  <c r="CO52" i="11"/>
  <c r="CO75" i="11"/>
  <c r="CO9" i="11"/>
  <c r="CO768" i="11"/>
  <c r="CO796" i="11"/>
  <c r="CO776" i="11"/>
  <c r="CO686" i="11"/>
  <c r="CO639" i="11"/>
  <c r="CO625" i="11"/>
  <c r="CO585" i="11"/>
  <c r="CO386" i="11"/>
  <c r="CO481" i="11"/>
  <c r="CO260" i="11"/>
  <c r="CO237" i="11"/>
  <c r="CO159" i="11"/>
  <c r="CO101" i="11"/>
  <c r="CO187" i="11"/>
  <c r="CO691" i="11"/>
  <c r="CO719" i="11"/>
  <c r="CO460" i="11"/>
  <c r="CO390" i="11"/>
  <c r="CO401" i="11"/>
  <c r="CO315" i="11"/>
  <c r="CO196" i="11"/>
  <c r="CO251" i="11"/>
  <c r="CO29" i="11"/>
  <c r="CO273" i="11"/>
  <c r="CO66" i="11"/>
  <c r="CO714" i="11"/>
  <c r="CO687" i="11"/>
  <c r="CO588" i="11"/>
  <c r="CO565" i="11"/>
  <c r="CO493" i="11"/>
  <c r="CO356" i="11"/>
  <c r="CO363" i="11"/>
  <c r="CO321" i="11"/>
  <c r="CO198" i="11"/>
  <c r="CO67" i="11"/>
  <c r="CO76" i="11"/>
  <c r="CO85" i="11"/>
  <c r="CO663" i="11"/>
  <c r="CO606" i="11"/>
  <c r="CO587" i="11"/>
  <c r="CO448" i="11"/>
  <c r="CO394" i="11"/>
  <c r="CO389" i="11"/>
  <c r="CO353" i="11"/>
  <c r="CO220" i="11"/>
  <c r="CO243" i="11"/>
  <c r="CO62" i="11"/>
  <c r="CO117" i="11"/>
  <c r="CO834" i="11"/>
  <c r="CO720" i="11"/>
  <c r="CO810" i="11"/>
  <c r="CO822" i="11"/>
  <c r="CO83" i="11"/>
  <c r="CO415" i="11"/>
  <c r="CO228" i="11"/>
  <c r="CO112" i="11"/>
  <c r="AU25" i="11"/>
  <c r="AU21" i="11"/>
  <c r="AU17" i="11"/>
  <c r="AU13" i="11"/>
  <c r="AU9" i="11"/>
  <c r="AU5" i="11"/>
  <c r="AU27" i="11"/>
  <c r="AU22" i="11"/>
  <c r="AU16" i="11"/>
  <c r="AU11" i="11"/>
  <c r="AU6" i="11"/>
  <c r="AU24" i="11"/>
  <c r="AU7" i="11"/>
  <c r="AU26" i="11"/>
  <c r="AU20" i="11"/>
  <c r="AU15" i="11"/>
  <c r="AU10" i="11"/>
  <c r="AU4" i="11"/>
  <c r="AU3" i="11"/>
  <c r="AU19" i="11"/>
  <c r="AU14" i="11"/>
  <c r="AU8" i="11"/>
  <c r="AU28" i="11"/>
  <c r="AU23" i="11"/>
  <c r="AU18" i="11"/>
  <c r="AU12" i="11"/>
  <c r="BI25" i="11"/>
  <c r="BI21" i="11"/>
  <c r="BI17" i="11"/>
  <c r="BI13" i="11"/>
  <c r="BI9" i="11"/>
  <c r="BI5" i="11"/>
  <c r="BI26" i="11"/>
  <c r="BI20" i="11"/>
  <c r="BI15" i="11"/>
  <c r="BI10" i="11"/>
  <c r="BI4" i="11"/>
  <c r="BI3" i="11"/>
  <c r="BI23" i="11"/>
  <c r="BI24" i="11"/>
  <c r="BI19" i="11"/>
  <c r="BI14" i="11"/>
  <c r="BI8" i="11"/>
  <c r="BI18" i="11"/>
  <c r="BI6" i="11"/>
  <c r="BI28" i="11"/>
  <c r="BI12" i="11"/>
  <c r="BI7" i="11"/>
  <c r="BI27" i="11"/>
  <c r="BI22" i="11"/>
  <c r="BI16" i="11"/>
  <c r="BI11" i="11"/>
  <c r="AP26" i="11"/>
  <c r="AP22" i="11"/>
  <c r="AP18" i="11"/>
  <c r="AP14" i="11"/>
  <c r="AP10" i="11"/>
  <c r="AP6" i="11"/>
  <c r="AP27" i="11"/>
  <c r="AP21" i="11"/>
  <c r="AP16" i="11"/>
  <c r="AP11" i="11"/>
  <c r="AP5" i="11"/>
  <c r="AP8" i="11"/>
  <c r="AP25" i="11"/>
  <c r="AP20" i="11"/>
  <c r="AP15" i="11"/>
  <c r="AP9" i="11"/>
  <c r="AP4" i="11"/>
  <c r="AP24" i="11"/>
  <c r="AP13" i="11"/>
  <c r="AP3" i="11"/>
  <c r="AP19" i="11"/>
  <c r="AP28" i="11"/>
  <c r="AP23" i="11"/>
  <c r="AP17" i="11"/>
  <c r="AP12" i="11"/>
  <c r="AP7" i="11"/>
  <c r="CO824" i="11"/>
  <c r="CO790" i="11"/>
  <c r="CO828" i="11"/>
  <c r="CO737" i="11"/>
  <c r="CO811" i="11"/>
  <c r="CO785" i="11"/>
  <c r="CO634" i="11"/>
  <c r="CO630" i="11"/>
  <c r="CO725" i="11"/>
  <c r="CO705" i="11"/>
  <c r="CO801" i="11"/>
  <c r="CO646" i="11"/>
  <c r="CO819" i="11"/>
  <c r="CO717" i="11"/>
  <c r="CO755" i="11"/>
  <c r="CO658" i="11"/>
  <c r="CO666" i="11"/>
  <c r="CO674" i="11"/>
  <c r="CO713" i="11"/>
  <c r="CO827" i="11"/>
  <c r="CO678" i="11"/>
  <c r="CO638" i="11"/>
  <c r="CO662" i="11"/>
  <c r="CO721" i="11"/>
  <c r="CO793" i="11"/>
  <c r="CO701" i="11"/>
  <c r="CO654" i="11"/>
  <c r="CO670" i="11"/>
  <c r="CO709" i="11"/>
  <c r="CO642" i="11"/>
  <c r="CO745" i="11"/>
  <c r="CO604" i="11"/>
  <c r="CO771" i="11"/>
  <c r="CO763" i="11"/>
  <c r="CO660" i="11"/>
  <c r="CO743" i="11"/>
  <c r="CO680" i="11"/>
  <c r="CO688" i="11"/>
  <c r="CO656" i="11"/>
  <c r="CO700" i="11"/>
  <c r="CO664" i="11"/>
  <c r="CO692" i="11"/>
  <c r="CO727" i="11"/>
  <c r="CO751" i="11"/>
  <c r="CO704" i="11"/>
  <c r="CO676" i="11"/>
  <c r="CO684" i="11"/>
  <c r="CO781" i="11"/>
  <c r="CO696" i="11"/>
  <c r="CO731" i="11"/>
  <c r="CO672" i="11"/>
  <c r="CO739" i="11"/>
  <c r="CO807" i="11"/>
  <c r="CO735" i="11"/>
  <c r="CO668" i="11"/>
  <c r="CO747" i="11"/>
  <c r="CO787" i="11"/>
  <c r="CO775" i="11"/>
  <c r="CO601" i="11"/>
  <c r="CO522" i="11"/>
  <c r="CO416" i="11"/>
  <c r="CO419" i="11"/>
  <c r="CO286" i="11"/>
  <c r="CO305" i="11"/>
  <c r="CO26" i="11"/>
  <c r="CO281" i="11"/>
  <c r="CO105" i="11"/>
  <c r="CO118" i="11"/>
  <c r="CO817" i="11"/>
  <c r="CO527" i="11"/>
  <c r="CO396" i="11"/>
  <c r="CO405" i="11"/>
  <c r="CO314" i="11"/>
  <c r="CO359" i="11"/>
  <c r="CO291" i="11"/>
  <c r="CO213" i="11"/>
  <c r="CO57" i="11"/>
  <c r="CO80" i="11"/>
  <c r="CO652" i="11"/>
  <c r="CO669" i="11"/>
  <c r="CO609" i="11"/>
  <c r="CO492" i="11"/>
  <c r="CO511" i="11"/>
  <c r="CO413" i="11"/>
  <c r="CO270" i="11"/>
  <c r="CO232" i="11"/>
  <c r="CO261" i="11"/>
  <c r="CO45" i="11"/>
  <c r="CO23" i="11"/>
  <c r="CO239" i="11"/>
  <c r="CO636" i="11"/>
  <c r="CO614" i="11"/>
  <c r="CO538" i="11"/>
  <c r="CO464" i="11"/>
  <c r="CO559" i="11"/>
  <c r="CO366" i="11"/>
  <c r="CO381" i="11"/>
  <c r="CO289" i="11"/>
  <c r="CO219" i="11"/>
  <c r="CO56" i="11"/>
  <c r="CO107" i="11"/>
  <c r="CO70" i="11"/>
  <c r="CO628" i="11"/>
  <c r="CO772" i="11"/>
  <c r="CO154" i="11"/>
  <c r="CO780" i="11"/>
  <c r="CO671" i="11"/>
  <c r="CO733" i="11"/>
  <c r="CO562" i="11"/>
  <c r="CO488" i="11"/>
  <c r="CO440" i="11"/>
  <c r="CO358" i="11"/>
  <c r="CO357" i="11"/>
  <c r="CO230" i="11"/>
  <c r="CO14" i="11"/>
  <c r="CO36" i="11"/>
  <c r="CO31" i="11"/>
  <c r="CO115" i="11"/>
  <c r="CO708" i="11"/>
  <c r="CO472" i="11"/>
  <c r="CO471" i="11"/>
  <c r="CO473" i="11"/>
  <c r="CO294" i="11"/>
  <c r="CO267" i="11"/>
  <c r="CO79" i="11"/>
  <c r="CO131" i="11"/>
  <c r="CO55" i="11"/>
  <c r="CO195" i="11"/>
  <c r="CO526" i="11"/>
  <c r="CO572" i="11"/>
  <c r="CO615" i="11"/>
  <c r="CO456" i="11"/>
  <c r="CO414" i="11"/>
  <c r="CO322" i="11"/>
  <c r="CO284" i="11"/>
  <c r="CO236" i="11"/>
  <c r="CO148" i="11"/>
  <c r="CO37" i="11"/>
  <c r="CO59" i="11"/>
  <c r="CO789" i="11"/>
  <c r="CO659" i="11"/>
  <c r="CO610" i="11"/>
  <c r="CO697" i="11"/>
  <c r="CO563" i="11"/>
  <c r="CO475" i="11"/>
  <c r="CO499" i="11"/>
  <c r="CO437" i="11"/>
  <c r="CO343" i="11"/>
  <c r="CO299" i="11"/>
  <c r="CO134" i="11"/>
  <c r="CO106" i="11"/>
  <c r="CO766" i="11"/>
  <c r="CO754" i="11"/>
  <c r="CO600" i="11"/>
  <c r="CO528" i="11"/>
  <c r="CO426" i="11"/>
  <c r="CO441" i="11"/>
  <c r="CO371" i="11"/>
  <c r="CO311" i="11"/>
  <c r="CO166" i="11"/>
  <c r="CO160" i="11"/>
  <c r="CO123" i="11"/>
  <c r="CO21" i="11"/>
  <c r="CO729" i="11"/>
  <c r="CO759" i="11"/>
  <c r="CO468" i="11"/>
  <c r="CO424" i="11"/>
  <c r="CO342" i="11"/>
  <c r="CO274" i="11"/>
  <c r="CO279" i="11"/>
  <c r="CO231" i="11"/>
  <c r="CO830" i="11"/>
  <c r="CO209" i="11"/>
  <c r="CO78" i="11"/>
  <c r="CO712" i="11"/>
  <c r="CO649" i="11"/>
  <c r="CO500" i="11"/>
  <c r="CO484" i="11"/>
  <c r="CO445" i="11"/>
  <c r="CO350" i="11"/>
  <c r="CO361" i="11"/>
  <c r="CO208" i="11"/>
  <c r="CO16" i="11"/>
  <c r="CO136" i="11"/>
  <c r="CO145" i="11"/>
  <c r="CO92" i="11"/>
  <c r="CO602" i="11"/>
  <c r="CO685" i="11"/>
  <c r="CO633" i="11"/>
  <c r="CO611" i="11"/>
  <c r="CO487" i="11"/>
  <c r="CO443" i="11"/>
  <c r="CO282" i="11"/>
  <c r="CO216" i="11"/>
  <c r="CO19" i="11"/>
  <c r="CO81" i="11"/>
  <c r="CO87" i="11"/>
  <c r="CO104" i="11"/>
  <c r="CO800" i="11"/>
  <c r="CO682" i="11"/>
  <c r="CO761" i="11"/>
  <c r="CO566" i="11"/>
  <c r="CO581" i="11"/>
  <c r="CO438" i="11"/>
  <c r="CO459" i="11"/>
  <c r="CO296" i="11"/>
  <c r="CO377" i="11"/>
  <c r="CO202" i="11"/>
  <c r="CO130" i="11"/>
  <c r="CO151" i="11"/>
  <c r="CO73" i="11"/>
  <c r="CO608" i="11"/>
  <c r="CO534" i="11"/>
  <c r="CO470" i="11"/>
  <c r="CO449" i="11"/>
  <c r="CO417" i="11"/>
  <c r="CO276" i="11"/>
  <c r="CO253" i="11"/>
  <c r="CO144" i="11"/>
  <c r="CO30" i="11"/>
  <c r="CO141" i="11"/>
  <c r="CO698" i="11"/>
  <c r="CO738" i="11"/>
  <c r="CO665" i="11"/>
  <c r="CO597" i="11"/>
  <c r="CO452" i="11"/>
  <c r="CO428" i="11"/>
  <c r="CO318" i="11"/>
  <c r="CO310" i="11"/>
  <c r="CO262" i="11"/>
  <c r="CO6" i="11"/>
  <c r="CO175" i="11"/>
  <c r="CO124" i="11"/>
  <c r="CO169" i="11"/>
  <c r="CO744" i="11"/>
  <c r="CO808" i="11"/>
  <c r="CO707" i="11"/>
  <c r="CO508" i="11"/>
  <c r="CO446" i="11"/>
  <c r="CO533" i="11"/>
  <c r="CO320" i="11"/>
  <c r="CO288" i="11"/>
  <c r="CO174" i="11"/>
  <c r="CO211" i="11"/>
  <c r="CO103" i="11"/>
  <c r="CO163" i="11"/>
  <c r="CO722" i="11"/>
  <c r="CO764" i="11"/>
  <c r="CO612" i="11"/>
  <c r="CO5" i="11"/>
  <c r="BO48" i="3"/>
  <c r="BQ48" i="3" s="1"/>
  <c r="BT210" i="11"/>
  <c r="CP210" i="11" s="1"/>
  <c r="CP209" i="11"/>
  <c r="BT131" i="11"/>
  <c r="CP130" i="11"/>
  <c r="BT28" i="11"/>
  <c r="CP28" i="11" s="1"/>
  <c r="CP27" i="11"/>
  <c r="BT261" i="11"/>
  <c r="CP260" i="11"/>
  <c r="BT53" i="11"/>
  <c r="CP52" i="11"/>
  <c r="BT235" i="11"/>
  <c r="CP234" i="11"/>
  <c r="BT79" i="11"/>
  <c r="CP78" i="11"/>
  <c r="BT183" i="11"/>
  <c r="CP182" i="11"/>
  <c r="BT105" i="11"/>
  <c r="CP104" i="11"/>
  <c r="BT157" i="11"/>
  <c r="CP156" i="11"/>
  <c r="BO52" i="3"/>
  <c r="BQ52" i="3" s="1"/>
  <c r="F45" i="8"/>
  <c r="BE35" i="11"/>
  <c r="BE43" i="11"/>
  <c r="BE30" i="11"/>
  <c r="BE54" i="11"/>
  <c r="BE42" i="11"/>
  <c r="BE33" i="11"/>
  <c r="BE31" i="11"/>
  <c r="BE52" i="11"/>
  <c r="BE41" i="11"/>
  <c r="BE29" i="11"/>
  <c r="BE50" i="11"/>
  <c r="BE40" i="11"/>
  <c r="BE32" i="11"/>
  <c r="BE48" i="11"/>
  <c r="BE39" i="11"/>
  <c r="BE51" i="11"/>
  <c r="BE46" i="11"/>
  <c r="BE38" i="11"/>
  <c r="BE53" i="11"/>
  <c r="BE45" i="11"/>
  <c r="BE36" i="11"/>
  <c r="BE47" i="11"/>
  <c r="BE44" i="11"/>
  <c r="BE34" i="11"/>
  <c r="BE49" i="11"/>
  <c r="BE37" i="11"/>
  <c r="AZ47" i="11"/>
  <c r="AZ54" i="11"/>
  <c r="AZ49" i="11"/>
  <c r="AZ52" i="11"/>
  <c r="AZ38" i="11"/>
  <c r="AZ39" i="11"/>
  <c r="AZ30" i="11"/>
  <c r="AZ37" i="11"/>
  <c r="AZ50" i="11"/>
  <c r="AZ35" i="11"/>
  <c r="AZ48" i="11"/>
  <c r="AZ36" i="11"/>
  <c r="AZ34" i="11"/>
  <c r="AZ44" i="11"/>
  <c r="AZ46" i="11"/>
  <c r="AZ31" i="11"/>
  <c r="AZ45" i="11"/>
  <c r="AZ29" i="11"/>
  <c r="AZ33" i="11"/>
  <c r="AZ51" i="11"/>
  <c r="AZ42" i="11"/>
  <c r="AZ53" i="11"/>
  <c r="AZ41" i="11"/>
  <c r="AZ43" i="11"/>
  <c r="AZ40" i="11"/>
  <c r="AZ32" i="11"/>
  <c r="BD44" i="11"/>
  <c r="BD46" i="11"/>
  <c r="BD31" i="11"/>
  <c r="BD45" i="11"/>
  <c r="BD33" i="11"/>
  <c r="BD38" i="11"/>
  <c r="BD51" i="11"/>
  <c r="BD42" i="11"/>
  <c r="BD53" i="11"/>
  <c r="BD41" i="11"/>
  <c r="BD43" i="11"/>
  <c r="BD32" i="11"/>
  <c r="BD29" i="11"/>
  <c r="BD47" i="11"/>
  <c r="BD54" i="11"/>
  <c r="BD49" i="11"/>
  <c r="BD52" i="11"/>
  <c r="BD39" i="11"/>
  <c r="BD40" i="11"/>
  <c r="BD36" i="11"/>
  <c r="BD37" i="11"/>
  <c r="BD50" i="11"/>
  <c r="BD35" i="11"/>
  <c r="BD48" i="11"/>
  <c r="BD34" i="11"/>
  <c r="BD30" i="11"/>
  <c r="F49" i="8"/>
  <c r="BQ2" i="11" s="1"/>
  <c r="BO68" i="3"/>
  <c r="BQ68" i="3" s="1"/>
  <c r="BO50" i="3"/>
  <c r="BQ50" i="3" s="1"/>
  <c r="F44" i="8"/>
  <c r="BN2" i="11" s="1"/>
  <c r="BQ27" i="11" l="1"/>
  <c r="BR53" i="11" s="1"/>
  <c r="BQ23" i="11"/>
  <c r="BR49" i="11" s="1"/>
  <c r="BQ19" i="11"/>
  <c r="BQ15" i="11"/>
  <c r="BR41" i="11" s="1"/>
  <c r="BQ11" i="11"/>
  <c r="BR37" i="11" s="1"/>
  <c r="BQ7" i="11"/>
  <c r="BR33" i="11" s="1"/>
  <c r="BQ3" i="11"/>
  <c r="BQ25" i="11"/>
  <c r="BR51" i="11" s="1"/>
  <c r="BQ20" i="11"/>
  <c r="BR46" i="11" s="1"/>
  <c r="BQ14" i="11"/>
  <c r="BR40" i="11" s="1"/>
  <c r="BQ9" i="11"/>
  <c r="BR35" i="11" s="1"/>
  <c r="BQ4" i="11"/>
  <c r="BR30" i="11" s="1"/>
  <c r="BQ8" i="11"/>
  <c r="BR34" i="11" s="1"/>
  <c r="BQ22" i="11"/>
  <c r="BR48" i="11" s="1"/>
  <c r="BQ17" i="11"/>
  <c r="BQ6" i="11"/>
  <c r="BR32" i="11" s="1"/>
  <c r="BQ24" i="11"/>
  <c r="BR50" i="11" s="1"/>
  <c r="BQ18" i="11"/>
  <c r="BR44" i="11" s="1"/>
  <c r="BQ13" i="11"/>
  <c r="BQ5" i="11"/>
  <c r="BQ28" i="11"/>
  <c r="BR54" i="11" s="1"/>
  <c r="BQ12" i="11"/>
  <c r="BQ26" i="11"/>
  <c r="BR52" i="11" s="1"/>
  <c r="BQ21" i="11"/>
  <c r="BR47" i="11" s="1"/>
  <c r="BQ16" i="11"/>
  <c r="BR42" i="11" s="1"/>
  <c r="BQ10" i="11"/>
  <c r="BR36" i="11" s="1"/>
  <c r="CP313" i="11"/>
  <c r="BT314" i="11"/>
  <c r="CP314" i="11" s="1"/>
  <c r="BN25" i="11"/>
  <c r="BO51" i="11" s="1"/>
  <c r="BN21" i="11"/>
  <c r="BO47" i="11" s="1"/>
  <c r="BN17" i="11"/>
  <c r="BO43" i="11" s="1"/>
  <c r="BN13" i="11"/>
  <c r="BO39" i="11" s="1"/>
  <c r="BN9" i="11"/>
  <c r="BO35" i="11" s="1"/>
  <c r="BN5" i="11"/>
  <c r="BO31" i="11" s="1"/>
  <c r="BN27" i="11"/>
  <c r="BN22" i="11"/>
  <c r="BO48" i="11" s="1"/>
  <c r="BN16" i="11"/>
  <c r="BO42" i="11" s="1"/>
  <c r="BN11" i="11"/>
  <c r="BO37" i="11" s="1"/>
  <c r="BN6" i="11"/>
  <c r="BO32" i="11" s="1"/>
  <c r="BN24" i="11"/>
  <c r="BO50" i="11" s="1"/>
  <c r="BN26" i="11"/>
  <c r="BN20" i="11"/>
  <c r="BO46" i="11" s="1"/>
  <c r="BN15" i="11"/>
  <c r="BN10" i="11"/>
  <c r="BO36" i="11" s="1"/>
  <c r="BN4" i="11"/>
  <c r="BO30" i="11" s="1"/>
  <c r="BN3" i="11"/>
  <c r="BO29" i="11" s="1"/>
  <c r="BN19" i="11"/>
  <c r="BN14" i="11"/>
  <c r="BO40" i="11" s="1"/>
  <c r="BN8" i="11"/>
  <c r="BO34" i="11" s="1"/>
  <c r="BN28" i="11"/>
  <c r="BO54" i="11" s="1"/>
  <c r="BN23" i="11"/>
  <c r="BO49" i="11" s="1"/>
  <c r="BN18" i="11"/>
  <c r="BO44" i="11" s="1"/>
  <c r="BN12" i="11"/>
  <c r="BO38" i="11" s="1"/>
  <c r="BN7" i="11"/>
  <c r="BO33" i="11" s="1"/>
  <c r="BO2" i="11"/>
  <c r="BK27" i="11"/>
  <c r="BL53" i="11" s="1"/>
  <c r="BK23" i="11"/>
  <c r="BL49" i="11" s="1"/>
  <c r="BK19" i="11"/>
  <c r="BL45" i="11" s="1"/>
  <c r="BK15" i="11"/>
  <c r="BL41" i="11" s="1"/>
  <c r="BK11" i="11"/>
  <c r="BL37" i="11" s="1"/>
  <c r="BK7" i="11"/>
  <c r="BL33" i="11" s="1"/>
  <c r="BK3" i="11"/>
  <c r="BL29" i="11" s="1"/>
  <c r="BK24" i="11"/>
  <c r="BL50" i="11" s="1"/>
  <c r="BK18" i="11"/>
  <c r="BL44" i="11" s="1"/>
  <c r="BK13" i="11"/>
  <c r="BL39" i="11" s="1"/>
  <c r="BK8" i="11"/>
  <c r="BL34" i="11" s="1"/>
  <c r="BK21" i="11"/>
  <c r="BL47" i="11" s="1"/>
  <c r="BK10" i="11"/>
  <c r="BL36" i="11" s="1"/>
  <c r="BK5" i="11"/>
  <c r="BL31" i="11" s="1"/>
  <c r="BK28" i="11"/>
  <c r="BL54" i="11" s="1"/>
  <c r="BK22" i="11"/>
  <c r="BL48" i="11" s="1"/>
  <c r="BK17" i="11"/>
  <c r="BL43" i="11" s="1"/>
  <c r="BK12" i="11"/>
  <c r="BL38" i="11" s="1"/>
  <c r="BK6" i="11"/>
  <c r="BL32" i="11" s="1"/>
  <c r="BK26" i="11"/>
  <c r="BL52" i="11" s="1"/>
  <c r="BK16" i="11"/>
  <c r="BL42" i="11" s="1"/>
  <c r="BK25" i="11"/>
  <c r="BL51" i="11" s="1"/>
  <c r="BK20" i="11"/>
  <c r="BL46" i="11" s="1"/>
  <c r="BK14" i="11"/>
  <c r="BL40" i="11" s="1"/>
  <c r="BK9" i="11"/>
  <c r="BL35" i="11" s="1"/>
  <c r="BK4" i="11"/>
  <c r="BL30" i="11" s="1"/>
  <c r="F53" i="8"/>
  <c r="B8" i="9"/>
  <c r="C8" i="9" s="1"/>
  <c r="BT158" i="11"/>
  <c r="CP158" i="11" s="1"/>
  <c r="CP157" i="11"/>
  <c r="BT184" i="11"/>
  <c r="CP184" i="11" s="1"/>
  <c r="CP183" i="11"/>
  <c r="BT236" i="11"/>
  <c r="CP236" i="11" s="1"/>
  <c r="CP235" i="11"/>
  <c r="BT262" i="11"/>
  <c r="CP262" i="11" s="1"/>
  <c r="CP261" i="11"/>
  <c r="BT132" i="11"/>
  <c r="CP132" i="11" s="1"/>
  <c r="CP131" i="11"/>
  <c r="BT106" i="11"/>
  <c r="CP106" i="11" s="1"/>
  <c r="CP105" i="11"/>
  <c r="BT80" i="11"/>
  <c r="CP80" i="11" s="1"/>
  <c r="CP79" i="11"/>
  <c r="BT54" i="11"/>
  <c r="CP54" i="11" s="1"/>
  <c r="CP53" i="11"/>
  <c r="B9" i="9"/>
  <c r="B13" i="9"/>
  <c r="B17" i="9"/>
  <c r="B21" i="9"/>
  <c r="C21" i="9" s="1"/>
  <c r="B25" i="9"/>
  <c r="C25" i="9" s="1"/>
  <c r="B29" i="9"/>
  <c r="C29" i="9" s="1"/>
  <c r="B33" i="9"/>
  <c r="C33" i="9" s="1"/>
  <c r="B37" i="9"/>
  <c r="C37" i="9" s="1"/>
  <c r="B41" i="9"/>
  <c r="C41" i="9" s="1"/>
  <c r="B45" i="9"/>
  <c r="C45" i="9" s="1"/>
  <c r="B49" i="9"/>
  <c r="C49" i="9" s="1"/>
  <c r="B53" i="9"/>
  <c r="C53" i="9" s="1"/>
  <c r="B57" i="9"/>
  <c r="C57" i="9" s="1"/>
  <c r="B16" i="9"/>
  <c r="B24" i="9"/>
  <c r="C24" i="9" s="1"/>
  <c r="B32" i="9"/>
  <c r="C32" i="9" s="1"/>
  <c r="B40" i="9"/>
  <c r="C40" i="9" s="1"/>
  <c r="B48" i="9"/>
  <c r="C48" i="9" s="1"/>
  <c r="B56" i="9"/>
  <c r="C56" i="9" s="1"/>
  <c r="B10" i="9"/>
  <c r="B14" i="9"/>
  <c r="B18" i="9"/>
  <c r="C18" i="9" s="1"/>
  <c r="B22" i="9"/>
  <c r="C22" i="9" s="1"/>
  <c r="B26" i="9"/>
  <c r="C26" i="9" s="1"/>
  <c r="B30" i="9"/>
  <c r="C30" i="9" s="1"/>
  <c r="B34" i="9"/>
  <c r="C34" i="9" s="1"/>
  <c r="B38" i="9"/>
  <c r="C38" i="9" s="1"/>
  <c r="B42" i="9"/>
  <c r="C42" i="9" s="1"/>
  <c r="B46" i="9"/>
  <c r="C46" i="9" s="1"/>
  <c r="B50" i="9"/>
  <c r="C50" i="9" s="1"/>
  <c r="B54" i="9"/>
  <c r="C54" i="9" s="1"/>
  <c r="B11" i="9"/>
  <c r="B15" i="9"/>
  <c r="B19" i="9"/>
  <c r="C19" i="9" s="1"/>
  <c r="B23" i="9"/>
  <c r="C23" i="9" s="1"/>
  <c r="B27" i="9"/>
  <c r="C27" i="9" s="1"/>
  <c r="B31" i="9"/>
  <c r="C31" i="9" s="1"/>
  <c r="B35" i="9"/>
  <c r="C35" i="9" s="1"/>
  <c r="B39" i="9"/>
  <c r="C39" i="9" s="1"/>
  <c r="B43" i="9"/>
  <c r="C43" i="9" s="1"/>
  <c r="B47" i="9"/>
  <c r="C47" i="9" s="1"/>
  <c r="B51" i="9"/>
  <c r="C51" i="9" s="1"/>
  <c r="B55" i="9"/>
  <c r="C55" i="9" s="1"/>
  <c r="B12" i="9"/>
  <c r="B20" i="9"/>
  <c r="C20" i="9" s="1"/>
  <c r="B28" i="9"/>
  <c r="C28" i="9" s="1"/>
  <c r="B36" i="9"/>
  <c r="C36" i="9" s="1"/>
  <c r="B44" i="9"/>
  <c r="C44" i="9" s="1"/>
  <c r="B52" i="9"/>
  <c r="C52" i="9" s="1"/>
  <c r="BO70" i="3"/>
  <c r="BQ70" i="3" s="1"/>
  <c r="F40" i="8"/>
  <c r="BO69" i="3"/>
  <c r="BQ69" i="3" s="1"/>
  <c r="BO74" i="3"/>
  <c r="BQ74" i="3" s="1"/>
  <c r="BO52" i="11"/>
  <c r="BO41" i="11"/>
  <c r="BO53" i="11"/>
  <c r="BO45" i="11"/>
  <c r="BR39" i="11"/>
  <c r="BR31" i="11"/>
  <c r="BR38" i="11"/>
  <c r="BR45" i="11"/>
  <c r="BR43" i="11"/>
  <c r="BR29" i="11"/>
  <c r="BO71" i="3"/>
  <c r="BQ71" i="3" s="1"/>
  <c r="F50" i="8"/>
  <c r="BR2" i="11" s="1"/>
  <c r="BO54" i="3"/>
  <c r="BQ54" i="3" s="1"/>
  <c r="BO55" i="3"/>
  <c r="BQ55" i="3" s="1"/>
  <c r="BO73" i="3"/>
  <c r="BQ73" i="3" s="1"/>
  <c r="BR26" i="11" l="1"/>
  <c r="BR22" i="11"/>
  <c r="BR18" i="11"/>
  <c r="BR14" i="11"/>
  <c r="BQ40" i="11" s="1"/>
  <c r="BR10" i="11"/>
  <c r="BR6" i="11"/>
  <c r="BR24" i="11"/>
  <c r="BR19" i="11"/>
  <c r="BQ45" i="11" s="1"/>
  <c r="BR13" i="11"/>
  <c r="BR8" i="11"/>
  <c r="BR3" i="11"/>
  <c r="BR21" i="11"/>
  <c r="BQ47" i="11" s="1"/>
  <c r="BR28" i="11"/>
  <c r="BR23" i="11"/>
  <c r="BR17" i="11"/>
  <c r="BR12" i="11"/>
  <c r="BQ38" i="11" s="1"/>
  <c r="BR7" i="11"/>
  <c r="BR11" i="11"/>
  <c r="BR5" i="11"/>
  <c r="BR4" i="11"/>
  <c r="BQ30" i="11" s="1"/>
  <c r="BR27" i="11"/>
  <c r="BR16" i="11"/>
  <c r="BQ42" i="11" s="1"/>
  <c r="BR25" i="11"/>
  <c r="BR20" i="11"/>
  <c r="BQ46" i="11" s="1"/>
  <c r="BR15" i="11"/>
  <c r="BR9" i="11"/>
  <c r="BQ35" i="11" s="1"/>
  <c r="BL2" i="11"/>
  <c r="BO28" i="11"/>
  <c r="BN54" i="11" s="1"/>
  <c r="BO24" i="11"/>
  <c r="BN50" i="11" s="1"/>
  <c r="BO20" i="11"/>
  <c r="BN46" i="11" s="1"/>
  <c r="BO16" i="11"/>
  <c r="BN42" i="11" s="1"/>
  <c r="BO12" i="11"/>
  <c r="BN38" i="11" s="1"/>
  <c r="BO8" i="11"/>
  <c r="BN34" i="11" s="1"/>
  <c r="BO4" i="11"/>
  <c r="BN30" i="11" s="1"/>
  <c r="BO26" i="11"/>
  <c r="BN52" i="11" s="1"/>
  <c r="BO21" i="11"/>
  <c r="BN47" i="11" s="1"/>
  <c r="BO15" i="11"/>
  <c r="BN41" i="11" s="1"/>
  <c r="BO10" i="11"/>
  <c r="BN36" i="11" s="1"/>
  <c r="BO5" i="11"/>
  <c r="BN31" i="11" s="1"/>
  <c r="BO7" i="11"/>
  <c r="BN33" i="11" s="1"/>
  <c r="BO25" i="11"/>
  <c r="BN51" i="11" s="1"/>
  <c r="BO19" i="11"/>
  <c r="BN45" i="11" s="1"/>
  <c r="BO14" i="11"/>
  <c r="BN40" i="11" s="1"/>
  <c r="BO9" i="11"/>
  <c r="BN35" i="11" s="1"/>
  <c r="BO3" i="11"/>
  <c r="BN29" i="11" s="1"/>
  <c r="BO23" i="11"/>
  <c r="BN49" i="11" s="1"/>
  <c r="BO18" i="11"/>
  <c r="BN44" i="11" s="1"/>
  <c r="BO13" i="11"/>
  <c r="BN39" i="11" s="1"/>
  <c r="BO27" i="11"/>
  <c r="BN53" i="11" s="1"/>
  <c r="BO22" i="11"/>
  <c r="BN48" i="11" s="1"/>
  <c r="BO17" i="11"/>
  <c r="BN43" i="11" s="1"/>
  <c r="BO11" i="11"/>
  <c r="BN37" i="11" s="1"/>
  <c r="BO6" i="11"/>
  <c r="BN32" i="11" s="1"/>
  <c r="BO72" i="3"/>
  <c r="BQ72" i="3" s="1"/>
  <c r="C12" i="9"/>
  <c r="C11" i="9"/>
  <c r="C10" i="9"/>
  <c r="C17" i="9"/>
  <c r="C16" i="9"/>
  <c r="C13" i="9"/>
  <c r="C15" i="9"/>
  <c r="C14" i="9"/>
  <c r="C9" i="9"/>
  <c r="A7" i="9"/>
  <c r="F8" i="9" s="1"/>
  <c r="BQ31" i="11"/>
  <c r="BQ37" i="11"/>
  <c r="BQ39" i="11"/>
  <c r="BQ53" i="11"/>
  <c r="BQ43" i="11"/>
  <c r="BQ41" i="11"/>
  <c r="BQ44" i="11"/>
  <c r="BQ32" i="11"/>
  <c r="BQ34" i="11"/>
  <c r="BQ49" i="11"/>
  <c r="BQ52" i="11"/>
  <c r="BQ51" i="11"/>
  <c r="BQ54" i="11"/>
  <c r="BQ36" i="11"/>
  <c r="BQ33" i="11"/>
  <c r="BQ48" i="11"/>
  <c r="BQ50" i="11"/>
  <c r="BQ29" i="11"/>
  <c r="BL26" i="11" l="1"/>
  <c r="BK52" i="11" s="1"/>
  <c r="BL22" i="11"/>
  <c r="BK48" i="11" s="1"/>
  <c r="BL18" i="11"/>
  <c r="BK44" i="11" s="1"/>
  <c r="BL14" i="11"/>
  <c r="BK40" i="11" s="1"/>
  <c r="BL10" i="11"/>
  <c r="BK36" i="11" s="1"/>
  <c r="BL6" i="11"/>
  <c r="BK32" i="11" s="1"/>
  <c r="BL28" i="11"/>
  <c r="BK54" i="11" s="1"/>
  <c r="BL23" i="11"/>
  <c r="BK49" i="11" s="1"/>
  <c r="BL17" i="11"/>
  <c r="BK43" i="11" s="1"/>
  <c r="BL12" i="11"/>
  <c r="BK38" i="11" s="1"/>
  <c r="BL7" i="11"/>
  <c r="BK33" i="11" s="1"/>
  <c r="BL20" i="11"/>
  <c r="BK46" i="11" s="1"/>
  <c r="BL4" i="11"/>
  <c r="BK30" i="11" s="1"/>
  <c r="BL27" i="11"/>
  <c r="BK53" i="11" s="1"/>
  <c r="BL21" i="11"/>
  <c r="BK47" i="11" s="1"/>
  <c r="BL16" i="11"/>
  <c r="BK42" i="11" s="1"/>
  <c r="BL11" i="11"/>
  <c r="BK37" i="11" s="1"/>
  <c r="BL5" i="11"/>
  <c r="BK31" i="11" s="1"/>
  <c r="BL25" i="11"/>
  <c r="BK51" i="11" s="1"/>
  <c r="BL15" i="11"/>
  <c r="BK41" i="11" s="1"/>
  <c r="BL9" i="11"/>
  <c r="BK35" i="11" s="1"/>
  <c r="BL3" i="11"/>
  <c r="BK29" i="11" s="1"/>
  <c r="BL24" i="11"/>
  <c r="BK50" i="11" s="1"/>
  <c r="BL19" i="11"/>
  <c r="BK45" i="11" s="1"/>
  <c r="BL13" i="11"/>
  <c r="BK39" i="11" s="1"/>
  <c r="BL8" i="11"/>
  <c r="BK34" i="11" s="1"/>
  <c r="F17" i="9"/>
  <c r="F16" i="9"/>
  <c r="F15" i="9"/>
  <c r="F14" i="9"/>
  <c r="F13" i="9"/>
  <c r="F12" i="9"/>
  <c r="F11" i="9"/>
  <c r="F10" i="9"/>
  <c r="F9" i="9"/>
  <c r="E5" i="9"/>
  <c r="L53" i="8" l="1"/>
  <c r="AT54" i="11" l="1"/>
  <c r="AT50" i="11"/>
  <c r="AT46" i="11"/>
  <c r="AT44" i="11"/>
  <c r="AT42" i="11"/>
  <c r="AT40" i="11"/>
  <c r="AT38" i="11"/>
  <c r="AT34" i="11"/>
  <c r="AT33" i="11"/>
  <c r="AT32" i="11"/>
  <c r="AT53" i="11"/>
  <c r="AT49" i="11"/>
  <c r="AT52" i="11"/>
  <c r="AT48" i="11"/>
  <c r="AT45" i="11"/>
  <c r="AT43" i="11"/>
  <c r="AT41" i="11"/>
  <c r="AT39" i="11"/>
  <c r="AT36" i="11"/>
  <c r="AT30" i="11"/>
  <c r="AT29" i="11"/>
  <c r="AT51" i="11"/>
  <c r="AT47" i="11"/>
  <c r="AT31" i="11"/>
  <c r="AT37" i="11"/>
  <c r="AT35" i="11"/>
  <c r="AW53" i="11" l="1"/>
  <c r="AW49" i="11"/>
  <c r="AW35" i="11"/>
  <c r="AW31" i="11"/>
  <c r="AW43" i="11"/>
  <c r="AW52" i="11"/>
  <c r="AW48" i="11"/>
  <c r="AW45" i="11"/>
  <c r="AW41" i="11"/>
  <c r="AW51" i="11"/>
  <c r="AW47" i="11"/>
  <c r="AW37" i="11"/>
  <c r="AW42" i="11"/>
  <c r="AW54" i="11"/>
  <c r="AW50" i="11"/>
  <c r="AW46" i="11"/>
  <c r="AW44" i="11"/>
  <c r="AW40" i="11"/>
  <c r="AW30" i="11"/>
  <c r="AW38" i="11"/>
  <c r="AW32" i="11"/>
  <c r="AW36" i="11"/>
  <c r="AW29" i="11"/>
  <c r="AW39" i="11"/>
  <c r="AW34" i="11"/>
  <c r="AW33" i="11"/>
  <c r="AS53" i="11"/>
  <c r="AS49" i="11"/>
  <c r="AS35" i="11"/>
  <c r="AS31" i="11"/>
  <c r="AS43" i="11"/>
  <c r="AS52" i="11"/>
  <c r="AS48" i="11"/>
  <c r="AS45" i="11"/>
  <c r="AS41" i="11"/>
  <c r="AS51" i="11"/>
  <c r="AS47" i="11"/>
  <c r="AS37" i="11"/>
  <c r="AS42" i="11"/>
  <c r="AS54" i="11"/>
  <c r="AS50" i="11"/>
  <c r="AS46" i="11"/>
  <c r="AS44" i="11"/>
  <c r="AS40" i="11"/>
  <c r="AS36" i="11"/>
  <c r="AS29" i="11"/>
  <c r="AS39" i="11"/>
  <c r="AS34" i="11"/>
  <c r="AS33" i="11"/>
  <c r="AS32" i="11"/>
  <c r="AS30" i="11"/>
  <c r="AS38" i="11"/>
  <c r="BA43" i="11" l="1"/>
  <c r="AX54" i="11"/>
  <c r="AX50" i="11"/>
  <c r="AX46" i="11"/>
  <c r="AX44" i="11"/>
  <c r="AX42" i="11"/>
  <c r="AX40" i="11"/>
  <c r="AX38" i="11"/>
  <c r="AX34" i="11"/>
  <c r="AX33" i="11"/>
  <c r="AX32" i="11"/>
  <c r="AX53" i="11"/>
  <c r="AX49" i="11"/>
  <c r="AX52" i="11"/>
  <c r="AX48" i="11"/>
  <c r="AX45" i="11"/>
  <c r="AX43" i="11"/>
  <c r="AX41" i="11"/>
  <c r="AX39" i="11"/>
  <c r="AX36" i="11"/>
  <c r="AX30" i="11"/>
  <c r="AX29" i="11"/>
  <c r="AX51" i="11"/>
  <c r="AX47" i="11"/>
  <c r="AX35" i="11"/>
  <c r="AX31" i="11"/>
  <c r="AX37" i="11"/>
  <c r="AU51" i="11"/>
  <c r="AU47" i="11"/>
  <c r="AU37" i="11"/>
  <c r="AU44" i="11"/>
  <c r="AU42" i="11"/>
  <c r="AU54" i="11"/>
  <c r="AU50" i="11"/>
  <c r="AU46" i="11"/>
  <c r="AU53" i="11"/>
  <c r="AU49" i="11"/>
  <c r="AU35" i="11"/>
  <c r="AU31" i="11"/>
  <c r="AU41" i="11"/>
  <c r="AU52" i="11"/>
  <c r="AU48" i="11"/>
  <c r="AU45" i="11"/>
  <c r="AU43" i="11"/>
  <c r="AU39" i="11"/>
  <c r="AU34" i="11"/>
  <c r="AU33" i="11"/>
  <c r="AU32" i="11"/>
  <c r="AU30" i="11"/>
  <c r="AU38" i="11"/>
  <c r="AU29" i="11"/>
  <c r="AU40" i="11"/>
  <c r="AU36" i="11"/>
  <c r="BA47" i="11"/>
  <c r="AO53" i="11"/>
  <c r="AO49" i="11"/>
  <c r="AO35" i="11"/>
  <c r="AO43" i="11"/>
  <c r="AO52" i="11"/>
  <c r="AO48" i="11"/>
  <c r="AO45" i="11"/>
  <c r="AO41" i="11"/>
  <c r="AO51" i="11"/>
  <c r="AO47" i="11"/>
  <c r="AO37" i="11"/>
  <c r="AO42" i="11"/>
  <c r="AO54" i="11"/>
  <c r="AO50" i="11"/>
  <c r="AO46" i="11"/>
  <c r="AO44" i="11"/>
  <c r="AO40" i="11"/>
  <c r="AO38" i="11"/>
  <c r="AO32" i="11"/>
  <c r="AO36" i="11"/>
  <c r="AO39" i="11"/>
  <c r="AO34" i="11"/>
  <c r="AO33" i="11"/>
  <c r="BB53" i="11"/>
  <c r="BB49" i="11"/>
  <c r="BB35" i="11"/>
  <c r="BB31" i="11"/>
  <c r="BB43" i="11"/>
  <c r="BB52" i="11"/>
  <c r="BB48" i="11"/>
  <c r="BB45" i="11"/>
  <c r="BB41" i="11"/>
  <c r="BB51" i="11"/>
  <c r="BB47" i="11"/>
  <c r="BB37" i="11"/>
  <c r="BB42" i="11"/>
  <c r="BB54" i="11"/>
  <c r="BB50" i="11"/>
  <c r="BB46" i="11"/>
  <c r="BB44" i="11"/>
  <c r="BB40" i="11"/>
  <c r="BB36" i="11"/>
  <c r="BB29" i="11"/>
  <c r="BB39" i="11"/>
  <c r="BB34" i="11"/>
  <c r="BB33" i="11"/>
  <c r="BB32" i="11"/>
  <c r="BB30" i="11"/>
  <c r="BB38" i="11"/>
  <c r="AV52" i="11"/>
  <c r="AV48" i="11"/>
  <c r="AV45" i="11"/>
  <c r="AV43" i="11"/>
  <c r="AV41" i="11"/>
  <c r="AV39" i="11"/>
  <c r="AV36" i="11"/>
  <c r="AV30" i="11"/>
  <c r="AV29" i="11"/>
  <c r="AV51" i="11"/>
  <c r="AV47" i="11"/>
  <c r="AV54" i="11"/>
  <c r="AV50" i="11"/>
  <c r="AV46" i="11"/>
  <c r="AV44" i="11"/>
  <c r="AV42" i="11"/>
  <c r="AV40" i="11"/>
  <c r="AV38" i="11"/>
  <c r="AV34" i="11"/>
  <c r="AV33" i="11"/>
  <c r="AV32" i="11"/>
  <c r="AV53" i="11"/>
  <c r="AV49" i="11"/>
  <c r="AV37" i="11"/>
  <c r="AV31" i="11"/>
  <c r="AV35" i="11"/>
  <c r="AR52" i="11"/>
  <c r="AR48" i="11"/>
  <c r="AR45" i="11"/>
  <c r="AR43" i="11"/>
  <c r="AR41" i="11"/>
  <c r="AR39" i="11"/>
  <c r="AR36" i="11"/>
  <c r="AR30" i="11"/>
  <c r="AR29" i="11"/>
  <c r="AR51" i="11"/>
  <c r="AR47" i="11"/>
  <c r="AR54" i="11"/>
  <c r="AR50" i="11"/>
  <c r="AR46" i="11"/>
  <c r="AR44" i="11"/>
  <c r="AR42" i="11"/>
  <c r="AR40" i="11"/>
  <c r="AR38" i="11"/>
  <c r="AR34" i="11"/>
  <c r="AR33" i="11"/>
  <c r="AR32" i="11"/>
  <c r="AR53" i="11"/>
  <c r="AR49" i="11"/>
  <c r="AR37" i="11"/>
  <c r="AR31" i="11"/>
  <c r="AR35" i="11"/>
  <c r="AQ51" i="11"/>
  <c r="AQ47" i="11"/>
  <c r="AQ37" i="11"/>
  <c r="AQ44" i="11"/>
  <c r="AQ42" i="11"/>
  <c r="AQ54" i="11"/>
  <c r="AQ50" i="11"/>
  <c r="AQ46" i="11"/>
  <c r="AQ53" i="11"/>
  <c r="AQ49" i="11"/>
  <c r="AQ35" i="11"/>
  <c r="AQ31" i="11"/>
  <c r="AQ41" i="11"/>
  <c r="AQ52" i="11"/>
  <c r="AQ48" i="11"/>
  <c r="AQ45" i="11"/>
  <c r="AQ43" i="11"/>
  <c r="AQ40" i="11"/>
  <c r="AQ38" i="11"/>
  <c r="AQ36" i="11"/>
  <c r="AQ29" i="11"/>
  <c r="AQ39" i="11"/>
  <c r="AQ34" i="11"/>
  <c r="AQ33" i="11"/>
  <c r="AQ32" i="11"/>
  <c r="AQ30" i="11"/>
  <c r="BA49" i="11" l="1"/>
  <c r="BA36" i="11"/>
  <c r="BA34" i="11"/>
  <c r="BA45" i="11"/>
  <c r="BA44" i="11"/>
  <c r="BA35" i="11"/>
  <c r="BA53" i="11"/>
  <c r="BA38" i="11"/>
  <c r="BA46" i="11"/>
  <c r="BA51" i="11"/>
  <c r="BA39" i="11"/>
  <c r="BA48" i="11"/>
  <c r="BA31" i="11"/>
  <c r="BA32" i="11"/>
  <c r="BA40" i="11"/>
  <c r="BA50" i="11"/>
  <c r="BA29" i="11"/>
  <c r="BA41" i="11"/>
  <c r="BA52" i="11"/>
  <c r="BA37" i="11"/>
  <c r="BA33" i="11"/>
  <c r="BA42" i="11"/>
  <c r="BA54" i="11"/>
  <c r="BA30" i="11"/>
  <c r="AL31" i="11"/>
  <c r="AL30" i="11"/>
  <c r="AL43" i="11"/>
  <c r="AL49" i="11"/>
  <c r="AL34" i="11"/>
  <c r="AL44" i="11"/>
  <c r="AO31" i="11"/>
  <c r="AJ31" i="11"/>
  <c r="AJ32" i="11"/>
  <c r="AJ40" i="11"/>
  <c r="AJ50" i="11"/>
  <c r="AJ29" i="11"/>
  <c r="AJ41" i="11"/>
  <c r="AJ52" i="11"/>
  <c r="AM29" i="11"/>
  <c r="AM32" i="11"/>
  <c r="AM43" i="11"/>
  <c r="AM41" i="11"/>
  <c r="AM53" i="11"/>
  <c r="AM42" i="11"/>
  <c r="AM51" i="11"/>
  <c r="AL47" i="11"/>
  <c r="AL36" i="11"/>
  <c r="AL45" i="11"/>
  <c r="AL53" i="11"/>
  <c r="AL38" i="11"/>
  <c r="AL46" i="11"/>
  <c r="AO29" i="11"/>
  <c r="AO30" i="11"/>
  <c r="AJ37" i="11"/>
  <c r="AJ33" i="11"/>
  <c r="AJ42" i="11"/>
  <c r="AJ54" i="11"/>
  <c r="AJ30" i="11"/>
  <c r="AJ43" i="11"/>
  <c r="AM38" i="11"/>
  <c r="AM33" i="11"/>
  <c r="AM45" i="11"/>
  <c r="AM31" i="11"/>
  <c r="AM46" i="11"/>
  <c r="AM44" i="11"/>
  <c r="AL35" i="11"/>
  <c r="AL51" i="11"/>
  <c r="AL39" i="11"/>
  <c r="AL48" i="11"/>
  <c r="AL32" i="11"/>
  <c r="AL40" i="11"/>
  <c r="AL50" i="11"/>
  <c r="AJ49" i="11"/>
  <c r="AJ34" i="11"/>
  <c r="AJ44" i="11"/>
  <c r="AJ47" i="11"/>
  <c r="AJ36" i="11"/>
  <c r="AJ45" i="11"/>
  <c r="AM30" i="11"/>
  <c r="AM34" i="11"/>
  <c r="AM48" i="11"/>
  <c r="AM35" i="11"/>
  <c r="AM50" i="11"/>
  <c r="AM37" i="11"/>
  <c r="AL37" i="11"/>
  <c r="AL29" i="11"/>
  <c r="AL41" i="11"/>
  <c r="AL52" i="11"/>
  <c r="AL33" i="11"/>
  <c r="AL42" i="11"/>
  <c r="AL54" i="11"/>
  <c r="AJ35" i="11"/>
  <c r="AJ53" i="11"/>
  <c r="AJ38" i="11"/>
  <c r="AJ46" i="11"/>
  <c r="AJ51" i="11"/>
  <c r="AJ39" i="11"/>
  <c r="AJ48" i="11"/>
  <c r="AM36" i="11"/>
  <c r="AM40" i="11"/>
  <c r="AM39" i="11"/>
  <c r="AM52" i="11"/>
  <c r="AM49" i="11"/>
  <c r="AM54" i="11"/>
  <c r="AM47" i="11"/>
  <c r="BI51" i="11"/>
  <c r="BI47" i="11"/>
  <c r="BI37" i="11"/>
  <c r="BI44" i="11"/>
  <c r="BI42" i="11"/>
  <c r="BI54" i="11"/>
  <c r="BI50" i="11"/>
  <c r="BI46" i="11"/>
  <c r="BI53" i="11"/>
  <c r="BI49" i="11"/>
  <c r="BI35" i="11"/>
  <c r="BI31" i="11"/>
  <c r="BI41" i="11"/>
  <c r="BI52" i="11"/>
  <c r="BI48" i="11"/>
  <c r="BI45" i="11"/>
  <c r="BI43" i="11"/>
  <c r="BI40" i="11"/>
  <c r="BI38" i="11"/>
  <c r="BI36" i="11"/>
  <c r="BI29" i="11"/>
  <c r="BI39" i="11"/>
  <c r="BI34" i="11"/>
  <c r="BI33" i="11"/>
  <c r="BI32" i="11"/>
  <c r="BI30" i="11"/>
  <c r="AK33" i="11" l="1"/>
  <c r="AK54" i="11"/>
  <c r="AK51" i="11"/>
  <c r="AK52" i="11"/>
  <c r="AK49" i="11"/>
  <c r="AN35" i="11"/>
  <c r="AN53" i="11"/>
  <c r="AN38" i="11"/>
  <c r="AN46" i="11"/>
  <c r="AN51" i="11"/>
  <c r="AN39" i="11"/>
  <c r="AN48" i="11"/>
  <c r="AP35" i="11"/>
  <c r="AP30" i="11"/>
  <c r="AP43" i="11"/>
  <c r="AP49" i="11"/>
  <c r="AP34" i="11"/>
  <c r="AP44" i="11"/>
  <c r="AK36" i="11"/>
  <c r="AK44" i="11"/>
  <c r="AK42" i="11"/>
  <c r="AK41" i="11"/>
  <c r="AK43" i="11"/>
  <c r="AK53" i="11"/>
  <c r="AN31" i="11"/>
  <c r="AN32" i="11"/>
  <c r="AN40" i="11"/>
  <c r="AN50" i="11"/>
  <c r="AN29" i="11"/>
  <c r="AN41" i="11"/>
  <c r="AN52" i="11"/>
  <c r="AP47" i="11"/>
  <c r="AP36" i="11"/>
  <c r="AP45" i="11"/>
  <c r="AP53" i="11"/>
  <c r="AP38" i="11"/>
  <c r="AP46" i="11"/>
  <c r="AK38" i="11"/>
  <c r="AK34" i="11"/>
  <c r="AK39" i="11"/>
  <c r="AK37" i="11"/>
  <c r="AK31" i="11"/>
  <c r="AN42" i="11"/>
  <c r="AN30" i="11"/>
  <c r="AN43" i="11"/>
  <c r="AP37" i="11"/>
  <c r="AP51" i="11"/>
  <c r="AP39" i="11"/>
  <c r="AP48" i="11"/>
  <c r="AP32" i="11"/>
  <c r="AP40" i="11"/>
  <c r="AP50" i="11"/>
  <c r="AK30" i="11"/>
  <c r="AK40" i="11"/>
  <c r="AK46" i="11"/>
  <c r="AK45" i="11"/>
  <c r="AN37" i="11"/>
  <c r="AN33" i="11"/>
  <c r="AN54" i="11"/>
  <c r="AK32" i="11"/>
  <c r="AK29" i="11"/>
  <c r="AK50" i="11"/>
  <c r="AK47" i="11"/>
  <c r="AK48" i="11"/>
  <c r="AK35" i="11"/>
  <c r="AN49" i="11"/>
  <c r="AN34" i="11"/>
  <c r="AN44" i="11"/>
  <c r="AN47" i="11"/>
  <c r="AN36" i="11"/>
  <c r="AN45" i="11"/>
  <c r="AP31" i="11"/>
  <c r="AP29" i="11"/>
  <c r="AP41" i="11"/>
  <c r="AP52" i="11"/>
  <c r="AP33" i="11"/>
  <c r="AP42" i="11"/>
  <c r="AP54" i="11"/>
  <c r="BJ52" i="11"/>
  <c r="BJ48" i="11"/>
  <c r="BJ45" i="11"/>
  <c r="BJ43" i="11"/>
  <c r="BJ41" i="11"/>
  <c r="BJ39" i="11"/>
  <c r="BJ36" i="11"/>
  <c r="BJ30" i="11"/>
  <c r="BJ29" i="11"/>
  <c r="BJ51" i="11"/>
  <c r="BJ47" i="11"/>
  <c r="BJ54" i="11"/>
  <c r="BJ50" i="11"/>
  <c r="BJ46" i="11"/>
  <c r="BJ44" i="11"/>
  <c r="BJ42" i="11"/>
  <c r="BJ40" i="11"/>
  <c r="BJ38" i="11"/>
  <c r="BJ34" i="11"/>
  <c r="BJ33" i="11"/>
  <c r="BJ32" i="11"/>
  <c r="BJ53" i="11"/>
  <c r="BJ49" i="11"/>
  <c r="BJ37" i="11"/>
  <c r="BJ31" i="11"/>
  <c r="BJ35" i="11"/>
  <c r="AI32" i="11" l="1"/>
  <c r="AI29" i="11"/>
  <c r="AI45" i="11"/>
  <c r="AI31" i="11"/>
  <c r="AI46" i="11"/>
  <c r="AI44" i="11"/>
  <c r="AI33" i="11"/>
  <c r="AI36" i="11"/>
  <c r="AI48" i="11"/>
  <c r="AI35" i="11"/>
  <c r="AI50" i="11"/>
  <c r="AI37" i="11"/>
  <c r="AI40" i="11"/>
  <c r="AI34" i="11"/>
  <c r="AI38" i="11"/>
  <c r="AI52" i="11"/>
  <c r="AI49" i="11"/>
  <c r="AI54" i="11"/>
  <c r="AI47" i="11"/>
  <c r="AI30" i="11"/>
  <c r="AI39" i="11"/>
  <c r="AI43" i="11"/>
  <c r="AI41" i="11"/>
  <c r="AI53" i="11"/>
  <c r="AI42" i="11"/>
  <c r="AI51" i="11"/>
</calcChain>
</file>

<file path=xl/sharedStrings.xml><?xml version="1.0" encoding="utf-8"?>
<sst xmlns="http://schemas.openxmlformats.org/spreadsheetml/2006/main" count="2079" uniqueCount="1638">
  <si>
    <t>SETUP</t>
  </si>
  <si>
    <t>English</t>
  </si>
  <si>
    <t>FIFA World Ranking Points</t>
  </si>
  <si>
    <t>Fair Play Points</t>
  </si>
  <si>
    <t>MY LANGUAGE</t>
  </si>
  <si>
    <t>Original Language (English)</t>
  </si>
  <si>
    <t>Your Language Translation</t>
  </si>
  <si>
    <t>Senegal</t>
  </si>
  <si>
    <t></t>
  </si>
  <si>
    <t>Netherlands</t>
  </si>
  <si>
    <t>Qatar</t>
  </si>
  <si>
    <t>Ecuador</t>
  </si>
  <si>
    <t>England</t>
  </si>
  <si>
    <t>Iran</t>
  </si>
  <si>
    <t>United States</t>
  </si>
  <si>
    <t>Wales</t>
  </si>
  <si>
    <t>Argentina</t>
  </si>
  <si>
    <t>Saudi Arabia</t>
  </si>
  <si>
    <t>Mexico</t>
  </si>
  <si>
    <t>Poland</t>
  </si>
  <si>
    <t>Denmark</t>
  </si>
  <si>
    <t>Tunisia</t>
  </si>
  <si>
    <t>France</t>
  </si>
  <si>
    <t>Australia</t>
  </si>
  <si>
    <t>Germany</t>
  </si>
  <si>
    <t>Japan</t>
  </si>
  <si>
    <t>Spain</t>
  </si>
  <si>
    <t>Costa Rica</t>
  </si>
  <si>
    <t>Morocco</t>
  </si>
  <si>
    <t>Croatia</t>
  </si>
  <si>
    <t>Belgium</t>
  </si>
  <si>
    <t>Canada</t>
  </si>
  <si>
    <t>Switzerland</t>
  </si>
  <si>
    <t>Cameroon</t>
  </si>
  <si>
    <t>Brazil</t>
  </si>
  <si>
    <t>Serbia</t>
  </si>
  <si>
    <t>Uruguay</t>
  </si>
  <si>
    <t>South Korea</t>
  </si>
  <si>
    <t>Portugal</t>
  </si>
  <si>
    <t>Ghana</t>
  </si>
  <si>
    <t>Language</t>
  </si>
  <si>
    <t>*as of March 31st, 2022</t>
  </si>
  <si>
    <t>Timezone</t>
  </si>
  <si>
    <t>Group Stages</t>
  </si>
  <si>
    <t>Matches</t>
  </si>
  <si>
    <t>Standings</t>
  </si>
  <si>
    <t>Group</t>
  </si>
  <si>
    <t>Date</t>
  </si>
  <si>
    <t>Country</t>
  </si>
  <si>
    <t>Score</t>
  </si>
  <si>
    <t>Time</t>
  </si>
  <si>
    <t>Round of 16</t>
  </si>
  <si>
    <t>Quarter Finals</t>
  </si>
  <si>
    <t>Semi Finals</t>
  </si>
  <si>
    <t>Third Place</t>
  </si>
  <si>
    <t>Final</t>
  </si>
  <si>
    <t>Winner</t>
  </si>
  <si>
    <t>Runner Up</t>
  </si>
  <si>
    <t>Normal Time</t>
  </si>
  <si>
    <t>Penalty Shoot Out</t>
  </si>
  <si>
    <t>Champion</t>
  </si>
  <si>
    <t>Match #</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</si>
  <si>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</si>
  <si>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</si>
  <si>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</si>
  <si>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</si>
  <si>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</si>
  <si>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</si>
  <si>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</si>
  <si>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</si>
  <si>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</si>
  <si>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</si>
  <si>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</si>
  <si>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</si>
  <si>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</si>
  <si>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</si>
  <si>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</si>
  <si>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</si>
  <si>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Match 53 Winner</t>
  </si>
  <si>
    <t>Match 54 Winner</t>
  </si>
  <si>
    <t>Match 55 Winner</t>
  </si>
  <si>
    <t>Match 56 Winner</t>
  </si>
  <si>
    <t>Match 57 Winner</t>
  </si>
  <si>
    <t>Match 58 Winner</t>
  </si>
  <si>
    <t>Match 59 Winner</t>
  </si>
  <si>
    <t>Match 60 Winner</t>
  </si>
  <si>
    <t>Match 61 Winner</t>
  </si>
  <si>
    <t>Match 62 Winner</t>
  </si>
  <si>
    <t>Match 63 Winner</t>
  </si>
  <si>
    <t>Match 64 Winner</t>
  </si>
  <si>
    <t>Played</t>
  </si>
  <si>
    <t>Win</t>
  </si>
  <si>
    <t>Draw</t>
  </si>
  <si>
    <t>Lose</t>
  </si>
  <si>
    <t>Goal scored for</t>
  </si>
  <si>
    <t>Goal scored against</t>
  </si>
  <si>
    <t>Point</t>
  </si>
  <si>
    <t>Second place</t>
  </si>
  <si>
    <t>Group A</t>
  </si>
  <si>
    <t>Group B</t>
  </si>
  <si>
    <t>Group C</t>
  </si>
  <si>
    <t>Group D</t>
  </si>
  <si>
    <t>Group E</t>
  </si>
  <si>
    <t>Group F</t>
  </si>
  <si>
    <t>Group G</t>
  </si>
  <si>
    <t>Group H</t>
  </si>
  <si>
    <t>Match 49 Winner</t>
  </si>
  <si>
    <t>Match 50 Winner</t>
  </si>
  <si>
    <t>Match 51 Winner</t>
  </si>
  <si>
    <t>Match 52 Winner</t>
  </si>
  <si>
    <t>Match 61 Loser</t>
  </si>
  <si>
    <t>Match 62 Loser</t>
  </si>
  <si>
    <t>Venue</t>
  </si>
  <si>
    <t>World Cup 2022 Fixtures</t>
  </si>
  <si>
    <t>World Cup 2022 Champion</t>
  </si>
  <si>
    <t>World Cup 2022 Runner Up</t>
  </si>
  <si>
    <t>World Cup 2022 3rd Place</t>
  </si>
  <si>
    <t>P</t>
  </si>
  <si>
    <t>W</t>
  </si>
  <si>
    <t>D</t>
  </si>
  <si>
    <t>L</t>
  </si>
  <si>
    <t>F - A</t>
  </si>
  <si>
    <t>Pt</t>
  </si>
  <si>
    <t>A</t>
  </si>
  <si>
    <t>B</t>
  </si>
  <si>
    <t>C</t>
  </si>
  <si>
    <t>Stadium 974</t>
  </si>
  <si>
    <t>F</t>
  </si>
  <si>
    <t>E</t>
  </si>
  <si>
    <t>G</t>
  </si>
  <si>
    <t>H</t>
  </si>
  <si>
    <t>PSO</t>
  </si>
  <si>
    <t>R16</t>
  </si>
  <si>
    <t>Cairo</t>
  </si>
  <si>
    <t>Canberra</t>
  </si>
  <si>
    <t>Cape Town</t>
  </si>
  <si>
    <t>Caracas</t>
  </si>
  <si>
    <t>Casablanca</t>
  </si>
  <si>
    <t xml:space="preserve">Chicago </t>
  </si>
  <si>
    <t>QF</t>
  </si>
  <si>
    <t xml:space="preserve">Copenhagen </t>
  </si>
  <si>
    <t>SF</t>
  </si>
  <si>
    <t>3rd</t>
  </si>
  <si>
    <t>© 2022 | journalSHEET.com</t>
  </si>
  <si>
    <t>Notes :</t>
  </si>
  <si>
    <t>●</t>
  </si>
  <si>
    <t>Pairing teams in Knock Out rounds will be placed automatically</t>
  </si>
  <si>
    <t>Color meaning :</t>
  </si>
  <si>
    <t>Team Name</t>
  </si>
  <si>
    <t>+0.5</t>
  </si>
  <si>
    <t>+1</t>
  </si>
  <si>
    <t>+1.5</t>
  </si>
  <si>
    <t>+2</t>
  </si>
  <si>
    <t>+2.5</t>
  </si>
  <si>
    <t>+3</t>
  </si>
  <si>
    <t>+3.5</t>
  </si>
  <si>
    <t>+4</t>
  </si>
  <si>
    <t>+4.5</t>
  </si>
  <si>
    <t>+5</t>
  </si>
  <si>
    <t>+5.5</t>
  </si>
  <si>
    <t>+6</t>
  </si>
  <si>
    <t>+6.5</t>
  </si>
  <si>
    <t>+7</t>
  </si>
  <si>
    <t>+7.5</t>
  </si>
  <si>
    <t>+8</t>
  </si>
  <si>
    <t>+8.5</t>
  </si>
  <si>
    <t>+9</t>
  </si>
  <si>
    <t>+9.5</t>
  </si>
  <si>
    <t>+10</t>
  </si>
  <si>
    <t>+10.5</t>
  </si>
  <si>
    <t>+11</t>
  </si>
  <si>
    <t>+11.5</t>
  </si>
  <si>
    <t>+12</t>
  </si>
  <si>
    <t>:</t>
  </si>
  <si>
    <t>Kaliningrad Stadium</t>
  </si>
  <si>
    <t>French</t>
  </si>
  <si>
    <t>German/Deutsch</t>
  </si>
  <si>
    <t>Italian</t>
  </si>
  <si>
    <t>Portuguese</t>
  </si>
  <si>
    <t>Spanish</t>
  </si>
  <si>
    <t>Sénégal</t>
  </si>
  <si>
    <t>Pays-Bas</t>
  </si>
  <si>
    <t>Niederlande</t>
  </si>
  <si>
    <t>Olanda</t>
  </si>
  <si>
    <t>Holanda</t>
  </si>
  <si>
    <t>Países Bajos</t>
  </si>
  <si>
    <t>Katar</t>
  </si>
  <si>
    <t>Catar</t>
  </si>
  <si>
    <t>Equateur</t>
  </si>
  <si>
    <t>Equador</t>
  </si>
  <si>
    <t>Angleterre</t>
  </si>
  <si>
    <t>Inghilterra</t>
  </si>
  <si>
    <t>Inglaterra</t>
  </si>
  <si>
    <t>Ich rannte</t>
  </si>
  <si>
    <t>Ho corso</t>
  </si>
  <si>
    <t>Irã</t>
  </si>
  <si>
    <t>Corrí</t>
  </si>
  <si>
    <t>États-Unis</t>
  </si>
  <si>
    <t>Vereinigte Staaten</t>
  </si>
  <si>
    <t>stati Uniti</t>
  </si>
  <si>
    <t>Estados Unidos</t>
  </si>
  <si>
    <t>Pays de Galles</t>
  </si>
  <si>
    <t>Galles</t>
  </si>
  <si>
    <t>País de Gales</t>
  </si>
  <si>
    <t>Gales</t>
  </si>
  <si>
    <t>Argentine</t>
  </si>
  <si>
    <t>Argentinien</t>
  </si>
  <si>
    <t>Arabie Saoudite</t>
  </si>
  <si>
    <t>Saudi Arabien</t>
  </si>
  <si>
    <t>Arabia Saudita</t>
  </si>
  <si>
    <t>Arábia Saudita</t>
  </si>
  <si>
    <t>Mexique</t>
  </si>
  <si>
    <t>Mexiko</t>
  </si>
  <si>
    <t>Messico</t>
  </si>
  <si>
    <t>México</t>
  </si>
  <si>
    <t>Méjico</t>
  </si>
  <si>
    <t>Pologne</t>
  </si>
  <si>
    <t>Polen</t>
  </si>
  <si>
    <t>Polonia</t>
  </si>
  <si>
    <t>Polônia</t>
  </si>
  <si>
    <t>Danemark</t>
  </si>
  <si>
    <t>Dänemark</t>
  </si>
  <si>
    <t>Danimarca</t>
  </si>
  <si>
    <t>Dinamarca</t>
  </si>
  <si>
    <t>Tunisie</t>
  </si>
  <si>
    <t>Tunesien</t>
  </si>
  <si>
    <t>Tunísia</t>
  </si>
  <si>
    <t>Túnez</t>
  </si>
  <si>
    <t>Frankreich</t>
  </si>
  <si>
    <t>Francia</t>
  </si>
  <si>
    <t>França</t>
  </si>
  <si>
    <t>Australie</t>
  </si>
  <si>
    <t>Australien</t>
  </si>
  <si>
    <t>Austrália</t>
  </si>
  <si>
    <t>Allemagne</t>
  </si>
  <si>
    <t>Deutschland</t>
  </si>
  <si>
    <t>Germania</t>
  </si>
  <si>
    <t>Alemanha</t>
  </si>
  <si>
    <t>Alemania</t>
  </si>
  <si>
    <t>Japon</t>
  </si>
  <si>
    <t>Giappone</t>
  </si>
  <si>
    <t>Japão</t>
  </si>
  <si>
    <t>Japón</t>
  </si>
  <si>
    <t>Espagne</t>
  </si>
  <si>
    <t>Spanien</t>
  </si>
  <si>
    <t>Spagna</t>
  </si>
  <si>
    <t>Espanha</t>
  </si>
  <si>
    <t>España</t>
  </si>
  <si>
    <t>Maroc</t>
  </si>
  <si>
    <t>Marokko</t>
  </si>
  <si>
    <t>Marocco</t>
  </si>
  <si>
    <t>Marrocos</t>
  </si>
  <si>
    <t>Marruecos</t>
  </si>
  <si>
    <t>Croatie</t>
  </si>
  <si>
    <t>Kroatien</t>
  </si>
  <si>
    <t>Croazia</t>
  </si>
  <si>
    <t>Croácia</t>
  </si>
  <si>
    <t>Croacia</t>
  </si>
  <si>
    <t>Belgique</t>
  </si>
  <si>
    <t>Belgien</t>
  </si>
  <si>
    <t>Belgio</t>
  </si>
  <si>
    <t>Bélgica</t>
  </si>
  <si>
    <t>Kanada</t>
  </si>
  <si>
    <t>Canadá</t>
  </si>
  <si>
    <t>Suisse</t>
  </si>
  <si>
    <t>Schweiz</t>
  </si>
  <si>
    <t>Svizzera</t>
  </si>
  <si>
    <t>Suíça</t>
  </si>
  <si>
    <t>Suiza</t>
  </si>
  <si>
    <t>Cameroun</t>
  </si>
  <si>
    <t>Kamerun</t>
  </si>
  <si>
    <t>Camerun</t>
  </si>
  <si>
    <t>Camarões</t>
  </si>
  <si>
    <t>Camerún</t>
  </si>
  <si>
    <t>Brésil</t>
  </si>
  <si>
    <t>Brasilien</t>
  </si>
  <si>
    <t>Brasile</t>
  </si>
  <si>
    <t>Brasil</t>
  </si>
  <si>
    <t>Serbie</t>
  </si>
  <si>
    <t>Serbien</t>
  </si>
  <si>
    <t>Sérvia</t>
  </si>
  <si>
    <t>Uruguai</t>
  </si>
  <si>
    <t>Corée du Sud</t>
  </si>
  <si>
    <t>Südkorea</t>
  </si>
  <si>
    <t>Corea del Sud</t>
  </si>
  <si>
    <t>Coreia do Sul</t>
  </si>
  <si>
    <t>Corea del Sur</t>
  </si>
  <si>
    <t>le Portugal</t>
  </si>
  <si>
    <t>Portogallo</t>
  </si>
  <si>
    <t>Gana</t>
  </si>
  <si>
    <t>Langue</t>
  </si>
  <si>
    <t>Sprache</t>
  </si>
  <si>
    <t>Linguaggio</t>
  </si>
  <si>
    <t>Idioma</t>
  </si>
  <si>
    <t>Fuseau horaire</t>
  </si>
  <si>
    <t>Zeitzone</t>
  </si>
  <si>
    <t>Fuso orario</t>
  </si>
  <si>
    <t>Fuso Horário</t>
  </si>
  <si>
    <t>Zona Horaria</t>
  </si>
  <si>
    <t>Phases de poules</t>
  </si>
  <si>
    <t>Gruppenphase</t>
  </si>
  <si>
    <t>Fase a gruppi</t>
  </si>
  <si>
    <t>Fase de Grupos</t>
  </si>
  <si>
    <t>Fase de grupos</t>
  </si>
  <si>
    <t>Rencontres</t>
  </si>
  <si>
    <t>Spiele</t>
  </si>
  <si>
    <t>Partite</t>
  </si>
  <si>
    <t>Jogos</t>
  </si>
  <si>
    <t>Partidos</t>
  </si>
  <si>
    <t>Classements</t>
  </si>
  <si>
    <t>Tabellen</t>
  </si>
  <si>
    <t>Classifica</t>
  </si>
  <si>
    <t>Classificações</t>
  </si>
  <si>
    <t>Clasificación</t>
  </si>
  <si>
    <t>Groupe</t>
  </si>
  <si>
    <t>Gruppe</t>
  </si>
  <si>
    <t>Gruppo</t>
  </si>
  <si>
    <t>Grupo</t>
  </si>
  <si>
    <t>Datum</t>
  </si>
  <si>
    <t>Data</t>
  </si>
  <si>
    <t>Fecha</t>
  </si>
  <si>
    <t>Pays</t>
  </si>
  <si>
    <t>Land</t>
  </si>
  <si>
    <t>Nazione</t>
  </si>
  <si>
    <t>País</t>
  </si>
  <si>
    <t>Ergebnis</t>
  </si>
  <si>
    <t>Risultato</t>
  </si>
  <si>
    <t>Resultado</t>
  </si>
  <si>
    <t>Heure</t>
  </si>
  <si>
    <t>Uhrzeit</t>
  </si>
  <si>
    <t>Ora</t>
  </si>
  <si>
    <t>Tempo</t>
  </si>
  <si>
    <t>Hora</t>
  </si>
  <si>
    <t xml:space="preserve">Huitièmes de finale </t>
  </si>
  <si>
    <t>Achtelfinale</t>
  </si>
  <si>
    <t>Ottavi di finale</t>
  </si>
  <si>
    <t>Oitavos de Final</t>
  </si>
  <si>
    <t>Octavos de final</t>
  </si>
  <si>
    <t>Quarts de finale</t>
  </si>
  <si>
    <t>Viertelfinale</t>
  </si>
  <si>
    <t>Quarti di finale</t>
  </si>
  <si>
    <t>Quartos de Final</t>
  </si>
  <si>
    <t>Cuartos de final</t>
  </si>
  <si>
    <t>Demi-finales</t>
  </si>
  <si>
    <t>Halbfinale</t>
  </si>
  <si>
    <t>Semifinale</t>
  </si>
  <si>
    <t>Meias Finais</t>
  </si>
  <si>
    <t>Semifinales</t>
  </si>
  <si>
    <t>Finale</t>
  </si>
  <si>
    <t>Gagnant</t>
  </si>
  <si>
    <t>Sieger</t>
  </si>
  <si>
    <t>Vincitore</t>
  </si>
  <si>
    <t>Vencedor</t>
  </si>
  <si>
    <t>Ganador</t>
  </si>
  <si>
    <t>Second</t>
  </si>
  <si>
    <t>Zweiter</t>
  </si>
  <si>
    <t>Qualificato</t>
  </si>
  <si>
    <t>Vencido</t>
  </si>
  <si>
    <t>Subcampeón</t>
  </si>
  <si>
    <t>Temps réglementaire</t>
  </si>
  <si>
    <t>Reguläre Spielzeit</t>
  </si>
  <si>
    <t>Tempo regolamentare</t>
  </si>
  <si>
    <t>Tempo Regulamentar</t>
  </si>
  <si>
    <t>90 minutos</t>
  </si>
  <si>
    <t>Tirs au but</t>
  </si>
  <si>
    <t>Elfmeterschießen</t>
  </si>
  <si>
    <t>Rigori</t>
  </si>
  <si>
    <t>Penáltis</t>
  </si>
  <si>
    <t>Penaltys</t>
  </si>
  <si>
    <t>Meister</t>
  </si>
  <si>
    <t>Campione</t>
  </si>
  <si>
    <t>Campeão</t>
  </si>
  <si>
    <t>Campeón</t>
  </si>
  <si>
    <t>Spiel #</t>
  </si>
  <si>
    <t>Partita n°</t>
  </si>
  <si>
    <t>Jogo #</t>
  </si>
  <si>
    <t>Partido #</t>
  </si>
  <si>
    <t>Groupe A Vainqueur</t>
  </si>
  <si>
    <t>Sieger Gruppe A</t>
  </si>
  <si>
    <t>Vincitore gruppo A</t>
  </si>
  <si>
    <t>Vencedor Grupo A</t>
  </si>
  <si>
    <t>Primero Grupo A</t>
  </si>
  <si>
    <t>Groupe B Vainqueur</t>
  </si>
  <si>
    <t>Sieger Gruppe B</t>
  </si>
  <si>
    <t>Vincitore gruppo B</t>
  </si>
  <si>
    <t>Vencedor Grupo B</t>
  </si>
  <si>
    <t>Primero Grupo B</t>
  </si>
  <si>
    <t>Groupe C Vainqueur</t>
  </si>
  <si>
    <t>Sieger Gruppe C</t>
  </si>
  <si>
    <t>Vincitore gruppo C</t>
  </si>
  <si>
    <t>Vencedor Grupo C</t>
  </si>
  <si>
    <t>Primero Grupo C</t>
  </si>
  <si>
    <t>Groupe D Vainqueur</t>
  </si>
  <si>
    <t>Sieger Gruppe D</t>
  </si>
  <si>
    <t>Vincitore gruppo D</t>
  </si>
  <si>
    <t>Vencedor Grupo D</t>
  </si>
  <si>
    <t>Primero Grupo D</t>
  </si>
  <si>
    <t>Groupe E Vainqueur</t>
  </si>
  <si>
    <t>Sieger Gruppe E</t>
  </si>
  <si>
    <t>Vincitore gruppo E</t>
  </si>
  <si>
    <t>Vencedor Grupo E</t>
  </si>
  <si>
    <t>Primero Grupo E</t>
  </si>
  <si>
    <t>Groupe F Vainqueur</t>
  </si>
  <si>
    <t>Sieger Gruppe F</t>
  </si>
  <si>
    <t>Vincitore gruppo F</t>
  </si>
  <si>
    <t>Vencedor Grupo F</t>
  </si>
  <si>
    <t>Primero Grupo F</t>
  </si>
  <si>
    <t>Groupe G Vainqueur</t>
  </si>
  <si>
    <t>Sieger Gruppe G</t>
  </si>
  <si>
    <t>Vincitore gruppo G</t>
  </si>
  <si>
    <t>Vencedor Grupo G</t>
  </si>
  <si>
    <t>Primero Grupo G</t>
  </si>
  <si>
    <t>Groupe H Vainqueur</t>
  </si>
  <si>
    <t>Sieger Gruppe H</t>
  </si>
  <si>
    <t>Vincitore gruppo H</t>
  </si>
  <si>
    <t>Vencedor Grupo H</t>
  </si>
  <si>
    <t>Primero Grupo H</t>
  </si>
  <si>
    <t>Second Groupe A</t>
  </si>
  <si>
    <t>Zweiter Gruppe A</t>
  </si>
  <si>
    <t>Seconda gruppo A</t>
  </si>
  <si>
    <t>2º Classificado Grupo A</t>
  </si>
  <si>
    <t>Segundo Grupo A</t>
  </si>
  <si>
    <t>Second Groupe B</t>
  </si>
  <si>
    <t>Zweiter Gruppe B</t>
  </si>
  <si>
    <t>Seconda gruppo B</t>
  </si>
  <si>
    <t>2º Classificado Grupo B</t>
  </si>
  <si>
    <t>Segundo Grupo B</t>
  </si>
  <si>
    <t>Second Groupe C</t>
  </si>
  <si>
    <t>Zweiter Gruppe C</t>
  </si>
  <si>
    <t>Seconda gruppo C</t>
  </si>
  <si>
    <t>2º Classificado Grupo C</t>
  </si>
  <si>
    <t>Segundo Grupo C</t>
  </si>
  <si>
    <t>Second Groupe D</t>
  </si>
  <si>
    <t>Zweiter Gruppe D</t>
  </si>
  <si>
    <t>Seconda gruppo D</t>
  </si>
  <si>
    <t>2º Classificado Grupo D</t>
  </si>
  <si>
    <t>Segundo Grupo D</t>
  </si>
  <si>
    <t>Second Groupe E</t>
  </si>
  <si>
    <t>Zweiter Gruppe E</t>
  </si>
  <si>
    <t>Seconda gruppo E</t>
  </si>
  <si>
    <t>2º Classificado Grupo E</t>
  </si>
  <si>
    <t>Segundo Grupo E</t>
  </si>
  <si>
    <t>Second Groupe F</t>
  </si>
  <si>
    <t>Zweiter Gruppe F</t>
  </si>
  <si>
    <t>Seconda gruppo F</t>
  </si>
  <si>
    <t>2º Classificado Grupo F</t>
  </si>
  <si>
    <t>Segundo Grupo F</t>
  </si>
  <si>
    <t>Second Groupe G</t>
  </si>
  <si>
    <t>Zweiter Gruppe G</t>
  </si>
  <si>
    <t>Seconda gruppo G</t>
  </si>
  <si>
    <t>2º Classificado Grupo G</t>
  </si>
  <si>
    <t>Segundo Grupo G</t>
  </si>
  <si>
    <t>Second Groupe H</t>
  </si>
  <si>
    <t>Zweiter Gruppe H</t>
  </si>
  <si>
    <t>Seconda gruppo H</t>
  </si>
  <si>
    <t>2º Classificado Grupo H</t>
  </si>
  <si>
    <t>Segundo Grupo H</t>
  </si>
  <si>
    <t>Match 53 Vainqueur</t>
  </si>
  <si>
    <t>Sieger Spiel 53</t>
  </si>
  <si>
    <t>Vincitore partita 53</t>
  </si>
  <si>
    <t>Vencedor Jogo 53</t>
  </si>
  <si>
    <t>Ganador partido 53</t>
  </si>
  <si>
    <t>Match 54 Vainqueur</t>
  </si>
  <si>
    <t>Sieger Spiel 54</t>
  </si>
  <si>
    <t>Vincitore partita 54</t>
  </si>
  <si>
    <t>Vencedor Jogo 54</t>
  </si>
  <si>
    <t>Ganador partido 54</t>
  </si>
  <si>
    <t>Match 55 Vainqueur</t>
  </si>
  <si>
    <t>Sieger Spiel 55</t>
  </si>
  <si>
    <t>Vincitore partita 55</t>
  </si>
  <si>
    <t>Vencedor Jogo 55</t>
  </si>
  <si>
    <t>Ganador partido 55</t>
  </si>
  <si>
    <t>Match 56 Vainqueur</t>
  </si>
  <si>
    <t>Sieger Spiel 56</t>
  </si>
  <si>
    <t>Vincitore partita 56</t>
  </si>
  <si>
    <t>Vencedor Jogo 56</t>
  </si>
  <si>
    <t>Ganador partido 56</t>
  </si>
  <si>
    <t>Match 57 Vainqueur</t>
  </si>
  <si>
    <t>Sieger Spiel 57</t>
  </si>
  <si>
    <t>Vincitore partita 57</t>
  </si>
  <si>
    <t>Vencedor Jogo 57</t>
  </si>
  <si>
    <t>Ganador partido 57</t>
  </si>
  <si>
    <t>Match 58 Vainqueur</t>
  </si>
  <si>
    <t>Sieger Spiel 58</t>
  </si>
  <si>
    <t>Vincitore partita 58</t>
  </si>
  <si>
    <t>Vencedor Jogo 58</t>
  </si>
  <si>
    <t>Ganador partido 58</t>
  </si>
  <si>
    <t>Match 59 Vainqueur</t>
  </si>
  <si>
    <t>Sieger Spiel 59</t>
  </si>
  <si>
    <t>Vincitore partita 59</t>
  </si>
  <si>
    <t>Vencedor Jogo 59</t>
  </si>
  <si>
    <t>Ganador partido 59</t>
  </si>
  <si>
    <t>Match 60 Vainqueur</t>
  </si>
  <si>
    <t>Sieger Spiel 60</t>
  </si>
  <si>
    <t>Vincitore partita 60</t>
  </si>
  <si>
    <t>Vencedor Jogo 60</t>
  </si>
  <si>
    <t>Ganador partido 60</t>
  </si>
  <si>
    <t>Match 61 Vainqueur</t>
  </si>
  <si>
    <t>Sieger Spiel 61</t>
  </si>
  <si>
    <t>Vincitore partita 61</t>
  </si>
  <si>
    <t>Vencedor Jogo 61</t>
  </si>
  <si>
    <t>Ganador partido 61</t>
  </si>
  <si>
    <t>Match 62 Vainqueur</t>
  </si>
  <si>
    <t>Sieger Spiel 62</t>
  </si>
  <si>
    <t>Vincitore partita 62</t>
  </si>
  <si>
    <t>Vencedor Jogo 62</t>
  </si>
  <si>
    <t>Ganador partido 62</t>
  </si>
  <si>
    <t>Match 63 Vainqueur</t>
  </si>
  <si>
    <t>Sieger Spiel 63</t>
  </si>
  <si>
    <t>Vincitore partita 63</t>
  </si>
  <si>
    <t>Vencedor Jogo 63</t>
  </si>
  <si>
    <t>Ganador partido 63</t>
  </si>
  <si>
    <t>Match 64 Vainqueur</t>
  </si>
  <si>
    <t>Sieger Spiel 64</t>
  </si>
  <si>
    <t>Vincitore partita 64</t>
  </si>
  <si>
    <t>Vencedor Jogo 64</t>
  </si>
  <si>
    <t>Ganador del partido 64</t>
  </si>
  <si>
    <t xml:space="preserve">Joué </t>
  </si>
  <si>
    <t>Giocate</t>
  </si>
  <si>
    <t>Jugados</t>
  </si>
  <si>
    <t>Gagné</t>
  </si>
  <si>
    <t>Gewonnen</t>
  </si>
  <si>
    <t>Vinte</t>
  </si>
  <si>
    <t>Vitórias</t>
  </si>
  <si>
    <t>Ganados</t>
  </si>
  <si>
    <t>Nul</t>
  </si>
  <si>
    <t>Unentschieden</t>
  </si>
  <si>
    <t>Pareggiate</t>
  </si>
  <si>
    <t>Empates</t>
  </si>
  <si>
    <t>Empatados</t>
  </si>
  <si>
    <t>Perdu</t>
  </si>
  <si>
    <t>Verloren</t>
  </si>
  <si>
    <t>Perse</t>
  </si>
  <si>
    <t>Derrotas</t>
  </si>
  <si>
    <t>Perdidos</t>
  </si>
  <si>
    <t>But pour</t>
  </si>
  <si>
    <t>Tore</t>
  </si>
  <si>
    <t>Goal segnati</t>
  </si>
  <si>
    <t>Golos Marcados</t>
  </si>
  <si>
    <t>Goles a favor</t>
  </si>
  <si>
    <t>But contre</t>
  </si>
  <si>
    <t>Gegentore</t>
  </si>
  <si>
    <t>Goal subiti</t>
  </si>
  <si>
    <t>Golos Sofridos</t>
  </si>
  <si>
    <t>Goles en contra</t>
  </si>
  <si>
    <t>Punkte</t>
  </si>
  <si>
    <t>Punti</t>
  </si>
  <si>
    <t>Pontos</t>
  </si>
  <si>
    <t>Puntos</t>
  </si>
  <si>
    <t>Deuxième place</t>
  </si>
  <si>
    <t>Zweiter Platz</t>
  </si>
  <si>
    <t>Secondo posto</t>
  </si>
  <si>
    <t>Segundo Lugar</t>
  </si>
  <si>
    <t>Segunda puesto</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</si>
  <si>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</si>
  <si>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</si>
  <si>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</si>
  <si>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</si>
  <si>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</si>
  <si>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</si>
  <si>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</si>
  <si>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</si>
  <si>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</si>
  <si>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</si>
  <si>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</si>
  <si>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</si>
  <si>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</si>
  <si>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</si>
  <si>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</si>
  <si>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</si>
  <si>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</si>
  <si>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</si>
  <si>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</si>
  <si>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</si>
  <si>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</si>
  <si>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</si>
  <si>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</si>
  <si>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</si>
  <si>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Groupe G</t>
  </si>
  <si>
    <t>Gruppe G</t>
  </si>
  <si>
    <t>Gruppo G</t>
  </si>
  <si>
    <t>Grupo G</t>
  </si>
  <si>
    <t>Groupe H</t>
  </si>
  <si>
    <t>Gruppe H</t>
  </si>
  <si>
    <t>Gruppo H</t>
  </si>
  <si>
    <t>Grupo H</t>
  </si>
  <si>
    <t>Match 49 Vainqueur</t>
  </si>
  <si>
    <t>Sieger Spiel 49</t>
  </si>
  <si>
    <t>Vincitore partita 49</t>
  </si>
  <si>
    <t>Vencedor Jogo 49</t>
  </si>
  <si>
    <t>Ganador partido 49</t>
  </si>
  <si>
    <t>Match 50 Vainqueur</t>
  </si>
  <si>
    <t>Sieger Spiel 50</t>
  </si>
  <si>
    <t>Vincitore partita 50</t>
  </si>
  <si>
    <t>Vencedor Jogo 50</t>
  </si>
  <si>
    <t>Ganador partido 50</t>
  </si>
  <si>
    <t>Match 51 Vainqueur</t>
  </si>
  <si>
    <t>Sieger Spiel 51</t>
  </si>
  <si>
    <t>Vincitore partita 51</t>
  </si>
  <si>
    <t>Vencedor Jogo 51</t>
  </si>
  <si>
    <t>Ganador partido 51</t>
  </si>
  <si>
    <t>Match 52 Vainqueur</t>
  </si>
  <si>
    <t>Sieger Spiel 52</t>
  </si>
  <si>
    <t>Vincitore partita 52</t>
  </si>
  <si>
    <t>Vencedor Jogo 52</t>
  </si>
  <si>
    <t>Ganador partido 52</t>
  </si>
  <si>
    <t>Match 61 Perdant</t>
  </si>
  <si>
    <t>Verlierer Spiel 61</t>
  </si>
  <si>
    <t>Perdente partita 61</t>
  </si>
  <si>
    <t>Derrotado Jogo 61</t>
  </si>
  <si>
    <t>Perdedor partido 61</t>
  </si>
  <si>
    <t>Match 62 Perdant</t>
  </si>
  <si>
    <t>Verlierer Spiel 62</t>
  </si>
  <si>
    <t>Perdente partita 62</t>
  </si>
  <si>
    <t>Derrotado Jogo 62</t>
  </si>
  <si>
    <t>Perdedor partido 62</t>
  </si>
  <si>
    <t>Lieu</t>
  </si>
  <si>
    <t>Veranstaltungsort</t>
  </si>
  <si>
    <t>Luogo</t>
  </si>
  <si>
    <t>Local</t>
  </si>
  <si>
    <t>Evento</t>
  </si>
  <si>
    <t>Weltmeister 2022</t>
  </si>
  <si>
    <t>Campeón de la Copa del Mundo 2022</t>
  </si>
  <si>
    <t>Won in Group Stages</t>
  </si>
  <si>
    <t>Lose in Group and KO Stages</t>
  </si>
  <si>
    <t>Fill full time scores in column H and I</t>
  </si>
  <si>
    <t>Fill penalty shoot out scores in column L and M</t>
  </si>
  <si>
    <t>Group standings will be calculated automatically based on official FIFA World Cup Tie Breaker regulation</t>
  </si>
  <si>
    <t>Won by KO Rounds</t>
  </si>
  <si>
    <t>Original</t>
  </si>
  <si>
    <t>Time Difference with Qatar Time ►</t>
  </si>
  <si>
    <t>Language ►</t>
  </si>
  <si>
    <t>Custom Language Translation Title ►</t>
  </si>
  <si>
    <t>◄</t>
  </si>
  <si>
    <t>Select your time preference by adding or subtracting your local time with Qatar time</t>
  </si>
  <si>
    <t>Do not forget to select your Custom Language translation title in cell C5 to translate matches worksheet to your language after you filling all translation rows in column C</t>
  </si>
  <si>
    <t>FIFA World Ranking points for your reference only. Do not need to change.</t>
  </si>
  <si>
    <t>You may need to type FAIR PLAY points if two or more teams in group standings have to go through tie-breaker 7 where their standings is decided by fair play point</t>
  </si>
  <si>
    <t>TIE BREAKER REGULATION</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</si>
  <si>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</si>
  <si>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</si>
  <si>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</si>
  <si>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</si>
  <si>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</si>
  <si>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</si>
  <si>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Fair play points in all group matches (only one deduction can be applied to a player in a single match):</t>
  </si>
  <si>
    <t>Drawing of lots.</t>
  </si>
  <si>
    <t>&gt; Yellow card: −1 point;</t>
  </si>
  <si>
    <t>&gt; Indirect red card (second yellow card): −3 points;</t>
  </si>
  <si>
    <t>&gt; Direct red card: −4 points;</t>
  </si>
  <si>
    <t>&gt; Yellow card and direct red card: −5 points;</t>
  </si>
  <si>
    <t>The ranking of teams in the group stage is determined as follows:</t>
  </si>
  <si>
    <t>source :</t>
  </si>
  <si>
    <t>https://digitalhub.fifa.com/m/2744a0a5e3ded185/original/FIFA-World-Cup-Qatar-2022-Regulations_EN.pdf</t>
  </si>
  <si>
    <t>BN7</t>
  </si>
  <si>
    <t>BN8</t>
  </si>
  <si>
    <t>BN9</t>
  </si>
  <si>
    <t>BN10</t>
  </si>
  <si>
    <t>BN11</t>
  </si>
  <si>
    <t>BN12</t>
  </si>
  <si>
    <t>BN13</t>
  </si>
  <si>
    <t>BN14</t>
  </si>
  <si>
    <t>BN15</t>
  </si>
  <si>
    <t>BN16</t>
  </si>
  <si>
    <t>BN17</t>
  </si>
  <si>
    <t>BN18</t>
  </si>
  <si>
    <t>BN19</t>
  </si>
  <si>
    <t>BN20</t>
  </si>
  <si>
    <t>BN21</t>
  </si>
  <si>
    <t>BN22</t>
  </si>
  <si>
    <t>BN23</t>
  </si>
  <si>
    <t>BN24</t>
  </si>
  <si>
    <t>BN25</t>
  </si>
  <si>
    <t>BN26</t>
  </si>
  <si>
    <t>BN27</t>
  </si>
  <si>
    <t>BN28</t>
  </si>
  <si>
    <t>BN29</t>
  </si>
  <si>
    <t>BN30</t>
  </si>
  <si>
    <t>BN31</t>
  </si>
  <si>
    <t>BN32</t>
  </si>
  <si>
    <t>BN33</t>
  </si>
  <si>
    <t>BN34</t>
  </si>
  <si>
    <t>BN35</t>
  </si>
  <si>
    <t>BN36</t>
  </si>
  <si>
    <t>BN37</t>
  </si>
  <si>
    <t>BN38</t>
  </si>
  <si>
    <t>MATCHES ARE SORTED BY MATCH TIME NOT MATCH NUMBER</t>
  </si>
  <si>
    <t>matches source reference :</t>
  </si>
  <si>
    <t>https://www.fifa.com/tournaments/mens/worldcup/qatar2022/news/match-schedule-fwc22</t>
  </si>
  <si>
    <t>DO NOT SORT MATCHES BY MATCH NUMBER. IT WILL BREAK COUNTRY REFERENCE FORMULA</t>
  </si>
  <si>
    <t>Do not change or sort country order. It will break country reference formula</t>
  </si>
  <si>
    <t>World Cup 2022 Schedule</t>
  </si>
  <si>
    <t>Knock Out Rounds</t>
  </si>
  <si>
    <t>LICENSE</t>
  </si>
  <si>
    <t>ABOUT</t>
  </si>
  <si>
    <t>UPDATE</t>
  </si>
  <si>
    <t>Editiion</t>
  </si>
  <si>
    <t>Version</t>
  </si>
  <si>
    <t>License</t>
  </si>
  <si>
    <t>Single User</t>
  </si>
  <si>
    <t>Product Info</t>
  </si>
  <si>
    <t>https://journalsheet.com</t>
  </si>
  <si>
    <t>Support</t>
  </si>
  <si>
    <t>support@journalsheet.com</t>
  </si>
  <si>
    <t>Copyrights ©</t>
  </si>
  <si>
    <t>2022 | journalSHEET.com</t>
  </si>
  <si>
    <r>
      <t>journal</t>
    </r>
    <r>
      <rPr>
        <b/>
        <sz val="22"/>
        <color rgb="FF00B050"/>
        <rFont val="Calibri"/>
        <family val="2"/>
        <scheme val="minor"/>
      </rPr>
      <t>SHEET</t>
    </r>
    <r>
      <rPr>
        <b/>
        <sz val="22"/>
        <color theme="0"/>
        <rFont val="Calibri"/>
        <family val="2"/>
        <scheme val="minor"/>
      </rPr>
      <t>.com</t>
    </r>
  </si>
  <si>
    <r>
      <t xml:space="preserve">Select your language. There are only 6 translated language. You can translate default English language to your own by typing its translation in column C. </t>
    </r>
    <r>
      <rPr>
        <sz val="11"/>
        <color rgb="FFFF0000"/>
        <rFont val="Calibri"/>
        <family val="2"/>
        <scheme val="minor"/>
      </rPr>
      <t>YOU NEED TO TRANSLATE ALL TEXTS FROM COLUMN B</t>
    </r>
    <r>
      <rPr>
        <sz val="11"/>
        <rFont val="Calibri"/>
        <family val="2"/>
        <scheme val="minor"/>
      </rPr>
      <t xml:space="preserve"> if you want to use your own translation.</t>
    </r>
  </si>
  <si>
    <t>Get more sport spreadsheets in journalSHEET.com</t>
  </si>
  <si>
    <t>Al Thumama</t>
  </si>
  <si>
    <t>Khalifa International</t>
  </si>
  <si>
    <t>Al Bayt</t>
  </si>
  <si>
    <t>Ahmad Bin Ali</t>
  </si>
  <si>
    <t>Lusail</t>
  </si>
  <si>
    <t>Education City</t>
  </si>
  <si>
    <t>Al Janoub</t>
  </si>
  <si>
    <t>1st</t>
  </si>
  <si>
    <t>2nd</t>
  </si>
  <si>
    <t>4th</t>
  </si>
  <si>
    <t>5th</t>
  </si>
  <si>
    <t>6th</t>
  </si>
  <si>
    <t>7th</t>
  </si>
  <si>
    <t>8th</t>
  </si>
  <si>
    <t>musadya</t>
  </si>
  <si>
    <t>Samara</t>
  </si>
  <si>
    <t>Neymar</t>
  </si>
  <si>
    <t>Goal Scorer</t>
  </si>
  <si>
    <t>FT</t>
  </si>
  <si>
    <t>Top Scorer</t>
  </si>
  <si>
    <t>Mohammed Al-Owais</t>
  </si>
  <si>
    <t>Fernando Muslera</t>
  </si>
  <si>
    <t>Munir Mohamedi</t>
  </si>
  <si>
    <t>Alireza Beiranvand</t>
  </si>
  <si>
    <t>Hugo Lloris</t>
  </si>
  <si>
    <t>Kasper Schmeichel</t>
  </si>
  <si>
    <t>Alisson</t>
  </si>
  <si>
    <t>Keylor Navas</t>
  </si>
  <si>
    <t>Manuel Neuer</t>
  </si>
  <si>
    <t>Koen Casteels</t>
  </si>
  <si>
    <t>Eiji Kawashima</t>
  </si>
  <si>
    <t>Yassine Bounou</t>
  </si>
  <si>
    <t>Benjamin Pavard</t>
  </si>
  <si>
    <t>Alfredo Talavera</t>
  </si>
  <si>
    <t>Thibaut Courtois</t>
  </si>
  <si>
    <t>Jordan Pickford</t>
  </si>
  <si>
    <t>Ahmed Reda Tagnaouti</t>
  </si>
  <si>
    <t>Amir Abedzadeh</t>
  </si>
  <si>
    <t>Presnel Kimpembe</t>
  </si>
  <si>
    <t>Danny Vukovic</t>
  </si>
  <si>
    <t>Franco Armani</t>
  </si>
  <si>
    <t>Ederson</t>
  </si>
  <si>
    <t>Yann Sommer</t>
  </si>
  <si>
    <t>Kevin Trapp</t>
  </si>
  <si>
    <t>Guillermo Ochoa</t>
  </si>
  <si>
    <t>Simon Mignolet</t>
  </si>
  <si>
    <t>Aymen Mathlouthi</t>
  </si>
  <si>
    <t>Nick Pope</t>
  </si>
  <si>
    <t>Alfred Gomis</t>
  </si>
  <si>
    <t>Ramin Rezaeian</t>
  </si>
  <si>
    <t>Raphaël Varane</t>
  </si>
  <si>
    <t>Aziz Behich</t>
  </si>
  <si>
    <t>Danilo</t>
  </si>
  <si>
    <t>Manuel Akanji</t>
  </si>
  <si>
    <t>Toby Alderweireld</t>
  </si>
  <si>
    <t>Trent Alexander-Arnold</t>
  </si>
  <si>
    <t>Jan Bednarek</t>
  </si>
  <si>
    <t>Yasser Al-Shahrani</t>
  </si>
  <si>
    <t>Andreas Christensen</t>
  </si>
  <si>
    <t>Domagoj Vida</t>
  </si>
  <si>
    <t>Matthias Ginter</t>
  </si>
  <si>
    <t>Jordi Alba</t>
  </si>
  <si>
    <t>Morteza Pouraliganji</t>
  </si>
  <si>
    <t>Nico Elvedi</t>
  </si>
  <si>
    <t>Kalidou Koulibaly</t>
  </si>
  <si>
    <t>Maya Yoshida</t>
  </si>
  <si>
    <t>César Azpilicueta</t>
  </si>
  <si>
    <t>Romain Saïss</t>
  </si>
  <si>
    <t>Antoine Griezmann</t>
  </si>
  <si>
    <t>Dejan Lovren</t>
  </si>
  <si>
    <t>Bryan Oviedo</t>
  </si>
  <si>
    <t>Thomas Meunier</t>
  </si>
  <si>
    <t>Dylan Bronn</t>
  </si>
  <si>
    <t>Kamil Glik</t>
  </si>
  <si>
    <t>Hiroki Sakai</t>
  </si>
  <si>
    <t>Pepe</t>
  </si>
  <si>
    <t>Dani Carvajal</t>
  </si>
  <si>
    <t>Óscar Duarte</t>
  </si>
  <si>
    <t>Joshua Kimmich</t>
  </si>
  <si>
    <t>Harry Maguire</t>
  </si>
  <si>
    <t>Ali Al-Bulaihi</t>
  </si>
  <si>
    <t>Milad Mohammadi</t>
  </si>
  <si>
    <t>Olivier Giroud</t>
  </si>
  <si>
    <t>Marquinhos</t>
  </si>
  <si>
    <t>Francisco Calvo</t>
  </si>
  <si>
    <t>Jan Vertonghen</t>
  </si>
  <si>
    <t>Guillermo Varela</t>
  </si>
  <si>
    <t>Achraf Hakimi</t>
  </si>
  <si>
    <t>Kylian Mbappé</t>
  </si>
  <si>
    <t>Jackson Irvine</t>
  </si>
  <si>
    <t>Ricardo Rodriguez</t>
  </si>
  <si>
    <t>Kendall Waston</t>
  </si>
  <si>
    <t>Yassine Meriah</t>
  </si>
  <si>
    <t>John Stones</t>
  </si>
  <si>
    <t>Youssouf Sabaly</t>
  </si>
  <si>
    <t>Wataru Endo</t>
  </si>
  <si>
    <t>Saeid Ezatolahi</t>
  </si>
  <si>
    <t>Ousmane Dembélé</t>
  </si>
  <si>
    <t>Thiago Silva</t>
  </si>
  <si>
    <t>Rónald Matarrita</t>
  </si>
  <si>
    <t>Hong Chul</t>
  </si>
  <si>
    <t>Kevin De Bruyne</t>
  </si>
  <si>
    <t>Kieran Trippier</t>
  </si>
  <si>
    <t>Idrissa Gueye</t>
  </si>
  <si>
    <t>Lucas Torreira</t>
  </si>
  <si>
    <t>Thomas Delaney</t>
  </si>
  <si>
    <t>Casemiro</t>
  </si>
  <si>
    <t>Julian Brandt</t>
  </si>
  <si>
    <t>Kyle Walker</t>
  </si>
  <si>
    <t>Cheikhou Kouyaté</t>
  </si>
  <si>
    <t>Abdullah Otayf</t>
  </si>
  <si>
    <t>Koke</t>
  </si>
  <si>
    <t>Saman Ghoddos</t>
  </si>
  <si>
    <t>Celso Borges</t>
  </si>
  <si>
    <t>Leander Dendoncker</t>
  </si>
  <si>
    <t>Rodrigo Bentancur</t>
  </si>
  <si>
    <t>Mehdi Torabi</t>
  </si>
  <si>
    <t>Grzegorz Krychowiak</t>
  </si>
  <si>
    <t>Aaron Mooy</t>
  </si>
  <si>
    <t>Christian Eriksen</t>
  </si>
  <si>
    <t>Fred</t>
  </si>
  <si>
    <t>Remo Freuler</t>
  </si>
  <si>
    <t>Leon Goretzka</t>
  </si>
  <si>
    <t>Youri Tielemans</t>
  </si>
  <si>
    <t>Eric Dier</t>
  </si>
  <si>
    <t>Salman Al-Faraj</t>
  </si>
  <si>
    <t>Marco Asensio</t>
  </si>
  <si>
    <t>Hakim Ziyech</t>
  </si>
  <si>
    <t>Steve Mandanda</t>
  </si>
  <si>
    <t>Xherdan Shaqiri</t>
  </si>
  <si>
    <t>Yeltsin Tejeda</t>
  </si>
  <si>
    <t>Axel Witsel</t>
  </si>
  <si>
    <t>Jordan Henderson</t>
  </si>
  <si>
    <t>Sadio Mané</t>
  </si>
  <si>
    <t>Mohamed Kanno</t>
  </si>
  <si>
    <t>Ehsan Hajsafi</t>
  </si>
  <si>
    <t>Granit Xhaka</t>
  </si>
  <si>
    <t>Michy Batshuayi</t>
  </si>
  <si>
    <t>Ferjani Sassi</t>
  </si>
  <si>
    <t>Vahid Amiri</t>
  </si>
  <si>
    <t>Martin Braithwaite</t>
  </si>
  <si>
    <t>Yannick Carrasco</t>
  </si>
  <si>
    <t>Ellyes Skhiri</t>
  </si>
  <si>
    <t>Salem Al-Dawsari</t>
  </si>
  <si>
    <t>Bernardo Silva</t>
  </si>
  <si>
    <t>Sergio Busquets</t>
  </si>
  <si>
    <t>Sofyan Amrabat</t>
  </si>
  <si>
    <t>Alireza Jahanbakhsh</t>
  </si>
  <si>
    <t>Andreas Cornelius</t>
  </si>
  <si>
    <t>Lionel Messi</t>
  </si>
  <si>
    <t>Denis Zakaria</t>
  </si>
  <si>
    <t>Eden Hazard</t>
  </si>
  <si>
    <t>Harry Kane</t>
  </si>
  <si>
    <t>Gaku Shibasaki</t>
  </si>
  <si>
    <t>Cristiano Ronaldo</t>
  </si>
  <si>
    <t>Amine Harit</t>
  </si>
  <si>
    <t>Karim Ansarifard</t>
  </si>
  <si>
    <t>Mathew Leckie</t>
  </si>
  <si>
    <t>Bryan Ruiz</t>
  </si>
  <si>
    <t>Thorgan Hazard</t>
  </si>
  <si>
    <t>Marcus Rashford</t>
  </si>
  <si>
    <t>Fahad Al-Muwallad</t>
  </si>
  <si>
    <t>Yussuf Poulsen</t>
  </si>
  <si>
    <t>Gabriel Jesus</t>
  </si>
  <si>
    <t>Breel Embolo</t>
  </si>
  <si>
    <t>Joel Campbell</t>
  </si>
  <si>
    <t>Raheem Sterling</t>
  </si>
  <si>
    <t>Robert Lewandowski</t>
  </si>
  <si>
    <t>Ismaïla Sarr</t>
  </si>
  <si>
    <t>Edinson Cavani</t>
  </si>
  <si>
    <t>Sardar Azmoun</t>
  </si>
  <si>
    <t>Paulo Dybala</t>
  </si>
  <si>
    <t>Hirving Lozano</t>
  </si>
  <si>
    <t>Romelu Lukaku</t>
  </si>
  <si>
    <t>Arkadiusz Milik</t>
  </si>
  <si>
    <t>Alphonse Areola</t>
  </si>
  <si>
    <t>Jamie Maclaren</t>
  </si>
  <si>
    <t>Kasper Dolberg</t>
  </si>
  <si>
    <t>Haris Seferovic</t>
  </si>
  <si>
    <t>Johan Venegas</t>
  </si>
  <si>
    <t>Dries Mertens</t>
  </si>
  <si>
    <t>Wahbi Khazri</t>
  </si>
  <si>
    <t>Goals</t>
  </si>
  <si>
    <t>Player Name</t>
  </si>
  <si>
    <t>WORLD CUP 2022 TOP SCORER</t>
  </si>
  <si>
    <t>World Cup 2022 Top Scorer</t>
  </si>
  <si>
    <t>US$ 11</t>
  </si>
  <si>
    <t>WORLD CUP 2022 TOP SCORER | FULLY EDITABLE</t>
  </si>
  <si>
    <t>WORLD CUP 2022 PLAYER DATA</t>
  </si>
  <si>
    <t>GS</t>
  </si>
  <si>
    <t>KO</t>
  </si>
  <si>
    <t>Total</t>
  </si>
  <si>
    <t>Rank</t>
  </si>
  <si>
    <t>Cody Gakpo</t>
  </si>
  <si>
    <t>Daley Blind</t>
  </si>
  <si>
    <t>Davy Klaassen</t>
  </si>
  <si>
    <t>Denzel Dumfries</t>
  </si>
  <si>
    <t>Frenkie de Jong</t>
  </si>
  <si>
    <t>Jurriën Timber</t>
  </si>
  <si>
    <t>Matthijs de Ligt</t>
  </si>
  <si>
    <t>Memphis Depay</t>
  </si>
  <si>
    <t>Nathan Aké</t>
  </si>
  <si>
    <t>Noa Lang</t>
  </si>
  <si>
    <t>Stefan de Vrij</t>
  </si>
  <si>
    <t>Steven Berghuis</t>
  </si>
  <si>
    <t>Steven Bergwijn</t>
  </si>
  <si>
    <t>Teun Koopmeiners</t>
  </si>
  <si>
    <t>Tyrell Malacia</t>
  </si>
  <si>
    <t>Vincent Janssen</t>
  </si>
  <si>
    <t>Virgil van Dijk</t>
  </si>
  <si>
    <t>Wout Weghorst</t>
  </si>
  <si>
    <t>Abdelkarim Hassan</t>
  </si>
  <si>
    <t>Abdulaziz Hatem</t>
  </si>
  <si>
    <t>Ahmed Alaaeldin</t>
  </si>
  <si>
    <t>Akram Afif</t>
  </si>
  <si>
    <t>Ali Assadalla</t>
  </si>
  <si>
    <t>Almoez Ali</t>
  </si>
  <si>
    <t>Assim Madibo</t>
  </si>
  <si>
    <t>Bassam Al-Rawi</t>
  </si>
  <si>
    <t>Boualem Khoukhi</t>
  </si>
  <si>
    <t>Hassan Al-Haydos</t>
  </si>
  <si>
    <t>Homam Ahmed</t>
  </si>
  <si>
    <t>Ismaeel Mohammad</t>
  </si>
  <si>
    <t>Karim Boudiaf</t>
  </si>
  <si>
    <t>Khalid Muneer</t>
  </si>
  <si>
    <t>Meshaal Barsham</t>
  </si>
  <si>
    <t>Mohammed Muntari</t>
  </si>
  <si>
    <t>Mohammed Waad</t>
  </si>
  <si>
    <t>Musab Kheder</t>
  </si>
  <si>
    <t>Ró-Ró</t>
  </si>
  <si>
    <t>Saad Al Sheeb</t>
  </si>
  <si>
    <t>Tarek Salman</t>
  </si>
  <si>
    <t>Yousef Hassan</t>
  </si>
  <si>
    <t>Alan Franco</t>
  </si>
  <si>
    <t>Alexander Domínguez</t>
  </si>
  <si>
    <t>Ángel Mena</t>
  </si>
  <si>
    <t>Ángelo Preciado</t>
  </si>
  <si>
    <t>Carlos Gruezo</t>
  </si>
  <si>
    <t>Diego Palacios</t>
  </si>
  <si>
    <t>Djorkaeff Reasco</t>
  </si>
  <si>
    <t>Enner Valencia</t>
  </si>
  <si>
    <t>Félix Torres</t>
  </si>
  <si>
    <t>Gonzalo Plata</t>
  </si>
  <si>
    <t>Hernán Galíndez</t>
  </si>
  <si>
    <t>Jackson Porozo</t>
  </si>
  <si>
    <t>Jeremy Sarmiento</t>
  </si>
  <si>
    <t>José Cifuentes</t>
  </si>
  <si>
    <t>Michael Estrada</t>
  </si>
  <si>
    <t>Moisés Caicedo</t>
  </si>
  <si>
    <t>Moisés Ramírez</t>
  </si>
  <si>
    <t>Pervis Estupiñán</t>
  </si>
  <si>
    <t>Piero Hincapié</t>
  </si>
  <si>
    <t>Robert Arboleda</t>
  </si>
  <si>
    <t>Aaron Long</t>
  </si>
  <si>
    <t>Antonee Robinson</t>
  </si>
  <si>
    <t>Brenden Aaronson</t>
  </si>
  <si>
    <t>Cameron Carter-Vickers</t>
  </si>
  <si>
    <t>Christian Pulisic</t>
  </si>
  <si>
    <t>Cristian Roldan</t>
  </si>
  <si>
    <t>DeAndre Yedlin</t>
  </si>
  <si>
    <t>Ethan Horvath</t>
  </si>
  <si>
    <t>Haji Wright</t>
  </si>
  <si>
    <t>Jesús Ferreira</t>
  </si>
  <si>
    <t>Joe Scally</t>
  </si>
  <si>
    <t>Jordan Morris</t>
  </si>
  <si>
    <t>Kellyn Acosta</t>
  </si>
  <si>
    <t>Luca de la Torre</t>
  </si>
  <si>
    <t>Matt Turner</t>
  </si>
  <si>
    <t>Sean Johnson</t>
  </si>
  <si>
    <t>Timothy Weah</t>
  </si>
  <si>
    <t>Tyler Adams</t>
  </si>
  <si>
    <t>Walker Zimmerman</t>
  </si>
  <si>
    <t>Weston McKennie</t>
  </si>
  <si>
    <t>Yunus Musah</t>
  </si>
  <si>
    <t>Aaron Ramsey</t>
  </si>
  <si>
    <t>Adam Davies</t>
  </si>
  <si>
    <t>Ben Davies</t>
  </si>
  <si>
    <t>Brennan Johnson</t>
  </si>
  <si>
    <t>Chris Gunter</t>
  </si>
  <si>
    <t>Chris Mepham</t>
  </si>
  <si>
    <t>Connor Roberts</t>
  </si>
  <si>
    <t>Daniel James</t>
  </si>
  <si>
    <t>Dylan Levitt</t>
  </si>
  <si>
    <t>Ethan Ampadu</t>
  </si>
  <si>
    <t>Gareth Bale</t>
  </si>
  <si>
    <t>Harry Wilson</t>
  </si>
  <si>
    <t>Joe Rodon</t>
  </si>
  <si>
    <t>Jonny Williams</t>
  </si>
  <si>
    <t>Mark Harris</t>
  </si>
  <si>
    <t>Matthew Smith</t>
  </si>
  <si>
    <t>Sorba Thomas</t>
  </si>
  <si>
    <t>Wayne Hennessey</t>
  </si>
  <si>
    <t>Alistair Johnston</t>
  </si>
  <si>
    <t>Alphonso Davies</t>
  </si>
  <si>
    <t>Atiba Hutchinson</t>
  </si>
  <si>
    <t>Cyle Larin</t>
  </si>
  <si>
    <t>Dayne St. Clair</t>
  </si>
  <si>
    <t>Iké Ugbo</t>
  </si>
  <si>
    <t>Jonathan David</t>
  </si>
  <si>
    <t>Junior Hoilett</t>
  </si>
  <si>
    <t>Kamal Miller</t>
  </si>
  <si>
    <t>Lucas Cavallini</t>
  </si>
  <si>
    <t>Mark-Anthony Kaye</t>
  </si>
  <si>
    <t>Milan Borjan</t>
  </si>
  <si>
    <t>Richie Laryea</t>
  </si>
  <si>
    <t>Sam Adekugbe</t>
  </si>
  <si>
    <t>Samuel Piette</t>
  </si>
  <si>
    <t>Stephen Eustáquio</t>
  </si>
  <si>
    <t>Steven Vitória</t>
  </si>
  <si>
    <t>Tajon Buchanan</t>
  </si>
  <si>
    <t>André Onana</t>
  </si>
  <si>
    <t>André-Frank Zambo Anguissa</t>
  </si>
  <si>
    <t>Christopher Wooh</t>
  </si>
  <si>
    <t>Collins Fai</t>
  </si>
  <si>
    <t>Devis Epassy</t>
  </si>
  <si>
    <t>Eric Maxim Choupo-Moting</t>
  </si>
  <si>
    <t>Gaël Ondoua</t>
  </si>
  <si>
    <t>Georges-Kévin Nkoudou</t>
  </si>
  <si>
    <t>Jean-Charles Castelletto</t>
  </si>
  <si>
    <t>Karl Toko Ekambi</t>
  </si>
  <si>
    <t>Martin Hongla</t>
  </si>
  <si>
    <t>Nouhou Tolo</t>
  </si>
  <si>
    <t>Olivier Mbaizo</t>
  </si>
  <si>
    <t>Olivier Ntcham</t>
  </si>
  <si>
    <t>Pierre Kunde</t>
  </si>
  <si>
    <t>Samuel Gouet</t>
  </si>
  <si>
    <t>Vincent Aboubakar</t>
  </si>
  <si>
    <t>Abdul Fatawu Issahaku</t>
  </si>
  <si>
    <t>Abdul Manaf Nurudeen</t>
  </si>
  <si>
    <t>Alidu Seidu</t>
  </si>
  <si>
    <t>André Ayew</t>
  </si>
  <si>
    <t>Baba Rahman</t>
  </si>
  <si>
    <t>Daniel Afriyie</t>
  </si>
  <si>
    <t>Daniel Amartey</t>
  </si>
  <si>
    <t>Jordan Ayew</t>
  </si>
  <si>
    <t>Lawrence Ati-Zigi</t>
  </si>
  <si>
    <t>Mohammed Kudus</t>
  </si>
  <si>
    <t>Player 1</t>
  </si>
  <si>
    <t>Player 2</t>
  </si>
  <si>
    <t>Player 3</t>
  </si>
  <si>
    <t>Player 4</t>
  </si>
  <si>
    <t>Player 5</t>
  </si>
  <si>
    <t>Player 6</t>
  </si>
  <si>
    <t>Player 7</t>
  </si>
  <si>
    <t>Player 8</t>
  </si>
  <si>
    <t>Player 9</t>
  </si>
  <si>
    <t>Player 10</t>
  </si>
  <si>
    <t>Player 11</t>
  </si>
  <si>
    <t>Player 12</t>
  </si>
  <si>
    <t>Player 13</t>
  </si>
  <si>
    <t>Player 14</t>
  </si>
  <si>
    <t>Player 15</t>
  </si>
  <si>
    <t>Player 16</t>
  </si>
  <si>
    <t>Player 17</t>
  </si>
  <si>
    <t>Player 18</t>
  </si>
  <si>
    <t>Player 19</t>
  </si>
  <si>
    <t>Player 20</t>
  </si>
  <si>
    <t>Player 21</t>
  </si>
  <si>
    <t>Player 22</t>
  </si>
  <si>
    <t>Player 23</t>
  </si>
  <si>
    <t>Player 24</t>
  </si>
  <si>
    <t>Player 25</t>
  </si>
  <si>
    <t>Player 26</t>
  </si>
  <si>
    <t>V2.2 - Initial release (06/30/22)</t>
  </si>
  <si>
    <t>Troisième place</t>
  </si>
  <si>
    <t>Dritter Platz</t>
  </si>
  <si>
    <t>Terzo posto</t>
  </si>
  <si>
    <t>Terceiro lugar</t>
  </si>
  <si>
    <t>Tercer lugar</t>
  </si>
  <si>
    <t>Rondes à élimination directe</t>
  </si>
  <si>
    <t>Knock-out-Runden</t>
  </si>
  <si>
    <t>Round ad eliminazione diretta</t>
  </si>
  <si>
    <t>Rodadas de nocaute</t>
  </si>
  <si>
    <t>Rondas eliminatorias</t>
  </si>
  <si>
    <t>Calendrier de la Coupe du monde 2022</t>
  </si>
  <si>
    <t>Spielplan der WM 2022</t>
  </si>
  <si>
    <t>Calendario dei Mondiali 2022</t>
  </si>
  <si>
    <t>Jogos da Copa do Mundo 2022</t>
  </si>
  <si>
    <t>Calendario de la Copa Mundial 2022</t>
  </si>
  <si>
    <t>Vainqueur de la coupe du monde 2022</t>
  </si>
  <si>
    <t>Campione della Coppa del Mondo 2022</t>
  </si>
  <si>
    <t>Campeão da Copa do Mundo 2022</t>
  </si>
  <si>
    <t>Finaliste de la Coupe du monde 2022</t>
  </si>
  <si>
    <t>Vizeweltmeister 2022</t>
  </si>
  <si>
    <t>Secondo classificato ai Mondiali 2022</t>
  </si>
  <si>
    <t>Vice-campeão da Copa do Mundo de 2022</t>
  </si>
  <si>
    <t>Subcampeón de la Copa del Mundo 2022</t>
  </si>
  <si>
    <t>Coupe du monde 2022 3e place</t>
  </si>
  <si>
    <t>WM 2022 3. Platz</t>
  </si>
  <si>
    <t>3° posto Coppa del Mondo 2022</t>
  </si>
  <si>
    <t>3º Lugar Copa do Mundo 2022</t>
  </si>
  <si>
    <t>Copa del Mundo 2022 3er Lugar</t>
  </si>
  <si>
    <t>Karim Benzema</t>
  </si>
  <si>
    <t>DO NOT REMOVE COPYRIGHT NOTICE</t>
  </si>
  <si>
    <t>IT WILL MAKE THIS SPREADSHEET 
WON'T WORK PROPERLY</t>
  </si>
  <si>
    <t>CLICK HERE TO PURCHASE FULLY EDITABLE VERSION</t>
  </si>
  <si>
    <t>By purchasing the fully editable version you can :</t>
  </si>
  <si>
    <t>Learn all the formulas</t>
  </si>
  <si>
    <t>Put your own business logo/brand</t>
  </si>
  <si>
    <t>Hide all copyright notices (not delete it)</t>
  </si>
  <si>
    <t>Thank me for creating this spreadsheet :-)</t>
  </si>
  <si>
    <t>do whatever you want</t>
  </si>
  <si>
    <t>2.22</t>
  </si>
  <si>
    <t>V2.22 - Change match 1 &amp; 2 schedule to follow FIFA revised schedule (08/12/22)</t>
  </si>
  <si>
    <t>You can watch youtube video below to see how this spreadsheet works</t>
  </si>
  <si>
    <t>https://www.youtube.com/watch?v=xl4FcUrubVQ</t>
  </si>
  <si>
    <t>Abdou Diallo</t>
  </si>
  <si>
    <t>Andries Noppert</t>
  </si>
  <si>
    <t>Aaron Ramsdale</t>
  </si>
  <si>
    <t>Abolfazl Jalali</t>
  </si>
  <si>
    <t>Alejandro Gómez</t>
  </si>
  <si>
    <t>Abdulelah Al-Amri</t>
  </si>
  <si>
    <t>Alexis Vega</t>
  </si>
  <si>
    <t>Alexander Bah</t>
  </si>
  <si>
    <t>Aïssa Laïdouni</t>
  </si>
  <si>
    <t>Adrien Rabiot</t>
  </si>
  <si>
    <t>Antonio Rüdiger</t>
  </si>
  <si>
    <t>Ao Tanaka</t>
  </si>
  <si>
    <t>Álvaro Morata</t>
  </si>
  <si>
    <t>Álvaro Zamora</t>
  </si>
  <si>
    <t>Abde Ezzalzouli</t>
  </si>
  <si>
    <t>Andrej Kramarić</t>
  </si>
  <si>
    <t>Amadou Onana</t>
  </si>
  <si>
    <t>Alex Sandro</t>
  </si>
  <si>
    <t>Aleksandar Mitrović</t>
  </si>
  <si>
    <t>Ardon Jashari</t>
  </si>
  <si>
    <t>André Silva</t>
  </si>
  <si>
    <t>Agustín Canobbio</t>
  </si>
  <si>
    <t>Cho Gue-sung</t>
  </si>
  <si>
    <t>Ben White</t>
  </si>
  <si>
    <t>Ahmad Nourollahi</t>
  </si>
  <si>
    <t>Alexis Mac Allister</t>
  </si>
  <si>
    <t>Abdulellah Al-Malki</t>
  </si>
  <si>
    <t>Artur Jędrzejczyk</t>
  </si>
  <si>
    <t>Ali Abdi</t>
  </si>
  <si>
    <t>Ajdin Hrustic</t>
  </si>
  <si>
    <t>Armel Bella-Kotchap</t>
  </si>
  <si>
    <t>Ayase Ueda</t>
  </si>
  <si>
    <t>Ansu Fati</t>
  </si>
  <si>
    <t>Anthony Contreras</t>
  </si>
  <si>
    <t>Abdelhamid Sabiri</t>
  </si>
  <si>
    <t>Ante Budimir</t>
  </si>
  <si>
    <t>Arthur Theate</t>
  </si>
  <si>
    <t>Alex Telles</t>
  </si>
  <si>
    <t>Andrija Živković</t>
  </si>
  <si>
    <t>António Silva</t>
  </si>
  <si>
    <t>Darwin Núñez</t>
  </si>
  <si>
    <t>Cho Yu-min</t>
  </si>
  <si>
    <t>Bamba Dieng</t>
  </si>
  <si>
    <t>Bukayo Saka</t>
  </si>
  <si>
    <t>Ali Gholizadeh</t>
  </si>
  <si>
    <t>Ben Cabango</t>
  </si>
  <si>
    <t>Ángel Di María</t>
  </si>
  <si>
    <t>Abdullah Madu</t>
  </si>
  <si>
    <t>Andrés Guardado</t>
  </si>
  <si>
    <t>Bartłomiej Drągowski</t>
  </si>
  <si>
    <t>Ali Maâloul</t>
  </si>
  <si>
    <t>Andrew Redmayne</t>
  </si>
  <si>
    <t>Christian Günter</t>
  </si>
  <si>
    <t>Daichi Kamada</t>
  </si>
  <si>
    <t>Aymeric Laporte</t>
  </si>
  <si>
    <t>Anthony Hernández</t>
  </si>
  <si>
    <t>Abderrazak Hamdallah</t>
  </si>
  <si>
    <t>Borna Barišić</t>
  </si>
  <si>
    <t>Darko Lazović</t>
  </si>
  <si>
    <t>Christian Fassnacht</t>
  </si>
  <si>
    <t>Bryan Mbeumo</t>
  </si>
  <si>
    <t>Alexander Djiku</t>
  </si>
  <si>
    <t>Diego Godín</t>
  </si>
  <si>
    <t>Boulaye Dia</t>
  </si>
  <si>
    <t>Callum Wilson</t>
  </si>
  <si>
    <t>Ali Karimi</t>
  </si>
  <si>
    <t>Cristian Romero</t>
  </si>
  <si>
    <t>Carlos Rodríguez</t>
  </si>
  <si>
    <t>Bartosz Bereszyński</t>
  </si>
  <si>
    <t>Andreas Skov Olsen</t>
  </si>
  <si>
    <t>Anis Ben Slimane</t>
  </si>
  <si>
    <t>Aurélien Tchouaméni</t>
  </si>
  <si>
    <t>Awer Mabil</t>
  </si>
  <si>
    <t>David Raum</t>
  </si>
  <si>
    <t>Daizen Maeda</t>
  </si>
  <si>
    <t>Carlos Soler</t>
  </si>
  <si>
    <t>Brandon Aguilera</t>
  </si>
  <si>
    <t>Achraf Dari</t>
  </si>
  <si>
    <t>Borna Sosa</t>
  </si>
  <si>
    <t>Charles De Ketelaere</t>
  </si>
  <si>
    <t>Antony</t>
  </si>
  <si>
    <t>Dušan Tadić</t>
  </si>
  <si>
    <t>Christian Bassogog</t>
  </si>
  <si>
    <t>Bruno Fernandes</t>
  </si>
  <si>
    <t>Hwang Hee-chan</t>
  </si>
  <si>
    <t>Ayrton Preciado</t>
  </si>
  <si>
    <t>Conor Coady</t>
  </si>
  <si>
    <t>Emiliano Martínez</t>
  </si>
  <si>
    <t>Abdulrahman Al-Aboud</t>
  </si>
  <si>
    <t>César Montes</t>
  </si>
  <si>
    <t>Damian Szymański</t>
  </si>
  <si>
    <t>Aymen Dahmen</t>
  </si>
  <si>
    <t>İlkay Gündoğan</t>
  </si>
  <si>
    <t>Daniel Schmidt</t>
  </si>
  <si>
    <t>Bruno Petković</t>
  </si>
  <si>
    <t>David Wotherspoon</t>
  </si>
  <si>
    <t>Bremer</t>
  </si>
  <si>
    <t>Dušan Vlahović</t>
  </si>
  <si>
    <t>Djibril Sow</t>
  </si>
  <si>
    <t>Facundo Pellistri</t>
  </si>
  <si>
    <t>Hwang In-beom</t>
  </si>
  <si>
    <t>Édouard Mendy</t>
  </si>
  <si>
    <t>Conor Gallagher</t>
  </si>
  <si>
    <t>Enzo Fernández</t>
  </si>
  <si>
    <t>Edson Álvarez</t>
  </si>
  <si>
    <t>Christian Nørgaard</t>
  </si>
  <si>
    <t>Benoit Badiashile</t>
  </si>
  <si>
    <t>Bailey Wright</t>
  </si>
  <si>
    <t>Jamal Musiala</t>
  </si>
  <si>
    <t>Bruno Guimarães</t>
  </si>
  <si>
    <t>Filip Đuričić</t>
  </si>
  <si>
    <t>Edimilson Fernandes</t>
  </si>
  <si>
    <t>Danilo Pereira</t>
  </si>
  <si>
    <t>Antoine Semenyo</t>
  </si>
  <si>
    <t>Facundo Torres</t>
  </si>
  <si>
    <t>Hwang Ui-jo</t>
  </si>
  <si>
    <t>Famara Diédhiou</t>
  </si>
  <si>
    <t>Jeremie Frimpong</t>
  </si>
  <si>
    <t>Declan Rice</t>
  </si>
  <si>
    <t>Exequiel Palacios</t>
  </si>
  <si>
    <t>Ali Al-Hassan</t>
  </si>
  <si>
    <t>Érick Gutiérrez</t>
  </si>
  <si>
    <t>Jakub Kamiński</t>
  </si>
  <si>
    <t>Daniel Wass</t>
  </si>
  <si>
    <t>Bechir Ben Saïd</t>
  </si>
  <si>
    <t>Christopher Nkunku</t>
  </si>
  <si>
    <t>Cameron Devlin</t>
  </si>
  <si>
    <t>Jonas Hofmann</t>
  </si>
  <si>
    <t>Dani Olmo</t>
  </si>
  <si>
    <t>Carlos Martínez</t>
  </si>
  <si>
    <t>Hans Vanaken</t>
  </si>
  <si>
    <t>Derek Cornelius</t>
  </si>
  <si>
    <t>Filip Kostić</t>
  </si>
  <si>
    <t>Eray Cömert</t>
  </si>
  <si>
    <t>Diogo Costa</t>
  </si>
  <si>
    <t>Federico Valverde</t>
  </si>
  <si>
    <t>Jeong Woo-yeong</t>
  </si>
  <si>
    <t>Fodé Ballo-Touré</t>
  </si>
  <si>
    <t>Gerardo Arteaga</t>
  </si>
  <si>
    <t>Jakub Kiwior</t>
  </si>
  <si>
    <t>Frederik Rønnow</t>
  </si>
  <si>
    <t>Bilel Ifa</t>
  </si>
  <si>
    <t>Dayot Upamecano</t>
  </si>
  <si>
    <t>Craig Goodwin</t>
  </si>
  <si>
    <t>Hidemasa Morita</t>
  </si>
  <si>
    <t>David Raya</t>
  </si>
  <si>
    <t>Azzedine Ounahi</t>
  </si>
  <si>
    <t>Dominik Livaković</t>
  </si>
  <si>
    <t>Dani Alves</t>
  </si>
  <si>
    <t>Filip Mladenović</t>
  </si>
  <si>
    <t>Fabian Frei</t>
  </si>
  <si>
    <t>Enzo Ebosse</t>
  </si>
  <si>
    <t>Diogo Dalot</t>
  </si>
  <si>
    <t>Jo Hyeon-woo</t>
  </si>
  <si>
    <t>Formose Mendy</t>
  </si>
  <si>
    <t>Justin Bijlow</t>
  </si>
  <si>
    <t>Hossein Hosseini</t>
  </si>
  <si>
    <t>Giovanni Reyna</t>
  </si>
  <si>
    <t>Germán Pezzella</t>
  </si>
  <si>
    <t>Firas Al-Buraikan</t>
  </si>
  <si>
    <t>Jens Stryger Larsen</t>
  </si>
  <si>
    <t>Eduardo Camavinga</t>
  </si>
  <si>
    <t>Hiroki Itō</t>
  </si>
  <si>
    <t>Eric García</t>
  </si>
  <si>
    <t>Daniel Chacón</t>
  </si>
  <si>
    <t>Badr Benoun</t>
  </si>
  <si>
    <t>Ivan Perišić</t>
  </si>
  <si>
    <t>Jérémy Doku</t>
  </si>
  <si>
    <t>Ismaël Koné</t>
  </si>
  <si>
    <t>Ivan Ilić</t>
  </si>
  <si>
    <t>Fabian Rieder</t>
  </si>
  <si>
    <t>Gonçalo Ramos</t>
  </si>
  <si>
    <t>Giorgian de Arrascaeta</t>
  </si>
  <si>
    <t>Jung Woo-young</t>
  </si>
  <si>
    <t>Kenneth Taylor</t>
  </si>
  <si>
    <t>Hossein Kanaanizadegan</t>
  </si>
  <si>
    <t>Danny Ward</t>
  </si>
  <si>
    <t>Gerónimo Rulli</t>
  </si>
  <si>
    <t>Haitham Asiri</t>
  </si>
  <si>
    <t>Héctor Herrera</t>
  </si>
  <si>
    <t>Jesper Lindstrøm</t>
  </si>
  <si>
    <t>Fran Karačić</t>
  </si>
  <si>
    <t>Kai Havertz</t>
  </si>
  <si>
    <t>Ferran Torres</t>
  </si>
  <si>
    <t>Douglas López</t>
  </si>
  <si>
    <t>Bilal El Khannous</t>
  </si>
  <si>
    <t>Ivica Ivušić</t>
  </si>
  <si>
    <t>James Pantemis</t>
  </si>
  <si>
    <t>Éder Militão</t>
  </si>
  <si>
    <t>Luka Jović</t>
  </si>
  <si>
    <t>Fabian Schär</t>
  </si>
  <si>
    <t>João Cancelo</t>
  </si>
  <si>
    <t>Daniel-Kofi Kyereh</t>
  </si>
  <si>
    <t>Kim Jin-su</t>
  </si>
  <si>
    <t>Iliman Ndiaye</t>
  </si>
  <si>
    <t>Luuk de Jong</t>
  </si>
  <si>
    <t>Jack Grealish</t>
  </si>
  <si>
    <t>Gonzalo Montiel</t>
  </si>
  <si>
    <t>Hassan Tambakti</t>
  </si>
  <si>
    <t>Héctor Moreno</t>
  </si>
  <si>
    <t>Kamil Grosicki</t>
  </si>
  <si>
    <t>Joachim Andersen</t>
  </si>
  <si>
    <t>Ibrahima Konaté</t>
  </si>
  <si>
    <t>Garang Kuol</t>
  </si>
  <si>
    <t>Karim Adeyemi</t>
  </si>
  <si>
    <t>Junya Ito</t>
  </si>
  <si>
    <t>Gavi</t>
  </si>
  <si>
    <t>Esteban Alvarado</t>
  </si>
  <si>
    <t>Ivo Grbić</t>
  </si>
  <si>
    <t>Joel Waterman</t>
  </si>
  <si>
    <t>Marko Dmitrović</t>
  </si>
  <si>
    <t>João Félix</t>
  </si>
  <si>
    <t>Denis Odoi</t>
  </si>
  <si>
    <t>José Giménez</t>
  </si>
  <si>
    <t>Kim Min-jae</t>
  </si>
  <si>
    <t>Ismail Jakobs</t>
  </si>
  <si>
    <t>Marten de Roon</t>
  </si>
  <si>
    <t>James Maddison</t>
  </si>
  <si>
    <t>Majid Hosseini</t>
  </si>
  <si>
    <t>Guido Rodríguez</t>
  </si>
  <si>
    <t>Hattan Bahebri</t>
  </si>
  <si>
    <t>Henry Martín</t>
  </si>
  <si>
    <t>Karol Świderski</t>
  </si>
  <si>
    <t>Joakim Mæhle</t>
  </si>
  <si>
    <t>Ghailene Chaalali</t>
  </si>
  <si>
    <t>Jordan Veretout</t>
  </si>
  <si>
    <t>Harry Souttar</t>
  </si>
  <si>
    <t>Kaoru Mitoma</t>
  </si>
  <si>
    <t>Hugo Guillamón</t>
  </si>
  <si>
    <t>Ilias Chair</t>
  </si>
  <si>
    <t>Josip Juranović</t>
  </si>
  <si>
    <t>Éverton Ribeiro</t>
  </si>
  <si>
    <t>Marko Grujić</t>
  </si>
  <si>
    <t>Gregor Kobel</t>
  </si>
  <si>
    <t>João Mário</t>
  </si>
  <si>
    <t>Elisha Owusu</t>
  </si>
  <si>
    <t>José Luis Rodríguez</t>
  </si>
  <si>
    <t>Kim Moon-hwan</t>
  </si>
  <si>
    <t>Jassem Gaber</t>
  </si>
  <si>
    <t>Mehdi Taremi</t>
  </si>
  <si>
    <t>Joaquín Correa</t>
  </si>
  <si>
    <t>Krystian Bielik</t>
  </si>
  <si>
    <t>Jonas Wind</t>
  </si>
  <si>
    <t>Hannibal Mejbri</t>
  </si>
  <si>
    <t>Jules Koundé</t>
  </si>
  <si>
    <t>Kō Itakura</t>
  </si>
  <si>
    <t>Gerson Torres</t>
  </si>
  <si>
    <t>Jawad El Yamiq</t>
  </si>
  <si>
    <t>Josip Stanišić</t>
  </si>
  <si>
    <t>Leandro Trossard</t>
  </si>
  <si>
    <t>Jonathan Osorio</t>
  </si>
  <si>
    <t>Fabinho</t>
  </si>
  <si>
    <t>Miloš Veljković</t>
  </si>
  <si>
    <t>Jean-Pierre Nsame</t>
  </si>
  <si>
    <t>João Palhinha</t>
  </si>
  <si>
    <t>Gideon Mensah</t>
  </si>
  <si>
    <t>Kim Seung-gyu</t>
  </si>
  <si>
    <t>Josh Sargent</t>
  </si>
  <si>
    <t>Juan Foyth</t>
  </si>
  <si>
    <t>Mohammed Al Rubaie</t>
  </si>
  <si>
    <t>Jesús Gallardo</t>
  </si>
  <si>
    <t>Krzysztof Piątek</t>
  </si>
  <si>
    <t>Issam Jebali</t>
  </si>
  <si>
    <t>Leroy Sané</t>
  </si>
  <si>
    <t>José Gayà</t>
  </si>
  <si>
    <t>Jewison Bennette</t>
  </si>
  <si>
    <t>Josip Šutalo</t>
  </si>
  <si>
    <t>Loïs Openda</t>
  </si>
  <si>
    <t>Nemanja Gudelj</t>
  </si>
  <si>
    <t>Jonas Omlin</t>
  </si>
  <si>
    <t>Jerome Ngom Mbekeli</t>
  </si>
  <si>
    <t>José Sá</t>
  </si>
  <si>
    <t>Ibrahim Danlad</t>
  </si>
  <si>
    <t>Luis Suárez</t>
  </si>
  <si>
    <t>Kim Tae-hwan</t>
  </si>
  <si>
    <t>Krépin Diatta</t>
  </si>
  <si>
    <t>Joe Allen</t>
  </si>
  <si>
    <t>Julián Álvarez</t>
  </si>
  <si>
    <t>Mohammed Al-Breik</t>
  </si>
  <si>
    <t>Johan Vásquez</t>
  </si>
  <si>
    <t>Łukasz Skorupski</t>
  </si>
  <si>
    <t>Mohamed Ali Ben Romdhane</t>
  </si>
  <si>
    <t>Kingsley Coman</t>
  </si>
  <si>
    <t>Jason Cummings</t>
  </si>
  <si>
    <t>Lukas Klostermann</t>
  </si>
  <si>
    <t>Miki Yamane</t>
  </si>
  <si>
    <t>Nayef Aguerd</t>
  </si>
  <si>
    <t>Joško Gvardiol</t>
  </si>
  <si>
    <t>Nemanja Maksimović</t>
  </si>
  <si>
    <t>Matheus Nunes</t>
  </si>
  <si>
    <t>Iñaki Williams</t>
  </si>
  <si>
    <t>Manuel Ugarte</t>
  </si>
  <si>
    <t>Kim Young-gwon</t>
  </si>
  <si>
    <t>Mamadou Loum</t>
  </si>
  <si>
    <t>Kevin Rodríguez</t>
  </si>
  <si>
    <t>Jude Bellingham</t>
  </si>
  <si>
    <t>Joe Morrell</t>
  </si>
  <si>
    <t>Lautaro Martínez</t>
  </si>
  <si>
    <t>Jorge Sánchez</t>
  </si>
  <si>
    <t>Mateusz Wieteska</t>
  </si>
  <si>
    <t>Mohamed Dräger</t>
  </si>
  <si>
    <t>Joel King</t>
  </si>
  <si>
    <t>Ritsu Doan</t>
  </si>
  <si>
    <t>Noussair Mazraoui</t>
  </si>
  <si>
    <t>Kristijan Jakić</t>
  </si>
  <si>
    <t>Liam Fraser</t>
  </si>
  <si>
    <t>Gabriel Martinelli</t>
  </si>
  <si>
    <t>Nemanja Radonjić</t>
  </si>
  <si>
    <t>Michel Aebischer</t>
  </si>
  <si>
    <t>Marou Souaibou</t>
  </si>
  <si>
    <t>Nuno Mendes</t>
  </si>
  <si>
    <t>Martín Cáceres</t>
  </si>
  <si>
    <t>Kwon Chang-hoon</t>
  </si>
  <si>
    <t>Moustapha Name</t>
  </si>
  <si>
    <t>Remko Pasveer</t>
  </si>
  <si>
    <t>Kalvin Phillips</t>
  </si>
  <si>
    <t>Payam Niazmand</t>
  </si>
  <si>
    <t>Leandro Paredes</t>
  </si>
  <si>
    <t>Nasser Al-Dawsari</t>
  </si>
  <si>
    <t>Kevin Álvarez</t>
  </si>
  <si>
    <t>Matty Cash</t>
  </si>
  <si>
    <t>Mathias Jensen</t>
  </si>
  <si>
    <t>Montassar Talbi</t>
  </si>
  <si>
    <t>Lucas Hernandez</t>
  </si>
  <si>
    <t>Keanu Baccus</t>
  </si>
  <si>
    <t>Marc-André ter Stegen</t>
  </si>
  <si>
    <t>Shōgo Taniguchi</t>
  </si>
  <si>
    <t>Marcos Llorente</t>
  </si>
  <si>
    <t>Juan Pablo Vargas</t>
  </si>
  <si>
    <t>Lovro Majer</t>
  </si>
  <si>
    <t>Liam Millar</t>
  </si>
  <si>
    <t>Lucas Paquetá</t>
  </si>
  <si>
    <t>Nikola Milenković</t>
  </si>
  <si>
    <t>Otávio</t>
  </si>
  <si>
    <t>Joseph Aidoo</t>
  </si>
  <si>
    <t>Mathías Olivera</t>
  </si>
  <si>
    <t>Kwon Kyung-won</t>
  </si>
  <si>
    <t>Nampalys Mendy</t>
  </si>
  <si>
    <t>Nawaf Al-Aqidi</t>
  </si>
  <si>
    <t>Luis Chávez</t>
  </si>
  <si>
    <t>Michał Skóraś</t>
  </si>
  <si>
    <t>Mikkel Damsgaard</t>
  </si>
  <si>
    <t>Mouez Hassen</t>
  </si>
  <si>
    <t>Matteo Guendouzi</t>
  </si>
  <si>
    <t>Kye Rowles</t>
  </si>
  <si>
    <t>Mario Götze</t>
  </si>
  <si>
    <t>Shūichi Gonda</t>
  </si>
  <si>
    <t>Nico Williams</t>
  </si>
  <si>
    <t>Selim Amallah</t>
  </si>
  <si>
    <t>Luka Modrić</t>
  </si>
  <si>
    <t>Predrag Rajković</t>
  </si>
  <si>
    <t>Noah Okafor</t>
  </si>
  <si>
    <t>Nicolas Nkoulou</t>
  </si>
  <si>
    <t>Kamal Sowah</t>
  </si>
  <si>
    <t>Matías Vecino</t>
  </si>
  <si>
    <t>Lee Jae-sung</t>
  </si>
  <si>
    <t>Nicolas Jackson</t>
  </si>
  <si>
    <t>Mostafa Tarek</t>
  </si>
  <si>
    <t>Rouzbeh Cheshmi</t>
  </si>
  <si>
    <t>Sergiño Dest</t>
  </si>
  <si>
    <t>Kieffer Moore</t>
  </si>
  <si>
    <t>Lisandro Martínez</t>
  </si>
  <si>
    <t>Riyadh Sharahili</t>
  </si>
  <si>
    <t>Luis Romo</t>
  </si>
  <si>
    <t>Nicola Zalewski</t>
  </si>
  <si>
    <t>Oliver Christensen</t>
  </si>
  <si>
    <t>Nader Ghandri</t>
  </si>
  <si>
    <t>Martin Boyle</t>
  </si>
  <si>
    <t>Shūto Machino</t>
  </si>
  <si>
    <t>Pablo Sarabia</t>
  </si>
  <si>
    <t>Sofiane Boufal</t>
  </si>
  <si>
    <t>Luka Sučić</t>
  </si>
  <si>
    <t>Saša Lukić</t>
  </si>
  <si>
    <t>Philipp Köhn</t>
  </si>
  <si>
    <t>Rafael Leão</t>
  </si>
  <si>
    <t>Kamaldeen Sulemana</t>
  </si>
  <si>
    <t>Matías Viña</t>
  </si>
  <si>
    <t>Lee Kang-in</t>
  </si>
  <si>
    <t>Pape Abou Cissé</t>
  </si>
  <si>
    <t>Luke Shaw</t>
  </si>
  <si>
    <t>Sadegh Moharrami</t>
  </si>
  <si>
    <t>Shaq Moore</t>
  </si>
  <si>
    <t>Marcos Acuña</t>
  </si>
  <si>
    <t>Saleh Al-Shehri</t>
  </si>
  <si>
    <t>Néstor Araujo</t>
  </si>
  <si>
    <t>Piotr Zieliński</t>
  </si>
  <si>
    <t>Pierre-Emile Højbjerg</t>
  </si>
  <si>
    <t>Naïm Sliti</t>
  </si>
  <si>
    <t>Niclas Füllkrug</t>
  </si>
  <si>
    <t>Takefusa Kubo</t>
  </si>
  <si>
    <t>Pau Torres</t>
  </si>
  <si>
    <t>Keysher Fuller</t>
  </si>
  <si>
    <t>Marcelo Brozović</t>
  </si>
  <si>
    <t>Pedro</t>
  </si>
  <si>
    <t>Sergej Milinković-Savić</t>
  </si>
  <si>
    <t>Raphaël Guerreiro</t>
  </si>
  <si>
    <t>Maxi Gómez</t>
  </si>
  <si>
    <t>Na Sang-ho</t>
  </si>
  <si>
    <t>Pape Gueye</t>
  </si>
  <si>
    <t>Naif Al-Hadhrami</t>
  </si>
  <si>
    <t>Tim Ream</t>
  </si>
  <si>
    <t>Nahuel Molina</t>
  </si>
  <si>
    <t>Orbelín Pineda</t>
  </si>
  <si>
    <t>Przemysław Frankowski</t>
  </si>
  <si>
    <t>Rasmus Kristensen</t>
  </si>
  <si>
    <t>Seifeddine Jaziri</t>
  </si>
  <si>
    <t>Mathew Ryan</t>
  </si>
  <si>
    <t>Nico Schlotterbeck</t>
  </si>
  <si>
    <t>Takehiro Tomiyasu</t>
  </si>
  <si>
    <t>Pedri</t>
  </si>
  <si>
    <t>Walid Cheddira</t>
  </si>
  <si>
    <t>Mario Pašalić</t>
  </si>
  <si>
    <t>Timothy Castagne</t>
  </si>
  <si>
    <t>Raphinha</t>
  </si>
  <si>
    <t>Srđan Babić</t>
  </si>
  <si>
    <t>Renato Steffen</t>
  </si>
  <si>
    <t>Ricardo Horta</t>
  </si>
  <si>
    <t>Nicolás de la Cruz</t>
  </si>
  <si>
    <t>Paik Seung-ho</t>
  </si>
  <si>
    <t>Pape Matar Sarr</t>
  </si>
  <si>
    <t>Mason Mount</t>
  </si>
  <si>
    <t>Neco Williams</t>
  </si>
  <si>
    <t>Nicolás González</t>
  </si>
  <si>
    <t>Raúl Jiménez</t>
  </si>
  <si>
    <t>Robert Gumny</t>
  </si>
  <si>
    <t>Robert Skov</t>
  </si>
  <si>
    <t>Taha Yassine Khenissi</t>
  </si>
  <si>
    <t>Miloš Degenek</t>
  </si>
  <si>
    <t>Niklas Süle</t>
  </si>
  <si>
    <t>Takuma Asano</t>
  </si>
  <si>
    <t>Robert Sánchez</t>
  </si>
  <si>
    <t>Patrick Sequeira</t>
  </si>
  <si>
    <t>Yahia Attiyat Allah</t>
  </si>
  <si>
    <t>Marko Livaja</t>
  </si>
  <si>
    <t>Richarlison</t>
  </si>
  <si>
    <t>Stefan Mitrović</t>
  </si>
  <si>
    <t>Oumar Gonzalez</t>
  </si>
  <si>
    <t>Rúben Dias</t>
  </si>
  <si>
    <t>Mohammed Salisu</t>
  </si>
  <si>
    <t>Son Heung-min</t>
  </si>
  <si>
    <t>Pathé Ciss</t>
  </si>
  <si>
    <t>Romario Ibarra</t>
  </si>
  <si>
    <t>Rubin Colwill</t>
  </si>
  <si>
    <t>Nicolás Otamendi</t>
  </si>
  <si>
    <t>Sami Al-Najei</t>
  </si>
  <si>
    <t>Roberto Alvarado</t>
  </si>
  <si>
    <t>Simon Kjær</t>
  </si>
  <si>
    <t>Mitchell Duke</t>
  </si>
  <si>
    <t>Serge Gnabry</t>
  </si>
  <si>
    <t>Takumi Minamino</t>
  </si>
  <si>
    <t>Rodri</t>
  </si>
  <si>
    <t>Roan Wilson</t>
  </si>
  <si>
    <t>Yahya Jabrane</t>
  </si>
  <si>
    <t>Martin Erlić</t>
  </si>
  <si>
    <t>Wout Faes</t>
  </si>
  <si>
    <t>Rodrygo</t>
  </si>
  <si>
    <t>Strahinja Eraković</t>
  </si>
  <si>
    <t>Ruben Vargas</t>
  </si>
  <si>
    <t>Rúben Neves</t>
  </si>
  <si>
    <t>Osman Bukari</t>
  </si>
  <si>
    <t>Ronald Araújo</t>
  </si>
  <si>
    <t>Son Jun-ho</t>
  </si>
  <si>
    <t>Salem Al-Hajri</t>
  </si>
  <si>
    <t>Sebas Méndez</t>
  </si>
  <si>
    <t>Phil Foden</t>
  </si>
  <si>
    <t>Shojae Khalilzadeh</t>
  </si>
  <si>
    <t>Nicolás Tagliafico</t>
  </si>
  <si>
    <t>Saud Abdulhamid</t>
  </si>
  <si>
    <t>Rodolfo Cota</t>
  </si>
  <si>
    <t>Sebastian Szymański</t>
  </si>
  <si>
    <t>Wajdi Kechrida</t>
  </si>
  <si>
    <t>Theo Hernandez</t>
  </si>
  <si>
    <t>Nathaniel Atkinson</t>
  </si>
  <si>
    <t>Thilo Kehrer</t>
  </si>
  <si>
    <t>Mateo Kovačić</t>
  </si>
  <si>
    <t>Strahinja Pavlović</t>
  </si>
  <si>
    <t>Silvan Widmer</t>
  </si>
  <si>
    <t>Rui Patrício</t>
  </si>
  <si>
    <t>Salis Abdul Samed</t>
  </si>
  <si>
    <t>Sebastián Coates</t>
  </si>
  <si>
    <t>Song Bum-keun</t>
  </si>
  <si>
    <t>Seny Dieng</t>
  </si>
  <si>
    <t>William Pacho</t>
  </si>
  <si>
    <t>Tom Lockyer</t>
  </si>
  <si>
    <t>Sultan Al-Ghanam</t>
  </si>
  <si>
    <t>Rogelio Funes Mori</t>
  </si>
  <si>
    <t>Szymon Żurkowski</t>
  </si>
  <si>
    <t>Victor Nelsson</t>
  </si>
  <si>
    <t>William Saliba</t>
  </si>
  <si>
    <t>Riley McGree</t>
  </si>
  <si>
    <t>Thomas Müller</t>
  </si>
  <si>
    <t>Yūki Sōma</t>
  </si>
  <si>
    <t>Unai Simón</t>
  </si>
  <si>
    <t>Youssef En-Nesyri</t>
  </si>
  <si>
    <t>Mislav Oršić</t>
  </si>
  <si>
    <t>Vinícius Júnior</t>
  </si>
  <si>
    <t>Uroš Račić</t>
  </si>
  <si>
    <t>Simon Ngapandouetnbu</t>
  </si>
  <si>
    <t>Vitinha</t>
  </si>
  <si>
    <t>Tariq Lamptey</t>
  </si>
  <si>
    <t>Sebastián Sosa</t>
  </si>
  <si>
    <t>Song Min-kyu</t>
  </si>
  <si>
    <t>Xavi Simons</t>
  </si>
  <si>
    <t>Xavier Arreaga</t>
  </si>
  <si>
    <t>Rodrigo De Paul</t>
  </si>
  <si>
    <t>Uriel Antuna</t>
  </si>
  <si>
    <t>Wojciech Szczęsny</t>
  </si>
  <si>
    <t>Youssef Msakni</t>
  </si>
  <si>
    <t>Youssouf Fofana</t>
  </si>
  <si>
    <t>Thomas Deng</t>
  </si>
  <si>
    <t>Youssoufa Moukoko</t>
  </si>
  <si>
    <t>Yūto Nagatomo</t>
  </si>
  <si>
    <t>Yeremy Pino</t>
  </si>
  <si>
    <t>Youstin Salas</t>
  </si>
  <si>
    <t>Zakaria Aboukhlal</t>
  </si>
  <si>
    <t>Nikola Vlašić</t>
  </si>
  <si>
    <t>Zeno Debast</t>
  </si>
  <si>
    <t>Weverton</t>
  </si>
  <si>
    <t>Vanja Milinković-Savić</t>
  </si>
  <si>
    <t>William Carvalho</t>
  </si>
  <si>
    <t>Thomas Partey</t>
  </si>
  <si>
    <t>Sergio Rochet</t>
  </si>
  <si>
    <t>Yoon Jong-gyu</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</si>
</sst>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9]d\-mmm;@"/>
    <numFmt numFmtId="165" formatCode="hh:mm;@"/>
    <numFmt numFmtId="166" formatCode="m/d/yy\ h:mm;@"/>
    <numFmt numFmtId="167" formatCode="h:mm;@"/>
  </numFmts>
  <fonts count="47" x14ac:knownFonts="1">
    <font>
      <sz val="10"/>
      <name val="Arial"/>
      <family val="2"/>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theme="5" tint="-0.499984740745262"/>
      <name val="Calibri"/>
      <family val="2"/>
      <scheme val="minor"/>
    </font>
    <font>
      <sz val="11"/>
      <color indexed="10"/>
      <name val="Calibri"/>
      <family val="2"/>
      <scheme val="minor"/>
    </font>
    <font>
      <sz val="11"/>
      <color rgb="FFC00000"/>
      <name val="Calibri"/>
      <family val="2"/>
      <scheme val="minor"/>
    </font>
    <font>
      <b/>
      <sz val="28"/>
      <name val="Calibri"/>
      <family val="2"/>
      <scheme val="minor"/>
    </font>
    <font>
      <sz val="10"/>
      <name val="Calibri"/>
      <family val="2"/>
      <scheme val="minor"/>
    </font>
    <font>
      <sz val="11"/>
      <color theme="5" tint="-0.499984740745262"/>
      <name val="Wingdings 3"/>
      <family val="1"/>
      <charset val="2"/>
    </font>
    <font>
      <i/>
      <sz val="11"/>
      <name val="Calibri"/>
      <family val="2"/>
      <scheme val="minor"/>
    </font>
    <font>
      <sz val="10"/>
      <color theme="0"/>
      <name val="Calibri"/>
      <family val="2"/>
      <scheme val="minor"/>
    </font>
    <font>
      <b/>
      <sz val="10"/>
      <color theme="0"/>
      <name val="Calibri"/>
      <family val="2"/>
      <scheme val="minor"/>
    </font>
    <font>
      <b/>
      <sz val="10"/>
      <name val="Calibri"/>
      <family val="2"/>
      <scheme val="minor"/>
    </font>
    <font>
      <sz val="18"/>
      <color theme="0"/>
      <name val="Calibri"/>
      <family val="2"/>
      <scheme val="minor"/>
    </font>
    <font>
      <b/>
      <sz val="11"/>
      <name val="Calibri"/>
      <family val="2"/>
      <scheme val="minor"/>
    </font>
    <font>
      <b/>
      <sz val="11"/>
      <color indexed="9"/>
      <name val="Calibri"/>
      <family val="2"/>
      <scheme val="minor"/>
    </font>
    <font>
      <i/>
      <sz val="11"/>
      <color theme="1" tint="0.499984740745262"/>
      <name val="Calibri"/>
      <family val="2"/>
      <scheme val="minor"/>
    </font>
    <font>
      <b/>
      <sz val="11"/>
      <color theme="5" tint="-0.249977111117893"/>
      <name val="Calibri"/>
      <family val="2"/>
      <scheme val="minor"/>
    </font>
    <font>
      <u/>
      <sz val="10"/>
      <color indexed="12"/>
      <name val="Arial"/>
      <family val="2"/>
    </font>
    <font>
      <sz val="10"/>
      <color rgb="FFFF0000"/>
      <name val="Arial"/>
      <family val="2"/>
    </font>
    <font>
      <b/>
      <sz val="14"/>
      <name val="Calibri"/>
      <family val="2"/>
      <scheme val="minor"/>
    </font>
    <font>
      <b/>
      <sz val="26"/>
      <name val="Calibri"/>
      <family val="2"/>
      <scheme val="minor"/>
    </font>
    <font>
      <u/>
      <sz val="11"/>
      <color indexed="12"/>
      <name val="Calibri"/>
      <family val="2"/>
      <scheme val="minor"/>
    </font>
    <font>
      <b/>
      <sz val="11"/>
      <color rgb="FFFF0000"/>
      <name val="Calibri"/>
      <family val="2"/>
      <scheme val="minor"/>
    </font>
    <font>
      <sz val="10"/>
      <name val="Arial"/>
      <family val="2"/>
    </font>
    <font>
      <b/>
      <sz val="22"/>
      <color theme="0"/>
      <name val="Calibri"/>
      <family val="2"/>
      <scheme val="minor"/>
    </font>
    <font>
      <u/>
      <sz val="11"/>
      <color theme="0"/>
      <name val="Calibri"/>
      <family val="2"/>
      <scheme val="minor"/>
    </font>
    <font>
      <sz val="11"/>
      <color theme="0" tint="-4.9989318521683403E-2"/>
      <name val="Calibri"/>
      <family val="2"/>
      <scheme val="minor"/>
    </font>
    <font>
      <b/>
      <sz val="22"/>
      <color rgb="FF00B050"/>
      <name val="Calibri"/>
      <family val="2"/>
      <scheme val="minor"/>
    </font>
    <font>
      <b/>
      <sz val="12"/>
      <color theme="0"/>
      <name val="Calibri"/>
      <family val="2"/>
      <scheme val="minor"/>
    </font>
    <font>
      <b/>
      <sz val="20"/>
      <name val="Calibri"/>
      <family val="2"/>
      <scheme val="minor"/>
    </font>
    <font>
      <b/>
      <sz val="16"/>
      <name val="Calibri"/>
      <family val="2"/>
      <scheme val="minor"/>
    </font>
    <font>
      <u/>
      <sz val="12"/>
      <color indexed="12"/>
      <name val="Calibri"/>
      <family val="2"/>
      <scheme val="minor"/>
    </font>
    <font>
      <b/>
      <sz val="11"/>
      <color theme="1"/>
      <name val="Calibri"/>
      <family val="2"/>
      <scheme val="minor"/>
    </font>
    <font>
      <sz val="11"/>
      <color theme="8" tint="-0.499984740745262"/>
      <name val="Calibri"/>
      <family val="2"/>
      <scheme val="minor"/>
    </font>
    <font>
      <sz val="28"/>
      <name val="Calibri"/>
      <family val="2"/>
      <scheme val="minor"/>
    </font>
    <font>
      <sz val="11"/>
      <color theme="8" tint="-0.499984740745262"/>
      <name val="Wingdings 3"/>
      <family val="1"/>
      <charset val="2"/>
    </font>
    <font>
      <b/>
      <sz val="11"/>
      <color theme="6" tint="-0.499984740745262"/>
      <name val="Calibri"/>
      <family val="2"/>
      <scheme val="minor"/>
    </font>
    <font>
      <b/>
      <sz val="11"/>
      <color theme="8" tint="-0.499984740745262"/>
      <name val="Calibri"/>
      <family val="2"/>
      <scheme val="minor"/>
    </font>
    <font>
      <b/>
      <sz val="22"/>
      <name val="Calibri"/>
      <family val="2"/>
      <scheme val="minor"/>
    </font>
    <font>
      <b/>
      <sz val="28"/>
      <color theme="0"/>
      <name val="Calibri"/>
      <family val="2"/>
      <scheme val="minor"/>
    </font>
    <font>
      <sz val="28"/>
      <color theme="0"/>
      <name val="Calibri"/>
      <family val="2"/>
      <scheme val="minor"/>
    </font>
    <font>
      <sz val="10"/>
      <color theme="0"/>
      <name val="Arial"/>
      <family val="2"/>
    </font>
    <font>
      <b/>
      <sz val="32"/>
      <name val="Calibri"/>
      <family val="2"/>
      <scheme val="minor"/>
    </font>
    <font>
      <sz val="12"/>
      <color rgb="FFFFFF00"/>
      <name val="Calibri"/>
      <family val="2"/>
      <scheme val="minor"/>
    </font>
  </fonts>
  <fills count="18">
    <fill>
      <patternFill patternType="none"/>
    </fill>
    <fill>
      <patternFill patternType="gray125"/>
    </fill>
    <fill>
      <patternFill patternType="solid">
        <fgColor theme="5" tint="-0.499984740745262"/>
        <bgColor indexed="64"/>
      </patternFill>
    </fill>
    <fill>
      <patternFill patternType="solid">
        <fgColor theme="5" tint="-0.249977111117893"/>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5"/>
        <bgColor indexed="64"/>
      </patternFill>
    </fill>
    <fill>
      <patternFill patternType="solid">
        <fgColor rgb="FF00B05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2"/>
        <bgColor indexed="64"/>
      </patternFill>
    </fill>
    <fill>
      <patternFill patternType="solid">
        <fgColor theme="1"/>
        <bgColor indexed="64"/>
      </patternFill>
    </fill>
    <fill>
      <patternFill patternType="solid">
        <fgColor rgb="FFC00000"/>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top style="thin">
        <color theme="8" tint="-0.499984740745262"/>
      </top>
      <bottom/>
      <diagonal/>
    </border>
    <border>
      <left/>
      <right style="thin">
        <color indexed="64"/>
      </right>
      <top style="thin">
        <color theme="8" tint="-0.49998474074526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medium">
        <color theme="0"/>
      </right>
      <top style="thin">
        <color indexed="64"/>
      </top>
      <bottom style="medium">
        <color theme="0"/>
      </bottom>
      <diagonal/>
    </border>
    <border>
      <left style="medium">
        <color theme="0"/>
      </left>
      <right/>
      <top style="thin">
        <color indexed="64"/>
      </top>
      <bottom style="medium">
        <color theme="0"/>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double">
        <color theme="5" tint="-0.499984740745262"/>
      </left>
      <right/>
      <top style="double">
        <color theme="5" tint="-0.499984740745262"/>
      </top>
      <bottom/>
      <diagonal/>
    </border>
    <border>
      <left/>
      <right/>
      <top style="double">
        <color theme="5" tint="-0.499984740745262"/>
      </top>
      <bottom/>
      <diagonal/>
    </border>
    <border>
      <left/>
      <right style="double">
        <color theme="5" tint="-0.499984740745262"/>
      </right>
      <top style="double">
        <color theme="5" tint="-0.499984740745262"/>
      </top>
      <bottom/>
      <diagonal/>
    </border>
    <border>
      <left style="double">
        <color theme="5" tint="-0.499984740745262"/>
      </left>
      <right/>
      <top/>
      <bottom/>
      <diagonal/>
    </border>
    <border>
      <left/>
      <right style="double">
        <color theme="5" tint="-0.499984740745262"/>
      </right>
      <top/>
      <bottom/>
      <diagonal/>
    </border>
    <border>
      <left style="double">
        <color theme="5" tint="-0.499984740745262"/>
      </left>
      <right/>
      <top/>
      <bottom style="double">
        <color theme="5" tint="-0.499984740745262"/>
      </bottom>
      <diagonal/>
    </border>
    <border>
      <left/>
      <right/>
      <top/>
      <bottom style="double">
        <color theme="5" tint="-0.499984740745262"/>
      </bottom>
      <diagonal/>
    </border>
    <border>
      <left/>
      <right style="double">
        <color theme="5" tint="-0.499984740745262"/>
      </right>
      <top/>
      <bottom style="double">
        <color theme="5" tint="-0.499984740745262"/>
      </bottom>
      <diagonal/>
    </border>
    <border>
      <left/>
      <right style="thin">
        <color theme="0" tint="-4.9989318521683403E-2"/>
      </right>
      <top style="thin">
        <color theme="0" tint="-4.9989318521683403E-2"/>
      </top>
      <bottom style="thin">
        <color theme="0" tint="-4.9989318521683403E-2"/>
      </bottom>
      <diagonal/>
    </border>
    <border>
      <left style="thin">
        <color theme="0" tint="-4.9989318521683403E-2"/>
      </left>
      <right/>
      <top style="thin">
        <color theme="0" tint="-4.9989318521683403E-2"/>
      </top>
      <bottom style="thin">
        <color theme="0" tint="-4.9989318521683403E-2"/>
      </bottom>
      <diagonal/>
    </border>
    <border>
      <left/>
      <right style="thin">
        <color theme="0" tint="-4.9989318521683403E-2"/>
      </right>
      <top/>
      <bottom style="thin">
        <color theme="0" tint="-4.9989318521683403E-2"/>
      </bottom>
      <diagonal/>
    </border>
    <border>
      <left style="thin">
        <color theme="0" tint="-4.9989318521683403E-2"/>
      </left>
      <right/>
      <top/>
      <bottom style="thin">
        <color theme="0" tint="-4.9989318521683403E-2"/>
      </bottom>
      <diagonal/>
    </border>
    <border>
      <left/>
      <right style="thin">
        <color theme="0" tint="-4.9989318521683403E-2"/>
      </right>
      <top style="thin">
        <color theme="0" tint="-4.9989318521683403E-2"/>
      </top>
      <bottom style="thin">
        <color indexed="64"/>
      </bottom>
      <diagonal/>
    </border>
    <border>
      <left style="thin">
        <color theme="0" tint="-4.9989318521683403E-2"/>
      </left>
      <right/>
      <top style="thin">
        <color theme="0" tint="-4.9989318521683403E-2"/>
      </top>
      <bottom style="thin">
        <color indexed="64"/>
      </bottom>
      <diagonal/>
    </border>
    <border>
      <left/>
      <right style="thin">
        <color theme="0" tint="-4.9989318521683403E-2"/>
      </right>
      <top/>
      <bottom style="thin">
        <color indexed="64"/>
      </bottom>
      <diagonal/>
    </border>
    <border>
      <left style="thin">
        <color theme="0" tint="-4.9989318521683403E-2"/>
      </left>
      <right/>
      <top/>
      <bottom style="thin">
        <color indexed="64"/>
      </bottom>
      <diagonal/>
    </border>
    <border>
      <left/>
      <right style="thin">
        <color theme="0" tint="-4.9989318521683403E-2"/>
      </right>
      <top style="thin">
        <color indexed="64"/>
      </top>
      <bottom style="thin">
        <color indexed="64"/>
      </bottom>
      <diagonal/>
    </border>
    <border>
      <left style="thin">
        <color theme="0" tint="-4.9989318521683403E-2"/>
      </left>
      <right/>
      <top style="thin">
        <color indexed="64"/>
      </top>
      <bottom style="thin">
        <color indexed="64"/>
      </bottom>
      <diagonal/>
    </border>
    <border>
      <left/>
      <right style="thin">
        <color theme="0" tint="-4.9989318521683403E-2"/>
      </right>
      <top style="medium">
        <color theme="0"/>
      </top>
      <bottom style="thin">
        <color theme="0" tint="-4.9989318521683403E-2"/>
      </bottom>
      <diagonal/>
    </border>
    <border>
      <left style="thin">
        <color theme="0" tint="-4.9989318521683403E-2"/>
      </left>
      <right/>
      <top style="medium">
        <color theme="0"/>
      </top>
      <bottom style="thin">
        <color theme="0" tint="-4.9989318521683403E-2"/>
      </bottom>
      <diagonal/>
    </border>
    <border>
      <left/>
      <right/>
      <top style="thin">
        <color theme="1"/>
      </top>
      <bottom style="thin">
        <color theme="0" tint="-0.24994659260841701"/>
      </bottom>
      <diagonal/>
    </border>
    <border>
      <left/>
      <right/>
      <top style="thin">
        <color theme="0" tint="-0.24994659260841701"/>
      </top>
      <bottom style="thin">
        <color theme="1"/>
      </bottom>
      <diagonal/>
    </border>
    <border>
      <left/>
      <right/>
      <top/>
      <bottom style="thin">
        <color theme="6" tint="-0.24994659260841701"/>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medium">
        <color theme="0"/>
      </right>
      <top style="thin">
        <color indexed="64"/>
      </top>
      <bottom/>
      <diagonal/>
    </border>
    <border>
      <left style="medium">
        <color theme="0"/>
      </left>
      <right/>
      <top style="thin">
        <color indexed="64"/>
      </top>
      <bottom/>
      <diagonal/>
    </border>
    <border>
      <left/>
      <right style="thin">
        <color theme="0" tint="-4.9989318521683403E-2"/>
      </right>
      <top/>
      <bottom/>
      <diagonal/>
    </border>
    <border>
      <left style="thin">
        <color theme="0" tint="-4.9989318521683403E-2"/>
      </left>
      <right/>
      <top/>
      <bottom/>
      <diagonal/>
    </border>
    <border>
      <left/>
      <right style="medium">
        <color theme="0"/>
      </right>
      <top/>
      <bottom/>
      <diagonal/>
    </border>
    <border>
      <left style="medium">
        <color theme="0"/>
      </left>
      <right/>
      <top/>
      <bottom/>
      <diagonal/>
    </border>
    <border>
      <left/>
      <right style="medium">
        <color theme="0"/>
      </right>
      <top style="thin">
        <color indexed="64"/>
      </top>
      <bottom style="thin">
        <color indexed="64"/>
      </bottom>
      <diagonal/>
    </border>
    <border>
      <left style="medium">
        <color theme="0"/>
      </left>
      <right/>
      <top style="thin">
        <color indexed="64"/>
      </top>
      <bottom style="thin">
        <color indexed="64"/>
      </bottom>
      <diagonal/>
    </border>
    <border>
      <left/>
      <right/>
      <top/>
      <bottom style="thin">
        <color theme="5" tint="0.79998168889431442"/>
      </bottom>
      <diagonal/>
    </border>
    <border>
      <left/>
      <right/>
      <top style="thin">
        <color theme="5" tint="0.79998168889431442"/>
      </top>
      <bottom style="thin">
        <color theme="5" tint="0.79998168889431442"/>
      </bottom>
      <diagonal/>
    </border>
    <border>
      <left/>
      <right/>
      <top style="thin">
        <color theme="5" tint="0.79998168889431442"/>
      </top>
      <bottom/>
      <diagonal/>
    </border>
    <border>
      <left style="medium">
        <color theme="0" tint="-0.14996795556505021"/>
      </left>
      <right/>
      <top style="medium">
        <color theme="0" tint="-0.14996795556505021"/>
      </top>
      <bottom style="medium">
        <color theme="0" tint="-0.14996795556505021"/>
      </bottom>
      <diagonal/>
    </border>
    <border>
      <left/>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s>
  <cellStyleXfs count="3">
    <xf numFmtId="0" fontId="0" fillId="0" borderId="0"/>
    <xf numFmtId="0" fontId="20" fillId="0" borderId="0" applyNumberFormat="0" applyFill="0" applyBorder="0" applyAlignment="0" applyProtection="0">
      <alignment vertical="top"/>
      <protection locked="0"/>
    </xf>
    <xf numFmtId="0" fontId="26" fillId="0" borderId="0"/>
  </cellStyleXfs>
  <cellXfs count="374">
    <xf numFmtId="0" fontId="0" fillId="0" borderId="0" xfId="0"/>
    <xf numFmtId="0" fontId="4" fillId="2" borderId="0" xfId="0" applyFont="1" applyFill="1" applyBorder="1" applyProtection="1">
      <protection hidden="1"/>
    </xf>
    <xf numFmtId="0" fontId="4" fillId="2" borderId="0" xfId="0" applyFont="1" applyFill="1" applyBorder="1" applyAlignment="1" applyProtection="1">
      <alignment horizontal="left" indent="1"/>
      <protection hidden="1"/>
    </xf>
    <xf numFmtId="0" fontId="4" fillId="2" borderId="0" xfId="0" applyFont="1" applyFill="1" applyBorder="1" applyAlignment="1" applyProtection="1">
      <alignment wrapText="1"/>
      <protection hidden="1"/>
    </xf>
    <xf numFmtId="0" fontId="5" fillId="2" borderId="0" xfId="0" applyFont="1" applyFill="1" applyBorder="1" applyAlignment="1" applyProtection="1">
      <alignment horizontal="center"/>
      <protection hidden="1"/>
    </xf>
    <xf numFmtId="0" fontId="4" fillId="2" borderId="0" xfId="0" applyFont="1" applyFill="1" applyBorder="1" applyAlignment="1" applyProtection="1">
      <alignment horizontal="right" indent="1"/>
      <protection hidden="1"/>
    </xf>
    <xf numFmtId="0" fontId="6" fillId="2" borderId="0" xfId="0" applyFont="1" applyFill="1" applyBorder="1" applyProtection="1">
      <protection hidden="1"/>
    </xf>
    <xf numFmtId="0" fontId="7" fillId="2" borderId="0" xfId="0" applyFont="1" applyFill="1" applyBorder="1" applyProtection="1">
      <protection hidden="1"/>
    </xf>
    <xf numFmtId="0" fontId="7" fillId="2" borderId="0" xfId="0" applyFont="1" applyFill="1" applyBorder="1" applyAlignment="1" applyProtection="1">
      <alignment horizontal="left" indent="1"/>
      <protection hidden="1"/>
    </xf>
    <xf numFmtId="0" fontId="3" fillId="2" borderId="0" xfId="0" applyFont="1" applyFill="1" applyBorder="1" applyAlignment="1" applyProtection="1">
      <alignment horizontal="center"/>
      <protection hidden="1"/>
    </xf>
    <xf numFmtId="0" fontId="2" fillId="2" borderId="0" xfId="0" applyFont="1" applyFill="1" applyBorder="1" applyProtection="1">
      <protection hidden="1"/>
    </xf>
    <xf numFmtId="0" fontId="4" fillId="0" borderId="0" xfId="0" applyFont="1" applyFill="1" applyBorder="1" applyAlignment="1" applyProtection="1">
      <alignment vertical="center"/>
      <protection hidden="1"/>
    </xf>
    <xf numFmtId="0" fontId="8" fillId="0" borderId="0" xfId="0" applyFont="1" applyBorder="1" applyAlignment="1" applyProtection="1">
      <alignment horizontal="left" vertical="center"/>
      <protection hidden="1"/>
    </xf>
    <xf numFmtId="0" fontId="4"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4" fillId="0" borderId="0" xfId="0" applyFont="1" applyBorder="1" applyAlignment="1" applyProtection="1">
      <alignment horizontal="right" vertical="center" indent="1"/>
      <protection hidden="1"/>
    </xf>
    <xf numFmtId="0" fontId="4" fillId="0" borderId="0" xfId="0" applyFont="1" applyBorder="1" applyAlignment="1" applyProtection="1">
      <alignment vertical="center"/>
      <protection hidden="1"/>
    </xf>
    <xf numFmtId="0" fontId="4" fillId="0" borderId="0" xfId="0" applyFont="1" applyBorder="1" applyAlignment="1" applyProtection="1">
      <alignment horizontal="left" vertical="center" indent="1"/>
      <protection hidden="1"/>
    </xf>
    <xf numFmtId="0" fontId="9" fillId="0" borderId="0" xfId="0" applyFont="1" applyBorder="1" applyAlignment="1" applyProtection="1">
      <alignment vertical="center"/>
      <protection hidden="1"/>
    </xf>
    <xf numFmtId="0" fontId="7" fillId="0" borderId="0" xfId="0" applyFont="1" applyBorder="1" applyAlignment="1" applyProtection="1">
      <alignment vertical="center"/>
      <protection hidden="1"/>
    </xf>
    <xf numFmtId="0" fontId="7" fillId="0" borderId="0" xfId="0" applyFont="1" applyFill="1" applyBorder="1" applyAlignment="1" applyProtection="1">
      <alignment vertical="center"/>
      <protection hidden="1"/>
    </xf>
    <xf numFmtId="0" fontId="7" fillId="0" borderId="0" xfId="0" applyFont="1" applyBorder="1" applyAlignment="1" applyProtection="1">
      <alignment horizontal="left" vertical="center" indent="1"/>
      <protection hidden="1"/>
    </xf>
    <xf numFmtId="0" fontId="3" fillId="0" borderId="0" xfId="0" applyFont="1" applyBorder="1" applyAlignment="1" applyProtection="1">
      <alignment horizontal="center" vertical="center"/>
      <protection hidden="1"/>
    </xf>
    <xf numFmtId="0" fontId="2" fillId="0" borderId="0" xfId="0" applyFont="1" applyBorder="1" applyAlignment="1" applyProtection="1">
      <alignment vertical="center"/>
      <protection hidden="1"/>
    </xf>
    <xf numFmtId="0" fontId="6" fillId="0" borderId="0" xfId="0" applyFont="1" applyBorder="1" applyAlignment="1" applyProtection="1">
      <alignment vertical="center"/>
      <protection hidden="1"/>
    </xf>
    <xf numFmtId="0" fontId="4" fillId="0" borderId="0" xfId="0" applyFont="1" applyAlignment="1" applyProtection="1">
      <alignment horizontal="left" vertical="center" indent="1"/>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protection hidden="1"/>
    </xf>
    <xf numFmtId="0" fontId="4" fillId="0" borderId="0" xfId="0" applyFont="1" applyAlignment="1" applyProtection="1">
      <alignment horizontal="center" vertical="center"/>
      <protection hidden="1"/>
    </xf>
    <xf numFmtId="0" fontId="4" fillId="0" borderId="1" xfId="0" applyFont="1" applyFill="1" applyBorder="1" applyAlignment="1" applyProtection="1">
      <alignment vertical="center"/>
      <protection locked="0"/>
    </xf>
    <xf numFmtId="0" fontId="1" fillId="2" borderId="1" xfId="0" applyFont="1" applyFill="1" applyBorder="1" applyAlignment="1" applyProtection="1">
      <alignment horizontal="left" vertical="center" indent="1"/>
      <protection hidden="1"/>
    </xf>
    <xf numFmtId="0" fontId="1" fillId="0" borderId="0" xfId="0" applyFont="1" applyFill="1" applyBorder="1" applyAlignment="1" applyProtection="1">
      <alignment vertical="center"/>
      <protection hidden="1"/>
    </xf>
    <xf numFmtId="0" fontId="1" fillId="3" borderId="1" xfId="0" applyFont="1" applyFill="1" applyBorder="1" applyAlignment="1" applyProtection="1">
      <alignment horizontal="left" vertical="center" indent="1"/>
      <protection hidden="1"/>
    </xf>
    <xf numFmtId="0" fontId="5" fillId="0" borderId="0" xfId="0" applyFont="1" applyAlignment="1" applyProtection="1">
      <alignment horizontal="center" vertical="center" wrapText="1"/>
      <protection hidden="1"/>
    </xf>
    <xf numFmtId="0" fontId="4" fillId="0" borderId="1" xfId="0" applyFont="1" applyBorder="1" applyAlignment="1" applyProtection="1">
      <alignment horizontal="left" vertical="center" indent="1"/>
      <protection hidden="1"/>
    </xf>
    <xf numFmtId="0" fontId="10" fillId="0" borderId="0" xfId="0" applyFont="1" applyAlignment="1" applyProtection="1">
      <alignment horizontal="center" vertical="center"/>
      <protection hidden="1"/>
    </xf>
    <xf numFmtId="0" fontId="4" fillId="0" borderId="1" xfId="0" applyFont="1" applyBorder="1" applyAlignment="1" applyProtection="1">
      <alignment horizontal="center" vertical="center"/>
      <protection locked="0"/>
    </xf>
    <xf numFmtId="0" fontId="11" fillId="0" borderId="0" xfId="0" applyFont="1" applyAlignment="1" applyProtection="1">
      <alignment horizontal="left" vertical="center"/>
      <protection hidden="1"/>
    </xf>
    <xf numFmtId="0" fontId="4" fillId="2" borderId="0" xfId="0" applyFont="1" applyFill="1" applyBorder="1" applyAlignment="1" applyProtection="1">
      <alignment horizontal="center"/>
      <protection hidden="1"/>
    </xf>
    <xf numFmtId="0" fontId="8" fillId="0" borderId="0" xfId="0" applyFont="1" applyBorder="1" applyAlignment="1" applyProtection="1">
      <alignment vertical="center"/>
      <protection hidden="1"/>
    </xf>
    <xf numFmtId="0" fontId="1" fillId="3" borderId="0" xfId="0" applyFont="1" applyFill="1" applyBorder="1" applyAlignment="1" applyProtection="1">
      <alignment horizontal="left" vertical="center"/>
      <protection hidden="1"/>
    </xf>
    <xf numFmtId="0" fontId="1" fillId="3" borderId="0" xfId="0" applyFont="1" applyFill="1" applyBorder="1" applyAlignment="1" applyProtection="1">
      <alignment horizontal="center" vertical="center" wrapText="1"/>
      <protection hidden="1"/>
    </xf>
    <xf numFmtId="0" fontId="1" fillId="3" borderId="0" xfId="0" applyFont="1" applyFill="1" applyBorder="1" applyAlignment="1" applyProtection="1">
      <alignment horizontal="right" vertical="center" indent="1"/>
      <protection hidden="1"/>
    </xf>
    <xf numFmtId="0" fontId="1" fillId="3" borderId="0" xfId="0" applyFont="1" applyFill="1" applyBorder="1" applyAlignment="1" applyProtection="1">
      <alignment horizontal="left" vertical="center" indent="1"/>
      <protection hidden="1"/>
    </xf>
    <xf numFmtId="0" fontId="1" fillId="3" borderId="4" xfId="0" applyFont="1" applyFill="1" applyBorder="1" applyAlignment="1" applyProtection="1">
      <alignment horizontal="left" vertical="center"/>
      <protection hidden="1"/>
    </xf>
    <xf numFmtId="0" fontId="12" fillId="0" borderId="0" xfId="0" applyFont="1" applyBorder="1" applyAlignment="1" applyProtection="1">
      <alignment vertical="center"/>
      <protection hidden="1"/>
    </xf>
    <xf numFmtId="0" fontId="3" fillId="3" borderId="0" xfId="0" applyFont="1" applyFill="1" applyBorder="1" applyAlignment="1" applyProtection="1">
      <alignment vertical="center"/>
      <protection hidden="1"/>
    </xf>
    <xf numFmtId="0" fontId="3" fillId="0" borderId="0" xfId="0" applyFont="1" applyBorder="1" applyAlignment="1" applyProtection="1">
      <alignment vertical="center"/>
      <protection hidden="1"/>
    </xf>
    <xf numFmtId="0" fontId="3" fillId="0" borderId="0" xfId="0" applyFont="1" applyBorder="1" applyProtection="1">
      <protection hidden="1"/>
    </xf>
    <xf numFmtId="0" fontId="1" fillId="2" borderId="0" xfId="0" applyFont="1" applyFill="1" applyBorder="1" applyAlignment="1" applyProtection="1">
      <alignment vertical="center"/>
      <protection hidden="1"/>
    </xf>
    <xf numFmtId="0" fontId="1" fillId="2" borderId="0" xfId="0" applyFont="1" applyFill="1" applyBorder="1" applyAlignment="1" applyProtection="1">
      <alignment vertical="center" wrapText="1"/>
      <protection hidden="1"/>
    </xf>
    <xf numFmtId="0" fontId="1" fillId="2" borderId="0" xfId="0" applyFont="1" applyFill="1" applyBorder="1" applyAlignment="1" applyProtection="1">
      <alignment horizontal="right" vertical="center" indent="1"/>
      <protection hidden="1"/>
    </xf>
    <xf numFmtId="0" fontId="1" fillId="2" borderId="0" xfId="0" applyFont="1" applyFill="1" applyBorder="1" applyAlignment="1" applyProtection="1">
      <alignment horizontal="left" vertical="center" indent="1"/>
      <protection hidden="1"/>
    </xf>
    <xf numFmtId="0" fontId="1" fillId="2" borderId="4" xfId="0" applyFont="1" applyFill="1" applyBorder="1" applyAlignment="1" applyProtection="1">
      <alignment vertical="center"/>
      <protection hidden="1"/>
    </xf>
    <xf numFmtId="0" fontId="13" fillId="2" borderId="0" xfId="0" applyFont="1" applyFill="1" applyBorder="1" applyAlignment="1" applyProtection="1">
      <alignment horizontal="center" vertical="center"/>
      <protection hidden="1"/>
    </xf>
    <xf numFmtId="0" fontId="6" fillId="0" borderId="0" xfId="0" applyFont="1" applyBorder="1" applyProtection="1">
      <protection hidden="1"/>
    </xf>
    <xf numFmtId="0" fontId="4" fillId="4" borderId="0" xfId="0" applyFont="1" applyFill="1" applyBorder="1" applyAlignment="1" applyProtection="1">
      <alignment horizontal="center" vertical="center"/>
      <protection hidden="1"/>
    </xf>
    <xf numFmtId="0" fontId="4" fillId="0" borderId="5" xfId="0" applyFont="1" applyBorder="1" applyAlignment="1" applyProtection="1">
      <alignment horizontal="center" vertical="center"/>
      <protection hidden="1"/>
    </xf>
    <xf numFmtId="164" fontId="4" fillId="0" borderId="5" xfId="0" applyNumberFormat="1" applyFont="1" applyBorder="1" applyAlignment="1" applyProtection="1">
      <alignment horizontal="right" vertical="center" wrapText="1" shrinkToFit="1"/>
      <protection hidden="1"/>
    </xf>
    <xf numFmtId="165" fontId="4" fillId="0" borderId="5" xfId="0" applyNumberFormat="1" applyFont="1" applyBorder="1" applyAlignment="1" applyProtection="1">
      <alignment horizontal="center" vertical="center"/>
      <protection hidden="1"/>
    </xf>
    <xf numFmtId="0" fontId="4" fillId="0" borderId="5" xfId="0" applyFont="1" applyBorder="1" applyAlignment="1" applyProtection="1">
      <alignment horizontal="right" vertical="center"/>
      <protection hidden="1"/>
    </xf>
    <xf numFmtId="0" fontId="4" fillId="0" borderId="5" xfId="0" applyFont="1" applyBorder="1" applyAlignment="1" applyProtection="1">
      <alignment vertical="center"/>
      <protection hidden="1"/>
    </xf>
    <xf numFmtId="0" fontId="4" fillId="6" borderId="0" xfId="0" applyFont="1" applyFill="1" applyBorder="1" applyAlignment="1" applyProtection="1">
      <alignment horizontal="center" vertical="center"/>
      <protection hidden="1"/>
    </xf>
    <xf numFmtId="16" fontId="4" fillId="6" borderId="0" xfId="0" applyNumberFormat="1" applyFont="1" applyFill="1" applyBorder="1" applyAlignment="1" applyProtection="1">
      <alignment horizontal="right" vertical="center" wrapText="1" shrinkToFit="1"/>
      <protection hidden="1"/>
    </xf>
    <xf numFmtId="165" fontId="4" fillId="6" borderId="0" xfId="0" applyNumberFormat="1" applyFont="1" applyFill="1" applyBorder="1" applyAlignment="1" applyProtection="1">
      <alignment horizontal="center" vertical="center"/>
      <protection hidden="1"/>
    </xf>
    <xf numFmtId="0" fontId="4" fillId="6" borderId="0" xfId="0" applyFont="1" applyFill="1" applyBorder="1" applyAlignment="1" applyProtection="1">
      <alignment horizontal="right" vertical="center"/>
      <protection hidden="1"/>
    </xf>
    <xf numFmtId="0" fontId="4" fillId="6" borderId="0" xfId="0" applyFont="1" applyFill="1" applyBorder="1" applyAlignment="1" applyProtection="1">
      <alignment vertical="center"/>
      <protection hidden="1"/>
    </xf>
    <xf numFmtId="0" fontId="4" fillId="0" borderId="0" xfId="0" applyFont="1" applyBorder="1" applyAlignment="1" applyProtection="1">
      <alignment horizontal="center" vertical="center"/>
      <protection hidden="1"/>
    </xf>
    <xf numFmtId="16" fontId="4" fillId="0" borderId="0" xfId="0" applyNumberFormat="1" applyFont="1" applyBorder="1" applyAlignment="1" applyProtection="1">
      <alignment horizontal="right" vertical="center" wrapText="1" shrinkToFit="1"/>
      <protection hidden="1"/>
    </xf>
    <xf numFmtId="165" fontId="4" fillId="0" borderId="0" xfId="0" applyNumberFormat="1" applyFont="1" applyBorder="1" applyAlignment="1" applyProtection="1">
      <alignment horizontal="center" vertical="center"/>
      <protection hidden="1"/>
    </xf>
    <xf numFmtId="0" fontId="4" fillId="0" borderId="0" xfId="0" applyFont="1" applyBorder="1" applyAlignment="1" applyProtection="1">
      <alignment horizontal="right" vertical="center"/>
      <protection hidden="1"/>
    </xf>
    <xf numFmtId="0" fontId="9" fillId="0" borderId="0" xfId="0" applyFont="1" applyBorder="1" applyAlignment="1" applyProtection="1">
      <alignment horizontal="center" vertical="center"/>
      <protection hidden="1"/>
    </xf>
    <xf numFmtId="0" fontId="9" fillId="0" borderId="0" xfId="0" applyFont="1" applyBorder="1" applyAlignment="1" applyProtection="1">
      <alignment horizontal="left" vertical="center"/>
      <protection hidden="1"/>
    </xf>
    <xf numFmtId="0" fontId="6" fillId="0" borderId="0" xfId="0" applyFont="1" applyFill="1" applyBorder="1" applyAlignment="1" applyProtection="1">
      <alignment vertical="center"/>
      <protection hidden="1"/>
    </xf>
    <xf numFmtId="164" fontId="4" fillId="0" borderId="0" xfId="0" applyNumberFormat="1" applyFont="1" applyBorder="1" applyAlignment="1" applyProtection="1">
      <alignment horizontal="right" vertical="center" wrapText="1" shrinkToFit="1"/>
      <protection hidden="1"/>
    </xf>
    <xf numFmtId="0" fontId="1" fillId="2" borderId="7" xfId="0" applyFont="1" applyFill="1" applyBorder="1" applyAlignment="1" applyProtection="1">
      <alignment horizontal="left" vertical="center"/>
      <protection hidden="1"/>
    </xf>
    <xf numFmtId="0" fontId="3" fillId="2" borderId="8" xfId="0" applyFont="1" applyFill="1" applyBorder="1" applyAlignment="1" applyProtection="1">
      <alignment vertical="center"/>
      <protection hidden="1"/>
    </xf>
    <xf numFmtId="0" fontId="1" fillId="2" borderId="8" xfId="0" applyFont="1" applyFill="1" applyBorder="1" applyAlignment="1" applyProtection="1">
      <alignment horizontal="center" vertical="center" wrapText="1"/>
      <protection hidden="1"/>
    </xf>
    <xf numFmtId="165" fontId="1" fillId="2" borderId="8" xfId="0" applyNumberFormat="1" applyFont="1" applyFill="1" applyBorder="1" applyAlignment="1" applyProtection="1">
      <alignment horizontal="center" vertical="center"/>
      <protection hidden="1"/>
    </xf>
    <xf numFmtId="0" fontId="1" fillId="2" borderId="8" xfId="0" applyFont="1" applyFill="1" applyBorder="1" applyAlignment="1" applyProtection="1">
      <alignment horizontal="right" vertical="center"/>
      <protection hidden="1"/>
    </xf>
    <xf numFmtId="0" fontId="1" fillId="2" borderId="8" xfId="0" applyFont="1" applyFill="1" applyBorder="1" applyAlignment="1" applyProtection="1">
      <alignment horizontal="left" vertical="center"/>
      <protection hidden="1"/>
    </xf>
    <xf numFmtId="0" fontId="4" fillId="4" borderId="10" xfId="0" applyFont="1" applyFill="1" applyBorder="1" applyAlignment="1" applyProtection="1">
      <alignment horizontal="center" vertical="center"/>
      <protection hidden="1"/>
    </xf>
    <xf numFmtId="0" fontId="4" fillId="4" borderId="14" xfId="0" applyFont="1" applyFill="1" applyBorder="1" applyAlignment="1" applyProtection="1">
      <alignment horizontal="center" vertical="center"/>
      <protection hidden="1"/>
    </xf>
    <xf numFmtId="0" fontId="4" fillId="6" borderId="0" xfId="0" applyFont="1" applyFill="1" applyBorder="1" applyAlignment="1" applyProtection="1">
      <alignment horizontal="right"/>
      <protection hidden="1"/>
    </xf>
    <xf numFmtId="0" fontId="4" fillId="4" borderId="15" xfId="0" applyFont="1" applyFill="1" applyBorder="1" applyAlignment="1" applyProtection="1">
      <alignment horizontal="center" vertical="center"/>
      <protection hidden="1"/>
    </xf>
    <xf numFmtId="0" fontId="4" fillId="0" borderId="0" xfId="0" applyFont="1" applyBorder="1" applyProtection="1">
      <protection hidden="1"/>
    </xf>
    <xf numFmtId="0" fontId="4" fillId="4" borderId="7" xfId="0" applyFont="1" applyFill="1" applyBorder="1" applyAlignment="1" applyProtection="1">
      <alignment horizontal="center" vertical="center"/>
      <protection hidden="1"/>
    </xf>
    <xf numFmtId="0" fontId="3" fillId="2" borderId="1" xfId="0" applyFont="1" applyFill="1" applyBorder="1" applyAlignment="1" applyProtection="1">
      <alignment horizontal="center"/>
      <protection hidden="1"/>
    </xf>
    <xf numFmtId="16" fontId="4" fillId="6" borderId="8" xfId="0" applyNumberFormat="1" applyFont="1" applyFill="1" applyBorder="1" applyAlignment="1" applyProtection="1">
      <alignment horizontal="right" vertical="center" wrapText="1" shrinkToFit="1"/>
      <protection hidden="1"/>
    </xf>
    <xf numFmtId="165" fontId="4" fillId="6" borderId="8" xfId="0" applyNumberFormat="1" applyFont="1" applyFill="1" applyBorder="1" applyAlignment="1" applyProtection="1">
      <alignment horizontal="center" vertical="center"/>
      <protection hidden="1"/>
    </xf>
    <xf numFmtId="0" fontId="4" fillId="6" borderId="8" xfId="0" applyFont="1" applyFill="1" applyBorder="1" applyAlignment="1" applyProtection="1">
      <alignment horizontal="right" vertical="center"/>
      <protection hidden="1"/>
    </xf>
    <xf numFmtId="0" fontId="4" fillId="6" borderId="8" xfId="0" applyFont="1" applyFill="1" applyBorder="1" applyAlignment="1" applyProtection="1">
      <alignment horizontal="right"/>
      <protection hidden="1"/>
    </xf>
    <xf numFmtId="0" fontId="4" fillId="6" borderId="8" xfId="0" applyFont="1" applyFill="1" applyBorder="1" applyAlignment="1" applyProtection="1">
      <alignment vertical="center"/>
      <protection hidden="1"/>
    </xf>
    <xf numFmtId="0" fontId="17" fillId="0" borderId="0" xfId="0" applyFont="1" applyFill="1" applyBorder="1" applyAlignment="1" applyProtection="1">
      <alignment vertical="center"/>
      <protection hidden="1"/>
    </xf>
    <xf numFmtId="0" fontId="16" fillId="0" borderId="0" xfId="0" applyFont="1" applyBorder="1" applyProtection="1">
      <protection hidden="1"/>
    </xf>
    <xf numFmtId="0" fontId="4" fillId="0" borderId="0" xfId="0" applyFont="1" applyBorder="1" applyAlignment="1" applyProtection="1">
      <alignment wrapText="1"/>
      <protection hidden="1"/>
    </xf>
    <xf numFmtId="0" fontId="4" fillId="0" borderId="0" xfId="0" applyFont="1" applyBorder="1" applyAlignment="1" applyProtection="1">
      <protection hidden="1"/>
    </xf>
    <xf numFmtId="0" fontId="4" fillId="0" borderId="0" xfId="0" applyFont="1" applyBorder="1" applyAlignment="1" applyProtection="1">
      <alignment horizontal="right" indent="1"/>
      <protection hidden="1"/>
    </xf>
    <xf numFmtId="0" fontId="4" fillId="0" borderId="0" xfId="0" applyFont="1" applyBorder="1" applyAlignment="1" applyProtection="1">
      <alignment horizontal="left" indent="1"/>
      <protection hidden="1"/>
    </xf>
    <xf numFmtId="0" fontId="7" fillId="0" borderId="0" xfId="0" applyFont="1" applyBorder="1" applyProtection="1">
      <protection hidden="1"/>
    </xf>
    <xf numFmtId="0" fontId="18" fillId="0" borderId="0" xfId="0" applyFont="1" applyBorder="1" applyProtection="1">
      <protection hidden="1"/>
    </xf>
    <xf numFmtId="0" fontId="19" fillId="0" borderId="0" xfId="0" applyFont="1" applyBorder="1" applyProtection="1">
      <protection hidden="1"/>
    </xf>
    <xf numFmtId="0" fontId="4" fillId="0" borderId="0" xfId="0" applyFont="1" applyBorder="1"/>
    <xf numFmtId="0" fontId="4" fillId="0" borderId="1" xfId="0" applyFont="1" applyBorder="1" applyProtection="1">
      <protection hidden="1"/>
    </xf>
    <xf numFmtId="0" fontId="4" fillId="0" borderId="1" xfId="0" applyFont="1" applyBorder="1"/>
    <xf numFmtId="0" fontId="4" fillId="0" borderId="1" xfId="0" applyFont="1" applyBorder="1" applyAlignment="1" applyProtection="1">
      <alignment horizontal="left" vertical="center"/>
    </xf>
    <xf numFmtId="0" fontId="4" fillId="0" borderId="1" xfId="0" applyFont="1" applyBorder="1" applyAlignment="1" applyProtection="1">
      <alignment vertical="center"/>
      <protection hidden="1"/>
    </xf>
    <xf numFmtId="0" fontId="4" fillId="4" borderId="1" xfId="0" applyFont="1" applyFill="1" applyBorder="1" applyAlignment="1" applyProtection="1">
      <alignment vertical="center"/>
      <protection locked="0"/>
    </xf>
    <xf numFmtId="0" fontId="1" fillId="2" borderId="0" xfId="0" applyFont="1" applyFill="1" applyAlignment="1" applyProtection="1">
      <alignment horizontal="left" vertical="center" indent="1"/>
      <protection hidden="1"/>
    </xf>
    <xf numFmtId="0" fontId="4" fillId="2" borderId="0" xfId="0" applyFont="1" applyFill="1" applyAlignment="1" applyProtection="1">
      <alignment vertical="center"/>
      <protection hidden="1"/>
    </xf>
    <xf numFmtId="0" fontId="4" fillId="0" borderId="17" xfId="0" applyFont="1" applyBorder="1" applyAlignment="1" applyProtection="1">
      <alignment horizontal="center" vertical="center"/>
      <protection locked="0"/>
    </xf>
    <xf numFmtId="0" fontId="4" fillId="2" borderId="0" xfId="0" applyFont="1" applyFill="1" applyBorder="1" applyAlignment="1" applyProtection="1">
      <alignment vertical="center"/>
      <protection hidden="1"/>
    </xf>
    <xf numFmtId="0" fontId="4" fillId="2" borderId="10" xfId="0" applyFont="1" applyFill="1" applyBorder="1" applyAlignment="1" applyProtection="1">
      <alignment horizontal="center" vertical="center"/>
      <protection hidden="1"/>
    </xf>
    <xf numFmtId="0" fontId="4" fillId="2" borderId="13" xfId="0" applyFont="1" applyFill="1" applyBorder="1" applyAlignment="1" applyProtection="1">
      <alignment vertical="center"/>
      <protection hidden="1"/>
    </xf>
    <xf numFmtId="0" fontId="0" fillId="0" borderId="0" xfId="0" applyAlignment="1">
      <alignment vertical="center"/>
    </xf>
    <xf numFmtId="0" fontId="2" fillId="0" borderId="0" xfId="0" applyFont="1" applyAlignment="1" applyProtection="1">
      <alignment vertical="center"/>
      <protection hidden="1"/>
    </xf>
    <xf numFmtId="0" fontId="21" fillId="0" borderId="0" xfId="0" applyFont="1" applyAlignment="1">
      <alignment vertical="center"/>
    </xf>
    <xf numFmtId="0" fontId="16" fillId="0" borderId="18" xfId="0" applyFont="1" applyBorder="1" applyAlignment="1" applyProtection="1">
      <alignment vertical="center"/>
      <protection hidden="1"/>
    </xf>
    <xf numFmtId="0" fontId="4" fillId="0" borderId="18" xfId="0" applyFont="1" applyBorder="1" applyAlignment="1" applyProtection="1">
      <alignment vertical="center"/>
      <protection hidden="1"/>
    </xf>
    <xf numFmtId="0" fontId="11" fillId="0" borderId="18" xfId="0" applyFont="1" applyBorder="1" applyAlignment="1" applyProtection="1">
      <alignment horizontal="right" vertical="center"/>
      <protection hidden="1"/>
    </xf>
    <xf numFmtId="0" fontId="7" fillId="2" borderId="0" xfId="0" applyFont="1" applyFill="1" applyBorder="1" applyAlignment="1" applyProtection="1">
      <alignment vertical="center"/>
      <protection hidden="1"/>
    </xf>
    <xf numFmtId="0" fontId="16" fillId="0" borderId="0" xfId="0" applyFont="1" applyBorder="1" applyAlignment="1" applyProtection="1">
      <alignment vertical="center"/>
      <protection hidden="1"/>
    </xf>
    <xf numFmtId="0" fontId="11" fillId="0" borderId="0" xfId="0" applyFont="1" applyBorder="1" applyAlignment="1" applyProtection="1">
      <alignment vertical="center"/>
      <protection hidden="1"/>
    </xf>
    <xf numFmtId="0" fontId="24" fillId="0" borderId="0" xfId="1" applyFont="1" applyBorder="1" applyAlignment="1" applyProtection="1">
      <alignment horizontal="left" vertical="center"/>
      <protection hidden="1"/>
    </xf>
    <xf numFmtId="0" fontId="24" fillId="0" borderId="18" xfId="1" applyFont="1" applyBorder="1" applyAlignment="1" applyProtection="1">
      <alignment vertical="center"/>
      <protection hidden="1"/>
    </xf>
    <xf numFmtId="0" fontId="25" fillId="0" borderId="0" xfId="0" applyFont="1" applyAlignment="1" applyProtection="1">
      <alignment vertical="center"/>
      <protection hidden="1"/>
    </xf>
    <xf numFmtId="0" fontId="14" fillId="9" borderId="0" xfId="0" applyFont="1" applyFill="1" applyBorder="1" applyAlignment="1" applyProtection="1">
      <alignment horizontal="center" vertical="center"/>
      <protection hidden="1"/>
    </xf>
    <xf numFmtId="0" fontId="14" fillId="10" borderId="0" xfId="0" applyFont="1" applyFill="1" applyBorder="1" applyAlignment="1" applyProtection="1">
      <alignment horizontal="center" vertical="center"/>
      <protection hidden="1"/>
    </xf>
    <xf numFmtId="0" fontId="14" fillId="11" borderId="0" xfId="0" applyFont="1" applyFill="1" applyBorder="1" applyAlignment="1" applyProtection="1">
      <alignment horizontal="center" vertical="center"/>
      <protection hidden="1"/>
    </xf>
    <xf numFmtId="0" fontId="14" fillId="12" borderId="0" xfId="0" applyFont="1" applyFill="1" applyBorder="1" applyAlignment="1" applyProtection="1">
      <alignment horizontal="center" vertical="center"/>
      <protection hidden="1"/>
    </xf>
    <xf numFmtId="0" fontId="14" fillId="13" borderId="0" xfId="0" applyFont="1" applyFill="1" applyBorder="1" applyAlignment="1" applyProtection="1">
      <alignment horizontal="center" vertical="center"/>
      <protection hidden="1"/>
    </xf>
    <xf numFmtId="0" fontId="14" fillId="14" borderId="0" xfId="0" applyFont="1" applyFill="1" applyBorder="1" applyAlignment="1" applyProtection="1">
      <alignment horizontal="center" vertical="center"/>
      <protection hidden="1"/>
    </xf>
    <xf numFmtId="0" fontId="14" fillId="5" borderId="0" xfId="0" applyFont="1" applyFill="1" applyBorder="1" applyAlignment="1" applyProtection="1">
      <alignment horizontal="center" vertical="center"/>
      <protection hidden="1"/>
    </xf>
    <xf numFmtId="0" fontId="14" fillId="15" borderId="0" xfId="0" applyFont="1" applyFill="1" applyBorder="1" applyAlignment="1" applyProtection="1">
      <alignment horizontal="center" vertical="center"/>
      <protection hidden="1"/>
    </xf>
    <xf numFmtId="16" fontId="4" fillId="0" borderId="0" xfId="0" applyNumberFormat="1" applyFont="1" applyFill="1" applyBorder="1" applyAlignment="1" applyProtection="1">
      <alignment horizontal="right" vertical="center" wrapText="1" shrinkToFit="1"/>
      <protection hidden="1"/>
    </xf>
    <xf numFmtId="165" fontId="4" fillId="0" borderId="0" xfId="0" applyNumberFormat="1" applyFont="1" applyFill="1" applyBorder="1" applyAlignment="1" applyProtection="1">
      <alignment horizontal="center" vertical="center"/>
      <protection hidden="1"/>
    </xf>
    <xf numFmtId="0" fontId="4" fillId="0" borderId="0" xfId="0" applyFont="1" applyFill="1" applyBorder="1" applyAlignment="1" applyProtection="1">
      <alignment horizontal="right" vertical="center"/>
      <protection hidden="1"/>
    </xf>
    <xf numFmtId="0" fontId="4" fillId="0" borderId="0" xfId="0" applyFont="1" applyFill="1" applyBorder="1" applyAlignment="1" applyProtection="1">
      <alignment horizontal="right"/>
      <protection hidden="1"/>
    </xf>
    <xf numFmtId="16" fontId="4" fillId="0" borderId="3" xfId="0" applyNumberFormat="1" applyFont="1" applyFill="1" applyBorder="1" applyAlignment="1" applyProtection="1">
      <alignment horizontal="right" vertical="center" wrapText="1" shrinkToFit="1"/>
      <protection hidden="1"/>
    </xf>
    <xf numFmtId="165" fontId="4" fillId="0" borderId="3" xfId="0" applyNumberFormat="1" applyFont="1" applyFill="1" applyBorder="1" applyAlignment="1" applyProtection="1">
      <alignment horizontal="center" vertical="center"/>
      <protection hidden="1"/>
    </xf>
    <xf numFmtId="0" fontId="4" fillId="0" borderId="3" xfId="0" applyFont="1" applyFill="1" applyBorder="1" applyAlignment="1" applyProtection="1">
      <alignment horizontal="right" vertical="center"/>
      <protection hidden="1"/>
    </xf>
    <xf numFmtId="0" fontId="4" fillId="0" borderId="3" xfId="0" applyFont="1" applyFill="1" applyBorder="1" applyAlignment="1" applyProtection="1">
      <alignment horizontal="right"/>
      <protection hidden="1"/>
    </xf>
    <xf numFmtId="0" fontId="4" fillId="0" borderId="3" xfId="0" applyFont="1" applyFill="1" applyBorder="1" applyAlignment="1" applyProtection="1">
      <alignment vertical="center"/>
      <protection hidden="1"/>
    </xf>
    <xf numFmtId="16" fontId="4" fillId="0" borderId="8" xfId="0" applyNumberFormat="1" applyFont="1" applyFill="1" applyBorder="1" applyAlignment="1" applyProtection="1">
      <alignment horizontal="right" vertical="center" wrapText="1" shrinkToFit="1"/>
      <protection hidden="1"/>
    </xf>
    <xf numFmtId="165" fontId="4" fillId="0" borderId="8" xfId="0" applyNumberFormat="1" applyFont="1" applyFill="1" applyBorder="1" applyAlignment="1" applyProtection="1">
      <alignment horizontal="center" vertical="center"/>
      <protection hidden="1"/>
    </xf>
    <xf numFmtId="0" fontId="4" fillId="0" borderId="8" xfId="0" applyFont="1" applyFill="1" applyBorder="1" applyAlignment="1" applyProtection="1">
      <alignment horizontal="right" vertical="center"/>
      <protection hidden="1"/>
    </xf>
    <xf numFmtId="0" fontId="4" fillId="0" borderId="8" xfId="0" applyFont="1" applyFill="1" applyBorder="1" applyAlignment="1" applyProtection="1">
      <alignment horizontal="right"/>
      <protection hidden="1"/>
    </xf>
    <xf numFmtId="0" fontId="4" fillId="0" borderId="8" xfId="0" applyFont="1" applyFill="1" applyBorder="1" applyAlignment="1" applyProtection="1">
      <alignment vertical="center"/>
      <protection hidden="1"/>
    </xf>
    <xf numFmtId="16" fontId="4" fillId="0" borderId="15" xfId="0" applyNumberFormat="1" applyFont="1" applyFill="1" applyBorder="1" applyAlignment="1" applyProtection="1">
      <alignment horizontal="right" vertical="center" wrapText="1" shrinkToFit="1"/>
      <protection hidden="1"/>
    </xf>
    <xf numFmtId="0" fontId="0" fillId="2" borderId="0" xfId="0" applyFill="1"/>
    <xf numFmtId="0" fontId="3" fillId="16" borderId="0" xfId="0" applyFont="1" applyFill="1" applyBorder="1"/>
    <xf numFmtId="0" fontId="1" fillId="16" borderId="0" xfId="2" applyFont="1" applyFill="1" applyAlignment="1">
      <alignment vertical="center"/>
    </xf>
    <xf numFmtId="0" fontId="27" fillId="16" borderId="0" xfId="0" applyFont="1" applyFill="1" applyBorder="1"/>
    <xf numFmtId="0" fontId="1" fillId="16" borderId="0" xfId="0" applyFont="1" applyFill="1" applyBorder="1" applyAlignment="1">
      <alignment vertical="center"/>
    </xf>
    <xf numFmtId="0" fontId="1" fillId="16" borderId="0" xfId="0" applyFont="1" applyFill="1" applyBorder="1" applyAlignment="1"/>
    <xf numFmtId="0" fontId="0" fillId="16" borderId="0" xfId="0" applyFill="1"/>
    <xf numFmtId="0" fontId="3" fillId="16" borderId="0" xfId="0" applyFont="1" applyFill="1" applyBorder="1" applyAlignment="1"/>
    <xf numFmtId="0" fontId="4" fillId="5" borderId="0" xfId="0" applyFont="1" applyFill="1" applyBorder="1" applyAlignment="1"/>
    <xf numFmtId="0" fontId="16" fillId="5" borderId="0" xfId="2" applyFont="1" applyFill="1" applyAlignment="1">
      <alignment vertical="center"/>
    </xf>
    <xf numFmtId="0" fontId="3" fillId="16" borderId="0" xfId="0" quotePrefix="1" applyFont="1" applyFill="1" applyBorder="1" applyAlignment="1">
      <alignment horizontal="left"/>
    </xf>
    <xf numFmtId="0" fontId="28" fillId="16" borderId="0" xfId="1" applyFont="1" applyFill="1" applyBorder="1" applyAlignment="1" applyProtection="1"/>
    <xf numFmtId="0" fontId="29" fillId="16" borderId="0" xfId="0" applyFont="1" applyFill="1" applyBorder="1" applyAlignment="1">
      <alignment horizontal="left"/>
    </xf>
    <xf numFmtId="0" fontId="4" fillId="0" borderId="0" xfId="0" applyFont="1" applyFill="1" applyBorder="1" applyProtection="1">
      <protection hidden="1"/>
    </xf>
    <xf numFmtId="0" fontId="9" fillId="0" borderId="0" xfId="0" applyFont="1" applyBorder="1"/>
    <xf numFmtId="0" fontId="9" fillId="0" borderId="0" xfId="0" applyFont="1"/>
    <xf numFmtId="0" fontId="9" fillId="0" borderId="19" xfId="0" applyFont="1" applyBorder="1"/>
    <xf numFmtId="0" fontId="9" fillId="0" borderId="20" xfId="0" applyFont="1" applyBorder="1"/>
    <xf numFmtId="0" fontId="9" fillId="0" borderId="21" xfId="0" applyFont="1" applyBorder="1"/>
    <xf numFmtId="0" fontId="9" fillId="0" borderId="22" xfId="0" applyFont="1" applyBorder="1"/>
    <xf numFmtId="0" fontId="9" fillId="0" borderId="23" xfId="0" applyFont="1" applyBorder="1"/>
    <xf numFmtId="0" fontId="9" fillId="4" borderId="22" xfId="0" applyFont="1" applyFill="1" applyBorder="1"/>
    <xf numFmtId="0" fontId="9" fillId="4" borderId="23" xfId="0" applyFont="1" applyFill="1" applyBorder="1"/>
    <xf numFmtId="0" fontId="9" fillId="4" borderId="24" xfId="0" applyFont="1" applyFill="1" applyBorder="1"/>
    <xf numFmtId="0" fontId="9" fillId="4" borderId="26" xfId="0" applyFont="1" applyFill="1" applyBorder="1"/>
    <xf numFmtId="0" fontId="3" fillId="0" borderId="0" xfId="0" applyFont="1" applyAlignment="1" applyProtection="1">
      <protection hidden="1"/>
    </xf>
    <xf numFmtId="0" fontId="4" fillId="2" borderId="0" xfId="0" applyFont="1" applyFill="1" applyAlignment="1">
      <alignment vertical="center"/>
    </xf>
    <xf numFmtId="0" fontId="4" fillId="2" borderId="0" xfId="0" applyFont="1" applyFill="1" applyAlignment="1">
      <alignment horizontal="center" vertical="center"/>
    </xf>
    <xf numFmtId="0" fontId="36" fillId="2" borderId="0" xfId="0" applyFont="1" applyFill="1" applyAlignment="1">
      <alignment vertical="center"/>
    </xf>
    <xf numFmtId="0" fontId="6" fillId="2" borderId="0" xfId="0" applyFont="1" applyFill="1" applyAlignment="1" applyProtection="1">
      <alignment vertical="center"/>
      <protection hidden="1"/>
    </xf>
    <xf numFmtId="0" fontId="4" fillId="0" borderId="0" xfId="0" applyFont="1" applyFill="1" applyAlignment="1">
      <alignment vertical="center"/>
    </xf>
    <xf numFmtId="0" fontId="4" fillId="0" borderId="0" xfId="0" applyFont="1" applyFill="1" applyAlignment="1">
      <alignment horizontal="center" vertical="center"/>
    </xf>
    <xf numFmtId="0" fontId="6" fillId="0" borderId="0" xfId="0" applyFont="1" applyAlignment="1" applyProtection="1">
      <alignment vertical="center"/>
      <protection hidden="1"/>
    </xf>
    <xf numFmtId="0" fontId="37" fillId="0" borderId="0" xfId="0" applyFont="1" applyFill="1" applyAlignment="1" applyProtection="1">
      <alignment vertical="center"/>
      <protection hidden="1"/>
    </xf>
    <xf numFmtId="0" fontId="8" fillId="0" borderId="0" xfId="0" applyFont="1" applyFill="1" applyAlignment="1" applyProtection="1">
      <alignment vertical="center"/>
      <protection hidden="1"/>
    </xf>
    <xf numFmtId="0" fontId="8" fillId="0" borderId="0" xfId="0" applyFont="1" applyFill="1" applyAlignment="1" applyProtection="1">
      <alignment horizontal="center" vertical="center"/>
      <protection hidden="1"/>
    </xf>
    <xf numFmtId="0" fontId="16" fillId="0" borderId="0" xfId="0" applyFont="1" applyBorder="1" applyAlignment="1" applyProtection="1">
      <alignment horizontal="center" vertical="center"/>
      <protection hidden="1"/>
    </xf>
    <xf numFmtId="0" fontId="16" fillId="0" borderId="0" xfId="0" applyFont="1" applyAlignment="1" applyProtection="1">
      <alignment horizontal="center" vertical="center"/>
      <protection hidden="1"/>
    </xf>
    <xf numFmtId="0" fontId="4" fillId="0" borderId="0" xfId="0" applyFont="1" applyFill="1" applyAlignment="1" applyProtection="1">
      <alignment vertical="center"/>
      <protection hidden="1"/>
    </xf>
    <xf numFmtId="0" fontId="38" fillId="0" borderId="0" xfId="0" applyFont="1" applyFill="1" applyBorder="1" applyAlignment="1" applyProtection="1">
      <alignment horizontal="center" vertical="center"/>
      <protection locked="0"/>
    </xf>
    <xf numFmtId="0" fontId="4" fillId="4" borderId="1" xfId="0" applyFont="1" applyFill="1" applyBorder="1" applyAlignment="1" applyProtection="1">
      <alignment horizontal="center" vertical="center"/>
      <protection locked="0"/>
    </xf>
    <xf numFmtId="0" fontId="4" fillId="0" borderId="39" xfId="0" applyFont="1" applyFill="1" applyBorder="1" applyAlignment="1" applyProtection="1">
      <alignment vertical="center"/>
      <protection locked="0"/>
    </xf>
    <xf numFmtId="0" fontId="4" fillId="0" borderId="40" xfId="0" applyFont="1" applyFill="1" applyBorder="1" applyAlignment="1" applyProtection="1">
      <alignment vertical="center"/>
      <protection locked="0"/>
    </xf>
    <xf numFmtId="0" fontId="3" fillId="0" borderId="0" xfId="0" applyFont="1" applyAlignment="1" applyProtection="1">
      <alignment vertical="center"/>
      <protection hidden="1"/>
    </xf>
    <xf numFmtId="0" fontId="33" fillId="0" borderId="41" xfId="0" applyFont="1" applyFill="1" applyBorder="1" applyAlignment="1" applyProtection="1">
      <protection hidden="1"/>
    </xf>
    <xf numFmtId="0" fontId="8" fillId="0" borderId="41" xfId="0" applyFont="1" applyFill="1" applyBorder="1" applyAlignment="1" applyProtection="1">
      <alignment vertical="center"/>
      <protection hidden="1"/>
    </xf>
    <xf numFmtId="0" fontId="37" fillId="0" borderId="41" xfId="0" applyFont="1" applyFill="1" applyBorder="1" applyAlignment="1" applyProtection="1">
      <alignment vertical="center"/>
      <protection hidden="1"/>
    </xf>
    <xf numFmtId="0" fontId="17" fillId="2" borderId="0" xfId="0" applyFont="1" applyFill="1" applyBorder="1" applyAlignment="1" applyProtection="1">
      <alignment vertical="center"/>
      <protection hidden="1"/>
    </xf>
    <xf numFmtId="0" fontId="36" fillId="0" borderId="0" xfId="0" applyFont="1" applyAlignment="1" applyProtection="1">
      <alignment vertical="center"/>
      <protection hidden="1"/>
    </xf>
    <xf numFmtId="0" fontId="39" fillId="0" borderId="0" xfId="0" applyFont="1" applyBorder="1" applyAlignment="1" applyProtection="1">
      <alignment vertical="center"/>
      <protection hidden="1"/>
    </xf>
    <xf numFmtId="0" fontId="39" fillId="0" borderId="0" xfId="0" applyFont="1" applyBorder="1" applyAlignment="1" applyProtection="1">
      <alignment horizontal="center" vertical="center"/>
      <protection hidden="1"/>
    </xf>
    <xf numFmtId="0" fontId="39" fillId="0" borderId="0" xfId="0" applyFont="1" applyAlignment="1" applyProtection="1">
      <alignment horizontal="center" vertical="center"/>
      <protection hidden="1"/>
    </xf>
    <xf numFmtId="0" fontId="40" fillId="0" borderId="0" xfId="0" applyFont="1" applyAlignment="1" applyProtection="1">
      <alignment vertical="center"/>
      <protection hidden="1"/>
    </xf>
    <xf numFmtId="0" fontId="39" fillId="0" borderId="0" xfId="0" applyFont="1" applyAlignment="1" applyProtection="1">
      <alignment vertical="center"/>
      <protection hidden="1"/>
    </xf>
    <xf numFmtId="0" fontId="4" fillId="0" borderId="1" xfId="0" applyFont="1" applyFill="1" applyBorder="1" applyAlignment="1" applyProtection="1">
      <alignment horizontal="center" vertical="center"/>
      <protection locked="0"/>
    </xf>
    <xf numFmtId="0" fontId="4" fillId="0" borderId="0" xfId="0" applyFont="1" applyBorder="1" applyAlignment="1" applyProtection="1">
      <alignment horizontal="center" vertical="center"/>
      <protection locked="0"/>
    </xf>
    <xf numFmtId="0" fontId="4" fillId="0" borderId="39" xfId="0" applyFont="1" applyBorder="1" applyAlignment="1" applyProtection="1">
      <alignment vertical="center"/>
      <protection locked="0"/>
    </xf>
    <xf numFmtId="0" fontId="4" fillId="0" borderId="40" xfId="0" applyFont="1" applyBorder="1" applyAlignment="1" applyProtection="1">
      <alignment vertical="center"/>
      <protection locked="0"/>
    </xf>
    <xf numFmtId="0" fontId="4" fillId="0" borderId="0" xfId="0" applyFont="1" applyBorder="1" applyAlignment="1" applyProtection="1">
      <alignment vertical="center"/>
      <protection locked="0"/>
    </xf>
    <xf numFmtId="0" fontId="4" fillId="0" borderId="0" xfId="0" applyFont="1" applyAlignment="1" applyProtection="1">
      <alignment horizontal="center" vertical="center"/>
      <protection locked="0"/>
    </xf>
    <xf numFmtId="0" fontId="4" fillId="0" borderId="0" xfId="0" applyFont="1" applyAlignment="1" applyProtection="1">
      <alignment vertical="center"/>
      <protection locked="0"/>
    </xf>
    <xf numFmtId="0" fontId="6" fillId="0" borderId="0" xfId="0" applyFont="1" applyBorder="1" applyAlignment="1" applyProtection="1">
      <alignment vertical="center"/>
      <protection locked="0"/>
    </xf>
    <xf numFmtId="0" fontId="4" fillId="4" borderId="2" xfId="0" applyFont="1" applyFill="1" applyBorder="1" applyAlignment="1" applyProtection="1">
      <alignment vertical="center"/>
      <protection hidden="1"/>
    </xf>
    <xf numFmtId="0" fontId="4" fillId="4" borderId="2" xfId="0" applyFont="1" applyFill="1" applyBorder="1" applyAlignment="1" applyProtection="1">
      <alignment horizontal="center" vertical="center"/>
      <protection hidden="1"/>
    </xf>
    <xf numFmtId="0" fontId="41" fillId="4" borderId="0" xfId="0" applyFont="1" applyFill="1" applyBorder="1" applyAlignment="1" applyProtection="1">
      <alignment vertical="center"/>
      <protection hidden="1"/>
    </xf>
    <xf numFmtId="0" fontId="16" fillId="4" borderId="0" xfId="0" applyFont="1" applyFill="1" applyBorder="1" applyAlignment="1" applyProtection="1">
      <alignment vertical="center"/>
      <protection hidden="1"/>
    </xf>
    <xf numFmtId="0" fontId="4" fillId="4" borderId="0" xfId="0" applyFont="1" applyFill="1" applyBorder="1" applyAlignment="1" applyProtection="1">
      <alignment vertical="center"/>
      <protection hidden="1"/>
    </xf>
    <xf numFmtId="0" fontId="4" fillId="4" borderId="3" xfId="0" applyFont="1" applyFill="1" applyBorder="1" applyAlignment="1" applyProtection="1">
      <alignment vertical="center"/>
      <protection hidden="1"/>
    </xf>
    <xf numFmtId="0" fontId="4" fillId="4" borderId="3" xfId="0" applyFont="1" applyFill="1" applyBorder="1" applyAlignment="1" applyProtection="1">
      <alignment horizontal="center" vertical="center"/>
      <protection hidden="1"/>
    </xf>
    <xf numFmtId="0" fontId="9" fillId="0" borderId="0" xfId="0" applyFont="1" applyAlignment="1">
      <alignment horizontal="center" vertical="center"/>
    </xf>
    <xf numFmtId="0" fontId="9" fillId="0" borderId="0" xfId="0" applyFont="1" applyAlignment="1">
      <alignment vertical="center"/>
    </xf>
    <xf numFmtId="0" fontId="16" fillId="0" borderId="0" xfId="0" applyFont="1" applyBorder="1" applyAlignment="1" applyProtection="1">
      <alignment horizontal="left" vertical="center"/>
      <protection hidden="1"/>
    </xf>
    <xf numFmtId="0" fontId="3" fillId="0" borderId="0" xfId="0" applyFont="1" applyFill="1" applyAlignment="1">
      <alignment vertical="center"/>
    </xf>
    <xf numFmtId="0" fontId="42" fillId="0" borderId="0" xfId="0" applyFont="1" applyFill="1" applyAlignment="1" applyProtection="1">
      <alignment vertical="center"/>
      <protection hidden="1"/>
    </xf>
    <xf numFmtId="0" fontId="3" fillId="0" borderId="0" xfId="0" applyFont="1" applyAlignment="1" applyProtection="1">
      <alignment horizontal="center" vertical="center"/>
      <protection hidden="1"/>
    </xf>
    <xf numFmtId="0" fontId="16" fillId="0" borderId="18" xfId="0" applyFont="1" applyFill="1" applyBorder="1" applyAlignment="1" applyProtection="1">
      <alignment horizontal="left" vertical="center"/>
      <protection hidden="1"/>
    </xf>
    <xf numFmtId="0" fontId="3" fillId="0" borderId="0" xfId="0" applyFont="1" applyFill="1" applyAlignment="1" applyProtection="1">
      <alignment vertical="center"/>
      <protection hidden="1"/>
    </xf>
    <xf numFmtId="0" fontId="16" fillId="0" borderId="0" xfId="0" applyFont="1" applyFill="1" applyBorder="1" applyAlignment="1" applyProtection="1">
      <alignment horizontal="left" vertical="center"/>
      <protection hidden="1"/>
    </xf>
    <xf numFmtId="0" fontId="3" fillId="2" borderId="0" xfId="0" applyFont="1" applyFill="1" applyAlignment="1">
      <alignment vertical="center"/>
    </xf>
    <xf numFmtId="0" fontId="16" fillId="2" borderId="0" xfId="0" applyFont="1" applyFill="1" applyBorder="1" applyAlignment="1" applyProtection="1">
      <alignment horizontal="left" vertical="center"/>
      <protection hidden="1"/>
    </xf>
    <xf numFmtId="0" fontId="4" fillId="4" borderId="0" xfId="0" applyFont="1" applyFill="1" applyAlignment="1" applyProtection="1">
      <alignment horizontal="center" vertical="center"/>
      <protection hidden="1"/>
    </xf>
    <xf numFmtId="0" fontId="35" fillId="0" borderId="0" xfId="0" applyFont="1" applyFill="1" applyAlignment="1" applyProtection="1">
      <alignment vertical="center"/>
      <protection hidden="1"/>
    </xf>
    <xf numFmtId="0" fontId="4" fillId="2" borderId="0" xfId="0" applyFont="1" applyFill="1" applyAlignment="1">
      <alignment horizontal="left" vertical="center" indent="1"/>
    </xf>
    <xf numFmtId="0" fontId="4" fillId="0" borderId="0" xfId="0" applyFont="1" applyFill="1" applyAlignment="1">
      <alignment horizontal="left" vertical="center" indent="1"/>
    </xf>
    <xf numFmtId="0" fontId="8" fillId="0" borderId="0" xfId="0" applyFont="1" applyFill="1" applyAlignment="1" applyProtection="1">
      <alignment horizontal="left" vertical="center" indent="1"/>
      <protection hidden="1"/>
    </xf>
    <xf numFmtId="0" fontId="16" fillId="0" borderId="18" xfId="0" applyFont="1" applyFill="1" applyBorder="1" applyAlignment="1" applyProtection="1">
      <alignment horizontal="left" vertical="center" indent="1"/>
      <protection hidden="1"/>
    </xf>
    <xf numFmtId="0" fontId="16" fillId="2" borderId="0" xfId="0" applyFont="1" applyFill="1" applyBorder="1" applyAlignment="1" applyProtection="1">
      <alignment horizontal="left" vertical="center" indent="1"/>
      <protection hidden="1"/>
    </xf>
    <xf numFmtId="0" fontId="16" fillId="0" borderId="0" xfId="0" applyFont="1" applyFill="1" applyBorder="1" applyAlignment="1" applyProtection="1">
      <alignment horizontal="left" vertical="center" indent="1"/>
      <protection hidden="1"/>
    </xf>
    <xf numFmtId="0" fontId="4" fillId="4" borderId="0" xfId="0" applyFont="1" applyFill="1" applyAlignment="1" applyProtection="1">
      <alignment horizontal="left" vertical="center" indent="1"/>
      <protection hidden="1"/>
    </xf>
    <xf numFmtId="0" fontId="0" fillId="0" borderId="0" xfId="0" applyAlignment="1">
      <alignment horizontal="left" indent="1"/>
    </xf>
    <xf numFmtId="0" fontId="3" fillId="2" borderId="0" xfId="0" applyFont="1" applyFill="1" applyBorder="1" applyProtection="1">
      <protection hidden="1"/>
    </xf>
    <xf numFmtId="16" fontId="4" fillId="6" borderId="2" xfId="0" applyNumberFormat="1" applyFont="1" applyFill="1" applyBorder="1" applyAlignment="1" applyProtection="1">
      <alignment horizontal="right" vertical="center" wrapText="1" shrinkToFit="1"/>
      <protection hidden="1"/>
    </xf>
    <xf numFmtId="165" fontId="4" fillId="6" borderId="2" xfId="0" applyNumberFormat="1" applyFont="1" applyFill="1" applyBorder="1" applyAlignment="1" applyProtection="1">
      <alignment horizontal="center" vertical="center"/>
      <protection hidden="1"/>
    </xf>
    <xf numFmtId="0" fontId="4" fillId="6" borderId="2" xfId="0" applyFont="1" applyFill="1" applyBorder="1" applyAlignment="1" applyProtection="1">
      <alignment horizontal="right" vertical="center"/>
      <protection hidden="1"/>
    </xf>
    <xf numFmtId="0" fontId="4" fillId="6" borderId="2" xfId="0" applyFont="1" applyFill="1" applyBorder="1" applyAlignment="1" applyProtection="1">
      <alignment horizontal="right"/>
      <protection hidden="1"/>
    </xf>
    <xf numFmtId="0" fontId="4" fillId="6" borderId="2" xfId="0" applyFont="1" applyFill="1" applyBorder="1" applyAlignment="1" applyProtection="1">
      <alignment vertical="center"/>
      <protection hidden="1"/>
    </xf>
    <xf numFmtId="0" fontId="9" fillId="0" borderId="0" xfId="0" applyFont="1" applyAlignment="1" applyProtection="1">
      <alignment vertical="center"/>
      <protection hidden="1"/>
    </xf>
    <xf numFmtId="0" fontId="1" fillId="3" borderId="0" xfId="0" applyFont="1" applyFill="1" applyBorder="1" applyAlignment="1" applyProtection="1">
      <alignment horizontal="center" vertical="center"/>
      <protection hidden="1"/>
    </xf>
    <xf numFmtId="0" fontId="43" fillId="0" borderId="0" xfId="0" applyFont="1" applyFill="1" applyAlignment="1" applyProtection="1">
      <alignment vertical="center"/>
      <protection hidden="1"/>
    </xf>
    <xf numFmtId="0" fontId="1" fillId="0" borderId="0" xfId="0" applyFont="1" applyFill="1" applyAlignment="1" applyProtection="1">
      <alignment horizontal="right" vertical="center"/>
      <protection hidden="1"/>
    </xf>
    <xf numFmtId="0" fontId="44" fillId="0" borderId="0" xfId="0" applyFont="1"/>
    <xf numFmtId="0" fontId="1" fillId="16" borderId="42" xfId="0" applyFont="1" applyFill="1" applyBorder="1" applyAlignment="1">
      <alignment horizontal="center" vertical="center"/>
    </xf>
    <xf numFmtId="0" fontId="3" fillId="16" borderId="0" xfId="0" applyFont="1" applyFill="1" applyAlignment="1">
      <alignment vertical="center"/>
    </xf>
    <xf numFmtId="0" fontId="4" fillId="4" borderId="42" xfId="0" applyFont="1" applyFill="1" applyBorder="1" applyAlignment="1">
      <alignment horizontal="center" vertical="center"/>
    </xf>
    <xf numFmtId="0" fontId="1" fillId="3" borderId="1" xfId="0" applyFont="1" applyFill="1" applyBorder="1" applyAlignment="1" applyProtection="1">
      <alignment vertical="center"/>
      <protection locked="0"/>
    </xf>
    <xf numFmtId="0" fontId="4" fillId="5" borderId="29" xfId="0" applyFont="1" applyFill="1" applyBorder="1" applyAlignment="1" applyProtection="1">
      <alignment horizontal="center" vertical="center"/>
      <protection hidden="1"/>
    </xf>
    <xf numFmtId="0" fontId="4" fillId="5" borderId="30" xfId="0" applyFont="1" applyFill="1" applyBorder="1" applyAlignment="1" applyProtection="1">
      <alignment horizontal="center" vertical="center"/>
      <protection hidden="1"/>
    </xf>
    <xf numFmtId="0" fontId="4" fillId="0" borderId="6" xfId="0" applyFont="1" applyBorder="1" applyAlignment="1" applyProtection="1">
      <alignment vertical="center"/>
      <protection hidden="1"/>
    </xf>
    <xf numFmtId="0" fontId="14" fillId="9" borderId="0" xfId="0" applyFont="1" applyFill="1" applyBorder="1" applyAlignment="1" applyProtection="1">
      <alignment horizontal="left" vertical="center"/>
      <protection hidden="1"/>
    </xf>
    <xf numFmtId="0" fontId="4" fillId="6" borderId="4" xfId="0" applyFont="1" applyFill="1" applyBorder="1" applyAlignment="1" applyProtection="1">
      <alignment vertical="center"/>
      <protection hidden="1"/>
    </xf>
    <xf numFmtId="0" fontId="4" fillId="0" borderId="4" xfId="0" applyFont="1" applyBorder="1" applyAlignment="1" applyProtection="1">
      <alignment vertical="center"/>
      <protection hidden="1"/>
    </xf>
    <xf numFmtId="0" fontId="14" fillId="10" borderId="0" xfId="0" applyFont="1" applyFill="1" applyBorder="1" applyAlignment="1" applyProtection="1">
      <alignment horizontal="left" vertical="center"/>
      <protection hidden="1"/>
    </xf>
    <xf numFmtId="0" fontId="14" fillId="11" borderId="0" xfId="0" applyFont="1" applyFill="1" applyBorder="1" applyAlignment="1" applyProtection="1">
      <alignment horizontal="left" vertical="center"/>
      <protection hidden="1"/>
    </xf>
    <xf numFmtId="0" fontId="14" fillId="12" borderId="0" xfId="0" applyFont="1" applyFill="1" applyBorder="1" applyAlignment="1" applyProtection="1">
      <alignment horizontal="left" vertical="center"/>
      <protection hidden="1"/>
    </xf>
    <xf numFmtId="0" fontId="14" fillId="13" borderId="0" xfId="0" applyFont="1" applyFill="1" applyBorder="1" applyAlignment="1" applyProtection="1">
      <alignment horizontal="left" vertical="center"/>
      <protection hidden="1"/>
    </xf>
    <xf numFmtId="0" fontId="14" fillId="15" borderId="0" xfId="0" applyFont="1" applyFill="1" applyBorder="1" applyAlignment="1" applyProtection="1">
      <alignment horizontal="left" vertical="center"/>
      <protection hidden="1"/>
    </xf>
    <xf numFmtId="0" fontId="14" fillId="14" borderId="0" xfId="0" applyFont="1" applyFill="1" applyBorder="1" applyAlignment="1" applyProtection="1">
      <alignment horizontal="left" vertical="center"/>
      <protection hidden="1"/>
    </xf>
    <xf numFmtId="0" fontId="14" fillId="5" borderId="0" xfId="0" applyFont="1" applyFill="1" applyBorder="1" applyAlignment="1" applyProtection="1">
      <alignment horizontal="left" vertical="center"/>
      <protection hidden="1"/>
    </xf>
    <xf numFmtId="0" fontId="1" fillId="2" borderId="0" xfId="0" applyFont="1" applyFill="1" applyBorder="1" applyAlignment="1" applyProtection="1">
      <alignment horizontal="center" vertical="center"/>
      <protection hidden="1"/>
    </xf>
    <xf numFmtId="0" fontId="1" fillId="2" borderId="9" xfId="0" applyFont="1" applyFill="1" applyBorder="1" applyAlignment="1" applyProtection="1">
      <alignment vertical="center"/>
      <protection hidden="1"/>
    </xf>
    <xf numFmtId="0" fontId="4" fillId="6" borderId="43" xfId="0" applyFont="1" applyFill="1" applyBorder="1" applyAlignment="1" applyProtection="1">
      <alignment horizontal="center" vertical="center"/>
      <protection hidden="1"/>
    </xf>
    <xf numFmtId="0" fontId="4" fillId="6" borderId="44" xfId="0" applyFont="1" applyFill="1" applyBorder="1" applyAlignment="1" applyProtection="1">
      <alignment horizontal="center" vertical="center"/>
      <protection hidden="1"/>
    </xf>
    <xf numFmtId="0" fontId="4" fillId="6" borderId="13" xfId="0" applyFont="1" applyFill="1" applyBorder="1" applyProtection="1">
      <protection hidden="1"/>
    </xf>
    <xf numFmtId="0" fontId="4" fillId="5" borderId="27" xfId="0" applyFont="1" applyFill="1" applyBorder="1" applyAlignment="1" applyProtection="1">
      <alignment horizontal="center" vertical="center"/>
      <protection hidden="1"/>
    </xf>
    <xf numFmtId="0" fontId="4" fillId="5" borderId="28" xfId="0" applyFont="1" applyFill="1" applyBorder="1" applyAlignment="1" applyProtection="1">
      <alignment horizontal="center" vertical="center"/>
      <protection hidden="1"/>
    </xf>
    <xf numFmtId="0" fontId="4" fillId="0" borderId="45" xfId="0" applyFont="1" applyFill="1" applyBorder="1" applyAlignment="1" applyProtection="1">
      <alignment horizontal="center" vertical="center"/>
      <protection hidden="1"/>
    </xf>
    <xf numFmtId="0" fontId="4" fillId="0" borderId="46" xfId="0" applyFont="1" applyFill="1" applyBorder="1" applyAlignment="1" applyProtection="1">
      <alignment horizontal="center" vertical="center"/>
      <protection hidden="1"/>
    </xf>
    <xf numFmtId="0" fontId="4" fillId="0" borderId="4" xfId="0" applyFont="1" applyFill="1" applyBorder="1" applyProtection="1">
      <protection hidden="1"/>
    </xf>
    <xf numFmtId="0" fontId="4" fillId="6" borderId="47" xfId="0" applyFont="1" applyFill="1" applyBorder="1" applyAlignment="1" applyProtection="1">
      <alignment horizontal="center" vertical="center"/>
      <protection hidden="1"/>
    </xf>
    <xf numFmtId="0" fontId="4" fillId="6" borderId="48" xfId="0" applyFont="1" applyFill="1" applyBorder="1" applyAlignment="1" applyProtection="1">
      <alignment horizontal="center" vertical="center"/>
      <protection hidden="1"/>
    </xf>
    <xf numFmtId="0" fontId="4" fillId="6" borderId="4" xfId="0" applyFont="1" applyFill="1" applyBorder="1" applyProtection="1">
      <protection hidden="1"/>
    </xf>
    <xf numFmtId="0" fontId="4" fillId="5" borderId="31" xfId="0" applyFont="1" applyFill="1" applyBorder="1" applyAlignment="1" applyProtection="1">
      <alignment horizontal="center" vertical="center"/>
      <protection hidden="1"/>
    </xf>
    <xf numFmtId="0" fontId="4" fillId="5" borderId="32" xfId="0" applyFont="1" applyFill="1" applyBorder="1" applyAlignment="1" applyProtection="1">
      <alignment horizontal="center" vertical="center"/>
      <protection hidden="1"/>
    </xf>
    <xf numFmtId="0" fontId="4" fillId="0" borderId="33" xfId="0" applyFont="1" applyFill="1" applyBorder="1" applyAlignment="1" applyProtection="1">
      <alignment horizontal="center" vertical="center"/>
      <protection hidden="1"/>
    </xf>
    <xf numFmtId="0" fontId="4" fillId="0" borderId="34" xfId="0" applyFont="1" applyFill="1" applyBorder="1" applyAlignment="1" applyProtection="1">
      <alignment horizontal="center" vertical="center"/>
      <protection hidden="1"/>
    </xf>
    <xf numFmtId="0" fontId="4" fillId="0" borderId="16" xfId="0" applyFont="1" applyFill="1" applyBorder="1" applyProtection="1">
      <protection hidden="1"/>
    </xf>
    <xf numFmtId="0" fontId="4" fillId="6" borderId="11" xfId="0" applyFont="1" applyFill="1" applyBorder="1" applyAlignment="1" applyProtection="1">
      <alignment horizontal="center" vertical="center"/>
      <protection hidden="1"/>
    </xf>
    <xf numFmtId="0" fontId="4" fillId="6" borderId="12" xfId="0" applyFont="1" applyFill="1" applyBorder="1" applyAlignment="1" applyProtection="1">
      <alignment horizontal="center" vertical="center"/>
      <protection hidden="1"/>
    </xf>
    <xf numFmtId="0" fontId="4" fillId="0" borderId="37" xfId="0" applyFont="1" applyFill="1" applyBorder="1" applyAlignment="1" applyProtection="1">
      <alignment horizontal="center" vertical="center"/>
      <protection hidden="1"/>
    </xf>
    <xf numFmtId="0" fontId="4" fillId="0" borderId="38" xfId="0" applyFont="1" applyFill="1" applyBorder="1" applyAlignment="1" applyProtection="1">
      <alignment horizontal="center" vertical="center"/>
      <protection hidden="1"/>
    </xf>
    <xf numFmtId="0" fontId="4" fillId="5" borderId="35" xfId="0" applyFont="1" applyFill="1" applyBorder="1" applyAlignment="1" applyProtection="1">
      <alignment horizontal="center" vertical="center"/>
      <protection hidden="1"/>
    </xf>
    <xf numFmtId="0" fontId="4" fillId="5" borderId="36" xfId="0" applyFont="1" applyFill="1" applyBorder="1" applyAlignment="1" applyProtection="1">
      <alignment horizontal="center" vertical="center"/>
      <protection hidden="1"/>
    </xf>
    <xf numFmtId="0" fontId="4" fillId="6" borderId="49" xfId="0" applyFont="1" applyFill="1" applyBorder="1" applyAlignment="1" applyProtection="1">
      <alignment horizontal="center" vertical="center"/>
      <protection hidden="1"/>
    </xf>
    <xf numFmtId="0" fontId="4" fillId="6" borderId="50" xfId="0" applyFont="1" applyFill="1" applyBorder="1" applyAlignment="1" applyProtection="1">
      <alignment horizontal="center" vertical="center"/>
      <protection hidden="1"/>
    </xf>
    <xf numFmtId="0" fontId="4" fillId="6" borderId="9" xfId="0" applyFont="1" applyFill="1" applyBorder="1" applyProtection="1">
      <protection hidden="1"/>
    </xf>
    <xf numFmtId="0" fontId="4" fillId="0" borderId="35" xfId="0" applyFont="1" applyFill="1" applyBorder="1" applyAlignment="1" applyProtection="1">
      <alignment horizontal="center" vertical="center"/>
      <protection hidden="1"/>
    </xf>
    <xf numFmtId="0" fontId="4" fillId="0" borderId="36" xfId="0" applyFont="1" applyFill="1" applyBorder="1" applyAlignment="1" applyProtection="1">
      <alignment horizontal="center" vertical="center"/>
      <protection hidden="1"/>
    </xf>
    <xf numFmtId="0" fontId="4" fillId="0" borderId="9" xfId="0" applyFont="1" applyFill="1" applyBorder="1" applyProtection="1">
      <protection hidden="1"/>
    </xf>
    <xf numFmtId="0" fontId="4" fillId="0" borderId="2" xfId="0" applyFont="1" applyFill="1" applyBorder="1" applyAlignment="1" applyProtection="1">
      <alignment horizontal="left" vertical="center"/>
      <protection hidden="1"/>
    </xf>
    <xf numFmtId="0" fontId="4" fillId="0" borderId="3" xfId="0" applyFont="1" applyFill="1" applyBorder="1" applyAlignment="1" applyProtection="1">
      <alignment horizontal="left" vertical="center"/>
      <protection hidden="1"/>
    </xf>
    <xf numFmtId="16" fontId="4" fillId="0" borderId="2" xfId="0" applyNumberFormat="1" applyFont="1" applyFill="1" applyBorder="1" applyAlignment="1" applyProtection="1">
      <alignment horizontal="center" vertical="center"/>
      <protection hidden="1"/>
    </xf>
    <xf numFmtId="167" fontId="4" fillId="0" borderId="2" xfId="0" applyNumberFormat="1" applyFont="1" applyFill="1" applyBorder="1" applyAlignment="1" applyProtection="1">
      <alignment horizontal="center" vertical="center"/>
      <protection hidden="1"/>
    </xf>
    <xf numFmtId="16" fontId="4" fillId="0" borderId="0" xfId="0" applyNumberFormat="1" applyFont="1" applyBorder="1" applyAlignment="1" applyProtection="1">
      <alignment horizontal="right" vertical="center"/>
      <protection hidden="1"/>
    </xf>
    <xf numFmtId="167" fontId="4" fillId="0" borderId="0" xfId="0" applyNumberFormat="1" applyFont="1" applyBorder="1" applyAlignment="1" applyProtection="1">
      <alignment horizontal="right" vertical="center"/>
      <protection hidden="1"/>
    </xf>
    <xf numFmtId="0" fontId="4" fillId="0" borderId="0" xfId="0" applyFont="1" applyBorder="1" applyAlignment="1" applyProtection="1">
      <alignment horizontal="left" vertical="center"/>
      <protection hidden="1"/>
    </xf>
    <xf numFmtId="0" fontId="17" fillId="2" borderId="0" xfId="0" applyFont="1" applyFill="1" applyBorder="1" applyAlignment="1" applyProtection="1">
      <alignment vertical="center"/>
      <protection locked="0"/>
    </xf>
    <xf numFmtId="0" fontId="4" fillId="0" borderId="42" xfId="0" applyFont="1" applyFill="1" applyBorder="1" applyAlignment="1" applyProtection="1">
      <alignment vertical="center"/>
      <protection locked="0"/>
    </xf>
    <xf numFmtId="0" fontId="12" fillId="0" borderId="0" xfId="0" applyFont="1" applyFill="1" applyBorder="1" applyAlignment="1"/>
    <xf numFmtId="0" fontId="12" fillId="0" borderId="0" xfId="0" applyFont="1" applyFill="1" applyBorder="1" applyAlignment="1">
      <alignment horizontal="left" vertical="center"/>
    </xf>
    <xf numFmtId="0" fontId="3" fillId="0" borderId="0" xfId="0" applyFont="1" applyProtection="1">
      <protection hidden="1"/>
    </xf>
    <xf numFmtId="0" fontId="3" fillId="0" borderId="0" xfId="0" applyFont="1"/>
    <xf numFmtId="0" fontId="3" fillId="0" borderId="0" xfId="0" applyFont="1" applyBorder="1"/>
    <xf numFmtId="0" fontId="3" fillId="0" borderId="0" xfId="0" applyFont="1" applyAlignment="1"/>
    <xf numFmtId="0" fontId="1" fillId="0" borderId="0" xfId="0" applyFont="1" applyFill="1" applyBorder="1" applyAlignment="1">
      <alignment horizontal="center"/>
    </xf>
    <xf numFmtId="0" fontId="3" fillId="0" borderId="0" xfId="0" applyFont="1" applyAlignment="1" applyProtection="1">
      <alignment horizontal="right"/>
      <protection hidden="1"/>
    </xf>
    <xf numFmtId="0" fontId="1" fillId="0" borderId="0" xfId="0" applyFont="1" applyBorder="1" applyAlignment="1">
      <alignment vertical="center" textRotation="255"/>
    </xf>
    <xf numFmtId="0" fontId="3" fillId="0" borderId="0" xfId="0" applyFont="1" applyBorder="1" applyAlignment="1">
      <alignment horizontal="center" vertical="center" textRotation="255"/>
    </xf>
    <xf numFmtId="0" fontId="3" fillId="0" borderId="0" xfId="0" applyFont="1" applyBorder="1" applyAlignment="1">
      <alignment horizontal="left" vertical="center" indent="1"/>
    </xf>
    <xf numFmtId="0" fontId="3" fillId="0" borderId="0" xfId="0" applyFont="1" applyBorder="1" applyAlignment="1" applyProtection="1">
      <alignment horizontal="left" vertical="center" indent="1"/>
      <protection hidden="1"/>
    </xf>
    <xf numFmtId="0" fontId="3" fillId="0" borderId="0" xfId="0" applyFont="1" applyAlignment="1">
      <alignment horizontal="center"/>
    </xf>
    <xf numFmtId="0" fontId="3" fillId="0" borderId="0" xfId="0" applyNumberFormat="1" applyFont="1" applyAlignment="1" applyProtection="1">
      <protection hidden="1"/>
    </xf>
    <xf numFmtId="16" fontId="3" fillId="0" borderId="0" xfId="0" applyNumberFormat="1" applyFont="1" applyBorder="1" applyAlignment="1" applyProtection="1">
      <alignment vertical="center"/>
      <protection hidden="1"/>
    </xf>
    <xf numFmtId="166" fontId="3" fillId="0" borderId="0" xfId="0" applyNumberFormat="1" applyFont="1" applyBorder="1" applyAlignment="1" applyProtection="1">
      <alignment horizontal="right" vertical="center"/>
      <protection hidden="1"/>
    </xf>
    <xf numFmtId="166" fontId="3" fillId="0" borderId="0" xfId="0" applyNumberFormat="1" applyFont="1" applyAlignment="1" applyProtection="1">
      <protection hidden="1"/>
    </xf>
    <xf numFmtId="166" fontId="3" fillId="0" borderId="0" xfId="0" applyNumberFormat="1" applyFont="1" applyAlignment="1" applyProtection="1">
      <alignment horizontal="right"/>
      <protection hidden="1"/>
    </xf>
    <xf numFmtId="0" fontId="3" fillId="0" borderId="0" xfId="0" applyFont="1" applyProtection="1">
      <protection locked="0"/>
    </xf>
    <xf numFmtId="0" fontId="3" fillId="0" borderId="0" xfId="0" applyFont="1" applyAlignment="1" applyProtection="1">
      <alignment horizontal="center"/>
      <protection locked="0"/>
    </xf>
    <xf numFmtId="0" fontId="3" fillId="0" borderId="0" xfId="0" applyFont="1" applyAlignment="1" applyProtection="1">
      <alignment wrapText="1"/>
      <protection locked="0"/>
    </xf>
    <xf numFmtId="0" fontId="3" fillId="0" borderId="0" xfId="0" applyFont="1" applyAlignment="1" applyProtection="1">
      <alignment horizontal="center" wrapText="1"/>
      <protection locked="0"/>
    </xf>
    <xf numFmtId="0" fontId="1" fillId="8" borderId="0" xfId="1" applyFont="1" applyFill="1" applyAlignment="1" applyProtection="1">
      <alignment horizontal="center" vertical="center" wrapText="1"/>
      <protection hidden="1"/>
    </xf>
    <xf numFmtId="0" fontId="3" fillId="9" borderId="0" xfId="0" applyFont="1" applyFill="1" applyAlignment="1" applyProtection="1">
      <alignment vertical="center" wrapText="1"/>
      <protection locked="0"/>
    </xf>
    <xf numFmtId="0" fontId="1" fillId="0" borderId="0" xfId="1" applyFont="1" applyFill="1" applyAlignment="1" applyProtection="1">
      <alignment vertical="center"/>
      <protection hidden="1"/>
    </xf>
    <xf numFmtId="0" fontId="3" fillId="0" borderId="0" xfId="0" applyFont="1" applyAlignment="1" applyProtection="1">
      <alignment vertical="center" wrapText="1"/>
      <protection locked="0"/>
    </xf>
    <xf numFmtId="0" fontId="4" fillId="4" borderId="0" xfId="0" applyFont="1" applyFill="1" applyAlignment="1" applyProtection="1">
      <alignment vertical="center"/>
      <protection hidden="1"/>
    </xf>
    <xf numFmtId="0" fontId="31" fillId="17" borderId="0" xfId="0" applyFont="1" applyFill="1" applyBorder="1" applyAlignment="1">
      <alignment vertical="center"/>
    </xf>
    <xf numFmtId="0" fontId="20" fillId="0" borderId="0" xfId="1" applyAlignment="1" applyProtection="1">
      <alignment vertical="center"/>
      <protection hidden="1"/>
    </xf>
    <xf numFmtId="0" fontId="1" fillId="2" borderId="14" xfId="0" applyFont="1" applyFill="1" applyBorder="1" applyAlignment="1" applyProtection="1">
      <alignment horizontal="center" vertical="center" wrapText="1"/>
      <protection hidden="1"/>
    </xf>
    <xf numFmtId="0" fontId="1" fillId="2" borderId="15" xfId="0" applyFont="1" applyFill="1" applyBorder="1" applyAlignment="1" applyProtection="1">
      <alignment horizontal="center" vertical="center" wrapText="1"/>
      <protection hidden="1"/>
    </xf>
    <xf numFmtId="0" fontId="1" fillId="2" borderId="4" xfId="0" applyFont="1" applyFill="1" applyBorder="1" applyAlignment="1" applyProtection="1">
      <alignment horizontal="center" vertical="center" wrapText="1"/>
      <protection hidden="1"/>
    </xf>
    <xf numFmtId="0" fontId="1" fillId="2" borderId="16"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15" fillId="2" borderId="0" xfId="0" applyFont="1" applyFill="1" applyBorder="1" applyAlignment="1" applyProtection="1">
      <alignment horizontal="left" vertical="center" indent="1"/>
      <protection hidden="1"/>
    </xf>
    <xf numFmtId="0" fontId="1" fillId="3" borderId="0" xfId="0" applyFont="1" applyFill="1" applyBorder="1" applyAlignment="1" applyProtection="1">
      <alignment horizontal="center" vertical="center"/>
      <protection hidden="1"/>
    </xf>
    <xf numFmtId="0" fontId="13" fillId="2" borderId="0" xfId="0" applyFont="1" applyFill="1" applyBorder="1" applyAlignment="1" applyProtection="1">
      <alignment horizontal="left" vertical="center" indent="1"/>
      <protection hidden="1"/>
    </xf>
    <xf numFmtId="0" fontId="1" fillId="7" borderId="8" xfId="0" applyFont="1" applyFill="1" applyBorder="1" applyAlignment="1" applyProtection="1">
      <alignment horizontal="center" vertical="center"/>
      <protection hidden="1"/>
    </xf>
    <xf numFmtId="0" fontId="15" fillId="2" borderId="0" xfId="0" applyFont="1" applyFill="1" applyBorder="1" applyAlignment="1" applyProtection="1">
      <alignment horizontal="left" vertical="center" wrapText="1" indent="1"/>
      <protection hidden="1"/>
    </xf>
    <xf numFmtId="0" fontId="23" fillId="4" borderId="0" xfId="0" applyFont="1" applyFill="1" applyBorder="1" applyAlignment="1" applyProtection="1">
      <alignment horizontal="left" vertical="center" wrapText="1" indent="1"/>
      <protection hidden="1"/>
    </xf>
    <xf numFmtId="0" fontId="3" fillId="2" borderId="15" xfId="0" applyFont="1" applyFill="1" applyBorder="1" applyAlignment="1" applyProtection="1">
      <alignment horizontal="center" vertical="center" wrapText="1"/>
      <protection hidden="1"/>
    </xf>
    <xf numFmtId="0" fontId="3" fillId="2" borderId="7" xfId="0" applyFont="1" applyFill="1" applyBorder="1" applyAlignment="1" applyProtection="1">
      <alignment horizontal="center" vertical="center" wrapText="1"/>
      <protection hidden="1"/>
    </xf>
    <xf numFmtId="0" fontId="33" fillId="6" borderId="0" xfId="0" applyFont="1" applyFill="1" applyBorder="1" applyAlignment="1" applyProtection="1">
      <alignment horizontal="left" vertical="center" indent="1"/>
      <protection hidden="1"/>
    </xf>
    <xf numFmtId="0" fontId="46" fillId="17" borderId="54" xfId="1" applyFont="1" applyFill="1" applyBorder="1" applyAlignment="1" applyProtection="1">
      <alignment horizontal="center" vertical="center"/>
      <protection hidden="1"/>
    </xf>
    <xf numFmtId="0" fontId="46" fillId="17" borderId="55" xfId="1" applyFont="1" applyFill="1" applyBorder="1" applyAlignment="1" applyProtection="1">
      <alignment horizontal="center" vertical="center"/>
      <protection hidden="1"/>
    </xf>
    <xf numFmtId="0" fontId="46" fillId="17" borderId="56" xfId="1" applyFont="1" applyFill="1" applyBorder="1" applyAlignment="1" applyProtection="1">
      <alignment horizontal="center" vertical="center"/>
      <protection hidden="1"/>
    </xf>
    <xf numFmtId="0" fontId="22" fillId="6" borderId="0" xfId="0" applyFont="1" applyFill="1" applyBorder="1" applyAlignment="1" applyProtection="1">
      <alignment horizontal="left" vertical="center" indent="1"/>
      <protection hidden="1"/>
    </xf>
    <xf numFmtId="0" fontId="17" fillId="2" borderId="8" xfId="0" applyFont="1" applyFill="1" applyBorder="1" applyAlignment="1" applyProtection="1">
      <alignment horizontal="left" vertical="center"/>
      <protection hidden="1"/>
    </xf>
    <xf numFmtId="0" fontId="1" fillId="2" borderId="52" xfId="0" applyFont="1" applyFill="1" applyBorder="1" applyAlignment="1" applyProtection="1">
      <alignment horizontal="center" vertical="center"/>
      <protection hidden="1"/>
    </xf>
    <xf numFmtId="0" fontId="4" fillId="0" borderId="2" xfId="0" applyFont="1" applyFill="1" applyBorder="1" applyAlignment="1" applyProtection="1">
      <alignment horizontal="center" vertical="center"/>
      <protection hidden="1"/>
    </xf>
    <xf numFmtId="0" fontId="4" fillId="0" borderId="3" xfId="0" applyFont="1" applyFill="1" applyBorder="1" applyAlignment="1" applyProtection="1">
      <alignment horizontal="center" vertical="center"/>
      <protection hidden="1"/>
    </xf>
    <xf numFmtId="16" fontId="4" fillId="4" borderId="3" xfId="0" applyNumberFormat="1" applyFont="1" applyFill="1" applyBorder="1" applyAlignment="1" applyProtection="1">
      <alignment horizontal="center" vertical="center"/>
      <protection hidden="1"/>
    </xf>
    <xf numFmtId="0" fontId="1" fillId="2" borderId="51" xfId="0" applyFont="1" applyFill="1" applyBorder="1" applyAlignment="1" applyProtection="1">
      <alignment horizontal="center" vertical="center"/>
      <protection hidden="1"/>
    </xf>
    <xf numFmtId="0" fontId="1" fillId="2" borderId="53" xfId="0" applyFont="1" applyFill="1" applyBorder="1" applyAlignment="1" applyProtection="1">
      <alignment horizontal="center" vertical="center"/>
      <protection hidden="1"/>
    </xf>
    <xf numFmtId="0" fontId="17" fillId="2" borderId="2"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3" xfId="0" applyFont="1" applyFill="1" applyBorder="1" applyAlignment="1" applyProtection="1">
      <alignment horizontal="center" vertical="center" wrapText="1"/>
      <protection hidden="1"/>
    </xf>
    <xf numFmtId="0" fontId="17" fillId="2" borderId="2" xfId="0" applyFont="1" applyFill="1" applyBorder="1" applyAlignment="1" applyProtection="1">
      <alignment horizontal="center" vertical="center"/>
      <protection hidden="1"/>
    </xf>
    <xf numFmtId="0" fontId="17" fillId="2" borderId="3" xfId="0" applyFont="1" applyFill="1" applyBorder="1" applyAlignment="1" applyProtection="1">
      <alignment horizontal="center" vertical="center"/>
      <protection hidden="1"/>
    </xf>
    <xf numFmtId="0" fontId="45" fillId="4" borderId="0" xfId="0" applyFont="1" applyFill="1" applyBorder="1" applyAlignment="1" applyProtection="1">
      <alignment horizontal="left" vertical="center"/>
      <protection hidden="1"/>
    </xf>
    <xf numFmtId="0" fontId="4" fillId="5" borderId="0" xfId="0" applyFont="1" applyFill="1" applyBorder="1" applyAlignment="1">
      <alignment horizontal="left" wrapText="1"/>
    </xf>
    <xf numFmtId="0" fontId="31" fillId="2" borderId="22" xfId="0" applyFont="1" applyFill="1" applyBorder="1" applyAlignment="1">
      <alignment horizontal="center" vertical="center"/>
    </xf>
    <xf numFmtId="0" fontId="31" fillId="2" borderId="0" xfId="0" applyFont="1" applyFill="1" applyBorder="1" applyAlignment="1">
      <alignment horizontal="center" vertical="center"/>
    </xf>
    <xf numFmtId="0" fontId="31" fillId="2" borderId="23" xfId="0" applyFont="1" applyFill="1" applyBorder="1" applyAlignment="1">
      <alignment horizontal="center" vertical="center"/>
    </xf>
    <xf numFmtId="0" fontId="32" fillId="4" borderId="0" xfId="0" applyFont="1" applyFill="1" applyBorder="1" applyAlignment="1">
      <alignment horizontal="center" vertical="center"/>
    </xf>
    <xf numFmtId="0" fontId="32" fillId="4" borderId="25" xfId="0" applyFont="1" applyFill="1" applyBorder="1" applyAlignment="1">
      <alignment horizontal="center" vertical="center"/>
    </xf>
    <xf numFmtId="0" fontId="34" fillId="0" borderId="0" xfId="1" applyFont="1" applyAlignment="1" applyProtection="1">
      <alignment horizontal="left"/>
    </xf>
    <xf numFmtId="0" fontId="3" fillId="17" borderId="0" xfId="0" applyFont="1" applyFill="1" applyBorder="1" applyAlignment="1">
      <alignment horizontal="center" wrapText="1"/>
    </xf>
  </cellXfs>
  <cellStyles count="3">
    <cellStyle name="Hyperlink" xfId="1" builtinId="8"/>
    <cellStyle name="Normal" xfId="0" builtinId="0"/>
    <cellStyle name="Normal 2" xfId="2"/>
  </cellStyles>
  <dxfs count="150">
    <dxf>
      <font>
        <color theme="0"/>
      </font>
    </dxf>
    <dxf>
      <font>
        <color theme="0"/>
      </font>
    </dxf>
    <dxf>
      <font>
        <b val="0"/>
        <i/>
        <color rgb="FFFF0000"/>
      </font>
      <fill>
        <patternFill>
          <bgColor theme="9" tint="0.79998168889431442"/>
        </patternFill>
      </fill>
    </dxf>
    <dxf>
      <font>
        <color theme="5" tint="0.79998168889431442"/>
      </font>
    </dxf>
    <dxf>
      <font>
        <color theme="5" tint="0.79998168889431442"/>
      </font>
    </dxf>
    <dxf>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border>
        <left style="thin">
          <color theme="1"/>
        </left>
        <right style="thin">
          <color theme="1"/>
        </right>
        <top style="thin">
          <color theme="1"/>
        </top>
        <bottom style="thin">
          <color theme="1"/>
        </bottom>
        <vertical/>
        <horizontal/>
      </border>
    </dxf>
    <dxf>
      <border>
        <left style="thin">
          <color theme="1"/>
        </left>
        <right style="thin">
          <color theme="1"/>
        </right>
        <top style="thin">
          <color theme="1"/>
        </top>
        <bottom style="thin">
          <color theme="1"/>
        </bottom>
        <vertical/>
        <horizontal/>
      </border>
    </dxf>
    <dxf>
      <font>
        <b val="0"/>
        <i/>
        <color theme="0" tint="-0.499984740745262"/>
      </font>
    </dxf>
    <dxf>
      <font>
        <b/>
        <i val="0"/>
      </font>
    </dxf>
    <dxf>
      <font>
        <b/>
        <i val="0"/>
      </font>
    </dxf>
    <dxf>
      <font>
        <b val="0"/>
        <i/>
        <color theme="0" tint="-0.499984740745262"/>
      </font>
    </dxf>
    <dxf>
      <border>
        <left style="thin">
          <color theme="1"/>
        </left>
        <right style="thin">
          <color theme="1"/>
        </right>
        <top style="thin">
          <color theme="1"/>
        </top>
        <bottom style="thin">
          <color theme="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font>
        <condense val="0"/>
        <extend val="0"/>
        <color indexed="55"/>
      </font>
    </dxf>
    <dxf>
      <font>
        <b/>
        <i val="0"/>
        <color theme="6" tint="-0.499984740745262"/>
      </font>
    </dxf>
    <dxf>
      <font>
        <color theme="0"/>
      </font>
      <fill>
        <patternFill>
          <bgColor theme="0"/>
        </patternFill>
      </fill>
      <border>
        <left/>
        <right/>
        <top/>
        <bottom/>
        <vertical/>
        <horizontal/>
      </border>
    </dxf>
    <dxf>
      <fill>
        <patternFill patternType="none">
          <bgColor auto="1"/>
        </patternFill>
      </fill>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ill>
        <patternFill>
          <bgColor theme="5" tint="0.79998168889431442"/>
        </patternFill>
      </fill>
      <border>
        <left style="thin">
          <color auto="1"/>
        </left>
        <right style="thin">
          <color auto="1"/>
        </right>
        <top style="thin">
          <color auto="1"/>
        </top>
        <bottom style="thin">
          <color auto="1"/>
        </bottom>
        <vertical/>
        <horizontal/>
      </border>
    </dxf>
    <dxf>
      <fill>
        <patternFill patternType="none">
          <bgColor auto="1"/>
        </patternFill>
      </fill>
    </dxf>
    <dxf>
      <font>
        <color theme="0"/>
      </font>
    </dxf>
    <dxf>
      <font>
        <color theme="0" tint="-4.9989318521683403E-2"/>
      </font>
    </dxf>
    <dxf>
      <fill>
        <patternFill>
          <bgColor theme="0" tint="-0.14996795556505021"/>
        </patternFill>
      </fill>
    </dxf>
    <dxf>
      <font>
        <color theme="0"/>
      </font>
    </dxf>
    <dxf>
      <font>
        <color theme="0" tint="-4.9989318521683403E-2"/>
      </font>
    </dxf>
    <dxf>
      <font>
        <color theme="0"/>
      </font>
    </dxf>
    <dxf>
      <font>
        <color theme="0" tint="-4.9989318521683403E-2"/>
      </font>
    </dxf>
    <dxf>
      <font>
        <color theme="0"/>
      </font>
    </dxf>
    <dxf>
      <font>
        <color theme="0" tint="-4.9989318521683403E-2"/>
      </font>
    </dxf>
    <dxf>
      <font>
        <color theme="0"/>
      </font>
    </dxf>
    <dxf>
      <font>
        <color theme="0" tint="-4.9989318521683403E-2"/>
      </font>
    </dxf>
    <dxf>
      <font>
        <color theme="0"/>
      </font>
    </dxf>
    <dxf>
      <font>
        <color theme="0" tint="-4.9989318521683403E-2"/>
      </font>
    </dxf>
    <dxf>
      <font>
        <color theme="0"/>
      </font>
    </dxf>
    <dxf>
      <font>
        <color theme="0" tint="-4.9989318521683403E-2"/>
      </font>
    </dxf>
    <dxf>
      <font>
        <color theme="0"/>
      </font>
    </dxf>
    <dxf>
      <font>
        <color theme="0" tint="-4.9989318521683403E-2"/>
      </font>
    </dxf>
    <dxf>
      <font>
        <color theme="0"/>
      </font>
      <fill>
        <patternFill>
          <bgColor theme="0"/>
        </patternFill>
      </fill>
      <border>
        <left/>
        <right/>
        <top/>
        <bottom/>
        <vertical/>
        <horizontal/>
      </border>
    </dxf>
    <dxf>
      <font>
        <color rgb="FFFF0000"/>
      </font>
      <fill>
        <patternFill>
          <bgColor theme="9" tint="0.79998168889431442"/>
        </patternFill>
      </fill>
    </dxf>
    <dxf>
      <font>
        <color rgb="FFFF0000"/>
      </font>
      <fill>
        <patternFill>
          <bgColor theme="9" tint="0.79998168889431442"/>
        </patternFill>
      </fill>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color rgb="FFFF0000"/>
      </font>
      <fill>
        <patternFill>
          <bgColor theme="9" tint="0.79998168889431442"/>
        </patternFill>
      </fill>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fatfreecartpro.com/ecom/gb.php?&amp;c=single&amp;cl=353533&amp;i=1745259" TargetMode="External"/></Relationships>
</file>

<file path=xl/drawings/drawing1.xml><?xml version="1.0" encoding="utf-8"?>
<xdr:wsDr xmlns:xdr="http://schemas.openxmlformats.org/drawingml/2006/spreadsheetDrawing" xmlns:a="http://schemas.openxmlformats.org/drawingml/2006/main">
  <xdr:twoCellAnchor>
    <xdr:from>
      <xdr:col>24</xdr:col>
      <xdr:colOff>50800</xdr:colOff>
      <xdr:row>1</xdr:row>
      <xdr:rowOff>6350</xdr:rowOff>
    </xdr:from>
    <xdr:to>
      <xdr:col>34</xdr:col>
      <xdr:colOff>209550</xdr:colOff>
      <xdr:row>2</xdr:row>
      <xdr:rowOff>19050</xdr:rowOff>
    </xdr:to>
    <xdr:sp macro="" textlink="">
      <xdr:nvSpPr>
        <xdr:cNvPr id="2" name="TextBox 1"/>
        <xdr:cNvSpPr txBox="1"/>
      </xdr:nvSpPr>
      <xdr:spPr>
        <a:xfrm>
          <a:off x="9677400" y="69850"/>
          <a:ext cx="4527550" cy="469900"/>
        </a:xfrm>
        <a:prstGeom prst="rect">
          <a:avLst/>
        </a:prstGeom>
        <a:solidFill>
          <a:schemeClr val="accent6">
            <a:lumMod val="20000"/>
            <a:lumOff val="80000"/>
          </a:schemeClr>
        </a:solidFill>
        <a:ln w="9525"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rgbClr val="C00000"/>
              </a:solidFill>
              <a:effectLst/>
              <a:latin typeface="+mn-lt"/>
              <a:ea typeface="+mn-ea"/>
              <a:cs typeface="+mn-cs"/>
            </a:rPr>
            <a:t>Do not need to entry scores. Match</a:t>
          </a:r>
          <a:r>
            <a:rPr lang="en-US" sz="1100" baseline="0">
              <a:solidFill>
                <a:srgbClr val="C00000"/>
              </a:solidFill>
              <a:effectLst/>
              <a:latin typeface="+mn-lt"/>
              <a:ea typeface="+mn-ea"/>
              <a:cs typeface="+mn-cs"/>
            </a:rPr>
            <a:t> scores will be shown automatically. It is based on scores filled in Goal Scorer worksheets</a:t>
          </a:r>
          <a:endParaRPr lang="en-US">
            <a:solidFill>
              <a:srgbClr val="C00000"/>
            </a:solidFill>
            <a:effectLst/>
          </a:endParaRPr>
        </a:p>
        <a:p>
          <a:endParaRPr lang="en-US" sz="1100">
            <a:solidFill>
              <a:srgbClr val="C00000"/>
            </a:solidFill>
          </a:endParaRPr>
        </a:p>
      </xdr:txBody>
    </xdr:sp>
    <xdr:clientData/>
  </xdr:twoCellAnchor>
  <xdr:twoCellAnchor>
    <xdr:from>
      <xdr:col>1</xdr:col>
      <xdr:colOff>31750</xdr:colOff>
      <xdr:row>70</xdr:row>
      <xdr:rowOff>158750</xdr:rowOff>
    </xdr:from>
    <xdr:to>
      <xdr:col>22</xdr:col>
      <xdr:colOff>234950</xdr:colOff>
      <xdr:row>73</xdr:row>
      <xdr:rowOff>76200</xdr:rowOff>
    </xdr:to>
    <xdr:sp macro="" textlink="">
      <xdr:nvSpPr>
        <xdr:cNvPr id="3" name="TextBox 2"/>
        <xdr:cNvSpPr txBox="1"/>
      </xdr:nvSpPr>
      <xdr:spPr>
        <a:xfrm>
          <a:off x="146050" y="13195300"/>
          <a:ext cx="9347200" cy="463550"/>
        </a:xfrm>
        <a:prstGeom prst="rect">
          <a:avLst/>
        </a:prstGeom>
        <a:solidFill>
          <a:schemeClr val="accent6">
            <a:lumMod val="20000"/>
            <a:lumOff val="80000"/>
          </a:schemeClr>
        </a:solidFill>
        <a:ln w="9525"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rgbClr val="C00000"/>
              </a:solidFill>
              <a:effectLst/>
              <a:latin typeface="+mn-lt"/>
              <a:ea typeface="+mn-ea"/>
              <a:cs typeface="+mn-cs"/>
            </a:rPr>
            <a:t>If team rank is different from actual rank because of they</a:t>
          </a:r>
          <a:r>
            <a:rPr lang="en-US" sz="1100" baseline="0">
              <a:solidFill>
                <a:srgbClr val="C00000"/>
              </a:solidFill>
              <a:effectLst/>
              <a:latin typeface="+mn-lt"/>
              <a:ea typeface="+mn-ea"/>
              <a:cs typeface="+mn-cs"/>
            </a:rPr>
            <a:t> must follow tie-breaker 8 [read tie-breaker regulation], adjust team rank by switching team name in standing table. Switch them by replacing and typing team name manually</a:t>
          </a:r>
          <a:endParaRPr lang="en-US">
            <a:solidFill>
              <a:srgbClr val="C00000"/>
            </a:solidFill>
            <a:effectLst/>
          </a:endParaRPr>
        </a:p>
        <a:p>
          <a:endParaRPr lang="en-US" sz="1100">
            <a:solidFill>
              <a:srgbClr val="C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2</xdr:row>
      <xdr:rowOff>50800</xdr:rowOff>
    </xdr:from>
    <xdr:to>
      <xdr:col>13</xdr:col>
      <xdr:colOff>107950</xdr:colOff>
      <xdr:row>2</xdr:row>
      <xdr:rowOff>317500</xdr:rowOff>
    </xdr:to>
    <xdr:sp macro="" textlink="">
      <xdr:nvSpPr>
        <xdr:cNvPr id="2" name="TextBox 1"/>
        <xdr:cNvSpPr txBox="1"/>
      </xdr:nvSpPr>
      <xdr:spPr>
        <a:xfrm>
          <a:off x="7067550" y="177800"/>
          <a:ext cx="4394200" cy="266700"/>
        </a:xfrm>
        <a:prstGeom prst="rect">
          <a:avLst/>
        </a:prstGeom>
        <a:solidFill>
          <a:schemeClr val="accent6">
            <a:lumMod val="20000"/>
            <a:lumOff val="80000"/>
          </a:schemeClr>
        </a:solidFill>
        <a:ln w="9525"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C00000"/>
              </a:solidFill>
              <a:effectLst/>
              <a:latin typeface="+mn-lt"/>
              <a:ea typeface="+mn-ea"/>
              <a:cs typeface="+mn-cs"/>
            </a:rPr>
            <a:t>Type</a:t>
          </a:r>
          <a:r>
            <a:rPr lang="en-US" sz="1100" baseline="0">
              <a:solidFill>
                <a:srgbClr val="C00000"/>
              </a:solidFill>
              <a:effectLst/>
              <a:latin typeface="+mn-lt"/>
              <a:ea typeface="+mn-ea"/>
              <a:cs typeface="+mn-cs"/>
            </a:rPr>
            <a:t> actual scores and then select goal scorer in shown goal scorer fields</a:t>
          </a:r>
          <a:endParaRPr lang="en-US" sz="1100">
            <a:solidFill>
              <a:srgbClr val="C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57150</xdr:colOff>
      <xdr:row>14</xdr:row>
      <xdr:rowOff>0</xdr:rowOff>
    </xdr:from>
    <xdr:to>
      <xdr:col>13</xdr:col>
      <xdr:colOff>6350</xdr:colOff>
      <xdr:row>19</xdr:row>
      <xdr:rowOff>69850</xdr:rowOff>
    </xdr:to>
    <xdr:sp macro="" textlink="">
      <xdr:nvSpPr>
        <xdr:cNvPr id="2" name="TextBox 1"/>
        <xdr:cNvSpPr txBox="1"/>
      </xdr:nvSpPr>
      <xdr:spPr>
        <a:xfrm>
          <a:off x="7226300" y="2222500"/>
          <a:ext cx="3302000" cy="1022350"/>
        </a:xfrm>
        <a:prstGeom prst="rect">
          <a:avLst/>
        </a:prstGeom>
        <a:solidFill>
          <a:schemeClr val="accent6">
            <a:lumMod val="20000"/>
            <a:lumOff val="80000"/>
          </a:schemeClr>
        </a:solidFill>
        <a:ln w="9525"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C00000"/>
              </a:solidFill>
            </a:rPr>
            <a:t>Top scorer rankings will be adjusted automatically. If several players are tied in top position, new table for those players will be shown in column F. Re-adjust their position by input correct position in column E (will be shown automatically)</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57150</xdr:colOff>
      <xdr:row>2</xdr:row>
      <xdr:rowOff>120650</xdr:rowOff>
    </xdr:from>
    <xdr:to>
      <xdr:col>17</xdr:col>
      <xdr:colOff>196850</xdr:colOff>
      <xdr:row>78</xdr:row>
      <xdr:rowOff>120650</xdr:rowOff>
    </xdr:to>
    <xdr:sp macro="" textlink="">
      <xdr:nvSpPr>
        <xdr:cNvPr id="2" name="TextBox 1"/>
        <xdr:cNvSpPr txBox="1"/>
      </xdr:nvSpPr>
      <xdr:spPr>
        <a:xfrm>
          <a:off x="171450" y="641350"/>
          <a:ext cx="9893300" cy="1207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r>
            <a:rPr lang="en-US" sz="1800" b="1">
              <a:solidFill>
                <a:schemeClr val="dk1"/>
              </a:solidFill>
              <a:effectLst/>
              <a:latin typeface="+mn-lt"/>
              <a:ea typeface="+mn-ea"/>
              <a:cs typeface="+mn-cs"/>
            </a:rPr>
            <a:t/>
          </a:r>
          <a:br>
            <a:rPr lang="en-US" sz="1800" b="1">
              <a:solidFill>
                <a:schemeClr val="dk1"/>
              </a:solidFill>
              <a:effectLst/>
              <a:latin typeface="+mn-lt"/>
              <a:ea typeface="+mn-ea"/>
              <a:cs typeface="+mn-cs"/>
            </a:rPr>
          </a:br>
          <a:r>
            <a:rPr lang="en-US" sz="1800" b="1">
              <a:solidFill>
                <a:schemeClr val="dk1"/>
              </a:solidFill>
              <a:effectLst/>
              <a:latin typeface="+mn-lt"/>
              <a:ea typeface="+mn-ea"/>
              <a:cs typeface="+mn-cs"/>
            </a:rPr>
            <a:t>IMPORTANT </a:t>
          </a:r>
          <a:endParaRPr lang="en-US" sz="1800">
            <a:effectLst/>
          </a:endParaRPr>
        </a:p>
        <a:p>
          <a:r>
            <a:rPr lang="en-US" sz="1400" b="1">
              <a:solidFill>
                <a:schemeClr val="dk1"/>
              </a:solidFill>
              <a:effectLst/>
              <a:latin typeface="+mn-lt"/>
              <a:ea typeface="+mn-ea"/>
              <a:cs typeface="+mn-cs"/>
            </a:rPr>
            <a:t/>
          </a:r>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368300</xdr:colOff>
      <xdr:row>3</xdr:row>
      <xdr:rowOff>120649</xdr:rowOff>
    </xdr:from>
    <xdr:to>
      <xdr:col>11</xdr:col>
      <xdr:colOff>787400</xdr:colOff>
      <xdr:row>9</xdr:row>
      <xdr:rowOff>52790</xdr:rowOff>
    </xdr:to>
    <xdr:pic>
      <xdr:nvPicPr>
        <xdr:cNvPr id="2" name="Picture 1">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064250" y="704849"/>
          <a:ext cx="2603500" cy="1246591"/>
        </a:xfrm>
        <a:prstGeom prst="rect">
          <a:avLst/>
        </a:prstGeom>
      </xdr:spPr>
    </xdr:pic>
    <xdr:clientData/>
  </xdr:twoCellAnchor>
  <xdr:twoCellAnchor>
    <xdr:from>
      <xdr:col>12</xdr:col>
      <xdr:colOff>127000</xdr:colOff>
      <xdr:row>2</xdr:row>
      <xdr:rowOff>57150</xdr:rowOff>
    </xdr:from>
    <xdr:to>
      <xdr:col>22</xdr:col>
      <xdr:colOff>177800</xdr:colOff>
      <xdr:row>13</xdr:row>
      <xdr:rowOff>19050</xdr:rowOff>
    </xdr:to>
    <xdr:sp macro="" textlink="">
      <xdr:nvSpPr>
        <xdr:cNvPr id="3" name="TextBox 2"/>
        <xdr:cNvSpPr txBox="1"/>
      </xdr:nvSpPr>
      <xdr:spPr>
        <a:xfrm>
          <a:off x="8680450" y="577850"/>
          <a:ext cx="6146800" cy="210185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xdr:from>
      <xdr:col>11</xdr:col>
      <xdr:colOff>838200</xdr:colOff>
      <xdr:row>3</xdr:row>
      <xdr:rowOff>12700</xdr:rowOff>
    </xdr:from>
    <xdr:to>
      <xdr:col>12</xdr:col>
      <xdr:colOff>196850</xdr:colOff>
      <xdr:row>5</xdr:row>
      <xdr:rowOff>12700</xdr:rowOff>
    </xdr:to>
    <xdr:sp macro="" textlink="">
      <xdr:nvSpPr>
        <xdr:cNvPr id="4" name="Chevron 3"/>
        <xdr:cNvSpPr/>
      </xdr:nvSpPr>
      <xdr:spPr>
        <a:xfrm flipH="1">
          <a:off x="8439150" y="596900"/>
          <a:ext cx="311150" cy="552450"/>
        </a:xfrm>
        <a:prstGeom prst="chevron">
          <a:avLst/>
        </a:prstGeom>
        <a:solidFill>
          <a:schemeClr val="accent2">
            <a:lumMod val="50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youtube.com/watch?v=xl4FcUrubVQ" TargetMode="External"/><Relationship Id="rId1" Type="http://schemas.openxmlformats.org/officeDocument/2006/relationships/hyperlink" Target="https://digitalhub.fifa.com/m/2744a0a5e3ded185/original/FIFA-World-Cup-Qatar-2022-Regulations_EN.pdf"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s://www.fifa.com/tournaments/mens/worldcup/qatar2022/news/match-schedule-fwc22"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journalsheet.com/" TargetMode="External"/><Relationship Id="rId1" Type="http://schemas.openxmlformats.org/officeDocument/2006/relationships/hyperlink" Target="https://journalsheet.com/product-category/sport-spreadsheets" TargetMode="External"/><Relationship Id="rId4"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A116"/>
  <sheetViews>
    <sheetView showGridLines="0" workbookViewId="0">
      <pane ySplit="7" topLeftCell="A8" activePane="bottomLeft" state="frozen"/>
      <selection pane="bottomLeft" activeCell="N23" sqref="N23"/>
    </sheetView>
  </sheetViews>
  <sheetFormatPr defaultColWidth="8.90625" defaultRowHeight="14.5" x14ac:dyDescent="0.25"/>
  <cols>
    <col min="1" max="1" width="1.6328125" style="11" customWidth="1"/>
    <col min="2" max="2" width="35.81640625" style="25" bestFit="1" customWidth="1"/>
    <col min="3" max="3" width="29.6328125" style="26" customWidth="1"/>
    <col min="4" max="4" width="3.08984375" style="27" customWidth="1"/>
    <col min="5" max="5" width="10.54296875" style="28" customWidth="1"/>
    <col min="6" max="6" width="8.90625" style="26" customWidth="1"/>
    <col min="7" max="7" width="1.6328125" style="26" customWidth="1"/>
    <col min="8" max="8" width="0.81640625" style="109" customWidth="1"/>
    <col min="9" max="9" width="1.6328125" style="26" customWidth="1"/>
    <col min="10" max="10" width="2.6328125" style="26" customWidth="1"/>
    <col min="11" max="11" width="24.54296875" style="26" customWidth="1"/>
    <col min="12" max="12" width="10.26953125" style="26" customWidth="1"/>
    <col min="13" max="22" width="8.90625" style="26"/>
    <col min="23" max="23" width="16.453125" style="26" customWidth="1"/>
    <col min="24" max="16384" width="8.90625" style="26"/>
  </cols>
  <sheetData>
    <row r="1" spans="1:105" s="1" customFormat="1" ht="5" customHeight="1" x14ac:dyDescent="0.35">
      <c r="B1" s="2"/>
      <c r="C1" s="3"/>
      <c r="D1" s="4"/>
      <c r="E1" s="5"/>
      <c r="F1" s="5"/>
      <c r="I1" s="5"/>
      <c r="J1" s="2"/>
      <c r="K1" s="2"/>
      <c r="L1" s="2"/>
      <c r="T1" s="6"/>
      <c r="U1" s="6"/>
      <c r="V1" s="6"/>
      <c r="W1" s="6"/>
      <c r="X1" s="6"/>
      <c r="Y1" s="6"/>
      <c r="Z1" s="7"/>
      <c r="AA1" s="7"/>
      <c r="AB1" s="7"/>
      <c r="AC1" s="8"/>
      <c r="AD1" s="9"/>
      <c r="AE1" s="10"/>
      <c r="CX1" s="6"/>
      <c r="CY1" s="6"/>
      <c r="CZ1" s="6"/>
      <c r="DA1" s="6"/>
    </row>
    <row r="2" spans="1:105" s="16" customFormat="1" ht="36" x14ac:dyDescent="0.25">
      <c r="A2" s="11"/>
      <c r="B2" s="12" t="s">
        <v>0</v>
      </c>
      <c r="C2" s="13"/>
      <c r="D2" s="14"/>
      <c r="E2" s="15"/>
      <c r="F2" s="15"/>
      <c r="H2" s="111"/>
      <c r="I2" s="15"/>
      <c r="J2" s="17"/>
      <c r="K2" s="17"/>
      <c r="L2" s="17"/>
      <c r="N2" s="18"/>
      <c r="O2" s="18"/>
      <c r="P2" s="18"/>
      <c r="Q2" s="18"/>
      <c r="R2" s="18"/>
      <c r="S2" s="18"/>
      <c r="T2" s="18"/>
      <c r="U2" s="18"/>
      <c r="Z2" s="19"/>
      <c r="AA2" s="19"/>
      <c r="AB2" s="20"/>
      <c r="AC2" s="21"/>
      <c r="AD2" s="22"/>
      <c r="AE2" s="23"/>
      <c r="CX2" s="24"/>
      <c r="CY2" s="24"/>
      <c r="CZ2" s="24"/>
      <c r="DA2" s="24"/>
    </row>
    <row r="3" spans="1:105" ht="5" customHeight="1" x14ac:dyDescent="0.25"/>
    <row r="4" spans="1:105" ht="15" customHeight="1" x14ac:dyDescent="0.25">
      <c r="B4" s="108" t="s">
        <v>630</v>
      </c>
      <c r="C4" s="189">
        <v>0</v>
      </c>
      <c r="E4" s="112"/>
      <c r="F4" s="113"/>
      <c r="J4" s="114" t="s">
        <v>633</v>
      </c>
      <c r="K4" s="26" t="s">
        <v>634</v>
      </c>
    </row>
    <row r="5" spans="1:105" ht="15" customHeight="1" x14ac:dyDescent="0.25">
      <c r="B5" s="108" t="s">
        <v>631</v>
      </c>
      <c r="C5" s="107" t="s">
        <v>1</v>
      </c>
      <c r="E5" s="335" t="s">
        <v>2</v>
      </c>
      <c r="F5" s="337" t="s">
        <v>3</v>
      </c>
      <c r="J5" s="114" t="s">
        <v>633</v>
      </c>
      <c r="K5" s="26" t="s">
        <v>707</v>
      </c>
    </row>
    <row r="6" spans="1:105" ht="15" customHeight="1" x14ac:dyDescent="0.25">
      <c r="B6" s="30" t="s">
        <v>632</v>
      </c>
      <c r="C6" s="29" t="s">
        <v>4</v>
      </c>
      <c r="E6" s="335"/>
      <c r="F6" s="337"/>
      <c r="K6" s="115" t="s">
        <v>635</v>
      </c>
    </row>
    <row r="7" spans="1:105" ht="15" customHeight="1" x14ac:dyDescent="0.25">
      <c r="A7" s="31"/>
      <c r="B7" s="32" t="s">
        <v>5</v>
      </c>
      <c r="C7" s="253" t="s">
        <v>6</v>
      </c>
      <c r="D7" s="33"/>
      <c r="E7" s="336"/>
      <c r="F7" s="338"/>
      <c r="J7" s="114" t="s">
        <v>633</v>
      </c>
      <c r="K7" s="26" t="s">
        <v>636</v>
      </c>
    </row>
    <row r="8" spans="1:105" ht="15" customHeight="1" x14ac:dyDescent="0.25">
      <c r="B8" s="34" t="s">
        <v>7</v>
      </c>
      <c r="C8" s="29"/>
      <c r="D8" s="35" t="s">
        <v>8</v>
      </c>
      <c r="E8" s="110">
        <v>1584</v>
      </c>
      <c r="F8" s="110"/>
      <c r="J8" s="116"/>
      <c r="K8" s="125" t="s">
        <v>690</v>
      </c>
    </row>
    <row r="9" spans="1:105" ht="15" customHeight="1" x14ac:dyDescent="0.25">
      <c r="B9" s="34" t="s">
        <v>9</v>
      </c>
      <c r="C9" s="29"/>
      <c r="D9" s="35" t="s">
        <v>8</v>
      </c>
      <c r="E9" s="36">
        <v>1658</v>
      </c>
      <c r="F9" s="36"/>
      <c r="J9" s="116" t="s">
        <v>633</v>
      </c>
      <c r="K9" s="115" t="s">
        <v>637</v>
      </c>
    </row>
    <row r="10" spans="1:105" ht="15" customHeight="1" thickBot="1" x14ac:dyDescent="0.3">
      <c r="B10" s="34" t="s">
        <v>10</v>
      </c>
      <c r="C10" s="29"/>
      <c r="D10" s="35" t="s">
        <v>8</v>
      </c>
      <c r="E10" s="36">
        <v>1441</v>
      </c>
      <c r="F10" s="36"/>
      <c r="J10" s="117" t="s">
        <v>638</v>
      </c>
      <c r="K10" s="118"/>
      <c r="L10" s="119" t="s">
        <v>652</v>
      </c>
      <c r="M10" s="124" t="s">
        <v>653</v>
      </c>
      <c r="N10" s="118"/>
      <c r="O10" s="118"/>
      <c r="P10" s="118"/>
      <c r="Q10" s="118"/>
      <c r="R10" s="118"/>
      <c r="S10" s="118"/>
      <c r="T10" s="118"/>
      <c r="U10" s="118"/>
      <c r="V10" s="118"/>
      <c r="W10" s="118"/>
    </row>
    <row r="11" spans="1:105" ht="15" customHeight="1" x14ac:dyDescent="0.25">
      <c r="B11" s="34" t="s">
        <v>11</v>
      </c>
      <c r="C11" s="29"/>
      <c r="D11" s="35" t="s">
        <v>8</v>
      </c>
      <c r="E11" s="36">
        <v>1453</v>
      </c>
      <c r="F11" s="36"/>
      <c r="J11" s="26" t="s">
        <v>651</v>
      </c>
    </row>
    <row r="12" spans="1:105" ht="15" customHeight="1" x14ac:dyDescent="0.25">
      <c r="B12" s="34" t="s">
        <v>12</v>
      </c>
      <c r="C12" s="29"/>
      <c r="D12" s="35" t="s">
        <v>8</v>
      </c>
      <c r="E12" s="36">
        <v>1762</v>
      </c>
      <c r="F12" s="36"/>
      <c r="J12" s="28">
        <v>1</v>
      </c>
      <c r="K12" s="26" t="s">
        <v>639</v>
      </c>
    </row>
    <row r="13" spans="1:105" ht="15" customHeight="1" x14ac:dyDescent="0.25">
      <c r="B13" s="34" t="s">
        <v>13</v>
      </c>
      <c r="C13" s="29"/>
      <c r="D13" s="35" t="s">
        <v>8</v>
      </c>
      <c r="E13" s="36">
        <v>1564</v>
      </c>
      <c r="F13" s="36"/>
      <c r="J13" s="28">
        <v>2</v>
      </c>
      <c r="K13" s="26" t="s">
        <v>640</v>
      </c>
    </row>
    <row r="14" spans="1:105" ht="15" customHeight="1" x14ac:dyDescent="0.25">
      <c r="B14" s="34" t="s">
        <v>14</v>
      </c>
      <c r="C14" s="29"/>
      <c r="D14" s="35" t="s">
        <v>8</v>
      </c>
      <c r="E14" s="36">
        <v>1634</v>
      </c>
      <c r="F14" s="36"/>
      <c r="J14" s="28">
        <v>3</v>
      </c>
      <c r="K14" s="26" t="s">
        <v>641</v>
      </c>
    </row>
    <row r="15" spans="1:105" ht="15" customHeight="1" x14ac:dyDescent="0.25">
      <c r="B15" s="34" t="s">
        <v>15</v>
      </c>
      <c r="C15" s="29"/>
      <c r="D15" s="35" t="s">
        <v>8</v>
      </c>
      <c r="E15" s="36">
        <v>1588</v>
      </c>
      <c r="F15" s="36"/>
      <c r="J15" s="28">
        <v>4</v>
      </c>
      <c r="K15" s="26" t="s">
        <v>642</v>
      </c>
    </row>
    <row r="16" spans="1:105" ht="15" customHeight="1" x14ac:dyDescent="0.25">
      <c r="B16" s="34" t="s">
        <v>16</v>
      </c>
      <c r="C16" s="29"/>
      <c r="D16" s="35" t="s">
        <v>8</v>
      </c>
      <c r="E16" s="36">
        <v>1765</v>
      </c>
      <c r="F16" s="36"/>
      <c r="J16" s="28">
        <v>5</v>
      </c>
      <c r="K16" s="26" t="s">
        <v>643</v>
      </c>
    </row>
    <row r="17" spans="2:11" ht="15" customHeight="1" x14ac:dyDescent="0.25">
      <c r="B17" s="34" t="s">
        <v>17</v>
      </c>
      <c r="C17" s="29"/>
      <c r="D17" s="35" t="s">
        <v>8</v>
      </c>
      <c r="E17" s="36">
        <v>1445</v>
      </c>
      <c r="F17" s="36"/>
      <c r="J17" s="28">
        <v>6</v>
      </c>
      <c r="K17" s="26" t="s">
        <v>644</v>
      </c>
    </row>
    <row r="18" spans="2:11" ht="15" customHeight="1" x14ac:dyDescent="0.25">
      <c r="B18" s="34" t="s">
        <v>18</v>
      </c>
      <c r="C18" s="29"/>
      <c r="D18" s="35" t="s">
        <v>8</v>
      </c>
      <c r="E18" s="36">
        <v>1659</v>
      </c>
      <c r="F18" s="36"/>
      <c r="J18" s="28">
        <v>7</v>
      </c>
      <c r="K18" s="26" t="s">
        <v>645</v>
      </c>
    </row>
    <row r="19" spans="2:11" ht="15" customHeight="1" x14ac:dyDescent="0.25">
      <c r="B19" s="34" t="s">
        <v>19</v>
      </c>
      <c r="C19" s="29"/>
      <c r="D19" s="35" t="s">
        <v>8</v>
      </c>
      <c r="E19" s="36">
        <v>1544</v>
      </c>
      <c r="F19" s="36"/>
      <c r="J19" s="28"/>
      <c r="K19" s="26" t="s">
        <v>647</v>
      </c>
    </row>
    <row r="20" spans="2:11" ht="15" customHeight="1" x14ac:dyDescent="0.25">
      <c r="B20" s="34" t="s">
        <v>20</v>
      </c>
      <c r="C20" s="29"/>
      <c r="D20" s="35" t="s">
        <v>8</v>
      </c>
      <c r="E20" s="36">
        <v>1654</v>
      </c>
      <c r="F20" s="36"/>
      <c r="J20" s="28"/>
      <c r="K20" s="26" t="s">
        <v>648</v>
      </c>
    </row>
    <row r="21" spans="2:11" ht="15" customHeight="1" x14ac:dyDescent="0.25">
      <c r="B21" s="34" t="s">
        <v>21</v>
      </c>
      <c r="C21" s="29"/>
      <c r="D21" s="35" t="s">
        <v>8</v>
      </c>
      <c r="E21" s="36">
        <v>1500</v>
      </c>
      <c r="F21" s="36"/>
      <c r="J21" s="28"/>
      <c r="K21" s="26" t="s">
        <v>649</v>
      </c>
    </row>
    <row r="22" spans="2:11" ht="15" customHeight="1" x14ac:dyDescent="0.25">
      <c r="B22" s="34" t="s">
        <v>22</v>
      </c>
      <c r="C22" s="29"/>
      <c r="D22" s="35" t="s">
        <v>8</v>
      </c>
      <c r="E22" s="36">
        <v>1790</v>
      </c>
      <c r="F22" s="36"/>
      <c r="J22" s="28"/>
      <c r="K22" s="26" t="s">
        <v>650</v>
      </c>
    </row>
    <row r="23" spans="2:11" ht="15" customHeight="1" x14ac:dyDescent="0.25">
      <c r="B23" s="34" t="s">
        <v>23</v>
      </c>
      <c r="C23" s="29"/>
      <c r="D23" s="35" t="s">
        <v>8</v>
      </c>
      <c r="E23" s="36">
        <v>1462</v>
      </c>
      <c r="F23" s="36"/>
      <c r="J23" s="28">
        <v>8</v>
      </c>
      <c r="K23" s="26" t="s">
        <v>646</v>
      </c>
    </row>
    <row r="24" spans="2:11" ht="15" customHeight="1" x14ac:dyDescent="0.25">
      <c r="B24" s="34" t="s">
        <v>24</v>
      </c>
      <c r="C24" s="29"/>
      <c r="D24" s="35" t="s">
        <v>8</v>
      </c>
      <c r="E24" s="36">
        <v>1651</v>
      </c>
      <c r="F24" s="36"/>
    </row>
    <row r="25" spans="2:11" ht="15" customHeight="1" x14ac:dyDescent="0.25">
      <c r="B25" s="34" t="s">
        <v>25</v>
      </c>
      <c r="C25" s="29"/>
      <c r="D25" s="35" t="s">
        <v>8</v>
      </c>
      <c r="E25" s="36">
        <v>1553</v>
      </c>
      <c r="F25" s="36"/>
      <c r="J25" s="26" t="s">
        <v>1113</v>
      </c>
    </row>
    <row r="26" spans="2:11" ht="15" customHeight="1" x14ac:dyDescent="0.25">
      <c r="B26" s="34" t="s">
        <v>26</v>
      </c>
      <c r="C26" s="29"/>
      <c r="D26" s="35" t="s">
        <v>8</v>
      </c>
      <c r="E26" s="36">
        <v>1709</v>
      </c>
      <c r="F26" s="36"/>
      <c r="J26" s="334" t="s">
        <v>1114</v>
      </c>
    </row>
    <row r="27" spans="2:11" ht="15" customHeight="1" x14ac:dyDescent="0.25">
      <c r="B27" s="34" t="s">
        <v>27</v>
      </c>
      <c r="C27" s="29"/>
      <c r="D27" s="35" t="s">
        <v>8</v>
      </c>
      <c r="E27" s="36">
        <v>1503</v>
      </c>
      <c r="F27" s="36"/>
    </row>
    <row r="28" spans="2:11" ht="15" customHeight="1" x14ac:dyDescent="0.25">
      <c r="B28" s="34" t="s">
        <v>28</v>
      </c>
      <c r="C28" s="29"/>
      <c r="D28" s="35" t="s">
        <v>8</v>
      </c>
      <c r="E28" s="36">
        <v>1552</v>
      </c>
      <c r="F28" s="36"/>
    </row>
    <row r="29" spans="2:11" ht="15" customHeight="1" x14ac:dyDescent="0.25">
      <c r="B29" s="34" t="s">
        <v>29</v>
      </c>
      <c r="C29" s="29"/>
      <c r="D29" s="35" t="s">
        <v>8</v>
      </c>
      <c r="E29" s="36">
        <v>1621</v>
      </c>
      <c r="F29" s="36"/>
    </row>
    <row r="30" spans="2:11" ht="15" customHeight="1" x14ac:dyDescent="0.25">
      <c r="B30" s="34" t="s">
        <v>30</v>
      </c>
      <c r="C30" s="29"/>
      <c r="D30" s="35" t="s">
        <v>8</v>
      </c>
      <c r="E30" s="36">
        <v>1827</v>
      </c>
      <c r="F30" s="36"/>
    </row>
    <row r="31" spans="2:11" ht="15" customHeight="1" x14ac:dyDescent="0.25">
      <c r="B31" s="34" t="s">
        <v>31</v>
      </c>
      <c r="C31" s="29"/>
      <c r="D31" s="35" t="s">
        <v>8</v>
      </c>
      <c r="E31" s="36">
        <v>1479</v>
      </c>
      <c r="F31" s="36"/>
    </row>
    <row r="32" spans="2:11" ht="15" customHeight="1" x14ac:dyDescent="0.25">
      <c r="B32" s="34" t="s">
        <v>32</v>
      </c>
      <c r="C32" s="29"/>
      <c r="D32" s="35" t="s">
        <v>8</v>
      </c>
      <c r="E32" s="36">
        <v>1635</v>
      </c>
      <c r="F32" s="36"/>
    </row>
    <row r="33" spans="2:6" ht="15" customHeight="1" x14ac:dyDescent="0.25">
      <c r="B33" s="34" t="s">
        <v>33</v>
      </c>
      <c r="C33" s="29"/>
      <c r="D33" s="35" t="s">
        <v>8</v>
      </c>
      <c r="E33" s="36">
        <v>1480</v>
      </c>
      <c r="F33" s="36"/>
    </row>
    <row r="34" spans="2:6" ht="15" customHeight="1" x14ac:dyDescent="0.25">
      <c r="B34" s="34" t="s">
        <v>34</v>
      </c>
      <c r="C34" s="29"/>
      <c r="D34" s="35" t="s">
        <v>8</v>
      </c>
      <c r="E34" s="36">
        <v>1833</v>
      </c>
      <c r="F34" s="36"/>
    </row>
    <row r="35" spans="2:6" ht="15" customHeight="1" x14ac:dyDescent="0.25">
      <c r="B35" s="34" t="s">
        <v>35</v>
      </c>
      <c r="C35" s="29"/>
      <c r="D35" s="35" t="s">
        <v>8</v>
      </c>
      <c r="E35" s="36">
        <v>1548</v>
      </c>
      <c r="F35" s="36"/>
    </row>
    <row r="36" spans="2:6" ht="15" customHeight="1" x14ac:dyDescent="0.25">
      <c r="B36" s="34" t="s">
        <v>36</v>
      </c>
      <c r="C36" s="29"/>
      <c r="D36" s="35" t="s">
        <v>8</v>
      </c>
      <c r="E36" s="36">
        <v>1636</v>
      </c>
      <c r="F36" s="36"/>
    </row>
    <row r="37" spans="2:6" ht="15" customHeight="1" x14ac:dyDescent="0.25">
      <c r="B37" s="34" t="s">
        <v>37</v>
      </c>
      <c r="C37" s="29"/>
      <c r="D37" s="35" t="s">
        <v>8</v>
      </c>
      <c r="E37" s="36">
        <v>1520</v>
      </c>
      <c r="F37" s="36"/>
    </row>
    <row r="38" spans="2:6" ht="15" customHeight="1" x14ac:dyDescent="0.25">
      <c r="B38" s="34" t="s">
        <v>38</v>
      </c>
      <c r="C38" s="29"/>
      <c r="D38" s="35" t="s">
        <v>8</v>
      </c>
      <c r="E38" s="36">
        <v>1675</v>
      </c>
      <c r="F38" s="36"/>
    </row>
    <row r="39" spans="2:6" ht="15" customHeight="1" x14ac:dyDescent="0.25">
      <c r="B39" s="34" t="s">
        <v>39</v>
      </c>
      <c r="C39" s="29"/>
      <c r="D39" s="35" t="s">
        <v>8</v>
      </c>
      <c r="E39" s="36">
        <v>1387</v>
      </c>
      <c r="F39" s="36"/>
    </row>
    <row r="40" spans="2:6" ht="15" customHeight="1" x14ac:dyDescent="0.25">
      <c r="B40" s="34" t="s">
        <v>40</v>
      </c>
      <c r="C40" s="29"/>
      <c r="E40" s="37" t="s">
        <v>41</v>
      </c>
    </row>
    <row r="41" spans="2:6" ht="15" customHeight="1" x14ac:dyDescent="0.25">
      <c r="B41" s="34" t="s">
        <v>42</v>
      </c>
      <c r="C41" s="29"/>
    </row>
    <row r="42" spans="2:6" ht="15" customHeight="1" x14ac:dyDescent="0.25">
      <c r="B42" s="34" t="s">
        <v>43</v>
      </c>
      <c r="C42" s="29"/>
    </row>
    <row r="43" spans="2:6" ht="15" customHeight="1" x14ac:dyDescent="0.25">
      <c r="B43" s="34" t="s">
        <v>44</v>
      </c>
      <c r="C43" s="29"/>
    </row>
    <row r="44" spans="2:6" ht="15" customHeight="1" x14ac:dyDescent="0.25">
      <c r="B44" s="34" t="s">
        <v>45</v>
      </c>
      <c r="C44" s="29"/>
    </row>
    <row r="45" spans="2:6" ht="15" customHeight="1" x14ac:dyDescent="0.25">
      <c r="B45" s="34" t="s">
        <v>46</v>
      </c>
      <c r="C45" s="29"/>
    </row>
    <row r="46" spans="2:6" ht="15" customHeight="1" x14ac:dyDescent="0.25">
      <c r="B46" s="34" t="s">
        <v>47</v>
      </c>
      <c r="C46" s="29"/>
    </row>
    <row r="47" spans="2:6" ht="15" customHeight="1" x14ac:dyDescent="0.25">
      <c r="B47" s="34" t="s">
        <v>48</v>
      </c>
      <c r="C47" s="29"/>
    </row>
    <row r="48" spans="2:6" ht="15" customHeight="1" x14ac:dyDescent="0.25">
      <c r="B48" s="34" t="s">
        <v>49</v>
      </c>
      <c r="C48" s="29"/>
    </row>
    <row r="49" spans="2:3" ht="15" customHeight="1" x14ac:dyDescent="0.25">
      <c r="B49" s="34" t="s">
        <v>50</v>
      </c>
      <c r="C49" s="29"/>
    </row>
    <row r="50" spans="2:3" ht="15" customHeight="1" x14ac:dyDescent="0.25">
      <c r="B50" s="34" t="s">
        <v>51</v>
      </c>
      <c r="C50" s="29"/>
    </row>
    <row r="51" spans="2:3" ht="15" customHeight="1" x14ac:dyDescent="0.25">
      <c r="B51" s="34" t="s">
        <v>52</v>
      </c>
      <c r="C51" s="29"/>
    </row>
    <row r="52" spans="2:3" ht="15" customHeight="1" x14ac:dyDescent="0.25">
      <c r="B52" s="34" t="s">
        <v>53</v>
      </c>
      <c r="C52" s="29"/>
    </row>
    <row r="53" spans="2:3" ht="15" customHeight="1" x14ac:dyDescent="0.25">
      <c r="B53" s="34" t="s">
        <v>54</v>
      </c>
      <c r="C53" s="29"/>
    </row>
    <row r="54" spans="2:3" ht="15" customHeight="1" x14ac:dyDescent="0.25">
      <c r="B54" s="34" t="s">
        <v>55</v>
      </c>
      <c r="C54" s="29"/>
    </row>
    <row r="55" spans="2:3" ht="15" customHeight="1" x14ac:dyDescent="0.25">
      <c r="B55" s="34" t="s">
        <v>56</v>
      </c>
      <c r="C55" s="29"/>
    </row>
    <row r="56" spans="2:3" ht="15" customHeight="1" x14ac:dyDescent="0.25">
      <c r="B56" s="34" t="s">
        <v>57</v>
      </c>
      <c r="C56" s="29"/>
    </row>
    <row r="57" spans="2:3" ht="15" customHeight="1" x14ac:dyDescent="0.25">
      <c r="B57" s="34" t="s">
        <v>58</v>
      </c>
      <c r="C57" s="29"/>
    </row>
    <row r="58" spans="2:3" ht="15" customHeight="1" x14ac:dyDescent="0.25">
      <c r="B58" s="34" t="s">
        <v>692</v>
      </c>
      <c r="C58" s="29"/>
    </row>
    <row r="59" spans="2:3" ht="15" customHeight="1" x14ac:dyDescent="0.25">
      <c r="B59" s="34" t="s">
        <v>59</v>
      </c>
      <c r="C59" s="29"/>
    </row>
    <row r="60" spans="2:3" ht="15" customHeight="1" x14ac:dyDescent="0.25">
      <c r="B60" s="34" t="s">
        <v>60</v>
      </c>
      <c r="C60" s="29"/>
    </row>
    <row r="61" spans="2:3" ht="15" customHeight="1" x14ac:dyDescent="0.25">
      <c r="B61" s="34" t="s">
        <v>61</v>
      </c>
      <c r="C61" s="29"/>
    </row>
    <row r="62" spans="2:3" ht="15" customHeight="1" x14ac:dyDescent="0.25">
      <c r="B62" s="34" t="s">
        <v>62</v>
      </c>
      <c r="C62" s="29"/>
    </row>
    <row r="63" spans="2:3" ht="15" customHeight="1" x14ac:dyDescent="0.25">
      <c r="B63" s="34" t="s">
        <v>63</v>
      </c>
      <c r="C63" s="29"/>
    </row>
    <row r="64" spans="2:3" ht="15" customHeight="1" x14ac:dyDescent="0.25">
      <c r="B64" s="34" t="s">
        <v>64</v>
      </c>
      <c r="C64" s="29"/>
    </row>
    <row r="65" spans="2:3" ht="15" customHeight="1" x14ac:dyDescent="0.25">
      <c r="B65" s="34" t="s">
        <v>65</v>
      </c>
      <c r="C65" s="29"/>
    </row>
    <row r="66" spans="2:3" ht="15" customHeight="1" x14ac:dyDescent="0.25">
      <c r="B66" s="34" t="s">
        <v>66</v>
      </c>
      <c r="C66" s="29"/>
    </row>
    <row r="67" spans="2:3" ht="15" customHeight="1" x14ac:dyDescent="0.25">
      <c r="B67" s="34" t="s">
        <v>67</v>
      </c>
      <c r="C67" s="29"/>
    </row>
    <row r="68" spans="2:3" ht="15" customHeight="1" x14ac:dyDescent="0.25">
      <c r="B68" s="34" t="s">
        <v>68</v>
      </c>
      <c r="C68" s="29"/>
    </row>
    <row r="69" spans="2:3" ht="15" customHeight="1" x14ac:dyDescent="0.25">
      <c r="B69" s="34" t="s">
        <v>69</v>
      </c>
      <c r="C69" s="29"/>
    </row>
    <row r="70" spans="2:3" ht="15" customHeight="1" x14ac:dyDescent="0.25">
      <c r="B70" s="34" t="s">
        <v>70</v>
      </c>
      <c r="C70" s="29"/>
    </row>
    <row r="71" spans="2:3" ht="15" customHeight="1" x14ac:dyDescent="0.25">
      <c r="B71" s="34" t="s">
        <v>71</v>
      </c>
      <c r="C71" s="29"/>
    </row>
    <row r="72" spans="2:3" ht="15" customHeight="1" x14ac:dyDescent="0.25">
      <c r="B72" s="34" t="s">
        <v>72</v>
      </c>
      <c r="C72" s="29"/>
    </row>
    <row r="73" spans="2:3" ht="15" customHeight="1" x14ac:dyDescent="0.25">
      <c r="B73" s="34" t="s">
        <v>73</v>
      </c>
      <c r="C73" s="29"/>
    </row>
    <row r="74" spans="2:3" ht="15" customHeight="1" x14ac:dyDescent="0.25">
      <c r="B74" s="34" t="s">
        <v>74</v>
      </c>
      <c r="C74" s="29"/>
    </row>
    <row r="75" spans="2:3" ht="15" customHeight="1" x14ac:dyDescent="0.25">
      <c r="B75" s="34" t="s">
        <v>75</v>
      </c>
      <c r="C75" s="29"/>
    </row>
    <row r="76" spans="2:3" ht="15" customHeight="1" x14ac:dyDescent="0.25">
      <c r="B76" s="34" t="s">
        <v>76</v>
      </c>
      <c r="C76" s="29"/>
    </row>
    <row r="77" spans="2:3" ht="15" customHeight="1" x14ac:dyDescent="0.25">
      <c r="B77" s="34" t="s">
        <v>77</v>
      </c>
      <c r="C77" s="29"/>
    </row>
    <row r="78" spans="2:3" ht="15" customHeight="1" x14ac:dyDescent="0.25">
      <c r="B78" s="34" t="s">
        <v>78</v>
      </c>
      <c r="C78" s="29"/>
    </row>
    <row r="79" spans="2:3" ht="15" customHeight="1" x14ac:dyDescent="0.25">
      <c r="B79" s="34" t="s">
        <v>79</v>
      </c>
      <c r="C79" s="29"/>
    </row>
    <row r="80" spans="2:3" ht="15" customHeight="1" x14ac:dyDescent="0.25">
      <c r="B80" s="34" t="s">
        <v>80</v>
      </c>
      <c r="C80" s="29"/>
    </row>
    <row r="81" spans="2:3" ht="15" customHeight="1" x14ac:dyDescent="0.25">
      <c r="B81" s="34" t="s">
        <v>81</v>
      </c>
      <c r="C81" s="29"/>
    </row>
    <row r="82" spans="2:3" ht="15" customHeight="1" x14ac:dyDescent="0.25">
      <c r="B82" s="34" t="s">
        <v>82</v>
      </c>
      <c r="C82" s="29"/>
    </row>
    <row r="83" spans="2:3" ht="15" customHeight="1" x14ac:dyDescent="0.25">
      <c r="B83" s="34" t="s">
        <v>83</v>
      </c>
      <c r="C83" s="29"/>
    </row>
    <row r="84" spans="2:3" ht="15" customHeight="1" x14ac:dyDescent="0.25">
      <c r="B84" s="34" t="s">
        <v>84</v>
      </c>
      <c r="C84" s="29"/>
    </row>
    <row r="85" spans="2:3" ht="15" customHeight="1" x14ac:dyDescent="0.25">
      <c r="B85" s="34" t="s">
        <v>85</v>
      </c>
      <c r="C85" s="29"/>
    </row>
    <row r="86" spans="2:3" ht="15" customHeight="1" x14ac:dyDescent="0.25">
      <c r="B86" s="34" t="s">
        <v>86</v>
      </c>
      <c r="C86" s="29"/>
    </row>
    <row r="87" spans="2:3" ht="15" customHeight="1" x14ac:dyDescent="0.25">
      <c r="B87" s="34" t="s">
        <v>87</v>
      </c>
      <c r="C87" s="29"/>
    </row>
    <row r="88" spans="2:3" ht="15" customHeight="1" x14ac:dyDescent="0.25">
      <c r="B88" s="34" t="s">
        <v>88</v>
      </c>
      <c r="C88" s="29"/>
    </row>
    <row r="89" spans="2:3" ht="15" customHeight="1" x14ac:dyDescent="0.25">
      <c r="B89" s="34" t="s">
        <v>89</v>
      </c>
      <c r="C89" s="29"/>
    </row>
    <row r="90" spans="2:3" ht="15" customHeight="1" x14ac:dyDescent="0.25">
      <c r="B90" s="34" t="s">
        <v>90</v>
      </c>
      <c r="C90" s="29"/>
    </row>
    <row r="91" spans="2:3" ht="15" customHeight="1" x14ac:dyDescent="0.25">
      <c r="B91" s="34" t="s">
        <v>91</v>
      </c>
      <c r="C91" s="29"/>
    </row>
    <row r="92" spans="2:3" ht="15" customHeight="1" x14ac:dyDescent="0.25">
      <c r="B92" s="34" t="s">
        <v>92</v>
      </c>
      <c r="C92" s="29"/>
    </row>
    <row r="93" spans="2:3" ht="15" customHeight="1" x14ac:dyDescent="0.25">
      <c r="B93" s="34" t="s">
        <v>93</v>
      </c>
      <c r="C93" s="29"/>
    </row>
    <row r="94" spans="2:3" ht="15" customHeight="1" x14ac:dyDescent="0.25">
      <c r="B94" s="34" t="s">
        <v>94</v>
      </c>
      <c r="C94" s="29"/>
    </row>
    <row r="95" spans="2:3" ht="15" customHeight="1" x14ac:dyDescent="0.25">
      <c r="B95" s="34" t="s">
        <v>95</v>
      </c>
      <c r="C95" s="29"/>
    </row>
    <row r="96" spans="2:3" ht="15" customHeight="1" x14ac:dyDescent="0.25">
      <c r="B96" s="34" t="s">
        <v>96</v>
      </c>
      <c r="C96" s="29"/>
    </row>
    <row r="97" spans="2:3" ht="15" customHeight="1" x14ac:dyDescent="0.25">
      <c r="B97" s="34" t="s">
        <v>97</v>
      </c>
      <c r="C97" s="29"/>
    </row>
    <row r="98" spans="2:3" ht="15" customHeight="1" x14ac:dyDescent="0.25">
      <c r="B98" s="34" t="s">
        <v>98</v>
      </c>
      <c r="C98" s="29"/>
    </row>
    <row r="99" spans="2:3" ht="15" customHeight="1" x14ac:dyDescent="0.25">
      <c r="B99" s="34" t="s">
        <v>99</v>
      </c>
      <c r="C99" s="29"/>
    </row>
    <row r="100" spans="2:3" ht="15" customHeight="1" x14ac:dyDescent="0.25">
      <c r="B100" s="34" t="s">
        <v>100</v>
      </c>
      <c r="C100" s="29"/>
    </row>
    <row r="101" spans="2:3" ht="15" customHeight="1" x14ac:dyDescent="0.25">
      <c r="B101" s="34" t="s">
        <v>101</v>
      </c>
      <c r="C101" s="29"/>
    </row>
    <row r="102" spans="2:3" ht="15" customHeight="1" x14ac:dyDescent="0.25">
      <c r="B102" s="34" t="s">
        <v>102</v>
      </c>
      <c r="C102" s="29"/>
    </row>
    <row r="103" spans="2:3" ht="15" customHeight="1" x14ac:dyDescent="0.25">
      <c r="B103" s="34" t="s">
        <v>103</v>
      </c>
      <c r="C103" s="29"/>
    </row>
    <row r="104" spans="2:3" ht="15" customHeight="1" x14ac:dyDescent="0.25">
      <c r="B104" s="34" t="s">
        <v>104</v>
      </c>
      <c r="C104" s="29"/>
    </row>
    <row r="105" spans="2:3" ht="15" customHeight="1" x14ac:dyDescent="0.25">
      <c r="B105" s="34" t="s">
        <v>105</v>
      </c>
      <c r="C105" s="29"/>
    </row>
    <row r="106" spans="2:3" ht="15" customHeight="1" x14ac:dyDescent="0.25">
      <c r="B106" s="34" t="s">
        <v>106</v>
      </c>
      <c r="C106" s="29"/>
    </row>
    <row r="107" spans="2:3" ht="15" customHeight="1" x14ac:dyDescent="0.25">
      <c r="B107" s="34" t="s">
        <v>107</v>
      </c>
      <c r="C107" s="29"/>
    </row>
    <row r="108" spans="2:3" ht="15" customHeight="1" x14ac:dyDescent="0.25">
      <c r="B108" s="34" t="s">
        <v>108</v>
      </c>
      <c r="C108" s="29"/>
    </row>
    <row r="109" spans="2:3" ht="15" customHeight="1" x14ac:dyDescent="0.25">
      <c r="B109" s="34" t="s">
        <v>109</v>
      </c>
      <c r="C109" s="29"/>
    </row>
    <row r="110" spans="2:3" ht="15" customHeight="1" x14ac:dyDescent="0.25">
      <c r="B110" s="34" t="s">
        <v>110</v>
      </c>
      <c r="C110" s="29"/>
    </row>
    <row r="111" spans="2:3" ht="15" customHeight="1" x14ac:dyDescent="0.25">
      <c r="B111" s="34" t="s">
        <v>111</v>
      </c>
      <c r="C111" s="29"/>
    </row>
    <row r="112" spans="2:3" ht="15" customHeight="1" x14ac:dyDescent="0.25">
      <c r="B112" s="34" t="s">
        <v>112</v>
      </c>
      <c r="C112" s="29"/>
    </row>
    <row r="113" spans="2:3" ht="15" customHeight="1" x14ac:dyDescent="0.25">
      <c r="B113" s="34" t="s">
        <v>113</v>
      </c>
      <c r="C113" s="29"/>
    </row>
    <row r="114" spans="2:3" ht="15" customHeight="1" x14ac:dyDescent="0.25">
      <c r="B114" s="34" t="s">
        <v>114</v>
      </c>
      <c r="C114" s="29"/>
    </row>
    <row r="115" spans="2:3" x14ac:dyDescent="0.25">
      <c r="B115" s="34" t="s">
        <v>115</v>
      </c>
      <c r="C115" s="29"/>
    </row>
    <row r="116" spans="2:3" x14ac:dyDescent="0.25">
      <c r="B116" s="34" t="s">
        <v>116</v>
      </c>
      <c r="C116" s="29"/>
    </row>
  </sheetData>
  <sheetProtection password="CBF1" sheet="1" objects="1" scenarios="1"/>
  <mergeCells count="2">
    <mergeCell ref="E5:E7"/>
    <mergeCell ref="F5:F7"/>
  </mergeCells>
  <dataValidations count="2">
    <dataValidation type="list" allowBlank="1" showInputMessage="1" showErrorMessage="1" sqref="C4">
      <formula1>TimeZoneList</formula1>
    </dataValidation>
    <dataValidation type="list" allowBlank="1" showInputMessage="1" showErrorMessage="1" sqref="C5">
      <formula1>Countries</formula1>
    </dataValidation>
  </dataValidations>
  <hyperlinks>
    <hyperlink ref="M10" r:id="rId1"/>
    <hyperlink ref="J26" r:id="rId2"/>
  </hyperlinks>
  <pageMargins left="0.2" right="0.2" top="0.25" bottom="0.25" header="0.3" footer="0.3"/>
  <pageSetup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R169"/>
  <sheetViews>
    <sheetView showGridLines="0" tabSelected="1" zoomScaleNormal="100" workbookViewId="0">
      <pane ySplit="3" topLeftCell="A4" activePane="bottomLeft" state="frozen"/>
      <selection activeCell="H10" sqref="H10"/>
      <selection pane="bottomLeft" activeCell="F16" sqref="F16"/>
    </sheetView>
  </sheetViews>
  <sheetFormatPr defaultColWidth="9.08984375" defaultRowHeight="14.5" zeroHeight="1" x14ac:dyDescent="0.35"/>
  <cols>
    <col min="1" max="1" width="1.6328125" style="48" customWidth="1"/>
    <col min="2" max="2" width="3.6328125" style="85" customWidth="1"/>
    <col min="3" max="3" width="5.6328125" style="85" customWidth="1"/>
    <col min="4" max="4" width="6.6328125" style="95" customWidth="1"/>
    <col min="5" max="5" width="6.81640625" style="96" customWidth="1"/>
    <col min="6" max="6" width="18.6328125" style="97" customWidth="1"/>
    <col min="7" max="7" width="1.6328125" style="97" customWidth="1"/>
    <col min="8" max="9" width="3.1796875" style="85" customWidth="1"/>
    <col min="10" max="10" width="1.6328125" style="97" customWidth="1"/>
    <col min="11" max="11" width="18.6328125" style="98" customWidth="1"/>
    <col min="12" max="13" width="3.1796875" style="98" customWidth="1"/>
    <col min="14" max="14" width="18.6328125" style="85" customWidth="1"/>
    <col min="15" max="15" width="0.81640625" style="85" customWidth="1"/>
    <col min="16" max="16" width="2.6328125" style="85" customWidth="1"/>
    <col min="17" max="17" width="15.6328125" style="85" customWidth="1"/>
    <col min="18" max="21" width="2.6328125" style="55" customWidth="1"/>
    <col min="22" max="22" width="6.6328125" style="55" customWidth="1"/>
    <col min="23" max="23" width="3.6328125" style="55" customWidth="1"/>
    <col min="24" max="24" width="1.6328125" style="99" customWidth="1"/>
    <col min="25" max="25" width="0.81640625" style="7" customWidth="1"/>
    <col min="26" max="26" width="1.6328125" style="85" customWidth="1"/>
    <col min="27" max="27" width="2.6328125" style="85" customWidth="1"/>
    <col min="28" max="28" width="14.1796875" style="85" customWidth="1"/>
    <col min="29" max="29" width="1.1796875" style="85" customWidth="1"/>
    <col min="30" max="30" width="5.7265625" style="85" customWidth="1"/>
    <col min="31" max="92" width="9.08984375" style="85" customWidth="1"/>
    <col min="93" max="96" width="9.08984375" style="55" customWidth="1"/>
    <col min="97" max="16384" width="9.08984375" style="85"/>
  </cols>
  <sheetData>
    <row r="1" spans="1:96" s="1" customFormat="1" ht="5" customHeight="1" thickBot="1" x14ac:dyDescent="0.4">
      <c r="A1" s="239"/>
      <c r="D1" s="3"/>
      <c r="E1" s="38"/>
      <c r="F1" s="5"/>
      <c r="G1" s="5"/>
      <c r="J1" s="5"/>
      <c r="K1" s="2"/>
      <c r="L1" s="2"/>
      <c r="M1" s="2"/>
      <c r="R1" s="6"/>
      <c r="S1" s="6"/>
      <c r="T1" s="6"/>
      <c r="U1" s="6"/>
      <c r="V1" s="6"/>
      <c r="W1" s="6"/>
      <c r="X1" s="7"/>
      <c r="Y1" s="7"/>
      <c r="CO1" s="6"/>
      <c r="CP1" s="6"/>
      <c r="CQ1" s="6"/>
      <c r="CR1" s="6"/>
    </row>
    <row r="2" spans="1:96" s="16" customFormat="1" ht="35" customHeight="1" thickBot="1" x14ac:dyDescent="0.3">
      <c r="A2" s="47"/>
      <c r="B2" s="39" t="str">
        <f>UPPER(INDEX(Translation,MATCH("World Cup 2022 Fixtures",TransRef,0),MATCH(Setup!C5,LanguageRef,0)))</f>
        <v>WORLD CUP 2022 SCHEDULE</v>
      </c>
      <c r="D2" s="13"/>
      <c r="F2" s="15"/>
      <c r="G2" s="15"/>
      <c r="J2" s="15"/>
      <c r="K2" s="17"/>
      <c r="L2" s="17"/>
      <c r="M2" s="17"/>
      <c r="N2" s="349" t="s">
        <v>1104</v>
      </c>
      <c r="O2" s="350"/>
      <c r="P2" s="350"/>
      <c r="Q2" s="350"/>
      <c r="R2" s="350"/>
      <c r="S2" s="350"/>
      <c r="T2" s="350"/>
      <c r="U2" s="350"/>
      <c r="V2" s="350"/>
      <c r="W2" s="351"/>
      <c r="X2" s="19"/>
      <c r="Y2" s="120"/>
      <c r="CO2" s="24"/>
      <c r="CP2" s="24"/>
      <c r="CQ2" s="24"/>
      <c r="CR2" s="24"/>
    </row>
    <row r="3" spans="1:96" s="47" customFormat="1" ht="14.5" customHeight="1" x14ac:dyDescent="0.35">
      <c r="B3" s="40" t="str">
        <f>INDEX(Translation,MATCH("Match #",TransRef,0),MATCH(Setup!C5,LanguageRef,0))</f>
        <v>Match #</v>
      </c>
      <c r="C3" s="246"/>
      <c r="D3" s="41" t="str">
        <f>INDEX(Translation,MATCH("Date",TransRef,0),MATCH(Setup!C5,LanguageRef,0))</f>
        <v>Date</v>
      </c>
      <c r="E3" s="246" t="str">
        <f>INDEX(Translation,MATCH("Time",TransRef,0),MATCH(Setup!C5,LanguageRef,0))</f>
        <v>Time</v>
      </c>
      <c r="F3" s="42" t="str">
        <f>INDEX(Translation,MATCH("Country",TransRef,0),MATCH(Setup!C5,LanguageRef,0))</f>
        <v>Country</v>
      </c>
      <c r="G3" s="42"/>
      <c r="H3" s="341" t="str">
        <f>INDEX(Translation,MATCH("Score",TransRef,0),MATCH(Setup!C5,LanguageRef,0))</f>
        <v>Score</v>
      </c>
      <c r="I3" s="341"/>
      <c r="J3" s="42"/>
      <c r="K3" s="43" t="str">
        <f>INDEX(Translation,MATCH("Country",TransRef,0),MATCH(Setup!C5,LanguageRef,0))</f>
        <v>Country</v>
      </c>
      <c r="L3" s="43"/>
      <c r="M3" s="43"/>
      <c r="N3" s="44" t="str">
        <f>INDEX(Translation,MATCH("Venue",TransRef,0),MATCH(Setup!C5,LanguageRef,0))</f>
        <v>Venue</v>
      </c>
      <c r="O3" s="45"/>
      <c r="P3" s="44" t="str">
        <f>INDEX(Translation,MATCH("Standings",TransRef,0),MATCH(Setup!C5,LanguageRef,0))</f>
        <v>Standings</v>
      </c>
      <c r="Q3" s="46"/>
      <c r="R3" s="46"/>
      <c r="S3" s="46"/>
      <c r="T3" s="46"/>
      <c r="U3" s="46"/>
      <c r="V3" s="46"/>
      <c r="W3" s="46"/>
      <c r="X3" s="19"/>
      <c r="Y3" s="120"/>
      <c r="CQ3" s="48"/>
    </row>
    <row r="4" spans="1:96" s="16" customFormat="1" ht="14.5" customHeight="1" x14ac:dyDescent="0.35">
      <c r="A4" s="47"/>
      <c r="B4" s="49" t="str">
        <f>INDEX(Translation,MATCH("Group Stages",TransRef,0),MATCH(Setup!C5,LanguageRef,0))</f>
        <v>Group Stages</v>
      </c>
      <c r="C4" s="49"/>
      <c r="D4" s="50"/>
      <c r="E4" s="49"/>
      <c r="F4" s="51"/>
      <c r="G4" s="51"/>
      <c r="H4" s="49"/>
      <c r="I4" s="49"/>
      <c r="J4" s="51"/>
      <c r="K4" s="52"/>
      <c r="L4" s="52"/>
      <c r="M4" s="52"/>
      <c r="N4" s="53"/>
      <c r="O4" s="18"/>
      <c r="P4" s="342" t="str">
        <f>INDEX(Translation,MATCH("Group A",TransRef,0),MATCH(Setup!$C$5,LanguageRef,0))</f>
        <v>Group A</v>
      </c>
      <c r="Q4" s="342"/>
      <c r="R4" s="54" t="s">
        <v>117</v>
      </c>
      <c r="S4" s="54" t="s">
        <v>118</v>
      </c>
      <c r="T4" s="54" t="s">
        <v>119</v>
      </c>
      <c r="U4" s="54" t="s">
        <v>120</v>
      </c>
      <c r="V4" s="54" t="s">
        <v>121</v>
      </c>
      <c r="W4" s="54" t="s">
        <v>122</v>
      </c>
      <c r="X4" s="19"/>
      <c r="Y4" s="120"/>
      <c r="AA4" s="121" t="s">
        <v>144</v>
      </c>
      <c r="AC4" s="13"/>
      <c r="AE4" s="15"/>
      <c r="AF4" s="15"/>
      <c r="CO4" s="24"/>
      <c r="CP4" s="24"/>
      <c r="CQ4" s="55"/>
      <c r="CR4" s="24"/>
    </row>
    <row r="5" spans="1:96" s="16" customFormat="1" ht="14.5" customHeight="1" x14ac:dyDescent="0.35">
      <c r="A5" s="47">
        <v>0</v>
      </c>
      <c r="B5" s="56">
        <v>1</v>
      </c>
      <c r="C5" s="57" t="s">
        <v>123</v>
      </c>
      <c r="D5" s="58">
        <f t="shared" ref="D5:D68" si="0">E5</f>
        <v>44885.791666666664</v>
      </c>
      <c r="E5" s="59">
        <f>Calculator!BX7</f>
        <v>44885.791666666664</v>
      </c>
      <c r="F5" s="60" t="str">
        <f>INDEX(Translation,MATCH(Setup!B10,TransRef,0),MATCH(Setup!$C$5,LanguageRef,0))</f>
        <v>Qatar</v>
      </c>
      <c r="G5" s="60"/>
      <c r="H5" s="254" t="str">
        <f ca="1">IF(OFFSET('Group Stages'!$H$7,A5,0)&lt;&gt;"",OFFSET('Group Stages'!$H$7,A5,0),"")</f>
        <v/>
      </c>
      <c r="I5" s="255" t="str">
        <f ca="1">IF(OFFSET('Group Stages'!$H$8,A5,0)&lt;&gt;"",OFFSET('Group Stages'!$H$8,A5,0),"")</f>
        <v/>
      </c>
      <c r="J5" s="60"/>
      <c r="K5" s="61" t="str">
        <f>INDEX(Translation,MATCH(Setup!B11,TransRef,0),MATCH(Setup!$C$5,LanguageRef,0))</f>
        <v>Ecuador</v>
      </c>
      <c r="L5" s="61"/>
      <c r="M5" s="61"/>
      <c r="N5" s="256" t="s">
        <v>711</v>
      </c>
      <c r="O5" s="18"/>
      <c r="P5" s="126">
        <v>1</v>
      </c>
      <c r="Q5" s="257" t="str">
        <f ca="1">INDEX(Calculator!$U$4:$U$7,MATCH(1,Calculator!$BK$4:$BK$7,0),0)</f>
        <v>Netherlands</v>
      </c>
      <c r="R5" s="126">
        <f ca="1">VLOOKUP($Q5,Calculator!$C$4:$K$35,2,FALSE)</f>
        <v>0</v>
      </c>
      <c r="S5" s="126">
        <f ca="1">VLOOKUP($Q5,Calculator!$C$4:$K$35,3,FALSE)</f>
        <v>0</v>
      </c>
      <c r="T5" s="126">
        <f ca="1">VLOOKUP($Q5,Calculator!$C$4:$K$35,4,FALSE)</f>
        <v>0</v>
      </c>
      <c r="U5" s="126">
        <f ca="1">VLOOKUP($Q5,Calculator!$C$4:$K$35,5,FALSE)</f>
        <v>0</v>
      </c>
      <c r="V5" s="126" t="str">
        <f ca="1">VLOOKUP($Q5,Calculator!$C$4:$K$35,6,FALSE)&amp;" - "&amp;VLOOKUP($Q5,Calculator!$C$4:$K$35,7,FALSE)</f>
        <v>0 - 0</v>
      </c>
      <c r="W5" s="126">
        <f ca="1">VLOOKUP($Q5,Calculator!$C$4:$K$35,9,FALSE)</f>
        <v>0</v>
      </c>
      <c r="X5" s="19"/>
      <c r="Y5" s="120"/>
      <c r="AA5" s="23" t="s">
        <v>686</v>
      </c>
      <c r="AF5" s="15"/>
      <c r="CO5" s="24"/>
      <c r="CP5" s="24"/>
      <c r="CQ5" s="55"/>
      <c r="CR5" s="24"/>
    </row>
    <row r="6" spans="1:96" s="16" customFormat="1" ht="14.5" customHeight="1" x14ac:dyDescent="0.35">
      <c r="A6" s="47">
        <f>A5+2</f>
        <v>2</v>
      </c>
      <c r="B6" s="56">
        <v>3</v>
      </c>
      <c r="C6" s="62" t="s">
        <v>124</v>
      </c>
      <c r="D6" s="63">
        <f t="shared" si="0"/>
        <v>44886.666666666664</v>
      </c>
      <c r="E6" s="64">
        <f>Calculator!BX8</f>
        <v>44886.666666666664</v>
      </c>
      <c r="F6" s="65" t="str">
        <f>INDEX(Translation,MATCH(Setup!B12,TransRef,0),MATCH(Setup!$C$5,LanguageRef,0))</f>
        <v>England</v>
      </c>
      <c r="G6" s="65"/>
      <c r="H6" s="254" t="str">
        <f ca="1">IF(OFFSET('Group Stages'!$H$7,A6,0)&lt;&gt;"",OFFSET('Group Stages'!$H$7,A6,0),"")</f>
        <v/>
      </c>
      <c r="I6" s="255" t="str">
        <f ca="1">IF(OFFSET('Group Stages'!$H$8,A6,0)&lt;&gt;"",OFFSET('Group Stages'!$H$8,A6,0),"")</f>
        <v/>
      </c>
      <c r="J6" s="65"/>
      <c r="K6" s="66" t="str">
        <f>INDEX(Translation,MATCH(Setup!B13,TransRef,0),MATCH(Setup!$C$5,LanguageRef,0))</f>
        <v>Iran</v>
      </c>
      <c r="L6" s="66"/>
      <c r="M6" s="66"/>
      <c r="N6" s="258" t="s">
        <v>710</v>
      </c>
      <c r="O6" s="18"/>
      <c r="P6" s="126">
        <v>2</v>
      </c>
      <c r="Q6" s="257" t="str">
        <f ca="1">INDEX(Calculator!$U$4:$U$7,MATCH(2,Calculator!$BK$4:$BK$7,0),0)</f>
        <v>Senegal</v>
      </c>
      <c r="R6" s="126">
        <f ca="1">VLOOKUP($Q6,Calculator!$C$4:$K$35,2,FALSE)</f>
        <v>0</v>
      </c>
      <c r="S6" s="126">
        <f ca="1">VLOOKUP($Q6,Calculator!$C$4:$K$35,3,FALSE)</f>
        <v>0</v>
      </c>
      <c r="T6" s="126">
        <f ca="1">VLOOKUP($Q6,Calculator!$C$4:$K$35,4,FALSE)</f>
        <v>0</v>
      </c>
      <c r="U6" s="126">
        <f ca="1">VLOOKUP($Q6,Calculator!$C$4:$K$35,5,FALSE)</f>
        <v>0</v>
      </c>
      <c r="V6" s="126" t="str">
        <f ca="1">VLOOKUP($Q6,Calculator!$C$4:$K$35,6,FALSE)&amp;" - "&amp;VLOOKUP($Q6,Calculator!$C$4:$K$35,7,FALSE)</f>
        <v>0 - 0</v>
      </c>
      <c r="W6" s="126">
        <f ca="1">VLOOKUP($Q6,Calculator!$C$4:$K$35,9,FALSE)</f>
        <v>0</v>
      </c>
      <c r="X6" s="19"/>
      <c r="Y6" s="120"/>
      <c r="AA6" s="122" t="s">
        <v>687</v>
      </c>
      <c r="AE6" s="123" t="s">
        <v>688</v>
      </c>
      <c r="AF6" s="15"/>
      <c r="CO6" s="24"/>
      <c r="CP6" s="24"/>
      <c r="CQ6" s="55"/>
      <c r="CR6" s="24"/>
    </row>
    <row r="7" spans="1:96" s="16" customFormat="1" ht="14.5" customHeight="1" x14ac:dyDescent="0.35">
      <c r="A7" s="47">
        <f t="shared" ref="A7:A52" si="1">A6+2</f>
        <v>4</v>
      </c>
      <c r="B7" s="56">
        <v>2</v>
      </c>
      <c r="C7" s="67" t="s">
        <v>123</v>
      </c>
      <c r="D7" s="68">
        <f t="shared" si="0"/>
        <v>44886.791666666664</v>
      </c>
      <c r="E7" s="69">
        <f>Calculator!BX9</f>
        <v>44886.791666666664</v>
      </c>
      <c r="F7" s="70" t="str">
        <f>INDEX(Translation,MATCH(Setup!B8,TransRef,0),MATCH(Setup!$C$5,LanguageRef,0))</f>
        <v>Senegal</v>
      </c>
      <c r="G7" s="70"/>
      <c r="H7" s="254" t="str">
        <f ca="1">IF(OFFSET('Group Stages'!$H$7,A7,0)&lt;&gt;"",OFFSET('Group Stages'!$H$7,A7,0),"")</f>
        <v/>
      </c>
      <c r="I7" s="255" t="str">
        <f ca="1">IF(OFFSET('Group Stages'!$H$8,A7,0)&lt;&gt;"",OFFSET('Group Stages'!$H$8,A7,0),"")</f>
        <v/>
      </c>
      <c r="J7" s="70"/>
      <c r="K7" s="16" t="str">
        <f>INDEX(Translation,MATCH(Setup!B9,TransRef,0),MATCH(Setup!$C$5,LanguageRef,0))</f>
        <v>Netherlands</v>
      </c>
      <c r="N7" s="259" t="s">
        <v>709</v>
      </c>
      <c r="O7" s="18"/>
      <c r="P7" s="71">
        <v>3</v>
      </c>
      <c r="Q7" s="72" t="str">
        <f ca="1">INDEX(Calculator!$U$4:$U$7,MATCH(3,Calculator!$BK$4:$BK$7,0),0)</f>
        <v>Ecuador</v>
      </c>
      <c r="R7" s="71">
        <f ca="1">VLOOKUP($Q7,Calculator!$C$4:$K$35,2,FALSE)</f>
        <v>0</v>
      </c>
      <c r="S7" s="71">
        <f ca="1">VLOOKUP($Q7,Calculator!$C$4:$K$35,3,FALSE)</f>
        <v>0</v>
      </c>
      <c r="T7" s="71">
        <f ca="1">VLOOKUP($Q7,Calculator!$C$4:$K$35,4,FALSE)</f>
        <v>0</v>
      </c>
      <c r="U7" s="71">
        <f ca="1">VLOOKUP($Q7,Calculator!$C$4:$K$35,5,FALSE)</f>
        <v>0</v>
      </c>
      <c r="V7" s="71" t="str">
        <f ca="1">VLOOKUP($Q7,Calculator!$C$4:$K$35,6,FALSE)&amp;" - "&amp;VLOOKUP($Q7,Calculator!$C$4:$K$35,7,FALSE)</f>
        <v>0 - 0</v>
      </c>
      <c r="W7" s="71">
        <f ca="1">VLOOKUP($Q7,Calculator!$C$4:$K$35,9,FALSE)</f>
        <v>0</v>
      </c>
      <c r="X7" s="19"/>
      <c r="Y7" s="120"/>
      <c r="AA7" s="23" t="s">
        <v>689</v>
      </c>
      <c r="CO7" s="24"/>
      <c r="CP7" s="24"/>
      <c r="CQ7" s="55"/>
      <c r="CR7" s="24"/>
    </row>
    <row r="8" spans="1:96" s="16" customFormat="1" ht="14.5" customHeight="1" x14ac:dyDescent="0.35">
      <c r="A8" s="47">
        <f t="shared" si="1"/>
        <v>6</v>
      </c>
      <c r="B8" s="56">
        <v>4</v>
      </c>
      <c r="C8" s="62" t="s">
        <v>124</v>
      </c>
      <c r="D8" s="63">
        <f t="shared" si="0"/>
        <v>44886.916666666664</v>
      </c>
      <c r="E8" s="64">
        <f>Calculator!BX10</f>
        <v>44886.916666666664</v>
      </c>
      <c r="F8" s="65" t="str">
        <f>INDEX(Translation,MATCH(Setup!B14,TransRef,0),MATCH(Setup!$C$5,LanguageRef,0))</f>
        <v>United States</v>
      </c>
      <c r="G8" s="65"/>
      <c r="H8" s="254" t="str">
        <f ca="1">IF(OFFSET('Group Stages'!$H$7,A8,0)&lt;&gt;"",OFFSET('Group Stages'!$H$7,A8,0),"")</f>
        <v/>
      </c>
      <c r="I8" s="255" t="str">
        <f ca="1">IF(OFFSET('Group Stages'!$H$8,A8,0)&lt;&gt;"",OFFSET('Group Stages'!$H$8,A8,0),"")</f>
        <v/>
      </c>
      <c r="J8" s="65"/>
      <c r="K8" s="66" t="str">
        <f>INDEX(Translation,MATCH(Setup!B15,TransRef,0),MATCH(Setup!$C$5,LanguageRef,0))</f>
        <v>Wales</v>
      </c>
      <c r="L8" s="66"/>
      <c r="M8" s="66"/>
      <c r="N8" s="258" t="s">
        <v>712</v>
      </c>
      <c r="O8" s="18"/>
      <c r="P8" s="71">
        <v>4</v>
      </c>
      <c r="Q8" s="72" t="str">
        <f ca="1">INDEX(Calculator!$U$4:$U$7,MATCH(4,Calculator!$BK$4:$BK$7,0),0)</f>
        <v>Qatar</v>
      </c>
      <c r="R8" s="71">
        <f ca="1">VLOOKUP($Q8,Calculator!$C$4:$K$35,2,FALSE)</f>
        <v>0</v>
      </c>
      <c r="S8" s="71">
        <f ca="1">VLOOKUP($Q8,Calculator!$C$4:$K$35,3,FALSE)</f>
        <v>0</v>
      </c>
      <c r="T8" s="71">
        <f ca="1">VLOOKUP($Q8,Calculator!$C$4:$K$35,4,FALSE)</f>
        <v>0</v>
      </c>
      <c r="U8" s="71">
        <f ca="1">VLOOKUP($Q8,Calculator!$C$4:$K$35,5,FALSE)</f>
        <v>0</v>
      </c>
      <c r="V8" s="71" t="str">
        <f ca="1">VLOOKUP($Q8,Calculator!$C$4:$K$35,6,FALSE)&amp;" - "&amp;VLOOKUP($Q8,Calculator!$C$4:$K$35,7,FALSE)</f>
        <v>0 - 0</v>
      </c>
      <c r="W8" s="71">
        <f ca="1">VLOOKUP($Q8,Calculator!$C$4:$K$35,9,FALSE)</f>
        <v>0</v>
      </c>
      <c r="X8" s="19"/>
      <c r="Y8" s="120"/>
      <c r="AA8" s="67" t="s">
        <v>145</v>
      </c>
      <c r="AB8" s="16" t="s">
        <v>625</v>
      </c>
      <c r="AC8" s="13"/>
      <c r="AE8" s="15"/>
      <c r="AF8" s="15"/>
      <c r="CO8" s="24"/>
      <c r="CP8" s="24"/>
      <c r="CQ8" s="55"/>
      <c r="CR8" s="24"/>
    </row>
    <row r="9" spans="1:96" s="16" customFormat="1" ht="14.5" customHeight="1" x14ac:dyDescent="0.35">
      <c r="A9" s="47">
        <f t="shared" si="1"/>
        <v>8</v>
      </c>
      <c r="B9" s="56">
        <v>8</v>
      </c>
      <c r="C9" s="67" t="s">
        <v>125</v>
      </c>
      <c r="D9" s="68">
        <f t="shared" si="0"/>
        <v>44887.541666666664</v>
      </c>
      <c r="E9" s="69">
        <f>Calculator!BX11</f>
        <v>44887.541666666664</v>
      </c>
      <c r="F9" s="70" t="str">
        <f>INDEX(Translation,MATCH(Setup!B16,TransRef,0),MATCH(Setup!$C$5,LanguageRef,0))</f>
        <v>Argentina</v>
      </c>
      <c r="G9" s="70"/>
      <c r="H9" s="254" t="str">
        <f ca="1">IF(OFFSET('Group Stages'!$H$7,A9,0)&lt;&gt;"",OFFSET('Group Stages'!$H$7,A9,0),"")</f>
        <v/>
      </c>
      <c r="I9" s="255" t="str">
        <f ca="1">IF(OFFSET('Group Stages'!$H$8,A9,0)&lt;&gt;"",OFFSET('Group Stages'!$H$8,A9,0),"")</f>
        <v/>
      </c>
      <c r="J9" s="70"/>
      <c r="K9" s="16" t="str">
        <f>INDEX(Translation,MATCH(Setup!B17,TransRef,0),MATCH(Setup!$C$5,LanguageRef,0))</f>
        <v>Saudi Arabia</v>
      </c>
      <c r="N9" s="259" t="s">
        <v>713</v>
      </c>
      <c r="O9" s="18"/>
      <c r="P9" s="45"/>
      <c r="Q9" s="72"/>
      <c r="R9" s="18"/>
      <c r="S9" s="18"/>
      <c r="T9" s="18"/>
      <c r="U9" s="18"/>
      <c r="V9" s="18"/>
      <c r="W9" s="18"/>
      <c r="X9" s="19"/>
      <c r="Y9" s="120"/>
      <c r="AA9" s="67" t="s">
        <v>145</v>
      </c>
      <c r="AB9" s="16" t="s">
        <v>626</v>
      </c>
      <c r="AC9" s="13"/>
      <c r="AE9" s="15"/>
      <c r="AF9" s="15"/>
      <c r="CO9" s="24"/>
      <c r="CP9" s="24"/>
      <c r="CQ9" s="55"/>
      <c r="CR9" s="24"/>
    </row>
    <row r="10" spans="1:96" s="16" customFormat="1" ht="14.5" customHeight="1" x14ac:dyDescent="0.35">
      <c r="A10" s="47">
        <f t="shared" si="1"/>
        <v>10</v>
      </c>
      <c r="B10" s="56">
        <v>6</v>
      </c>
      <c r="C10" s="62" t="s">
        <v>119</v>
      </c>
      <c r="D10" s="63">
        <f t="shared" si="0"/>
        <v>44887.666666666664</v>
      </c>
      <c r="E10" s="64">
        <f>Calculator!BX12</f>
        <v>44887.666666666664</v>
      </c>
      <c r="F10" s="65" t="str">
        <f>INDEX(Translation,MATCH(Setup!B20,TransRef,0),MATCH(Setup!$C$5,LanguageRef,0))</f>
        <v>Denmark</v>
      </c>
      <c r="G10" s="65"/>
      <c r="H10" s="254" t="str">
        <f ca="1">IF(OFFSET('Group Stages'!$H$7,A10,0)&lt;&gt;"",OFFSET('Group Stages'!$H$7,A10,0),"")</f>
        <v/>
      </c>
      <c r="I10" s="255" t="str">
        <f ca="1">IF(OFFSET('Group Stages'!$H$8,A10,0)&lt;&gt;"",OFFSET('Group Stages'!$H$8,A10,0),"")</f>
        <v/>
      </c>
      <c r="J10" s="65"/>
      <c r="K10" s="66" t="str">
        <f>INDEX(Translation,MATCH(Setup!B21,TransRef,0),MATCH(Setup!$C$5,LanguageRef,0))</f>
        <v>Tunisia</v>
      </c>
      <c r="L10" s="66"/>
      <c r="M10" s="66"/>
      <c r="N10" s="258" t="s">
        <v>714</v>
      </c>
      <c r="O10" s="18"/>
      <c r="P10" s="342" t="str">
        <f>INDEX(Translation,MATCH("Group B",TransRef,0),MATCH(Setup!$C$5,LanguageRef,0))</f>
        <v>Group B</v>
      </c>
      <c r="Q10" s="342"/>
      <c r="R10" s="54" t="s">
        <v>117</v>
      </c>
      <c r="S10" s="54" t="s">
        <v>118</v>
      </c>
      <c r="T10" s="54" t="s">
        <v>119</v>
      </c>
      <c r="U10" s="54" t="s">
        <v>120</v>
      </c>
      <c r="V10" s="54" t="s">
        <v>121</v>
      </c>
      <c r="W10" s="54" t="s">
        <v>122</v>
      </c>
      <c r="X10" s="19"/>
      <c r="Y10" s="120"/>
      <c r="AA10" s="67" t="s">
        <v>145</v>
      </c>
      <c r="AB10" s="16" t="s">
        <v>627</v>
      </c>
      <c r="AC10" s="13"/>
      <c r="AE10" s="15"/>
      <c r="AF10" s="15"/>
      <c r="CO10" s="24"/>
      <c r="CP10" s="24"/>
      <c r="CQ10" s="55"/>
      <c r="CR10" s="24"/>
    </row>
    <row r="11" spans="1:96" s="16" customFormat="1" ht="14.5" customHeight="1" x14ac:dyDescent="0.35">
      <c r="A11" s="47">
        <f t="shared" si="1"/>
        <v>12</v>
      </c>
      <c r="B11" s="56">
        <v>7</v>
      </c>
      <c r="C11" s="67" t="s">
        <v>125</v>
      </c>
      <c r="D11" s="68">
        <f t="shared" si="0"/>
        <v>44887.791666666664</v>
      </c>
      <c r="E11" s="69">
        <f>Calculator!BX13</f>
        <v>44887.791666666664</v>
      </c>
      <c r="F11" s="70" t="str">
        <f>INDEX(Translation,MATCH(Setup!B18,TransRef,0),MATCH(Setup!$C$5,LanguageRef,0))</f>
        <v>Mexico</v>
      </c>
      <c r="G11" s="70"/>
      <c r="H11" s="254" t="str">
        <f ca="1">IF(OFFSET('Group Stages'!$H$7,A11,0)&lt;&gt;"",OFFSET('Group Stages'!$H$7,A11,0),"")</f>
        <v/>
      </c>
      <c r="I11" s="255" t="str">
        <f ca="1">IF(OFFSET('Group Stages'!$H$8,A11,0)&lt;&gt;"",OFFSET('Group Stages'!$H$8,A11,0),"")</f>
        <v/>
      </c>
      <c r="J11" s="70"/>
      <c r="K11" s="16" t="str">
        <f>INDEX(Translation,MATCH(Setup!B19,TransRef,0),MATCH(Setup!$C$5,LanguageRef,0))</f>
        <v>Poland</v>
      </c>
      <c r="N11" s="259" t="s">
        <v>126</v>
      </c>
      <c r="O11" s="18"/>
      <c r="P11" s="127">
        <v>1</v>
      </c>
      <c r="Q11" s="260" t="str">
        <f ca="1">INDEX(Calculator!$U$8:$U$11,MATCH(1,Calculator!$BK$8:$BK$11,0),0)</f>
        <v>England</v>
      </c>
      <c r="R11" s="127">
        <f ca="1">VLOOKUP($Q11,Calculator!$C$4:$K$35,2,FALSE)</f>
        <v>0</v>
      </c>
      <c r="S11" s="127">
        <f ca="1">VLOOKUP($Q11,Calculator!$C$4:$K$35,3,FALSE)</f>
        <v>0</v>
      </c>
      <c r="T11" s="127">
        <f ca="1">VLOOKUP($Q11,Calculator!$C$4:$K$35,4,FALSE)</f>
        <v>0</v>
      </c>
      <c r="U11" s="127">
        <f ca="1">VLOOKUP($Q11,Calculator!$C$4:$K$35,5,FALSE)</f>
        <v>0</v>
      </c>
      <c r="V11" s="127" t="str">
        <f ca="1">VLOOKUP($Q11,Calculator!$C$4:$K$35,6,FALSE)&amp;" - "&amp;VLOOKUP($Q11,Calculator!$C$4:$K$35,7,FALSE)</f>
        <v>0 - 0</v>
      </c>
      <c r="W11" s="127">
        <f ca="1">VLOOKUP($Q11,Calculator!$C$4:$K$35,9,FALSE)</f>
        <v>0</v>
      </c>
      <c r="X11" s="19"/>
      <c r="Y11" s="120"/>
      <c r="AA11" s="67" t="s">
        <v>145</v>
      </c>
      <c r="AB11" s="16" t="s">
        <v>146</v>
      </c>
      <c r="AC11" s="13"/>
      <c r="AE11" s="15"/>
      <c r="AF11" s="97"/>
      <c r="CO11" s="24"/>
      <c r="CP11" s="73"/>
      <c r="CQ11" s="55"/>
      <c r="CR11" s="24"/>
    </row>
    <row r="12" spans="1:96" s="16" customFormat="1" ht="14.5" customHeight="1" x14ac:dyDescent="0.35">
      <c r="A12" s="47">
        <f t="shared" si="1"/>
        <v>14</v>
      </c>
      <c r="B12" s="56">
        <v>5</v>
      </c>
      <c r="C12" s="62" t="s">
        <v>119</v>
      </c>
      <c r="D12" s="63">
        <f t="shared" si="0"/>
        <v>44887.916666666664</v>
      </c>
      <c r="E12" s="64">
        <f>Calculator!BX14</f>
        <v>44887.916666666664</v>
      </c>
      <c r="F12" s="65" t="str">
        <f>INDEX(Translation,MATCH(Setup!B22,TransRef,0),MATCH(Setup!$C$5,LanguageRef,0))</f>
        <v>France</v>
      </c>
      <c r="G12" s="65"/>
      <c r="H12" s="254" t="str">
        <f ca="1">IF(OFFSET('Group Stages'!$H$7,A12,0)&lt;&gt;"",OFFSET('Group Stages'!$H$7,A12,0),"")</f>
        <v/>
      </c>
      <c r="I12" s="255" t="str">
        <f ca="1">IF(OFFSET('Group Stages'!$H$8,A12,0)&lt;&gt;"",OFFSET('Group Stages'!$H$8,A12,0),"")</f>
        <v/>
      </c>
      <c r="J12" s="65"/>
      <c r="K12" s="66" t="str">
        <f>INDEX(Translation,MATCH(Setup!B23,TransRef,0),MATCH(Setup!$C$5,LanguageRef,0))</f>
        <v>Australia</v>
      </c>
      <c r="L12" s="66"/>
      <c r="M12" s="66"/>
      <c r="N12" s="258" t="s">
        <v>715</v>
      </c>
      <c r="O12" s="18"/>
      <c r="P12" s="127">
        <v>2</v>
      </c>
      <c r="Q12" s="260" t="str">
        <f ca="1">INDEX(Calculator!$U$8:$U$11,MATCH(2,Calculator!$BK$8:$BK$11,0),0)</f>
        <v>United States</v>
      </c>
      <c r="R12" s="127">
        <f ca="1">VLOOKUP($Q12,Calculator!$C$4:$K$35,2,FALSE)</f>
        <v>0</v>
      </c>
      <c r="S12" s="127">
        <f ca="1">VLOOKUP($Q12,Calculator!$C$4:$K$35,3,FALSE)</f>
        <v>0</v>
      </c>
      <c r="T12" s="127">
        <f ca="1">VLOOKUP($Q12,Calculator!$C$4:$K$35,4,FALSE)</f>
        <v>0</v>
      </c>
      <c r="U12" s="127">
        <f ca="1">VLOOKUP($Q12,Calculator!$C$4:$K$35,5,FALSE)</f>
        <v>0</v>
      </c>
      <c r="V12" s="127" t="str">
        <f ca="1">VLOOKUP($Q12,Calculator!$C$4:$K$35,6,FALSE)&amp;" - "&amp;VLOOKUP($Q12,Calculator!$C$4:$K$35,7,FALSE)</f>
        <v>0 - 0</v>
      </c>
      <c r="W12" s="127">
        <f ca="1">VLOOKUP($Q12,Calculator!$C$4:$K$35,9,FALSE)</f>
        <v>0</v>
      </c>
      <c r="X12" s="19"/>
      <c r="Y12" s="120"/>
      <c r="AA12" s="16" t="s">
        <v>147</v>
      </c>
      <c r="AC12" s="13"/>
      <c r="AE12" s="97"/>
      <c r="AF12" s="97"/>
      <c r="CO12" s="24"/>
      <c r="CP12" s="24"/>
      <c r="CQ12" s="55"/>
      <c r="CR12" s="24"/>
    </row>
    <row r="13" spans="1:96" s="16" customFormat="1" ht="14.5" customHeight="1" x14ac:dyDescent="0.35">
      <c r="A13" s="47">
        <f t="shared" si="1"/>
        <v>16</v>
      </c>
      <c r="B13" s="56">
        <v>12</v>
      </c>
      <c r="C13" s="67" t="s">
        <v>127</v>
      </c>
      <c r="D13" s="68">
        <f t="shared" si="0"/>
        <v>44888.541666666664</v>
      </c>
      <c r="E13" s="69">
        <f>Calculator!BX15</f>
        <v>44888.541666666664</v>
      </c>
      <c r="F13" s="70" t="str">
        <f>INDEX(Translation,MATCH(Setup!B28,TransRef,0),MATCH(Setup!$C$5,LanguageRef,0))</f>
        <v>Morocco</v>
      </c>
      <c r="G13" s="70"/>
      <c r="H13" s="254" t="str">
        <f ca="1">IF(OFFSET('Group Stages'!$H$7,A13,0)&lt;&gt;"",OFFSET('Group Stages'!$H$7,A13,0),"")</f>
        <v/>
      </c>
      <c r="I13" s="255" t="str">
        <f ca="1">IF(OFFSET('Group Stages'!$H$8,A13,0)&lt;&gt;"",OFFSET('Group Stages'!$H$8,A13,0),"")</f>
        <v/>
      </c>
      <c r="J13" s="70"/>
      <c r="K13" s="16" t="str">
        <f>INDEX(Translation,MATCH(Setup!B29,TransRef,0),MATCH(Setup!$C$5,LanguageRef,0))</f>
        <v>Croatia</v>
      </c>
      <c r="N13" s="259" t="s">
        <v>711</v>
      </c>
      <c r="O13" s="18"/>
      <c r="P13" s="71">
        <v>3</v>
      </c>
      <c r="Q13" s="72" t="str">
        <f ca="1">INDEX(Calculator!$U$8:$U$11,MATCH(3,Calculator!$BK$8:$BK$11,0),0)</f>
        <v>Wales</v>
      </c>
      <c r="R13" s="71">
        <f ca="1">VLOOKUP($Q13,Calculator!$C$4:$K$35,2,FALSE)</f>
        <v>0</v>
      </c>
      <c r="S13" s="71">
        <f ca="1">VLOOKUP($Q13,Calculator!$C$4:$K$35,3,FALSE)</f>
        <v>0</v>
      </c>
      <c r="T13" s="71">
        <f ca="1">VLOOKUP($Q13,Calculator!$C$4:$K$35,4,FALSE)</f>
        <v>0</v>
      </c>
      <c r="U13" s="71">
        <f ca="1">VLOOKUP($Q13,Calculator!$C$4:$K$35,5,FALSE)</f>
        <v>0</v>
      </c>
      <c r="V13" s="71" t="str">
        <f ca="1">VLOOKUP($Q13,Calculator!$C$4:$K$35,6,FALSE)&amp;" - "&amp;VLOOKUP($Q13,Calculator!$C$4:$K$35,7,FALSE)</f>
        <v>0 - 0</v>
      </c>
      <c r="W13" s="71">
        <f ca="1">VLOOKUP($Q13,Calculator!$C$4:$K$35,9,FALSE)</f>
        <v>0</v>
      </c>
      <c r="X13" s="19"/>
      <c r="Y13" s="120"/>
      <c r="AB13" s="94" t="s">
        <v>148</v>
      </c>
      <c r="AC13" s="95"/>
      <c r="AD13" s="96" t="s">
        <v>623</v>
      </c>
      <c r="AE13" s="97"/>
      <c r="AF13" s="97"/>
      <c r="CO13" s="24"/>
      <c r="CP13" s="24"/>
      <c r="CQ13" s="55"/>
      <c r="CR13" s="24"/>
    </row>
    <row r="14" spans="1:96" s="16" customFormat="1" ht="14.5" customHeight="1" x14ac:dyDescent="0.35">
      <c r="A14" s="47">
        <f t="shared" si="1"/>
        <v>18</v>
      </c>
      <c r="B14" s="56">
        <v>11</v>
      </c>
      <c r="C14" s="62" t="s">
        <v>128</v>
      </c>
      <c r="D14" s="63">
        <f t="shared" si="0"/>
        <v>44888.666666666664</v>
      </c>
      <c r="E14" s="64">
        <f>Calculator!BX16</f>
        <v>44888.666666666664</v>
      </c>
      <c r="F14" s="65" t="str">
        <f>INDEX(Translation,MATCH(Setup!B24,TransRef,0),MATCH(Setup!$C$5,LanguageRef,0))</f>
        <v>Germany</v>
      </c>
      <c r="G14" s="65"/>
      <c r="H14" s="254" t="str">
        <f ca="1">IF(OFFSET('Group Stages'!$H$7,A14,0)&lt;&gt;"",OFFSET('Group Stages'!$H$7,A14,0),"")</f>
        <v/>
      </c>
      <c r="I14" s="255" t="str">
        <f ca="1">IF(OFFSET('Group Stages'!$H$8,A14,0)&lt;&gt;"",OFFSET('Group Stages'!$H$8,A14,0),"")</f>
        <v/>
      </c>
      <c r="J14" s="65"/>
      <c r="K14" s="66" t="str">
        <f>INDEX(Translation,MATCH(Setup!B25,TransRef,0),MATCH(Setup!$C$5,LanguageRef,0))</f>
        <v>Japan</v>
      </c>
      <c r="L14" s="66"/>
      <c r="M14" s="66"/>
      <c r="N14" s="258" t="s">
        <v>710</v>
      </c>
      <c r="O14" s="18"/>
      <c r="P14" s="71">
        <v>4</v>
      </c>
      <c r="Q14" s="72" t="str">
        <f ca="1">INDEX(Calculator!$U$8:$U$11,MATCH(4,Calculator!$BK$8:$BK$11,0),0)</f>
        <v>Iran</v>
      </c>
      <c r="R14" s="71">
        <f ca="1">VLOOKUP($Q14,Calculator!$C$4:$K$35,2,FALSE)</f>
        <v>0</v>
      </c>
      <c r="S14" s="71">
        <f ca="1">VLOOKUP($Q14,Calculator!$C$4:$K$35,3,FALSE)</f>
        <v>0</v>
      </c>
      <c r="T14" s="71">
        <f ca="1">VLOOKUP($Q14,Calculator!$C$4:$K$35,4,FALSE)</f>
        <v>0</v>
      </c>
      <c r="U14" s="71">
        <f ca="1">VLOOKUP($Q14,Calculator!$C$4:$K$35,5,FALSE)</f>
        <v>0</v>
      </c>
      <c r="V14" s="71" t="str">
        <f ca="1">VLOOKUP($Q14,Calculator!$C$4:$K$35,6,FALSE)&amp;" - "&amp;VLOOKUP($Q14,Calculator!$C$4:$K$35,7,FALSE)</f>
        <v>0 - 0</v>
      </c>
      <c r="W14" s="71">
        <f ca="1">VLOOKUP($Q14,Calculator!$C$4:$K$35,9,FALSE)</f>
        <v>0</v>
      </c>
      <c r="X14" s="19"/>
      <c r="Y14" s="120"/>
      <c r="AB14" s="101" t="s">
        <v>148</v>
      </c>
      <c r="AC14" s="95"/>
      <c r="AD14" s="96" t="s">
        <v>628</v>
      </c>
      <c r="AE14" s="97"/>
      <c r="CO14" s="24"/>
      <c r="CP14" s="24"/>
      <c r="CQ14" s="55"/>
      <c r="CR14" s="24"/>
    </row>
    <row r="15" spans="1:96" s="16" customFormat="1" ht="14.5" customHeight="1" x14ac:dyDescent="0.35">
      <c r="A15" s="47">
        <f t="shared" si="1"/>
        <v>20</v>
      </c>
      <c r="B15" s="56">
        <v>10</v>
      </c>
      <c r="C15" s="67" t="s">
        <v>128</v>
      </c>
      <c r="D15" s="68">
        <f t="shared" si="0"/>
        <v>44888.791666666664</v>
      </c>
      <c r="E15" s="69">
        <f>Calculator!BX17</f>
        <v>44888.791666666664</v>
      </c>
      <c r="F15" s="70" t="str">
        <f>INDEX(Translation,MATCH(Setup!B26,TransRef,0),MATCH(Setup!$C$5,LanguageRef,0))</f>
        <v>Spain</v>
      </c>
      <c r="G15" s="70"/>
      <c r="H15" s="254" t="str">
        <f ca="1">IF(OFFSET('Group Stages'!$H$7,A15,0)&lt;&gt;"",OFFSET('Group Stages'!$H$7,A15,0),"")</f>
        <v/>
      </c>
      <c r="I15" s="255" t="str">
        <f ca="1">IF(OFFSET('Group Stages'!$H$8,A15,0)&lt;&gt;"",OFFSET('Group Stages'!$H$8,A15,0),"")</f>
        <v/>
      </c>
      <c r="J15" s="70"/>
      <c r="K15" s="16" t="str">
        <f>INDEX(Translation,MATCH(Setup!B27,TransRef,0),MATCH(Setup!$C$5,LanguageRef,0))</f>
        <v>Costa Rica</v>
      </c>
      <c r="N15" s="259" t="s">
        <v>709</v>
      </c>
      <c r="O15" s="18"/>
      <c r="P15" s="45"/>
      <c r="Q15" s="72"/>
      <c r="R15" s="18"/>
      <c r="S15" s="18"/>
      <c r="T15" s="18"/>
      <c r="U15" s="18"/>
      <c r="V15" s="18"/>
      <c r="W15" s="18"/>
      <c r="X15" s="19"/>
      <c r="Y15" s="120"/>
      <c r="AB15" s="100" t="s">
        <v>148</v>
      </c>
      <c r="AC15" s="95"/>
      <c r="AD15" s="96" t="s">
        <v>624</v>
      </c>
      <c r="CO15" s="24"/>
      <c r="CP15" s="24"/>
      <c r="CQ15" s="55"/>
      <c r="CR15" s="24"/>
    </row>
    <row r="16" spans="1:96" s="16" customFormat="1" ht="14.5" customHeight="1" x14ac:dyDescent="0.35">
      <c r="A16" s="47">
        <f t="shared" si="1"/>
        <v>22</v>
      </c>
      <c r="B16" s="56">
        <v>9</v>
      </c>
      <c r="C16" s="62" t="s">
        <v>127</v>
      </c>
      <c r="D16" s="63">
        <f t="shared" si="0"/>
        <v>44888.916666666664</v>
      </c>
      <c r="E16" s="64">
        <f>Calculator!BX18</f>
        <v>44888.916666666664</v>
      </c>
      <c r="F16" s="65" t="str">
        <f>INDEX(Translation,MATCH(Setup!B30,TransRef,0),MATCH(Setup!$C$5,LanguageRef,0))</f>
        <v>Belgium</v>
      </c>
      <c r="G16" s="65"/>
      <c r="H16" s="254" t="str">
        <f ca="1">IF(OFFSET('Group Stages'!$H$7,A16,0)&lt;&gt;"",OFFSET('Group Stages'!$H$7,A16,0),"")</f>
        <v/>
      </c>
      <c r="I16" s="255" t="str">
        <f ca="1">IF(OFFSET('Group Stages'!$H$8,A16,0)&lt;&gt;"",OFFSET('Group Stages'!$H$8,A16,0),"")</f>
        <v/>
      </c>
      <c r="J16" s="65"/>
      <c r="K16" s="66" t="str">
        <f>INDEX(Translation,MATCH(Setup!B31,TransRef,0),MATCH(Setup!$C$5,LanguageRef,0))</f>
        <v>Canada</v>
      </c>
      <c r="L16" s="66"/>
      <c r="M16" s="66"/>
      <c r="N16" s="258" t="s">
        <v>712</v>
      </c>
      <c r="O16" s="18"/>
      <c r="P16" s="342" t="str">
        <f>INDEX(Translation,MATCH("Group C",TransRef,0),MATCH(Setup!$C$5,LanguageRef,0))</f>
        <v>Group C</v>
      </c>
      <c r="Q16" s="342"/>
      <c r="R16" s="54" t="s">
        <v>117</v>
      </c>
      <c r="S16" s="54" t="s">
        <v>118</v>
      </c>
      <c r="T16" s="54" t="s">
        <v>119</v>
      </c>
      <c r="U16" s="54" t="s">
        <v>120</v>
      </c>
      <c r="V16" s="54" t="s">
        <v>121</v>
      </c>
      <c r="W16" s="54" t="s">
        <v>122</v>
      </c>
      <c r="X16" s="19"/>
      <c r="Y16" s="120"/>
      <c r="CO16" s="24"/>
      <c r="CP16" s="24"/>
      <c r="CQ16" s="55"/>
      <c r="CR16" s="24"/>
    </row>
    <row r="17" spans="1:96" s="16" customFormat="1" ht="14.5" customHeight="1" x14ac:dyDescent="0.35">
      <c r="A17" s="47">
        <f t="shared" si="1"/>
        <v>24</v>
      </c>
      <c r="B17" s="56">
        <v>13</v>
      </c>
      <c r="C17" s="67" t="s">
        <v>129</v>
      </c>
      <c r="D17" s="68">
        <f t="shared" si="0"/>
        <v>44889.541666666664</v>
      </c>
      <c r="E17" s="69">
        <f>Calculator!BX19</f>
        <v>44889.541666666664</v>
      </c>
      <c r="F17" s="70" t="str">
        <f>INDEX(Translation,MATCH(Setup!B32,TransRef,0),MATCH(Setup!$C$5,LanguageRef,0))</f>
        <v>Switzerland</v>
      </c>
      <c r="G17" s="70"/>
      <c r="H17" s="254" t="str">
        <f ca="1">IF(OFFSET('Group Stages'!$H$7,A17,0)&lt;&gt;"",OFFSET('Group Stages'!$H$7,A17,0),"")</f>
        <v/>
      </c>
      <c r="I17" s="255" t="str">
        <f ca="1">IF(OFFSET('Group Stages'!$H$8,A17,0)&lt;&gt;"",OFFSET('Group Stages'!$H$8,A17,0),"")</f>
        <v/>
      </c>
      <c r="J17" s="70"/>
      <c r="K17" s="16" t="str">
        <f>INDEX(Translation,MATCH(Setup!B33,TransRef,0),MATCH(Setup!$C$5,LanguageRef,0))</f>
        <v>Cameroon</v>
      </c>
      <c r="N17" s="259" t="s">
        <v>715</v>
      </c>
      <c r="O17" s="18"/>
      <c r="P17" s="128">
        <v>1</v>
      </c>
      <c r="Q17" s="261" t="str">
        <f ca="1">INDEX(Calculator!$U$12:$U$15,MATCH(1,Calculator!$BK$12:$BK$15,0),0)</f>
        <v>Argentina</v>
      </c>
      <c r="R17" s="128">
        <f ca="1">VLOOKUP($Q17,Calculator!$C$4:$K$35,2,FALSE)</f>
        <v>0</v>
      </c>
      <c r="S17" s="128">
        <f ca="1">VLOOKUP($Q17,Calculator!$C$4:$K$35,3,FALSE)</f>
        <v>0</v>
      </c>
      <c r="T17" s="128">
        <f ca="1">VLOOKUP($Q17,Calculator!$C$4:$K$35,4,FALSE)</f>
        <v>0</v>
      </c>
      <c r="U17" s="128">
        <f ca="1">VLOOKUP($Q17,Calculator!$C$4:$K$35,5,FALSE)</f>
        <v>0</v>
      </c>
      <c r="V17" s="128" t="str">
        <f ca="1">VLOOKUP($Q17,Calculator!$C$4:$K$35,6,FALSE)&amp;" - "&amp;VLOOKUP($Q17,Calculator!$C$4:$K$35,7,FALSE)</f>
        <v>0 - 0</v>
      </c>
      <c r="W17" s="128">
        <f ca="1">VLOOKUP($Q17,Calculator!$C$4:$K$35,9,FALSE)</f>
        <v>0</v>
      </c>
      <c r="X17" s="19"/>
      <c r="Y17" s="120"/>
      <c r="CO17" s="24"/>
      <c r="CP17" s="24"/>
      <c r="CQ17" s="55"/>
      <c r="CR17" s="24"/>
    </row>
    <row r="18" spans="1:96" s="16" customFormat="1" ht="14.5" customHeight="1" x14ac:dyDescent="0.35">
      <c r="A18" s="47">
        <f t="shared" si="1"/>
        <v>26</v>
      </c>
      <c r="B18" s="56">
        <v>14</v>
      </c>
      <c r="C18" s="62" t="s">
        <v>130</v>
      </c>
      <c r="D18" s="63">
        <f t="shared" si="0"/>
        <v>44889.666666666664</v>
      </c>
      <c r="E18" s="64">
        <f>Calculator!BX20</f>
        <v>44889.666666666664</v>
      </c>
      <c r="F18" s="65" t="str">
        <f>INDEX(Translation,MATCH(Setup!B36,TransRef,0),MATCH(Setup!$C$5,LanguageRef,0))</f>
        <v>Uruguay</v>
      </c>
      <c r="G18" s="65"/>
      <c r="H18" s="254" t="str">
        <f ca="1">IF(OFFSET('Group Stages'!$H$7,A18,0)&lt;&gt;"",OFFSET('Group Stages'!$H$7,A18,0),"")</f>
        <v/>
      </c>
      <c r="I18" s="255" t="str">
        <f ca="1">IF(OFFSET('Group Stages'!$H$8,A18,0)&lt;&gt;"",OFFSET('Group Stages'!$H$8,A18,0),"")</f>
        <v/>
      </c>
      <c r="J18" s="65"/>
      <c r="K18" s="66" t="str">
        <f>INDEX(Translation,MATCH(Setup!B37,TransRef,0),MATCH(Setup!$C$5,LanguageRef,0))</f>
        <v>South Korea</v>
      </c>
      <c r="L18" s="66"/>
      <c r="M18" s="66"/>
      <c r="N18" s="258" t="s">
        <v>714</v>
      </c>
      <c r="O18" s="18"/>
      <c r="P18" s="128">
        <v>2</v>
      </c>
      <c r="Q18" s="261" t="str">
        <f ca="1">INDEX(Calculator!$U$12:$U$15,MATCH(2,Calculator!$BK$12:$BK$15,0),0)</f>
        <v>Mexico</v>
      </c>
      <c r="R18" s="128">
        <f ca="1">VLOOKUP($Q18,Calculator!$C$4:$K$35,2,FALSE)</f>
        <v>0</v>
      </c>
      <c r="S18" s="128">
        <f ca="1">VLOOKUP($Q18,Calculator!$C$4:$K$35,3,FALSE)</f>
        <v>0</v>
      </c>
      <c r="T18" s="128">
        <f ca="1">VLOOKUP($Q18,Calculator!$C$4:$K$35,4,FALSE)</f>
        <v>0</v>
      </c>
      <c r="U18" s="128">
        <f ca="1">VLOOKUP($Q18,Calculator!$C$4:$K$35,5,FALSE)</f>
        <v>0</v>
      </c>
      <c r="V18" s="128" t="str">
        <f ca="1">VLOOKUP($Q18,Calculator!$C$4:$K$35,6,FALSE)&amp;" - "&amp;VLOOKUP($Q18,Calculator!$C$4:$K$35,7,FALSE)</f>
        <v>0 - 0</v>
      </c>
      <c r="W18" s="128">
        <f ca="1">VLOOKUP($Q18,Calculator!$C$4:$K$35,9,FALSE)</f>
        <v>0</v>
      </c>
      <c r="X18" s="19"/>
      <c r="Y18" s="120"/>
      <c r="CO18" s="24"/>
      <c r="CP18" s="24"/>
      <c r="CQ18" s="55"/>
      <c r="CR18" s="24"/>
    </row>
    <row r="19" spans="1:96" s="16" customFormat="1" ht="14.5" customHeight="1" x14ac:dyDescent="0.35">
      <c r="A19" s="47">
        <f t="shared" si="1"/>
        <v>28</v>
      </c>
      <c r="B19" s="56">
        <v>15</v>
      </c>
      <c r="C19" s="67" t="s">
        <v>130</v>
      </c>
      <c r="D19" s="68">
        <f t="shared" si="0"/>
        <v>44889.791666666664</v>
      </c>
      <c r="E19" s="69">
        <f>Calculator!BX21</f>
        <v>44889.791666666664</v>
      </c>
      <c r="F19" s="70" t="str">
        <f>INDEX(Translation,MATCH(Setup!B38,TransRef,0),MATCH(Setup!$C$5,LanguageRef,0))</f>
        <v>Portugal</v>
      </c>
      <c r="G19" s="70"/>
      <c r="H19" s="254" t="str">
        <f ca="1">IF(OFFSET('Group Stages'!$H$7,A19,0)&lt;&gt;"",OFFSET('Group Stages'!$H$7,A19,0),"")</f>
        <v/>
      </c>
      <c r="I19" s="255" t="str">
        <f ca="1">IF(OFFSET('Group Stages'!$H$8,A19,0)&lt;&gt;"",OFFSET('Group Stages'!$H$8,A19,0),"")</f>
        <v/>
      </c>
      <c r="J19" s="70"/>
      <c r="K19" s="16" t="str">
        <f>INDEX(Translation,MATCH(Setup!B39,TransRef,0),MATCH(Setup!$C$5,LanguageRef,0))</f>
        <v>Ghana</v>
      </c>
      <c r="N19" s="259" t="s">
        <v>126</v>
      </c>
      <c r="O19" s="18"/>
      <c r="P19" s="71">
        <v>3</v>
      </c>
      <c r="Q19" s="72" t="str">
        <f ca="1">INDEX(Calculator!$U$12:$U$15,MATCH(3,Calculator!$BK$12:$BK$15,0),0)</f>
        <v>Poland</v>
      </c>
      <c r="R19" s="71">
        <f ca="1">VLOOKUP($Q19,Calculator!$C$4:$K$35,2,FALSE)</f>
        <v>0</v>
      </c>
      <c r="S19" s="71">
        <f ca="1">VLOOKUP($Q19,Calculator!$C$4:$K$35,3,FALSE)</f>
        <v>0</v>
      </c>
      <c r="T19" s="71">
        <f ca="1">VLOOKUP($Q19,Calculator!$C$4:$K$35,4,FALSE)</f>
        <v>0</v>
      </c>
      <c r="U19" s="71">
        <f ca="1">VLOOKUP($Q19,Calculator!$C$4:$K$35,5,FALSE)</f>
        <v>0</v>
      </c>
      <c r="V19" s="71" t="str">
        <f ca="1">VLOOKUP($Q19,Calculator!$C$4:$K$35,6,FALSE)&amp;" - "&amp;VLOOKUP($Q19,Calculator!$C$4:$K$35,7,FALSE)</f>
        <v>0 - 0</v>
      </c>
      <c r="W19" s="71">
        <f ca="1">VLOOKUP($Q19,Calculator!$C$4:$K$35,9,FALSE)</f>
        <v>0</v>
      </c>
      <c r="X19" s="19"/>
      <c r="Y19" s="120"/>
      <c r="CO19" s="24"/>
      <c r="CP19" s="24"/>
      <c r="CQ19" s="55"/>
      <c r="CR19" s="24"/>
    </row>
    <row r="20" spans="1:96" s="16" customFormat="1" ht="14.5" customHeight="1" x14ac:dyDescent="0.35">
      <c r="A20" s="47">
        <f t="shared" si="1"/>
        <v>30</v>
      </c>
      <c r="B20" s="56">
        <v>16</v>
      </c>
      <c r="C20" s="62" t="s">
        <v>129</v>
      </c>
      <c r="D20" s="63">
        <f t="shared" si="0"/>
        <v>44889.916666666664</v>
      </c>
      <c r="E20" s="64">
        <f>Calculator!BX22</f>
        <v>44889.916666666664</v>
      </c>
      <c r="F20" s="65" t="str">
        <f>INDEX(Translation,MATCH(Setup!B34,TransRef,0),MATCH(Setup!$C$5,LanguageRef,0))</f>
        <v>Brazil</v>
      </c>
      <c r="G20" s="65"/>
      <c r="H20" s="254" t="str">
        <f ca="1">IF(OFFSET('Group Stages'!$H$7,A20,0)&lt;&gt;"",OFFSET('Group Stages'!$H$7,A20,0),"")</f>
        <v/>
      </c>
      <c r="I20" s="255" t="str">
        <f ca="1">IF(OFFSET('Group Stages'!$H$8,A20,0)&lt;&gt;"",OFFSET('Group Stages'!$H$8,A20,0),"")</f>
        <v/>
      </c>
      <c r="J20" s="65"/>
      <c r="K20" s="66" t="str">
        <f>INDEX(Translation,MATCH(Setup!B35,TransRef,0),MATCH(Setup!$C$5,LanguageRef,0))</f>
        <v>Serbia</v>
      </c>
      <c r="L20" s="66"/>
      <c r="M20" s="66"/>
      <c r="N20" s="258" t="s">
        <v>713</v>
      </c>
      <c r="O20" s="18"/>
      <c r="P20" s="71">
        <v>4</v>
      </c>
      <c r="Q20" s="72" t="str">
        <f ca="1">INDEX(Calculator!$U$12:$U$15,MATCH(4,Calculator!$BK$12:$BK$15,0),0)</f>
        <v>Saudi Arabia</v>
      </c>
      <c r="R20" s="71">
        <f ca="1">VLOOKUP($Q20,Calculator!$C$4:$K$35,2,FALSE)</f>
        <v>0</v>
      </c>
      <c r="S20" s="71">
        <f ca="1">VLOOKUP($Q20,Calculator!$C$4:$K$35,3,FALSE)</f>
        <v>0</v>
      </c>
      <c r="T20" s="71">
        <f ca="1">VLOOKUP($Q20,Calculator!$C$4:$K$35,4,FALSE)</f>
        <v>0</v>
      </c>
      <c r="U20" s="71">
        <f ca="1">VLOOKUP($Q20,Calculator!$C$4:$K$35,5,FALSE)</f>
        <v>0</v>
      </c>
      <c r="V20" s="71" t="str">
        <f ca="1">VLOOKUP($Q20,Calculator!$C$4:$K$35,6,FALSE)&amp;" - "&amp;VLOOKUP($Q20,Calculator!$C$4:$K$35,7,FALSE)</f>
        <v>0 - 0</v>
      </c>
      <c r="W20" s="71">
        <f ca="1">VLOOKUP($Q20,Calculator!$C$4:$K$35,9,FALSE)</f>
        <v>0</v>
      </c>
      <c r="X20" s="19"/>
      <c r="Y20" s="120"/>
      <c r="CO20" s="24"/>
      <c r="CP20" s="24"/>
      <c r="CQ20" s="55"/>
      <c r="CR20" s="24"/>
    </row>
    <row r="21" spans="1:96" s="16" customFormat="1" ht="14.5" customHeight="1" x14ac:dyDescent="0.35">
      <c r="A21" s="47">
        <f t="shared" si="1"/>
        <v>32</v>
      </c>
      <c r="B21" s="56">
        <v>17</v>
      </c>
      <c r="C21" s="67" t="s">
        <v>124</v>
      </c>
      <c r="D21" s="74">
        <f t="shared" si="0"/>
        <v>44890.541666666664</v>
      </c>
      <c r="E21" s="69">
        <f>Calculator!BX23</f>
        <v>44890.541666666664</v>
      </c>
      <c r="F21" s="70" t="str">
        <f>K8</f>
        <v>Wales</v>
      </c>
      <c r="G21" s="70"/>
      <c r="H21" s="254" t="str">
        <f ca="1">IF(OFFSET('Group Stages'!$H$7,A21,0)&lt;&gt;"",OFFSET('Group Stages'!$H$7,A21,0),"")</f>
        <v/>
      </c>
      <c r="I21" s="255" t="str">
        <f ca="1">IF(OFFSET('Group Stages'!$H$8,A21,0)&lt;&gt;"",OFFSET('Group Stages'!$H$8,A21,0),"")</f>
        <v/>
      </c>
      <c r="J21" s="70"/>
      <c r="K21" s="16" t="str">
        <f>K6</f>
        <v>Iran</v>
      </c>
      <c r="N21" s="259" t="s">
        <v>712</v>
      </c>
      <c r="O21" s="18"/>
      <c r="P21" s="45"/>
      <c r="Q21" s="72"/>
      <c r="R21" s="18"/>
      <c r="S21" s="18"/>
      <c r="T21" s="18"/>
      <c r="U21" s="18"/>
      <c r="V21" s="18"/>
      <c r="W21" s="18"/>
      <c r="X21" s="19"/>
      <c r="Y21" s="120"/>
      <c r="CO21" s="24"/>
      <c r="CP21" s="24"/>
      <c r="CQ21" s="55"/>
      <c r="CR21" s="24"/>
    </row>
    <row r="22" spans="1:96" s="16" customFormat="1" ht="14.5" customHeight="1" x14ac:dyDescent="0.35">
      <c r="A22" s="47">
        <f t="shared" si="1"/>
        <v>34</v>
      </c>
      <c r="B22" s="56">
        <v>18</v>
      </c>
      <c r="C22" s="62" t="s">
        <v>123</v>
      </c>
      <c r="D22" s="63">
        <f t="shared" si="0"/>
        <v>44890.666666666664</v>
      </c>
      <c r="E22" s="64">
        <f>Calculator!BX24</f>
        <v>44890.666666666664</v>
      </c>
      <c r="F22" s="65" t="str">
        <f>F5</f>
        <v>Qatar</v>
      </c>
      <c r="G22" s="65"/>
      <c r="H22" s="254" t="str">
        <f ca="1">IF(OFFSET('Group Stages'!$H$7,A22,0)&lt;&gt;"",OFFSET('Group Stages'!$H$7,A22,0),"")</f>
        <v/>
      </c>
      <c r="I22" s="255" t="str">
        <f ca="1">IF(OFFSET('Group Stages'!$H$8,A22,0)&lt;&gt;"",OFFSET('Group Stages'!$H$8,A22,0),"")</f>
        <v/>
      </c>
      <c r="J22" s="65"/>
      <c r="K22" s="66" t="str">
        <f>F7</f>
        <v>Senegal</v>
      </c>
      <c r="L22" s="66"/>
      <c r="M22" s="66"/>
      <c r="N22" s="258" t="s">
        <v>709</v>
      </c>
      <c r="O22" s="18"/>
      <c r="P22" s="342" t="str">
        <f>INDEX(Translation,MATCH("Group D",TransRef,0),MATCH(Setup!$C$5,LanguageRef,0))</f>
        <v>Group D</v>
      </c>
      <c r="Q22" s="342"/>
      <c r="R22" s="54" t="s">
        <v>117</v>
      </c>
      <c r="S22" s="54" t="s">
        <v>118</v>
      </c>
      <c r="T22" s="54" t="s">
        <v>119</v>
      </c>
      <c r="U22" s="54" t="s">
        <v>120</v>
      </c>
      <c r="V22" s="54" t="s">
        <v>121</v>
      </c>
      <c r="W22" s="54" t="s">
        <v>122</v>
      </c>
      <c r="X22" s="19"/>
      <c r="Y22" s="120"/>
      <c r="CO22" s="24"/>
      <c r="CP22" s="24"/>
      <c r="CQ22" s="55"/>
      <c r="CR22" s="24"/>
    </row>
    <row r="23" spans="1:96" s="16" customFormat="1" ht="14.5" customHeight="1" x14ac:dyDescent="0.35">
      <c r="A23" s="47">
        <f t="shared" si="1"/>
        <v>36</v>
      </c>
      <c r="B23" s="56">
        <v>19</v>
      </c>
      <c r="C23" s="67" t="s">
        <v>123</v>
      </c>
      <c r="D23" s="68">
        <f t="shared" si="0"/>
        <v>44890.791666666664</v>
      </c>
      <c r="E23" s="69">
        <f>Calculator!BX25</f>
        <v>44890.791666666664</v>
      </c>
      <c r="F23" s="70" t="str">
        <f>K7</f>
        <v>Netherlands</v>
      </c>
      <c r="G23" s="70"/>
      <c r="H23" s="254" t="str">
        <f ca="1">IF(OFFSET('Group Stages'!$H$7,A23,0)&lt;&gt;"",OFFSET('Group Stages'!$H$7,A23,0),"")</f>
        <v/>
      </c>
      <c r="I23" s="255" t="str">
        <f ca="1">IF(OFFSET('Group Stages'!$H$8,A23,0)&lt;&gt;"",OFFSET('Group Stages'!$H$8,A23,0),"")</f>
        <v/>
      </c>
      <c r="J23" s="70"/>
      <c r="K23" s="16" t="str">
        <f>K5</f>
        <v>Ecuador</v>
      </c>
      <c r="N23" s="259" t="s">
        <v>710</v>
      </c>
      <c r="O23" s="18"/>
      <c r="P23" s="129">
        <v>1</v>
      </c>
      <c r="Q23" s="262" t="str">
        <f ca="1">INDEX(Calculator!$U$16:$U$19,MATCH(1,Calculator!$BK$16:$BK$19,0),0)</f>
        <v>France</v>
      </c>
      <c r="R23" s="129">
        <f ca="1">VLOOKUP($Q23,Calculator!$C$4:$K$35,2,FALSE)</f>
        <v>0</v>
      </c>
      <c r="S23" s="129">
        <f ca="1">VLOOKUP($Q23,Calculator!$C$4:$K$35,3,FALSE)</f>
        <v>0</v>
      </c>
      <c r="T23" s="129">
        <f ca="1">VLOOKUP($Q23,Calculator!$C$4:$K$35,4,FALSE)</f>
        <v>0</v>
      </c>
      <c r="U23" s="129">
        <f ca="1">VLOOKUP($Q23,Calculator!$C$4:$K$35,5,FALSE)</f>
        <v>0</v>
      </c>
      <c r="V23" s="129" t="str">
        <f ca="1">VLOOKUP($Q23,Calculator!$C$4:$K$35,6,FALSE)&amp;" - "&amp;VLOOKUP($Q23,Calculator!$C$4:$K$35,7,FALSE)</f>
        <v>0 - 0</v>
      </c>
      <c r="W23" s="129">
        <f ca="1">VLOOKUP($Q23,Calculator!$C$4:$K$35,9,FALSE)</f>
        <v>0</v>
      </c>
      <c r="X23" s="19"/>
      <c r="Y23" s="120"/>
      <c r="CO23" s="24"/>
      <c r="CP23" s="24"/>
      <c r="CQ23" s="55"/>
      <c r="CR23" s="24"/>
    </row>
    <row r="24" spans="1:96" s="16" customFormat="1" ht="14.5" customHeight="1" x14ac:dyDescent="0.35">
      <c r="A24" s="47">
        <f t="shared" si="1"/>
        <v>38</v>
      </c>
      <c r="B24" s="56">
        <v>20</v>
      </c>
      <c r="C24" s="62" t="s">
        <v>124</v>
      </c>
      <c r="D24" s="63">
        <f t="shared" si="0"/>
        <v>44890.916666666664</v>
      </c>
      <c r="E24" s="64">
        <f>Calculator!BX26</f>
        <v>44890.916666666664</v>
      </c>
      <c r="F24" s="65" t="str">
        <f>F6</f>
        <v>England</v>
      </c>
      <c r="G24" s="65"/>
      <c r="H24" s="254" t="str">
        <f ca="1">IF(OFFSET('Group Stages'!$H$7,A24,0)&lt;&gt;"",OFFSET('Group Stages'!$H$7,A24,0),"")</f>
        <v/>
      </c>
      <c r="I24" s="255" t="str">
        <f ca="1">IF(OFFSET('Group Stages'!$H$8,A24,0)&lt;&gt;"",OFFSET('Group Stages'!$H$8,A24,0),"")</f>
        <v/>
      </c>
      <c r="J24" s="65"/>
      <c r="K24" s="66" t="str">
        <f>F8</f>
        <v>United States</v>
      </c>
      <c r="L24" s="66"/>
      <c r="M24" s="66"/>
      <c r="N24" s="258" t="s">
        <v>711</v>
      </c>
      <c r="O24" s="18"/>
      <c r="P24" s="129">
        <v>2</v>
      </c>
      <c r="Q24" s="262" t="str">
        <f ca="1">INDEX(Calculator!$U$16:$U$19,MATCH(2,Calculator!$BK$16:$BK$19,0),0)</f>
        <v>Denmark</v>
      </c>
      <c r="R24" s="129">
        <f ca="1">VLOOKUP($Q24,Calculator!$C$4:$K$35,2,FALSE)</f>
        <v>0</v>
      </c>
      <c r="S24" s="129">
        <f ca="1">VLOOKUP($Q24,Calculator!$C$4:$K$35,3,FALSE)</f>
        <v>0</v>
      </c>
      <c r="T24" s="129">
        <f ca="1">VLOOKUP($Q24,Calculator!$C$4:$K$35,4,FALSE)</f>
        <v>0</v>
      </c>
      <c r="U24" s="129">
        <f ca="1">VLOOKUP($Q24,Calculator!$C$4:$K$35,5,FALSE)</f>
        <v>0</v>
      </c>
      <c r="V24" s="129" t="str">
        <f ca="1">VLOOKUP($Q24,Calculator!$C$4:$K$35,6,FALSE)&amp;" - "&amp;VLOOKUP($Q24,Calculator!$C$4:$K$35,7,FALSE)</f>
        <v>0 - 0</v>
      </c>
      <c r="W24" s="129">
        <f ca="1">VLOOKUP($Q24,Calculator!$C$4:$K$35,9,FALSE)</f>
        <v>0</v>
      </c>
      <c r="X24" s="19"/>
      <c r="Y24" s="120"/>
      <c r="CO24" s="24"/>
      <c r="CP24" s="24"/>
      <c r="CQ24" s="55"/>
      <c r="CR24" s="24"/>
    </row>
    <row r="25" spans="1:96" s="16" customFormat="1" ht="14.5" customHeight="1" x14ac:dyDescent="0.35">
      <c r="A25" s="47">
        <f t="shared" si="1"/>
        <v>40</v>
      </c>
      <c r="B25" s="56">
        <v>21</v>
      </c>
      <c r="C25" s="67" t="s">
        <v>119</v>
      </c>
      <c r="D25" s="68">
        <f t="shared" si="0"/>
        <v>44891.541666666664</v>
      </c>
      <c r="E25" s="69">
        <f>Calculator!BX27</f>
        <v>44891.541666666664</v>
      </c>
      <c r="F25" s="70" t="str">
        <f>K10</f>
        <v>Tunisia</v>
      </c>
      <c r="G25" s="70"/>
      <c r="H25" s="254" t="str">
        <f ca="1">IF(OFFSET('Group Stages'!$H$7,A25,0)&lt;&gt;"",OFFSET('Group Stages'!$H$7,A25,0),"")</f>
        <v/>
      </c>
      <c r="I25" s="255" t="str">
        <f ca="1">IF(OFFSET('Group Stages'!$H$8,A25,0)&lt;&gt;"",OFFSET('Group Stages'!$H$8,A25,0),"")</f>
        <v/>
      </c>
      <c r="J25" s="70"/>
      <c r="K25" s="16" t="str">
        <f>K12</f>
        <v>Australia</v>
      </c>
      <c r="N25" s="259" t="s">
        <v>715</v>
      </c>
      <c r="O25" s="18"/>
      <c r="P25" s="71">
        <v>3</v>
      </c>
      <c r="Q25" s="72" t="str">
        <f ca="1">INDEX(Calculator!$U$16:$U$19,MATCH(3,Calculator!$BK$16:$BK$19,0),0)</f>
        <v>Tunisia</v>
      </c>
      <c r="R25" s="71">
        <f ca="1">VLOOKUP($Q25,Calculator!$C$4:$K$35,2,FALSE)</f>
        <v>0</v>
      </c>
      <c r="S25" s="71">
        <f ca="1">VLOOKUP($Q25,Calculator!$C$4:$K$35,3,FALSE)</f>
        <v>0</v>
      </c>
      <c r="T25" s="71">
        <f ca="1">VLOOKUP($Q25,Calculator!$C$4:$K$35,4,FALSE)</f>
        <v>0</v>
      </c>
      <c r="U25" s="71">
        <f ca="1">VLOOKUP($Q25,Calculator!$C$4:$K$35,5,FALSE)</f>
        <v>0</v>
      </c>
      <c r="V25" s="71" t="str">
        <f ca="1">VLOOKUP($Q25,Calculator!$C$4:$K$35,6,FALSE)&amp;" - "&amp;VLOOKUP($Q25,Calculator!$C$4:$K$35,7,FALSE)</f>
        <v>0 - 0</v>
      </c>
      <c r="W25" s="71">
        <f ca="1">VLOOKUP($Q25,Calculator!$C$4:$K$35,9,FALSE)</f>
        <v>0</v>
      </c>
      <c r="X25" s="19"/>
      <c r="Y25" s="120"/>
      <c r="CO25" s="24"/>
      <c r="CP25" s="24"/>
      <c r="CQ25" s="55"/>
      <c r="CR25" s="24"/>
    </row>
    <row r="26" spans="1:96" s="16" customFormat="1" ht="14.5" customHeight="1" x14ac:dyDescent="0.35">
      <c r="A26" s="47">
        <f t="shared" si="1"/>
        <v>42</v>
      </c>
      <c r="B26" s="56">
        <v>22</v>
      </c>
      <c r="C26" s="62" t="s">
        <v>125</v>
      </c>
      <c r="D26" s="63">
        <f t="shared" si="0"/>
        <v>44891.666666666664</v>
      </c>
      <c r="E26" s="64">
        <f>Calculator!BX28</f>
        <v>44891.666666666664</v>
      </c>
      <c r="F26" s="65" t="str">
        <f>K11</f>
        <v>Poland</v>
      </c>
      <c r="G26" s="65"/>
      <c r="H26" s="254" t="str">
        <f ca="1">IF(OFFSET('Group Stages'!$H$7,A26,0)&lt;&gt;"",OFFSET('Group Stages'!$H$7,A26,0),"")</f>
        <v/>
      </c>
      <c r="I26" s="255" t="str">
        <f ca="1">IF(OFFSET('Group Stages'!$H$8,A26,0)&lt;&gt;"",OFFSET('Group Stages'!$H$8,A26,0),"")</f>
        <v/>
      </c>
      <c r="J26" s="65"/>
      <c r="K26" s="66" t="str">
        <f>K9</f>
        <v>Saudi Arabia</v>
      </c>
      <c r="L26" s="66"/>
      <c r="M26" s="66"/>
      <c r="N26" s="258" t="s">
        <v>714</v>
      </c>
      <c r="O26" s="18"/>
      <c r="P26" s="71">
        <v>4</v>
      </c>
      <c r="Q26" s="72" t="str">
        <f ca="1">INDEX(Calculator!$U$16:$U$19,MATCH(4,Calculator!$BK$16:$BK$19,0),0)</f>
        <v>Australia</v>
      </c>
      <c r="R26" s="71">
        <f ca="1">VLOOKUP($Q26,Calculator!$C$4:$K$35,2,FALSE)</f>
        <v>0</v>
      </c>
      <c r="S26" s="71">
        <f ca="1">VLOOKUP($Q26,Calculator!$C$4:$K$35,3,FALSE)</f>
        <v>0</v>
      </c>
      <c r="T26" s="71">
        <f ca="1">VLOOKUP($Q26,Calculator!$C$4:$K$35,4,FALSE)</f>
        <v>0</v>
      </c>
      <c r="U26" s="71">
        <f ca="1">VLOOKUP($Q26,Calculator!$C$4:$K$35,5,FALSE)</f>
        <v>0</v>
      </c>
      <c r="V26" s="71" t="str">
        <f ca="1">VLOOKUP($Q26,Calculator!$C$4:$K$35,6,FALSE)&amp;" - "&amp;VLOOKUP($Q26,Calculator!$C$4:$K$35,7,FALSE)</f>
        <v>0 - 0</v>
      </c>
      <c r="W26" s="71">
        <f ca="1">VLOOKUP($Q26,Calculator!$C$4:$K$35,9,FALSE)</f>
        <v>0</v>
      </c>
      <c r="X26" s="19"/>
      <c r="Y26" s="120"/>
      <c r="CO26" s="24"/>
      <c r="CP26" s="24"/>
      <c r="CQ26" s="55"/>
      <c r="CR26" s="24"/>
    </row>
    <row r="27" spans="1:96" s="16" customFormat="1" ht="14.5" customHeight="1" x14ac:dyDescent="0.35">
      <c r="A27" s="47">
        <f t="shared" si="1"/>
        <v>44</v>
      </c>
      <c r="B27" s="56">
        <v>23</v>
      </c>
      <c r="C27" s="67" t="s">
        <v>119</v>
      </c>
      <c r="D27" s="68">
        <f t="shared" si="0"/>
        <v>44891.791666666664</v>
      </c>
      <c r="E27" s="69">
        <f>Calculator!BX29</f>
        <v>44891.791666666664</v>
      </c>
      <c r="F27" s="70" t="str">
        <f>F12</f>
        <v>France</v>
      </c>
      <c r="G27" s="70"/>
      <c r="H27" s="254" t="str">
        <f ca="1">IF(OFFSET('Group Stages'!$H$7,A27,0)&lt;&gt;"",OFFSET('Group Stages'!$H$7,A27,0),"")</f>
        <v/>
      </c>
      <c r="I27" s="255" t="str">
        <f ca="1">IF(OFFSET('Group Stages'!$H$8,A27,0)&lt;&gt;"",OFFSET('Group Stages'!$H$8,A27,0),"")</f>
        <v/>
      </c>
      <c r="J27" s="70"/>
      <c r="K27" s="16" t="str">
        <f>F10</f>
        <v>Denmark</v>
      </c>
      <c r="N27" s="259" t="s">
        <v>126</v>
      </c>
      <c r="O27" s="18"/>
      <c r="P27" s="45"/>
      <c r="Q27" s="72"/>
      <c r="R27" s="18"/>
      <c r="S27" s="18"/>
      <c r="T27" s="18"/>
      <c r="U27" s="18"/>
      <c r="V27" s="18"/>
      <c r="W27" s="18"/>
      <c r="X27" s="19"/>
      <c r="Y27" s="120"/>
      <c r="CO27" s="24"/>
      <c r="CP27" s="24"/>
      <c r="CQ27" s="55"/>
      <c r="CR27" s="24"/>
    </row>
    <row r="28" spans="1:96" s="16" customFormat="1" ht="14.5" customHeight="1" x14ac:dyDescent="0.35">
      <c r="A28" s="47">
        <f t="shared" si="1"/>
        <v>46</v>
      </c>
      <c r="B28" s="56">
        <v>24</v>
      </c>
      <c r="C28" s="62" t="s">
        <v>125</v>
      </c>
      <c r="D28" s="63">
        <f t="shared" si="0"/>
        <v>44891.916666666664</v>
      </c>
      <c r="E28" s="64">
        <f>Calculator!BX30</f>
        <v>44891.916666666664</v>
      </c>
      <c r="F28" s="65" t="str">
        <f>F9</f>
        <v>Argentina</v>
      </c>
      <c r="G28" s="65"/>
      <c r="H28" s="254" t="str">
        <f ca="1">IF(OFFSET('Group Stages'!$H$7,A28,0)&lt;&gt;"",OFFSET('Group Stages'!$H$7,A28,0),"")</f>
        <v/>
      </c>
      <c r="I28" s="255" t="str">
        <f ca="1">IF(OFFSET('Group Stages'!$H$8,A28,0)&lt;&gt;"",OFFSET('Group Stages'!$H$8,A28,0),"")</f>
        <v/>
      </c>
      <c r="J28" s="65"/>
      <c r="K28" s="66" t="str">
        <f>F11</f>
        <v>Mexico</v>
      </c>
      <c r="L28" s="66"/>
      <c r="M28" s="66"/>
      <c r="N28" s="258" t="s">
        <v>713</v>
      </c>
      <c r="O28" s="18"/>
      <c r="P28" s="342" t="str">
        <f>INDEX(Translation,MATCH("Group E",TransRef,0),MATCH(Setup!$C$5,LanguageRef,0))</f>
        <v>Group E</v>
      </c>
      <c r="Q28" s="342"/>
      <c r="R28" s="54" t="s">
        <v>117</v>
      </c>
      <c r="S28" s="54" t="s">
        <v>118</v>
      </c>
      <c r="T28" s="54" t="s">
        <v>119</v>
      </c>
      <c r="U28" s="54" t="s">
        <v>120</v>
      </c>
      <c r="V28" s="54" t="s">
        <v>121</v>
      </c>
      <c r="W28" s="54" t="s">
        <v>122</v>
      </c>
      <c r="X28" s="19"/>
      <c r="Y28" s="120"/>
      <c r="CO28" s="24"/>
      <c r="CP28" s="24"/>
      <c r="CQ28" s="55"/>
      <c r="CR28" s="24"/>
    </row>
    <row r="29" spans="1:96" s="16" customFormat="1" ht="14.5" customHeight="1" x14ac:dyDescent="0.35">
      <c r="A29" s="47">
        <f t="shared" si="1"/>
        <v>48</v>
      </c>
      <c r="B29" s="56">
        <v>25</v>
      </c>
      <c r="C29" s="67" t="s">
        <v>128</v>
      </c>
      <c r="D29" s="68">
        <f t="shared" si="0"/>
        <v>44892.541666666664</v>
      </c>
      <c r="E29" s="69">
        <f>Calculator!BX31</f>
        <v>44892.541666666664</v>
      </c>
      <c r="F29" s="70" t="str">
        <f>K14</f>
        <v>Japan</v>
      </c>
      <c r="G29" s="70"/>
      <c r="H29" s="254" t="str">
        <f ca="1">IF(OFFSET('Group Stages'!$H$7,A29,0)&lt;&gt;"",OFFSET('Group Stages'!$H$7,A29,0),"")</f>
        <v/>
      </c>
      <c r="I29" s="255" t="str">
        <f ca="1">IF(OFFSET('Group Stages'!$H$8,A29,0)&lt;&gt;"",OFFSET('Group Stages'!$H$8,A29,0),"")</f>
        <v/>
      </c>
      <c r="J29" s="70"/>
      <c r="K29" s="16" t="str">
        <f>K15</f>
        <v>Costa Rica</v>
      </c>
      <c r="N29" s="259" t="s">
        <v>712</v>
      </c>
      <c r="O29" s="18"/>
      <c r="P29" s="130">
        <v>1</v>
      </c>
      <c r="Q29" s="263" t="str">
        <f ca="1">INDEX(Calculator!$U$20:$U$23,MATCH(1,Calculator!$BK$20:$BK$23,0),0)</f>
        <v>Spain</v>
      </c>
      <c r="R29" s="130">
        <f ca="1">VLOOKUP($Q29,Calculator!$C$4:$K$35,2,FALSE)</f>
        <v>0</v>
      </c>
      <c r="S29" s="130">
        <f ca="1">VLOOKUP($Q29,Calculator!$C$4:$K$35,3,FALSE)</f>
        <v>0</v>
      </c>
      <c r="T29" s="130">
        <f ca="1">VLOOKUP($Q29,Calculator!$C$4:$K$35,4,FALSE)</f>
        <v>0</v>
      </c>
      <c r="U29" s="130">
        <f ca="1">VLOOKUP($Q29,Calculator!$C$4:$K$35,5,FALSE)</f>
        <v>0</v>
      </c>
      <c r="V29" s="130" t="str">
        <f ca="1">VLOOKUP($Q29,Calculator!$C$4:$K$35,6,FALSE)&amp;" - "&amp;VLOOKUP($Q29,Calculator!$C$4:$K$35,7,FALSE)</f>
        <v>0 - 0</v>
      </c>
      <c r="W29" s="130">
        <f ca="1">VLOOKUP($Q29,Calculator!$C$4:$K$35,9,FALSE)</f>
        <v>0</v>
      </c>
      <c r="X29" s="19"/>
      <c r="Y29" s="120"/>
      <c r="CO29" s="24"/>
      <c r="CP29" s="24"/>
      <c r="CQ29" s="55"/>
      <c r="CR29" s="24"/>
    </row>
    <row r="30" spans="1:96" s="16" customFormat="1" ht="14.5" customHeight="1" x14ac:dyDescent="0.35">
      <c r="A30" s="47">
        <f t="shared" si="1"/>
        <v>50</v>
      </c>
      <c r="B30" s="56">
        <v>26</v>
      </c>
      <c r="C30" s="62" t="s">
        <v>127</v>
      </c>
      <c r="D30" s="63">
        <f t="shared" si="0"/>
        <v>44892.666666666664</v>
      </c>
      <c r="E30" s="64">
        <f>Calculator!BX32</f>
        <v>44892.666666666664</v>
      </c>
      <c r="F30" s="65" t="str">
        <f>F16</f>
        <v>Belgium</v>
      </c>
      <c r="G30" s="65"/>
      <c r="H30" s="254" t="str">
        <f ca="1">IF(OFFSET('Group Stages'!$H$7,A30,0)&lt;&gt;"",OFFSET('Group Stages'!$H$7,A30,0),"")</f>
        <v/>
      </c>
      <c r="I30" s="255" t="str">
        <f ca="1">IF(OFFSET('Group Stages'!$H$8,A30,0)&lt;&gt;"",OFFSET('Group Stages'!$H$8,A30,0),"")</f>
        <v/>
      </c>
      <c r="J30" s="65"/>
      <c r="K30" s="66" t="str">
        <f>F13</f>
        <v>Morocco</v>
      </c>
      <c r="L30" s="66"/>
      <c r="M30" s="66"/>
      <c r="N30" s="258" t="s">
        <v>709</v>
      </c>
      <c r="O30" s="18"/>
      <c r="P30" s="130">
        <v>2</v>
      </c>
      <c r="Q30" s="263" t="str">
        <f ca="1">INDEX(Calculator!$U$20:$U$23,MATCH(2,Calculator!$BK$20:$BK$23,0),0)</f>
        <v>Germany</v>
      </c>
      <c r="R30" s="130">
        <f ca="1">VLOOKUP($Q30,Calculator!$C$4:$K$35,2,FALSE)</f>
        <v>0</v>
      </c>
      <c r="S30" s="130">
        <f ca="1">VLOOKUP($Q30,Calculator!$C$4:$K$35,3,FALSE)</f>
        <v>0</v>
      </c>
      <c r="T30" s="130">
        <f ca="1">VLOOKUP($Q30,Calculator!$C$4:$K$35,4,FALSE)</f>
        <v>0</v>
      </c>
      <c r="U30" s="130">
        <f ca="1">VLOOKUP($Q30,Calculator!$C$4:$K$35,5,FALSE)</f>
        <v>0</v>
      </c>
      <c r="V30" s="130" t="str">
        <f ca="1">VLOOKUP($Q30,Calculator!$C$4:$K$35,6,FALSE)&amp;" - "&amp;VLOOKUP($Q30,Calculator!$C$4:$K$35,7,FALSE)</f>
        <v>0 - 0</v>
      </c>
      <c r="W30" s="130">
        <f ca="1">VLOOKUP($Q30,Calculator!$C$4:$K$35,9,FALSE)</f>
        <v>0</v>
      </c>
      <c r="X30" s="19"/>
      <c r="Y30" s="120"/>
      <c r="CO30" s="24"/>
      <c r="CP30" s="73"/>
      <c r="CQ30" s="55"/>
      <c r="CR30" s="24"/>
    </row>
    <row r="31" spans="1:96" s="16" customFormat="1" ht="14.5" customHeight="1" x14ac:dyDescent="0.35">
      <c r="A31" s="47">
        <f t="shared" si="1"/>
        <v>52</v>
      </c>
      <c r="B31" s="56">
        <v>27</v>
      </c>
      <c r="C31" s="67" t="s">
        <v>127</v>
      </c>
      <c r="D31" s="68">
        <f t="shared" si="0"/>
        <v>44892.791666666664</v>
      </c>
      <c r="E31" s="69">
        <f>Calculator!BX33</f>
        <v>44892.791666666664</v>
      </c>
      <c r="F31" s="70" t="str">
        <f>K13</f>
        <v>Croatia</v>
      </c>
      <c r="G31" s="70"/>
      <c r="H31" s="254" t="str">
        <f ca="1">IF(OFFSET('Group Stages'!$H$7,A31,0)&lt;&gt;"",OFFSET('Group Stages'!$H$7,A31,0),"")</f>
        <v/>
      </c>
      <c r="I31" s="255" t="str">
        <f ca="1">IF(OFFSET('Group Stages'!$H$8,A31,0)&lt;&gt;"",OFFSET('Group Stages'!$H$8,A31,0),"")</f>
        <v/>
      </c>
      <c r="J31" s="70"/>
      <c r="K31" s="16" t="str">
        <f>K16</f>
        <v>Canada</v>
      </c>
      <c r="N31" s="259" t="s">
        <v>710</v>
      </c>
      <c r="O31" s="18"/>
      <c r="P31" s="71">
        <v>3</v>
      </c>
      <c r="Q31" s="72" t="str">
        <f ca="1">INDEX(Calculator!$U$20:$U$23,MATCH(3,Calculator!$BK$20:$BK$23,0),0)</f>
        <v>Japan</v>
      </c>
      <c r="R31" s="71">
        <f ca="1">VLOOKUP($Q31,Calculator!$C$4:$K$35,2,FALSE)</f>
        <v>0</v>
      </c>
      <c r="S31" s="71">
        <f ca="1">VLOOKUP($Q31,Calculator!$C$4:$K$35,3,FALSE)</f>
        <v>0</v>
      </c>
      <c r="T31" s="71">
        <f ca="1">VLOOKUP($Q31,Calculator!$C$4:$K$35,4,FALSE)</f>
        <v>0</v>
      </c>
      <c r="U31" s="71">
        <f ca="1">VLOOKUP($Q31,Calculator!$C$4:$K$35,5,FALSE)</f>
        <v>0</v>
      </c>
      <c r="V31" s="71" t="str">
        <f ca="1">VLOOKUP($Q31,Calculator!$C$4:$K$35,6,FALSE)&amp;" - "&amp;VLOOKUP($Q31,Calculator!$C$4:$K$35,7,FALSE)</f>
        <v>0 - 0</v>
      </c>
      <c r="W31" s="71">
        <f ca="1">VLOOKUP($Q31,Calculator!$C$4:$K$35,9,FALSE)</f>
        <v>0</v>
      </c>
      <c r="X31" s="19"/>
      <c r="Y31" s="120"/>
      <c r="CO31" s="24"/>
      <c r="CP31" s="73"/>
      <c r="CQ31" s="55"/>
      <c r="CR31" s="24"/>
    </row>
    <row r="32" spans="1:96" s="16" customFormat="1" ht="14.5" customHeight="1" x14ac:dyDescent="0.35">
      <c r="A32" s="47">
        <f t="shared" si="1"/>
        <v>54</v>
      </c>
      <c r="B32" s="56">
        <v>28</v>
      </c>
      <c r="C32" s="62" t="s">
        <v>128</v>
      </c>
      <c r="D32" s="63">
        <f t="shared" si="0"/>
        <v>44892.916666666664</v>
      </c>
      <c r="E32" s="64">
        <f>Calculator!BX34</f>
        <v>44892.916666666664</v>
      </c>
      <c r="F32" s="65" t="str">
        <f>F15</f>
        <v>Spain</v>
      </c>
      <c r="G32" s="65"/>
      <c r="H32" s="254" t="str">
        <f ca="1">IF(OFFSET('Group Stages'!$H$7,A32,0)&lt;&gt;"",OFFSET('Group Stages'!$H$7,A32,0),"")</f>
        <v/>
      </c>
      <c r="I32" s="255" t="str">
        <f ca="1">IF(OFFSET('Group Stages'!$H$8,A32,0)&lt;&gt;"",OFFSET('Group Stages'!$H$8,A32,0),"")</f>
        <v/>
      </c>
      <c r="J32" s="65"/>
      <c r="K32" s="66" t="str">
        <f>F14</f>
        <v>Germany</v>
      </c>
      <c r="L32" s="66"/>
      <c r="M32" s="66"/>
      <c r="N32" s="258" t="s">
        <v>711</v>
      </c>
      <c r="O32" s="18"/>
      <c r="P32" s="71">
        <v>4</v>
      </c>
      <c r="Q32" s="72" t="str">
        <f ca="1">INDEX(Calculator!$U$20:$U$23,MATCH(4,Calculator!$BK$20:$BK$23,0),0)</f>
        <v>Costa Rica</v>
      </c>
      <c r="R32" s="71">
        <f ca="1">VLOOKUP($Q32,Calculator!$C$4:$K$35,2,FALSE)</f>
        <v>0</v>
      </c>
      <c r="S32" s="71">
        <f ca="1">VLOOKUP($Q32,Calculator!$C$4:$K$35,3,FALSE)</f>
        <v>0</v>
      </c>
      <c r="T32" s="71">
        <f ca="1">VLOOKUP($Q32,Calculator!$C$4:$K$35,4,FALSE)</f>
        <v>0</v>
      </c>
      <c r="U32" s="71">
        <f ca="1">VLOOKUP($Q32,Calculator!$C$4:$K$35,5,FALSE)</f>
        <v>0</v>
      </c>
      <c r="V32" s="71" t="str">
        <f ca="1">VLOOKUP($Q32,Calculator!$C$4:$K$35,6,FALSE)&amp;" - "&amp;VLOOKUP($Q32,Calculator!$C$4:$K$35,7,FALSE)</f>
        <v>0 - 0</v>
      </c>
      <c r="W32" s="71">
        <f ca="1">VLOOKUP($Q32,Calculator!$C$4:$K$35,9,FALSE)</f>
        <v>0</v>
      </c>
      <c r="X32" s="19"/>
      <c r="Y32" s="120"/>
      <c r="CO32" s="24"/>
      <c r="CP32" s="24"/>
      <c r="CQ32" s="55"/>
      <c r="CR32" s="24"/>
    </row>
    <row r="33" spans="1:96" s="16" customFormat="1" ht="14.5" customHeight="1" x14ac:dyDescent="0.35">
      <c r="A33" s="47">
        <f t="shared" si="1"/>
        <v>56</v>
      </c>
      <c r="B33" s="56">
        <v>29</v>
      </c>
      <c r="C33" s="67" t="s">
        <v>129</v>
      </c>
      <c r="D33" s="68">
        <f t="shared" si="0"/>
        <v>44893.541666666664</v>
      </c>
      <c r="E33" s="69">
        <f>Calculator!BX35</f>
        <v>44893.541666666664</v>
      </c>
      <c r="F33" s="70" t="str">
        <f>K17</f>
        <v>Cameroon</v>
      </c>
      <c r="G33" s="70"/>
      <c r="H33" s="254" t="str">
        <f ca="1">IF(OFFSET('Group Stages'!$H$7,A33,0)&lt;&gt;"",OFFSET('Group Stages'!$H$7,A33,0),"")</f>
        <v/>
      </c>
      <c r="I33" s="255" t="str">
        <f ca="1">IF(OFFSET('Group Stages'!$H$8,A33,0)&lt;&gt;"",OFFSET('Group Stages'!$H$8,A33,0),"")</f>
        <v/>
      </c>
      <c r="J33" s="70"/>
      <c r="K33" s="16" t="str">
        <f>K20</f>
        <v>Serbia</v>
      </c>
      <c r="N33" s="259" t="s">
        <v>715</v>
      </c>
      <c r="O33" s="18"/>
      <c r="P33" s="45"/>
      <c r="Q33" s="72"/>
      <c r="R33" s="18"/>
      <c r="S33" s="18"/>
      <c r="T33" s="18"/>
      <c r="U33" s="18"/>
      <c r="V33" s="18"/>
      <c r="W33" s="18"/>
      <c r="X33" s="19"/>
      <c r="Y33" s="120"/>
      <c r="CO33" s="24"/>
      <c r="CP33" s="24"/>
      <c r="CQ33" s="55"/>
      <c r="CR33" s="24"/>
    </row>
    <row r="34" spans="1:96" s="16" customFormat="1" ht="14.5" customHeight="1" x14ac:dyDescent="0.35">
      <c r="A34" s="47">
        <f t="shared" si="1"/>
        <v>58</v>
      </c>
      <c r="B34" s="56">
        <v>30</v>
      </c>
      <c r="C34" s="62" t="s">
        <v>130</v>
      </c>
      <c r="D34" s="63">
        <f t="shared" si="0"/>
        <v>44893.666666666664</v>
      </c>
      <c r="E34" s="64">
        <f>Calculator!BX36</f>
        <v>44893.666666666664</v>
      </c>
      <c r="F34" s="65" t="str">
        <f>K18</f>
        <v>South Korea</v>
      </c>
      <c r="G34" s="65"/>
      <c r="H34" s="254" t="str">
        <f ca="1">IF(OFFSET('Group Stages'!$H$7,A34,0)&lt;&gt;"",OFFSET('Group Stages'!$H$7,A34,0),"")</f>
        <v/>
      </c>
      <c r="I34" s="255" t="str">
        <f ca="1">IF(OFFSET('Group Stages'!$H$8,A34,0)&lt;&gt;"",OFFSET('Group Stages'!$H$8,A34,0),"")</f>
        <v/>
      </c>
      <c r="J34" s="65"/>
      <c r="K34" s="66" t="str">
        <f>K19</f>
        <v>Ghana</v>
      </c>
      <c r="L34" s="66"/>
      <c r="M34" s="66"/>
      <c r="N34" s="258" t="s">
        <v>714</v>
      </c>
      <c r="O34" s="18"/>
      <c r="P34" s="342" t="str">
        <f>INDEX(Translation,MATCH("Group F",TransRef,0),MATCH(Setup!$C$5,LanguageRef,0))</f>
        <v>Group F</v>
      </c>
      <c r="Q34" s="342"/>
      <c r="R34" s="54" t="s">
        <v>117</v>
      </c>
      <c r="S34" s="54" t="s">
        <v>118</v>
      </c>
      <c r="T34" s="54" t="s">
        <v>119</v>
      </c>
      <c r="U34" s="54" t="s">
        <v>120</v>
      </c>
      <c r="V34" s="54" t="s">
        <v>121</v>
      </c>
      <c r="W34" s="54" t="s">
        <v>122</v>
      </c>
      <c r="X34" s="19"/>
      <c r="Y34" s="120"/>
      <c r="CO34" s="24"/>
      <c r="CP34" s="24"/>
      <c r="CQ34" s="55"/>
      <c r="CR34" s="24"/>
    </row>
    <row r="35" spans="1:96" s="16" customFormat="1" ht="14.5" customHeight="1" x14ac:dyDescent="0.35">
      <c r="A35" s="47">
        <f t="shared" si="1"/>
        <v>60</v>
      </c>
      <c r="B35" s="56">
        <v>31</v>
      </c>
      <c r="C35" s="67" t="s">
        <v>129</v>
      </c>
      <c r="D35" s="68">
        <f t="shared" si="0"/>
        <v>44893.791666666664</v>
      </c>
      <c r="E35" s="69">
        <f>Calculator!BX37</f>
        <v>44893.791666666664</v>
      </c>
      <c r="F35" s="70" t="str">
        <f>F20</f>
        <v>Brazil</v>
      </c>
      <c r="G35" s="70"/>
      <c r="H35" s="254" t="str">
        <f ca="1">IF(OFFSET('Group Stages'!$H$7,A35,0)&lt;&gt;"",OFFSET('Group Stages'!$H$7,A35,0),"")</f>
        <v/>
      </c>
      <c r="I35" s="255" t="str">
        <f ca="1">IF(OFFSET('Group Stages'!$H$8,A35,0)&lt;&gt;"",OFFSET('Group Stages'!$H$8,A35,0),"")</f>
        <v/>
      </c>
      <c r="J35" s="70"/>
      <c r="K35" s="16" t="str">
        <f>F17</f>
        <v>Switzerland</v>
      </c>
      <c r="N35" s="259" t="s">
        <v>126</v>
      </c>
      <c r="O35" s="18"/>
      <c r="P35" s="133">
        <v>1</v>
      </c>
      <c r="Q35" s="264" t="str">
        <f ca="1">INDEX(Calculator!$U$24:$U$27,MATCH(1,Calculator!$BK$24:$BK$27,0),0)</f>
        <v>Belgium</v>
      </c>
      <c r="R35" s="133">
        <f ca="1">VLOOKUP($Q35,Calculator!$C$4:$K$35,2,FALSE)</f>
        <v>0</v>
      </c>
      <c r="S35" s="133">
        <f ca="1">VLOOKUP($Q35,Calculator!$C$4:$K$35,3,FALSE)</f>
        <v>0</v>
      </c>
      <c r="T35" s="133">
        <f ca="1">VLOOKUP($Q35,Calculator!$C$4:$K$35,4,FALSE)</f>
        <v>0</v>
      </c>
      <c r="U35" s="133">
        <f ca="1">VLOOKUP($Q35,Calculator!$C$4:$K$35,5,FALSE)</f>
        <v>0</v>
      </c>
      <c r="V35" s="133" t="str">
        <f ca="1">VLOOKUP($Q35,Calculator!$C$4:$K$35,6,FALSE)&amp;" - "&amp;VLOOKUP($Q35,Calculator!$C$4:$K$35,7,FALSE)</f>
        <v>0 - 0</v>
      </c>
      <c r="W35" s="133">
        <f ca="1">VLOOKUP($Q35,Calculator!$C$4:$K$35,9,FALSE)</f>
        <v>0</v>
      </c>
      <c r="X35" s="19"/>
      <c r="Y35" s="120"/>
      <c r="CO35" s="24"/>
      <c r="CP35" s="24"/>
      <c r="CQ35" s="55"/>
      <c r="CR35" s="24"/>
    </row>
    <row r="36" spans="1:96" s="16" customFormat="1" ht="14.5" customHeight="1" x14ac:dyDescent="0.35">
      <c r="A36" s="47">
        <f t="shared" si="1"/>
        <v>62</v>
      </c>
      <c r="B36" s="56">
        <v>32</v>
      </c>
      <c r="C36" s="62" t="s">
        <v>130</v>
      </c>
      <c r="D36" s="63">
        <f t="shared" si="0"/>
        <v>44893.916666666664</v>
      </c>
      <c r="E36" s="64">
        <f>Calculator!BX38</f>
        <v>44893.916666666664</v>
      </c>
      <c r="F36" s="65" t="str">
        <f>F19</f>
        <v>Portugal</v>
      </c>
      <c r="G36" s="65"/>
      <c r="H36" s="254" t="str">
        <f ca="1">IF(OFFSET('Group Stages'!$H$7,A36,0)&lt;&gt;"",OFFSET('Group Stages'!$H$7,A36,0),"")</f>
        <v/>
      </c>
      <c r="I36" s="255" t="str">
        <f ca="1">IF(OFFSET('Group Stages'!$H$8,A36,0)&lt;&gt;"",OFFSET('Group Stages'!$H$8,A36,0),"")</f>
        <v/>
      </c>
      <c r="J36" s="65"/>
      <c r="K36" s="66" t="str">
        <f>F18</f>
        <v>Uruguay</v>
      </c>
      <c r="L36" s="66"/>
      <c r="M36" s="66"/>
      <c r="N36" s="258" t="s">
        <v>713</v>
      </c>
      <c r="O36" s="18"/>
      <c r="P36" s="133">
        <v>2</v>
      </c>
      <c r="Q36" s="264" t="str">
        <f ca="1">INDEX(Calculator!$U$24:$U$27,MATCH(2,Calculator!$BK$24:$BK$27,0),0)</f>
        <v>Croatia</v>
      </c>
      <c r="R36" s="133">
        <f ca="1">VLOOKUP($Q36,Calculator!$C$4:$K$35,2,FALSE)</f>
        <v>0</v>
      </c>
      <c r="S36" s="133">
        <f ca="1">VLOOKUP($Q36,Calculator!$C$4:$K$35,3,FALSE)</f>
        <v>0</v>
      </c>
      <c r="T36" s="133">
        <f ca="1">VLOOKUP($Q36,Calculator!$C$4:$K$35,4,FALSE)</f>
        <v>0</v>
      </c>
      <c r="U36" s="133">
        <f ca="1">VLOOKUP($Q36,Calculator!$C$4:$K$35,5,FALSE)</f>
        <v>0</v>
      </c>
      <c r="V36" s="133" t="str">
        <f ca="1">VLOOKUP($Q36,Calculator!$C$4:$K$35,6,FALSE)&amp;" - "&amp;VLOOKUP($Q36,Calculator!$C$4:$K$35,7,FALSE)</f>
        <v>0 - 0</v>
      </c>
      <c r="W36" s="133">
        <f ca="1">VLOOKUP($Q36,Calculator!$C$4:$K$35,9,FALSE)</f>
        <v>0</v>
      </c>
      <c r="X36" s="19"/>
      <c r="Y36" s="120"/>
      <c r="CO36" s="24"/>
      <c r="CP36" s="24"/>
      <c r="CQ36" s="55"/>
      <c r="CR36" s="24"/>
    </row>
    <row r="37" spans="1:96" s="16" customFormat="1" ht="14.5" customHeight="1" x14ac:dyDescent="0.35">
      <c r="A37" s="47">
        <f t="shared" si="1"/>
        <v>64</v>
      </c>
      <c r="B37" s="56">
        <v>35</v>
      </c>
      <c r="C37" s="67" t="s">
        <v>123</v>
      </c>
      <c r="D37" s="74">
        <f t="shared" si="0"/>
        <v>44894.75</v>
      </c>
      <c r="E37" s="69">
        <f>Calculator!BX39</f>
        <v>44894.75</v>
      </c>
      <c r="F37" s="70" t="str">
        <f>K5</f>
        <v>Ecuador</v>
      </c>
      <c r="G37" s="70"/>
      <c r="H37" s="254" t="str">
        <f ca="1">IF(OFFSET('Group Stages'!$H$7,A37,0)&lt;&gt;"",OFFSET('Group Stages'!$H$7,A37,0),"")</f>
        <v/>
      </c>
      <c r="I37" s="255" t="str">
        <f ca="1">IF(OFFSET('Group Stages'!$H$8,A37,0)&lt;&gt;"",OFFSET('Group Stages'!$H$8,A37,0),"")</f>
        <v/>
      </c>
      <c r="J37" s="70"/>
      <c r="K37" s="16" t="str">
        <f>F7</f>
        <v>Senegal</v>
      </c>
      <c r="N37" s="259" t="s">
        <v>710</v>
      </c>
      <c r="O37" s="18"/>
      <c r="P37" s="71">
        <v>3</v>
      </c>
      <c r="Q37" s="72" t="str">
        <f ca="1">INDEX(Calculator!$U$24:$U$27,MATCH(3,Calculator!$BK$24:$BK$27,0),0)</f>
        <v>Morocco</v>
      </c>
      <c r="R37" s="71">
        <f ca="1">VLOOKUP($Q37,Calculator!$C$4:$K$35,2,FALSE)</f>
        <v>0</v>
      </c>
      <c r="S37" s="71">
        <f ca="1">VLOOKUP($Q37,Calculator!$C$4:$K$35,3,FALSE)</f>
        <v>0</v>
      </c>
      <c r="T37" s="71">
        <f ca="1">VLOOKUP($Q37,Calculator!$C$4:$K$35,4,FALSE)</f>
        <v>0</v>
      </c>
      <c r="U37" s="71">
        <f ca="1">VLOOKUP($Q37,Calculator!$C$4:$K$35,5,FALSE)</f>
        <v>0</v>
      </c>
      <c r="V37" s="71" t="str">
        <f ca="1">VLOOKUP($Q37,Calculator!$C$4:$K$35,6,FALSE)&amp;" - "&amp;VLOOKUP($Q37,Calculator!$C$4:$K$35,7,FALSE)</f>
        <v>0 - 0</v>
      </c>
      <c r="W37" s="71">
        <f ca="1">VLOOKUP($Q37,Calculator!$C$4:$K$35,9,FALSE)</f>
        <v>0</v>
      </c>
      <c r="X37" s="19"/>
      <c r="Y37" s="120"/>
      <c r="CO37" s="24"/>
      <c r="CP37" s="24"/>
      <c r="CQ37" s="55"/>
      <c r="CR37" s="24"/>
    </row>
    <row r="38" spans="1:96" s="16" customFormat="1" ht="14.5" customHeight="1" x14ac:dyDescent="0.35">
      <c r="A38" s="47">
        <f t="shared" si="1"/>
        <v>66</v>
      </c>
      <c r="B38" s="56">
        <v>36</v>
      </c>
      <c r="C38" s="62" t="s">
        <v>123</v>
      </c>
      <c r="D38" s="63">
        <f t="shared" si="0"/>
        <v>44894.75</v>
      </c>
      <c r="E38" s="64">
        <f>Calculator!BX40</f>
        <v>44894.75</v>
      </c>
      <c r="F38" s="65" t="str">
        <f>K7</f>
        <v>Netherlands</v>
      </c>
      <c r="G38" s="65"/>
      <c r="H38" s="254" t="str">
        <f ca="1">IF(OFFSET('Group Stages'!$H$7,A38,0)&lt;&gt;"",OFFSET('Group Stages'!$H$7,A38,0),"")</f>
        <v/>
      </c>
      <c r="I38" s="255" t="str">
        <f ca="1">IF(OFFSET('Group Stages'!$H$8,A38,0)&lt;&gt;"",OFFSET('Group Stages'!$H$8,A38,0),"")</f>
        <v/>
      </c>
      <c r="J38" s="65"/>
      <c r="K38" s="66" t="str">
        <f>F5</f>
        <v>Qatar</v>
      </c>
      <c r="L38" s="66"/>
      <c r="M38" s="66"/>
      <c r="N38" s="258" t="s">
        <v>711</v>
      </c>
      <c r="O38" s="18"/>
      <c r="P38" s="71">
        <v>4</v>
      </c>
      <c r="Q38" s="72" t="str">
        <f ca="1">INDEX(Calculator!$U$24:$U$27,MATCH(4,Calculator!$BK$24:$BK$27,0),0)</f>
        <v>Canada</v>
      </c>
      <c r="R38" s="71">
        <f ca="1">VLOOKUP($Q38,Calculator!$C$4:$K$35,2,FALSE)</f>
        <v>0</v>
      </c>
      <c r="S38" s="71">
        <f ca="1">VLOOKUP($Q38,Calculator!$C$4:$K$35,3,FALSE)</f>
        <v>0</v>
      </c>
      <c r="T38" s="71">
        <f ca="1">VLOOKUP($Q38,Calculator!$C$4:$K$35,4,FALSE)</f>
        <v>0</v>
      </c>
      <c r="U38" s="71">
        <f ca="1">VLOOKUP($Q38,Calculator!$C$4:$K$35,5,FALSE)</f>
        <v>0</v>
      </c>
      <c r="V38" s="71" t="str">
        <f ca="1">VLOOKUP($Q38,Calculator!$C$4:$K$35,6,FALSE)&amp;" - "&amp;VLOOKUP($Q38,Calculator!$C$4:$K$35,7,FALSE)</f>
        <v>0 - 0</v>
      </c>
      <c r="W38" s="71">
        <f ca="1">VLOOKUP($Q38,Calculator!$C$4:$K$35,9,FALSE)</f>
        <v>0</v>
      </c>
      <c r="X38" s="19"/>
      <c r="Y38" s="120"/>
      <c r="CO38" s="24"/>
      <c r="CP38" s="24"/>
      <c r="CQ38" s="55"/>
      <c r="CR38" s="24"/>
    </row>
    <row r="39" spans="1:96" s="16" customFormat="1" ht="14.5" customHeight="1" x14ac:dyDescent="0.35">
      <c r="A39" s="47">
        <f t="shared" si="1"/>
        <v>68</v>
      </c>
      <c r="B39" s="56">
        <v>33</v>
      </c>
      <c r="C39" s="67" t="s">
        <v>124</v>
      </c>
      <c r="D39" s="68">
        <f t="shared" si="0"/>
        <v>44894.916666666664</v>
      </c>
      <c r="E39" s="69">
        <f>Calculator!BX41</f>
        <v>44894.916666666664</v>
      </c>
      <c r="F39" s="70" t="str">
        <f>K8</f>
        <v>Wales</v>
      </c>
      <c r="G39" s="70"/>
      <c r="H39" s="254" t="str">
        <f ca="1">IF(OFFSET('Group Stages'!$H$7,A39,0)&lt;&gt;"",OFFSET('Group Stages'!$H$7,A39,0),"")</f>
        <v/>
      </c>
      <c r="I39" s="255" t="str">
        <f ca="1">IF(OFFSET('Group Stages'!$H$8,A39,0)&lt;&gt;"",OFFSET('Group Stages'!$H$8,A39,0),"")</f>
        <v/>
      </c>
      <c r="J39" s="70"/>
      <c r="K39" s="16" t="str">
        <f>F6</f>
        <v>England</v>
      </c>
      <c r="N39" s="259" t="s">
        <v>712</v>
      </c>
      <c r="O39" s="18"/>
      <c r="P39" s="45"/>
      <c r="Q39" s="72"/>
      <c r="R39" s="18"/>
      <c r="S39" s="18"/>
      <c r="T39" s="18"/>
      <c r="U39" s="18"/>
      <c r="V39" s="18"/>
      <c r="W39" s="18"/>
      <c r="X39" s="19"/>
      <c r="Y39" s="120"/>
      <c r="CO39" s="24"/>
      <c r="CP39" s="24"/>
      <c r="CQ39" s="55"/>
      <c r="CR39" s="24"/>
    </row>
    <row r="40" spans="1:96" s="16" customFormat="1" ht="14.5" customHeight="1" x14ac:dyDescent="0.35">
      <c r="A40" s="47">
        <f t="shared" si="1"/>
        <v>70</v>
      </c>
      <c r="B40" s="56">
        <v>34</v>
      </c>
      <c r="C40" s="62" t="s">
        <v>124</v>
      </c>
      <c r="D40" s="63">
        <f t="shared" si="0"/>
        <v>44894.916666666664</v>
      </c>
      <c r="E40" s="64">
        <f>Calculator!BX42</f>
        <v>44894.916666666664</v>
      </c>
      <c r="F40" s="65" t="str">
        <f>K6</f>
        <v>Iran</v>
      </c>
      <c r="G40" s="65"/>
      <c r="H40" s="254" t="str">
        <f ca="1">IF(OFFSET('Group Stages'!$H$7,A40,0)&lt;&gt;"",OFFSET('Group Stages'!$H$7,A40,0),"")</f>
        <v/>
      </c>
      <c r="I40" s="255" t="str">
        <f ca="1">IF(OFFSET('Group Stages'!$H$8,A40,0)&lt;&gt;"",OFFSET('Group Stages'!$H$8,A40,0),"")</f>
        <v/>
      </c>
      <c r="J40" s="65"/>
      <c r="K40" s="66" t="str">
        <f>F8</f>
        <v>United States</v>
      </c>
      <c r="L40" s="66"/>
      <c r="M40" s="66"/>
      <c r="N40" s="258" t="s">
        <v>709</v>
      </c>
      <c r="O40" s="18"/>
      <c r="P40" s="342" t="str">
        <f>INDEX(Translation,MATCH("Group G",TransRef,0),MATCH(Setup!$C$5,LanguageRef,0))</f>
        <v>Group G</v>
      </c>
      <c r="Q40" s="342"/>
      <c r="R40" s="54" t="s">
        <v>117</v>
      </c>
      <c r="S40" s="54" t="s">
        <v>118</v>
      </c>
      <c r="T40" s="54" t="s">
        <v>119</v>
      </c>
      <c r="U40" s="54" t="s">
        <v>120</v>
      </c>
      <c r="V40" s="54" t="s">
        <v>121</v>
      </c>
      <c r="W40" s="54" t="s">
        <v>122</v>
      </c>
      <c r="X40" s="19"/>
      <c r="Y40" s="120"/>
      <c r="CO40" s="24"/>
      <c r="CP40" s="24"/>
      <c r="CQ40" s="55"/>
      <c r="CR40" s="24"/>
    </row>
    <row r="41" spans="1:96" s="16" customFormat="1" ht="14.5" customHeight="1" x14ac:dyDescent="0.35">
      <c r="A41" s="47">
        <f t="shared" si="1"/>
        <v>72</v>
      </c>
      <c r="B41" s="56">
        <v>37</v>
      </c>
      <c r="C41" s="67" t="s">
        <v>119</v>
      </c>
      <c r="D41" s="68">
        <f t="shared" si="0"/>
        <v>44895.75</v>
      </c>
      <c r="E41" s="69">
        <f>Calculator!BX43</f>
        <v>44895.75</v>
      </c>
      <c r="F41" s="70" t="str">
        <f>K12</f>
        <v>Australia</v>
      </c>
      <c r="G41" s="70"/>
      <c r="H41" s="254" t="str">
        <f ca="1">IF(OFFSET('Group Stages'!$H$7,A41,0)&lt;&gt;"",OFFSET('Group Stages'!$H$7,A41,0),"")</f>
        <v/>
      </c>
      <c r="I41" s="255" t="str">
        <f ca="1">IF(OFFSET('Group Stages'!$H$8,A41,0)&lt;&gt;"",OFFSET('Group Stages'!$H$8,A41,0),"")</f>
        <v/>
      </c>
      <c r="J41" s="70"/>
      <c r="K41" s="16" t="str">
        <f>F10</f>
        <v>Denmark</v>
      </c>
      <c r="N41" s="259" t="s">
        <v>715</v>
      </c>
      <c r="O41" s="18"/>
      <c r="P41" s="131">
        <v>1</v>
      </c>
      <c r="Q41" s="265" t="str">
        <f ca="1">INDEX(Calculator!$U$28:$U$31,MATCH(1,Calculator!$BK$28:$BK$31,0),0)</f>
        <v>Brazil</v>
      </c>
      <c r="R41" s="131">
        <f ca="1">VLOOKUP($Q41,Calculator!$C$4:$K$35,2,FALSE)</f>
        <v>0</v>
      </c>
      <c r="S41" s="131">
        <f ca="1">VLOOKUP($Q41,Calculator!$C$4:$K$35,3,FALSE)</f>
        <v>0</v>
      </c>
      <c r="T41" s="131">
        <f ca="1">VLOOKUP($Q41,Calculator!$C$4:$K$35,4,FALSE)</f>
        <v>0</v>
      </c>
      <c r="U41" s="131">
        <f ca="1">VLOOKUP($Q41,Calculator!$C$4:$K$35,5,FALSE)</f>
        <v>0</v>
      </c>
      <c r="V41" s="131" t="str">
        <f ca="1">VLOOKUP($Q41,Calculator!$C$4:$K$35,6,FALSE)&amp;" - "&amp;VLOOKUP($Q41,Calculator!$C$4:$K$35,7,FALSE)</f>
        <v>0 - 0</v>
      </c>
      <c r="W41" s="131">
        <f ca="1">VLOOKUP($Q41,Calculator!$C$4:$K$35,9,FALSE)</f>
        <v>0</v>
      </c>
      <c r="X41" s="19"/>
      <c r="Y41" s="120"/>
      <c r="CO41" s="24"/>
      <c r="CP41" s="24"/>
      <c r="CQ41" s="55"/>
      <c r="CR41" s="24"/>
    </row>
    <row r="42" spans="1:96" s="16" customFormat="1" ht="14.5" customHeight="1" x14ac:dyDescent="0.35">
      <c r="A42" s="47">
        <f t="shared" si="1"/>
        <v>74</v>
      </c>
      <c r="B42" s="56">
        <v>38</v>
      </c>
      <c r="C42" s="62" t="s">
        <v>119</v>
      </c>
      <c r="D42" s="63">
        <f t="shared" si="0"/>
        <v>44895.75</v>
      </c>
      <c r="E42" s="64">
        <f>Calculator!BX44</f>
        <v>44895.75</v>
      </c>
      <c r="F42" s="65" t="str">
        <f>K10</f>
        <v>Tunisia</v>
      </c>
      <c r="G42" s="65"/>
      <c r="H42" s="254" t="str">
        <f ca="1">IF(OFFSET('Group Stages'!$H$7,A42,0)&lt;&gt;"",OFFSET('Group Stages'!$H$7,A42,0),"")</f>
        <v/>
      </c>
      <c r="I42" s="255" t="str">
        <f ca="1">IF(OFFSET('Group Stages'!$H$8,A42,0)&lt;&gt;"",OFFSET('Group Stages'!$H$8,A42,0),"")</f>
        <v/>
      </c>
      <c r="J42" s="65"/>
      <c r="K42" s="66" t="str">
        <f>F12</f>
        <v>France</v>
      </c>
      <c r="L42" s="66"/>
      <c r="M42" s="66"/>
      <c r="N42" s="258" t="s">
        <v>714</v>
      </c>
      <c r="O42" s="18"/>
      <c r="P42" s="131">
        <v>2</v>
      </c>
      <c r="Q42" s="265" t="str">
        <f ca="1">INDEX(Calculator!$U$28:$U$31,MATCH(2,Calculator!$BK$28:$BK$31,0),0)</f>
        <v>Switzerland</v>
      </c>
      <c r="R42" s="131">
        <f ca="1">VLOOKUP($Q42,Calculator!$C$4:$K$35,2,FALSE)</f>
        <v>0</v>
      </c>
      <c r="S42" s="131">
        <f ca="1">VLOOKUP($Q42,Calculator!$C$4:$K$35,3,FALSE)</f>
        <v>0</v>
      </c>
      <c r="T42" s="131">
        <f ca="1">VLOOKUP($Q42,Calculator!$C$4:$K$35,4,FALSE)</f>
        <v>0</v>
      </c>
      <c r="U42" s="131">
        <f ca="1">VLOOKUP($Q42,Calculator!$C$4:$K$35,5,FALSE)</f>
        <v>0</v>
      </c>
      <c r="V42" s="131" t="str">
        <f ca="1">VLOOKUP($Q42,Calculator!$C$4:$K$35,6,FALSE)&amp;" - "&amp;VLOOKUP($Q42,Calculator!$C$4:$K$35,7,FALSE)</f>
        <v>0 - 0</v>
      </c>
      <c r="W42" s="131">
        <f ca="1">VLOOKUP($Q42,Calculator!$C$4:$K$35,9,FALSE)</f>
        <v>0</v>
      </c>
      <c r="X42" s="19"/>
      <c r="Y42" s="120"/>
      <c r="CO42" s="24"/>
      <c r="CP42" s="24"/>
      <c r="CQ42" s="55"/>
      <c r="CR42" s="24"/>
    </row>
    <row r="43" spans="1:96" s="16" customFormat="1" ht="14.5" customHeight="1" x14ac:dyDescent="0.35">
      <c r="A43" s="47">
        <f t="shared" si="1"/>
        <v>76</v>
      </c>
      <c r="B43" s="56">
        <v>39</v>
      </c>
      <c r="C43" s="67" t="s">
        <v>125</v>
      </c>
      <c r="D43" s="68">
        <f t="shared" si="0"/>
        <v>44895.916666666664</v>
      </c>
      <c r="E43" s="69">
        <f>Calculator!BX45</f>
        <v>44895.916666666664</v>
      </c>
      <c r="F43" s="70" t="str">
        <f>K11</f>
        <v>Poland</v>
      </c>
      <c r="G43" s="70"/>
      <c r="H43" s="254" t="str">
        <f ca="1">IF(OFFSET('Group Stages'!$H$7,A43,0)&lt;&gt;"",OFFSET('Group Stages'!$H$7,A43,0),"")</f>
        <v/>
      </c>
      <c r="I43" s="255" t="str">
        <f ca="1">IF(OFFSET('Group Stages'!$H$8,A43,0)&lt;&gt;"",OFFSET('Group Stages'!$H$8,A43,0),"")</f>
        <v/>
      </c>
      <c r="J43" s="70"/>
      <c r="K43" s="16" t="str">
        <f>F9</f>
        <v>Argentina</v>
      </c>
      <c r="N43" s="259" t="s">
        <v>126</v>
      </c>
      <c r="O43" s="18"/>
      <c r="P43" s="71">
        <v>3</v>
      </c>
      <c r="Q43" s="72" t="str">
        <f ca="1">INDEX(Calculator!$U$28:$U$31,MATCH(3,Calculator!$BK$28:$BK$31,0),0)</f>
        <v>Serbia</v>
      </c>
      <c r="R43" s="71">
        <f ca="1">VLOOKUP($Q43,Calculator!$C$4:$K$35,2,FALSE)</f>
        <v>0</v>
      </c>
      <c r="S43" s="71">
        <f ca="1">VLOOKUP($Q43,Calculator!$C$4:$K$35,3,FALSE)</f>
        <v>0</v>
      </c>
      <c r="T43" s="71">
        <f ca="1">VLOOKUP($Q43,Calculator!$C$4:$K$35,4,FALSE)</f>
        <v>0</v>
      </c>
      <c r="U43" s="71">
        <f ca="1">VLOOKUP($Q43,Calculator!$C$4:$K$35,5,FALSE)</f>
        <v>0</v>
      </c>
      <c r="V43" s="71" t="str">
        <f ca="1">VLOOKUP($Q43,Calculator!$C$4:$K$35,6,FALSE)&amp;" - "&amp;VLOOKUP($Q43,Calculator!$C$4:$K$35,7,FALSE)</f>
        <v>0 - 0</v>
      </c>
      <c r="W43" s="71">
        <f ca="1">VLOOKUP($Q43,Calculator!$C$4:$K$35,9,FALSE)</f>
        <v>0</v>
      </c>
      <c r="X43" s="19"/>
      <c r="Y43" s="120"/>
      <c r="CO43" s="24"/>
      <c r="CP43" s="24"/>
      <c r="CQ43" s="55"/>
      <c r="CR43" s="24"/>
    </row>
    <row r="44" spans="1:96" s="16" customFormat="1" ht="14.5" customHeight="1" x14ac:dyDescent="0.35">
      <c r="A44" s="47">
        <f t="shared" si="1"/>
        <v>78</v>
      </c>
      <c r="B44" s="56">
        <v>40</v>
      </c>
      <c r="C44" s="62" t="s">
        <v>125</v>
      </c>
      <c r="D44" s="63">
        <f t="shared" si="0"/>
        <v>44895.916666666664</v>
      </c>
      <c r="E44" s="64">
        <f>Calculator!BX46</f>
        <v>44895.916666666664</v>
      </c>
      <c r="F44" s="65" t="str">
        <f>K9</f>
        <v>Saudi Arabia</v>
      </c>
      <c r="G44" s="65"/>
      <c r="H44" s="254" t="str">
        <f ca="1">IF(OFFSET('Group Stages'!$H$7,A44,0)&lt;&gt;"",OFFSET('Group Stages'!$H$7,A44,0),"")</f>
        <v/>
      </c>
      <c r="I44" s="255" t="str">
        <f ca="1">IF(OFFSET('Group Stages'!$H$8,A44,0)&lt;&gt;"",OFFSET('Group Stages'!$H$8,A44,0),"")</f>
        <v/>
      </c>
      <c r="J44" s="65"/>
      <c r="K44" s="66" t="str">
        <f>F11</f>
        <v>Mexico</v>
      </c>
      <c r="L44" s="66"/>
      <c r="M44" s="66"/>
      <c r="N44" s="258" t="s">
        <v>713</v>
      </c>
      <c r="O44" s="18"/>
      <c r="P44" s="71">
        <v>4</v>
      </c>
      <c r="Q44" s="72" t="str">
        <f ca="1">INDEX(Calculator!$U$28:$U$31,MATCH(4,Calculator!$BK$28:$BK$31,0),0)</f>
        <v>Cameroon</v>
      </c>
      <c r="R44" s="71">
        <f ca="1">VLOOKUP($Q44,Calculator!$C$4:$K$35,2,FALSE)</f>
        <v>0</v>
      </c>
      <c r="S44" s="71">
        <f ca="1">VLOOKUP($Q44,Calculator!$C$4:$K$35,3,FALSE)</f>
        <v>0</v>
      </c>
      <c r="T44" s="71">
        <f ca="1">VLOOKUP($Q44,Calculator!$C$4:$K$35,4,FALSE)</f>
        <v>0</v>
      </c>
      <c r="U44" s="71">
        <f ca="1">VLOOKUP($Q44,Calculator!$C$4:$K$35,5,FALSE)</f>
        <v>0</v>
      </c>
      <c r="V44" s="71" t="str">
        <f ca="1">VLOOKUP($Q44,Calculator!$C$4:$K$35,6,FALSE)&amp;" - "&amp;VLOOKUP($Q44,Calculator!$C$4:$K$35,7,FALSE)</f>
        <v>0 - 0</v>
      </c>
      <c r="W44" s="71">
        <f ca="1">VLOOKUP($Q44,Calculator!$C$4:$K$35,9,FALSE)</f>
        <v>0</v>
      </c>
      <c r="X44" s="19"/>
      <c r="Y44" s="120"/>
      <c r="CO44" s="24"/>
      <c r="CP44" s="24"/>
      <c r="CQ44" s="55"/>
      <c r="CR44" s="24"/>
    </row>
    <row r="45" spans="1:96" s="16" customFormat="1" ht="14.5" customHeight="1" x14ac:dyDescent="0.35">
      <c r="A45" s="47">
        <f t="shared" si="1"/>
        <v>80</v>
      </c>
      <c r="B45" s="56">
        <v>41</v>
      </c>
      <c r="C45" s="67" t="s">
        <v>127</v>
      </c>
      <c r="D45" s="68">
        <f t="shared" si="0"/>
        <v>44896.75</v>
      </c>
      <c r="E45" s="69">
        <f>Calculator!BX47</f>
        <v>44896.75</v>
      </c>
      <c r="F45" s="70" t="str">
        <f>K13</f>
        <v>Croatia</v>
      </c>
      <c r="G45" s="70"/>
      <c r="H45" s="254" t="str">
        <f ca="1">IF(OFFSET('Group Stages'!$H$7,A45,0)&lt;&gt;"",OFFSET('Group Stages'!$H$7,A45,0),"")</f>
        <v/>
      </c>
      <c r="I45" s="255" t="str">
        <f ca="1">IF(OFFSET('Group Stages'!$H$8,A45,0)&lt;&gt;"",OFFSET('Group Stages'!$H$8,A45,0),"")</f>
        <v/>
      </c>
      <c r="J45" s="70"/>
      <c r="K45" s="16" t="str">
        <f>F16</f>
        <v>Belgium</v>
      </c>
      <c r="N45" s="259" t="s">
        <v>712</v>
      </c>
      <c r="O45" s="18"/>
      <c r="P45" s="45"/>
      <c r="Q45" s="72"/>
      <c r="R45" s="18"/>
      <c r="S45" s="18"/>
      <c r="T45" s="18"/>
      <c r="U45" s="18"/>
      <c r="V45" s="18"/>
      <c r="W45" s="18"/>
      <c r="X45" s="19"/>
      <c r="Y45" s="120"/>
      <c r="CO45" s="24"/>
      <c r="CP45" s="24"/>
      <c r="CQ45" s="55"/>
      <c r="CR45" s="24"/>
    </row>
    <row r="46" spans="1:96" s="16" customFormat="1" ht="14.5" customHeight="1" x14ac:dyDescent="0.35">
      <c r="A46" s="47">
        <f t="shared" si="1"/>
        <v>82</v>
      </c>
      <c r="B46" s="56">
        <v>42</v>
      </c>
      <c r="C46" s="62" t="s">
        <v>127</v>
      </c>
      <c r="D46" s="63">
        <f t="shared" si="0"/>
        <v>44896.75</v>
      </c>
      <c r="E46" s="64">
        <f>Calculator!BX48</f>
        <v>44896.75</v>
      </c>
      <c r="F46" s="65" t="str">
        <f>K16</f>
        <v>Canada</v>
      </c>
      <c r="G46" s="65"/>
      <c r="H46" s="254" t="str">
        <f ca="1">IF(OFFSET('Group Stages'!$H$7,A46,0)&lt;&gt;"",OFFSET('Group Stages'!$H$7,A46,0),"")</f>
        <v/>
      </c>
      <c r="I46" s="255" t="str">
        <f ca="1">IF(OFFSET('Group Stages'!$H$8,A46,0)&lt;&gt;"",OFFSET('Group Stages'!$H$8,A46,0),"")</f>
        <v/>
      </c>
      <c r="J46" s="65"/>
      <c r="K46" s="66" t="str">
        <f>F13</f>
        <v>Morocco</v>
      </c>
      <c r="L46" s="66"/>
      <c r="M46" s="66"/>
      <c r="N46" s="258" t="s">
        <v>709</v>
      </c>
      <c r="O46" s="18"/>
      <c r="P46" s="342" t="str">
        <f>INDEX(Translation,MATCH("Group H",TransRef,0),MATCH(Setup!$C$5,LanguageRef,0))</f>
        <v>Group H</v>
      </c>
      <c r="Q46" s="342"/>
      <c r="R46" s="54" t="s">
        <v>117</v>
      </c>
      <c r="S46" s="54" t="s">
        <v>118</v>
      </c>
      <c r="T46" s="54" t="s">
        <v>119</v>
      </c>
      <c r="U46" s="54" t="s">
        <v>120</v>
      </c>
      <c r="V46" s="54" t="s">
        <v>121</v>
      </c>
      <c r="W46" s="54" t="s">
        <v>122</v>
      </c>
      <c r="X46" s="19"/>
      <c r="Y46" s="120"/>
      <c r="CO46" s="24"/>
      <c r="CP46" s="24"/>
      <c r="CQ46" s="55"/>
      <c r="CR46" s="24"/>
    </row>
    <row r="47" spans="1:96" s="16" customFormat="1" ht="14.5" customHeight="1" x14ac:dyDescent="0.35">
      <c r="A47" s="47">
        <f t="shared" si="1"/>
        <v>84</v>
      </c>
      <c r="B47" s="56">
        <v>43</v>
      </c>
      <c r="C47" s="67" t="s">
        <v>128</v>
      </c>
      <c r="D47" s="68">
        <f t="shared" si="0"/>
        <v>44896.916666666664</v>
      </c>
      <c r="E47" s="69">
        <f>Calculator!BX49</f>
        <v>44896.916666666664</v>
      </c>
      <c r="F47" s="70" t="str">
        <f>K14</f>
        <v>Japan</v>
      </c>
      <c r="G47" s="70"/>
      <c r="H47" s="254" t="str">
        <f ca="1">IF(OFFSET('Group Stages'!$H$7,A47,0)&lt;&gt;"",OFFSET('Group Stages'!$H$7,A47,0),"")</f>
        <v/>
      </c>
      <c r="I47" s="255" t="str">
        <f ca="1">IF(OFFSET('Group Stages'!$H$8,A47,0)&lt;&gt;"",OFFSET('Group Stages'!$H$8,A47,0),"")</f>
        <v/>
      </c>
      <c r="J47" s="70"/>
      <c r="K47" s="16" t="str">
        <f>F15</f>
        <v>Spain</v>
      </c>
      <c r="N47" s="259" t="s">
        <v>710</v>
      </c>
      <c r="O47" s="18"/>
      <c r="P47" s="132">
        <v>1</v>
      </c>
      <c r="Q47" s="266" t="str">
        <f ca="1">INDEX(Calculator!$U$32:$U$35,MATCH(1,Calculator!$BK$32:$BK$35,0),0)</f>
        <v>Portugal</v>
      </c>
      <c r="R47" s="132">
        <f ca="1">VLOOKUP($Q47,Calculator!$C$4:$K$35,2,FALSE)</f>
        <v>0</v>
      </c>
      <c r="S47" s="132">
        <f ca="1">VLOOKUP($Q47,Calculator!$C$4:$K$35,3,FALSE)</f>
        <v>0</v>
      </c>
      <c r="T47" s="132">
        <f ca="1">VLOOKUP($Q47,Calculator!$C$4:$K$35,4,FALSE)</f>
        <v>0</v>
      </c>
      <c r="U47" s="132">
        <f ca="1">VLOOKUP($Q47,Calculator!$C$4:$K$35,5,FALSE)</f>
        <v>0</v>
      </c>
      <c r="V47" s="132" t="str">
        <f ca="1">VLOOKUP($Q47,Calculator!$C$4:$K$35,6,FALSE)&amp;" - "&amp;VLOOKUP($Q47,Calculator!$C$4:$K$35,7,FALSE)</f>
        <v>0 - 0</v>
      </c>
      <c r="W47" s="132">
        <f ca="1">VLOOKUP($Q47,Calculator!$C$4:$K$35,9,FALSE)</f>
        <v>0</v>
      </c>
      <c r="X47" s="19"/>
      <c r="Y47" s="120"/>
      <c r="CO47" s="24"/>
      <c r="CP47" s="24"/>
      <c r="CQ47" s="55"/>
      <c r="CR47" s="24"/>
    </row>
    <row r="48" spans="1:96" s="16" customFormat="1" ht="14.5" customHeight="1" x14ac:dyDescent="0.35">
      <c r="A48" s="47">
        <f t="shared" si="1"/>
        <v>86</v>
      </c>
      <c r="B48" s="56">
        <v>44</v>
      </c>
      <c r="C48" s="62" t="s">
        <v>128</v>
      </c>
      <c r="D48" s="63">
        <f t="shared" si="0"/>
        <v>44896.916666666664</v>
      </c>
      <c r="E48" s="64">
        <f>Calculator!BX50</f>
        <v>44896.916666666664</v>
      </c>
      <c r="F48" s="65" t="str">
        <f>K15</f>
        <v>Costa Rica</v>
      </c>
      <c r="G48" s="65"/>
      <c r="H48" s="254" t="str">
        <f ca="1">IF(OFFSET('Group Stages'!$H$7,A48,0)&lt;&gt;"",OFFSET('Group Stages'!$H$7,A48,0),"")</f>
        <v/>
      </c>
      <c r="I48" s="255" t="str">
        <f ca="1">IF(OFFSET('Group Stages'!$H$8,A48,0)&lt;&gt;"",OFFSET('Group Stages'!$H$8,A48,0),"")</f>
        <v/>
      </c>
      <c r="J48" s="65"/>
      <c r="K48" s="66" t="str">
        <f>F14</f>
        <v>Germany</v>
      </c>
      <c r="L48" s="66"/>
      <c r="M48" s="66"/>
      <c r="N48" s="258" t="s">
        <v>711</v>
      </c>
      <c r="O48" s="18"/>
      <c r="P48" s="132">
        <v>2</v>
      </c>
      <c r="Q48" s="266" t="str">
        <f ca="1">INDEX(Calculator!$U$32:$U$35,MATCH(2,Calculator!$BK$32:$BK$35,0),0)</f>
        <v>Uruguay</v>
      </c>
      <c r="R48" s="132">
        <f ca="1">VLOOKUP($Q48,Calculator!$C$4:$K$35,2,FALSE)</f>
        <v>0</v>
      </c>
      <c r="S48" s="132">
        <f ca="1">VLOOKUP($Q48,Calculator!$C$4:$K$35,3,FALSE)</f>
        <v>0</v>
      </c>
      <c r="T48" s="132">
        <f ca="1">VLOOKUP($Q48,Calculator!$C$4:$K$35,4,FALSE)</f>
        <v>0</v>
      </c>
      <c r="U48" s="132">
        <f ca="1">VLOOKUP($Q48,Calculator!$C$4:$K$35,5,FALSE)</f>
        <v>0</v>
      </c>
      <c r="V48" s="132" t="str">
        <f ca="1">VLOOKUP($Q48,Calculator!$C$4:$K$35,6,FALSE)&amp;" - "&amp;VLOOKUP($Q48,Calculator!$C$4:$K$35,7,FALSE)</f>
        <v>0 - 0</v>
      </c>
      <c r="W48" s="132">
        <f ca="1">VLOOKUP($Q48,Calculator!$C$4:$K$35,9,FALSE)</f>
        <v>0</v>
      </c>
      <c r="X48" s="19"/>
      <c r="Y48" s="120"/>
      <c r="CO48" s="24"/>
      <c r="CP48" s="24"/>
      <c r="CQ48" s="55"/>
      <c r="CR48" s="24"/>
    </row>
    <row r="49" spans="1:96" s="16" customFormat="1" ht="14.5" customHeight="1" x14ac:dyDescent="0.35">
      <c r="A49" s="47">
        <f t="shared" si="1"/>
        <v>88</v>
      </c>
      <c r="B49" s="56">
        <v>45</v>
      </c>
      <c r="C49" s="67" t="s">
        <v>130</v>
      </c>
      <c r="D49" s="68">
        <f t="shared" si="0"/>
        <v>44897.75</v>
      </c>
      <c r="E49" s="69">
        <f>Calculator!BX51</f>
        <v>44897.75</v>
      </c>
      <c r="F49" s="70" t="str">
        <f>K19</f>
        <v>Ghana</v>
      </c>
      <c r="G49" s="70"/>
      <c r="H49" s="254" t="str">
        <f ca="1">IF(OFFSET('Group Stages'!$H$7,A49,0)&lt;&gt;"",OFFSET('Group Stages'!$H$7,A49,0),"")</f>
        <v/>
      </c>
      <c r="I49" s="255" t="str">
        <f ca="1">IF(OFFSET('Group Stages'!$H$8,A49,0)&lt;&gt;"",OFFSET('Group Stages'!$H$8,A49,0),"")</f>
        <v/>
      </c>
      <c r="J49" s="70"/>
      <c r="K49" s="16" t="str">
        <f>F18</f>
        <v>Uruguay</v>
      </c>
      <c r="N49" s="259" t="s">
        <v>715</v>
      </c>
      <c r="O49" s="18"/>
      <c r="P49" s="71">
        <v>3</v>
      </c>
      <c r="Q49" s="72" t="str">
        <f ca="1">INDEX(Calculator!$U$32:$U$35,MATCH(3,Calculator!$BK$32:$BK$35,0),0)</f>
        <v>South Korea</v>
      </c>
      <c r="R49" s="71">
        <f ca="1">VLOOKUP($Q49,Calculator!$C$4:$K$35,2,FALSE)</f>
        <v>0</v>
      </c>
      <c r="S49" s="71">
        <f ca="1">VLOOKUP($Q49,Calculator!$C$4:$K$35,3,FALSE)</f>
        <v>0</v>
      </c>
      <c r="T49" s="71">
        <f ca="1">VLOOKUP($Q49,Calculator!$C$4:$K$35,4,FALSE)</f>
        <v>0</v>
      </c>
      <c r="U49" s="71">
        <f ca="1">VLOOKUP($Q49,Calculator!$C$4:$K$35,5,FALSE)</f>
        <v>0</v>
      </c>
      <c r="V49" s="71" t="str">
        <f ca="1">VLOOKUP($Q49,Calculator!$C$4:$K$35,6,FALSE)&amp;" - "&amp;VLOOKUP($Q49,Calculator!$C$4:$K$35,7,FALSE)</f>
        <v>0 - 0</v>
      </c>
      <c r="W49" s="71">
        <f ca="1">VLOOKUP($Q49,Calculator!$C$4:$K$35,9,FALSE)</f>
        <v>0</v>
      </c>
      <c r="X49" s="19"/>
      <c r="Y49" s="120"/>
      <c r="CO49" s="24"/>
      <c r="CP49" s="24"/>
      <c r="CQ49" s="55"/>
      <c r="CR49" s="24"/>
    </row>
    <row r="50" spans="1:96" s="16" customFormat="1" ht="14.5" customHeight="1" x14ac:dyDescent="0.35">
      <c r="A50" s="47">
        <f t="shared" si="1"/>
        <v>90</v>
      </c>
      <c r="B50" s="56">
        <v>46</v>
      </c>
      <c r="C50" s="62" t="s">
        <v>130</v>
      </c>
      <c r="D50" s="63">
        <f t="shared" si="0"/>
        <v>44897.75</v>
      </c>
      <c r="E50" s="64">
        <f>Calculator!BX52</f>
        <v>44897.75</v>
      </c>
      <c r="F50" s="65" t="str">
        <f>K18</f>
        <v>South Korea</v>
      </c>
      <c r="G50" s="65"/>
      <c r="H50" s="254" t="str">
        <f ca="1">IF(OFFSET('Group Stages'!$H$7,A50,0)&lt;&gt;"",OFFSET('Group Stages'!$H$7,A50,0),"")</f>
        <v/>
      </c>
      <c r="I50" s="255" t="str">
        <f ca="1">IF(OFFSET('Group Stages'!$H$8,A50,0)&lt;&gt;"",OFFSET('Group Stages'!$H$8,A50,0),"")</f>
        <v/>
      </c>
      <c r="J50" s="65"/>
      <c r="K50" s="66" t="str">
        <f>F19</f>
        <v>Portugal</v>
      </c>
      <c r="L50" s="66"/>
      <c r="M50" s="66"/>
      <c r="N50" s="258" t="s">
        <v>714</v>
      </c>
      <c r="P50" s="71">
        <v>4</v>
      </c>
      <c r="Q50" s="72" t="str">
        <f ca="1">INDEX(Calculator!$U$32:$U$35,MATCH(4,Calculator!$BK$32:$BK$35,0),0)</f>
        <v>Ghana</v>
      </c>
      <c r="R50" s="71">
        <f ca="1">VLOOKUP($Q50,Calculator!$C$4:$K$35,2,FALSE)</f>
        <v>0</v>
      </c>
      <c r="S50" s="71">
        <f ca="1">VLOOKUP($Q50,Calculator!$C$4:$K$35,3,FALSE)</f>
        <v>0</v>
      </c>
      <c r="T50" s="71">
        <f ca="1">VLOOKUP($Q50,Calculator!$C$4:$K$35,4,FALSE)</f>
        <v>0</v>
      </c>
      <c r="U50" s="71">
        <f ca="1">VLOOKUP($Q50,Calculator!$C$4:$K$35,5,FALSE)</f>
        <v>0</v>
      </c>
      <c r="V50" s="71" t="str">
        <f ca="1">VLOOKUP($Q50,Calculator!$C$4:$K$35,6,FALSE)&amp;" - "&amp;VLOOKUP($Q50,Calculator!$C$4:$K$35,7,FALSE)</f>
        <v>0 - 0</v>
      </c>
      <c r="W50" s="71">
        <f ca="1">VLOOKUP($Q50,Calculator!$C$4:$K$35,9,FALSE)</f>
        <v>0</v>
      </c>
      <c r="X50" s="19"/>
      <c r="Y50" s="120"/>
      <c r="CO50" s="24"/>
      <c r="CP50" s="24"/>
      <c r="CQ50" s="55"/>
      <c r="CR50" s="24"/>
    </row>
    <row r="51" spans="1:96" s="16" customFormat="1" ht="14.5" customHeight="1" x14ac:dyDescent="0.35">
      <c r="A51" s="47">
        <f t="shared" si="1"/>
        <v>92</v>
      </c>
      <c r="B51" s="56">
        <v>47</v>
      </c>
      <c r="C51" s="67" t="s">
        <v>129</v>
      </c>
      <c r="D51" s="68">
        <f t="shared" si="0"/>
        <v>44897.916666666664</v>
      </c>
      <c r="E51" s="69">
        <f>Calculator!BX53</f>
        <v>44897.916666666664</v>
      </c>
      <c r="F51" s="70" t="str">
        <f>K20</f>
        <v>Serbia</v>
      </c>
      <c r="G51" s="70"/>
      <c r="H51" s="254" t="str">
        <f ca="1">IF(OFFSET('Group Stages'!$H$7,A51,0)&lt;&gt;"",OFFSET('Group Stages'!$H$7,A51,0),"")</f>
        <v/>
      </c>
      <c r="I51" s="255" t="str">
        <f ca="1">IF(OFFSET('Group Stages'!$H$8,A51,0)&lt;&gt;"",OFFSET('Group Stages'!$H$8,A51,0),"")</f>
        <v/>
      </c>
      <c r="J51" s="70"/>
      <c r="K51" s="16" t="str">
        <f>F17</f>
        <v>Switzerland</v>
      </c>
      <c r="N51" s="259" t="s">
        <v>126</v>
      </c>
      <c r="P51" s="18"/>
      <c r="Q51" s="18"/>
      <c r="R51" s="18"/>
      <c r="S51" s="18"/>
      <c r="X51" s="19"/>
      <c r="Y51" s="120"/>
      <c r="CO51" s="24"/>
      <c r="CP51" s="24"/>
      <c r="CQ51" s="55"/>
      <c r="CR51" s="24"/>
    </row>
    <row r="52" spans="1:96" s="16" customFormat="1" ht="14.5" customHeight="1" x14ac:dyDescent="0.35">
      <c r="A52" s="47">
        <f t="shared" si="1"/>
        <v>94</v>
      </c>
      <c r="B52" s="56">
        <v>48</v>
      </c>
      <c r="C52" s="62" t="s">
        <v>129</v>
      </c>
      <c r="D52" s="63">
        <f t="shared" si="0"/>
        <v>44897.916666666664</v>
      </c>
      <c r="E52" s="64">
        <f>Calculator!BX54</f>
        <v>44897.916666666664</v>
      </c>
      <c r="F52" s="65" t="str">
        <f>K17</f>
        <v>Cameroon</v>
      </c>
      <c r="G52" s="65"/>
      <c r="H52" s="254" t="str">
        <f ca="1">IF(OFFSET('Group Stages'!$H$7,A52,0)&lt;&gt;"",OFFSET('Group Stages'!$H$7,A52,0),"")</f>
        <v/>
      </c>
      <c r="I52" s="255" t="str">
        <f ca="1">IF(OFFSET('Group Stages'!$H$8,A52,0)&lt;&gt;"",OFFSET('Group Stages'!$H$8,A52,0),"")</f>
        <v/>
      </c>
      <c r="J52" s="65"/>
      <c r="K52" s="66" t="str">
        <f>F20</f>
        <v>Brazil</v>
      </c>
      <c r="L52" s="66"/>
      <c r="M52" s="66"/>
      <c r="N52" s="258" t="s">
        <v>713</v>
      </c>
      <c r="P52" s="18"/>
      <c r="Q52" s="18"/>
      <c r="R52" s="18"/>
      <c r="S52" s="18"/>
      <c r="X52" s="19"/>
      <c r="Y52" s="120"/>
      <c r="CO52" s="24"/>
      <c r="CP52" s="24"/>
      <c r="CQ52" s="55"/>
      <c r="CR52" s="24"/>
    </row>
    <row r="53" spans="1:96" s="16" customFormat="1" ht="14.5" customHeight="1" x14ac:dyDescent="0.35">
      <c r="A53" s="47"/>
      <c r="B53" s="75" t="str">
        <f>INDEX(Translation,MATCH("Knock Out Rounds",TransRef,0),MATCH(Setup!C5,LanguageRef,0))</f>
        <v>Knock Out Rounds</v>
      </c>
      <c r="C53" s="76"/>
      <c r="D53" s="77"/>
      <c r="E53" s="78"/>
      <c r="F53" s="79"/>
      <c r="G53" s="79"/>
      <c r="H53" s="267"/>
      <c r="I53" s="267"/>
      <c r="J53" s="79"/>
      <c r="K53" s="80"/>
      <c r="L53" s="343" t="s">
        <v>131</v>
      </c>
      <c r="M53" s="343"/>
      <c r="N53" s="268"/>
      <c r="P53" s="344" t="str">
        <f>UPPER(INDEX(Translation,MATCH("World Cup 2022 Champion",TransRef,0),MATCH(Setup!$C$5,LanguageRef,0)))</f>
        <v>WORLD CUP 2022 CHAMPION</v>
      </c>
      <c r="Q53" s="344"/>
      <c r="R53" s="344"/>
      <c r="S53" s="344"/>
      <c r="T53" s="344"/>
      <c r="U53" s="344"/>
      <c r="V53" s="344"/>
      <c r="W53" s="344"/>
      <c r="X53" s="19"/>
      <c r="Y53" s="120"/>
      <c r="CO53" s="24"/>
      <c r="CP53" s="24"/>
      <c r="CQ53" s="55"/>
      <c r="CR53" s="24"/>
    </row>
    <row r="54" spans="1:96" s="16" customFormat="1" ht="14.5" customHeight="1" x14ac:dyDescent="0.35">
      <c r="A54" s="47">
        <v>0</v>
      </c>
      <c r="B54" s="81">
        <v>49</v>
      </c>
      <c r="C54" s="339" t="s">
        <v>132</v>
      </c>
      <c r="D54" s="240">
        <f t="shared" si="0"/>
        <v>44898.75</v>
      </c>
      <c r="E54" s="241">
        <f>Calculator!BX55</f>
        <v>44898.75</v>
      </c>
      <c r="F54" s="242" t="str">
        <f ca="1">IF(SUM(R5:R8)=12,Q5,INDEX(Translation,MATCH("Group A Winner",TransRef,0),MATCH(Setup!C5,LanguageRef,0)))</f>
        <v>Group A Winner</v>
      </c>
      <c r="G54" s="243"/>
      <c r="H54" s="254" t="str">
        <f ca="1">IF(OFFSET('Knock Out Stages'!$H$7,A54,0)&lt;&gt;"",OFFSET('Knock Out Stages'!$H$7,A54,0),"")</f>
        <v/>
      </c>
      <c r="I54" s="255" t="str">
        <f ca="1">IF(OFFSET('Knock Out Stages'!$H$8,A54,0)&lt;&gt;"",OFFSET('Knock Out Stages'!$H$8,A54,0),"")</f>
        <v/>
      </c>
      <c r="J54" s="243"/>
      <c r="K54" s="244" t="str">
        <f ca="1">IF(SUM(R11:R14)=12,Q12,INDEX(Translation,MATCH("Group B Runner Up",TransRef,0),MATCH(Setup!C5,LanguageRef,0)))</f>
        <v>Group B Runner Up</v>
      </c>
      <c r="L54" s="269">
        <f ca="1">OFFSET('Knock Out Stages'!$I$7,A54,0)</f>
        <v>0</v>
      </c>
      <c r="M54" s="270">
        <f ca="1">OFFSET('Knock Out Stages'!$I$8,A54,0)</f>
        <v>0</v>
      </c>
      <c r="N54" s="271" t="s">
        <v>710</v>
      </c>
      <c r="P54" s="344"/>
      <c r="Q54" s="344"/>
      <c r="R54" s="344"/>
      <c r="S54" s="344"/>
      <c r="T54" s="344"/>
      <c r="U54" s="344"/>
      <c r="V54" s="344"/>
      <c r="W54" s="344"/>
      <c r="X54" s="19"/>
      <c r="Y54" s="120"/>
      <c r="CO54" s="24"/>
      <c r="CP54" s="24"/>
      <c r="CQ54" s="55"/>
      <c r="CR54" s="24"/>
    </row>
    <row r="55" spans="1:96" s="16" customFormat="1" ht="14.5" customHeight="1" x14ac:dyDescent="0.35">
      <c r="A55" s="47">
        <f t="shared" ref="A55:A67" si="2">A54+2</f>
        <v>2</v>
      </c>
      <c r="B55" s="82">
        <v>50</v>
      </c>
      <c r="C55" s="339"/>
      <c r="D55" s="134">
        <f t="shared" si="0"/>
        <v>44898.916666666664</v>
      </c>
      <c r="E55" s="135">
        <f>Calculator!BX56</f>
        <v>44898.916666666664</v>
      </c>
      <c r="F55" s="136" t="str">
        <f ca="1">IF(SUM(R17:R20)=12,Q17,INDEX(Translation,MATCH("Group C Winner",TransRef,0),MATCH(Setup!C5,LanguageRef,0)))</f>
        <v>Group C Winner</v>
      </c>
      <c r="G55" s="137"/>
      <c r="H55" s="272" t="str">
        <f ca="1">IF(OFFSET('Knock Out Stages'!$H$7,A55,0)&lt;&gt;"",OFFSET('Knock Out Stages'!$H$7,A55,0),"")</f>
        <v/>
      </c>
      <c r="I55" s="273" t="str">
        <f ca="1">IF(OFFSET('Knock Out Stages'!$H$8,A55,0)&lt;&gt;"",OFFSET('Knock Out Stages'!$H$8,A55,0),"")</f>
        <v/>
      </c>
      <c r="J55" s="137"/>
      <c r="K55" s="11" t="str">
        <f ca="1">IF(SUM(R23:R26)=12,Q24,INDEX(Translation,MATCH("Group D Runner Up",TransRef,0),MATCH(Setup!C5,LanguageRef,0)))</f>
        <v>Group D Runner Up</v>
      </c>
      <c r="L55" s="274">
        <f ca="1">OFFSET('Knock Out Stages'!$I$7,A55,0)</f>
        <v>0</v>
      </c>
      <c r="M55" s="275">
        <f ca="1">OFFSET('Knock Out Stages'!$I$8,A55,0)</f>
        <v>0</v>
      </c>
      <c r="N55" s="276" t="s">
        <v>712</v>
      </c>
      <c r="P55" s="344"/>
      <c r="Q55" s="344"/>
      <c r="R55" s="344"/>
      <c r="S55" s="344"/>
      <c r="T55" s="344"/>
      <c r="U55" s="344"/>
      <c r="V55" s="344"/>
      <c r="W55" s="344"/>
      <c r="X55" s="19"/>
      <c r="Y55" s="120"/>
      <c r="CO55" s="24"/>
      <c r="CP55" s="24"/>
      <c r="CQ55" s="55"/>
      <c r="CR55" s="24"/>
    </row>
    <row r="56" spans="1:96" s="16" customFormat="1" ht="14.5" customHeight="1" x14ac:dyDescent="0.35">
      <c r="A56" s="47">
        <f t="shared" si="2"/>
        <v>4</v>
      </c>
      <c r="B56" s="82">
        <v>52</v>
      </c>
      <c r="C56" s="339"/>
      <c r="D56" s="63">
        <f t="shared" si="0"/>
        <v>44899.75</v>
      </c>
      <c r="E56" s="64">
        <f>Calculator!BX57</f>
        <v>44899.75</v>
      </c>
      <c r="F56" s="65" t="str">
        <f ca="1">IF(SUM(R23:R26)=12,Q23,INDEX(Translation,MATCH("Group D Winner",TransRef,0),MATCH(Setup!C5,LanguageRef,0)))</f>
        <v>Group D Winner</v>
      </c>
      <c r="G56" s="83"/>
      <c r="H56" s="272" t="str">
        <f ca="1">IF(OFFSET('Knock Out Stages'!$H$7,A56,0)&lt;&gt;"",OFFSET('Knock Out Stages'!$H$7,A56,0),"")</f>
        <v/>
      </c>
      <c r="I56" s="273" t="str">
        <f ca="1">IF(OFFSET('Knock Out Stages'!$H$8,A56,0)&lt;&gt;"",OFFSET('Knock Out Stages'!$H$8,A56,0),"")</f>
        <v/>
      </c>
      <c r="J56" s="83"/>
      <c r="K56" s="66" t="str">
        <f ca="1">IF(SUM(R17:R20)=12,Q18,INDEX(Translation,MATCH("Group C Runner Up",TransRef,0),MATCH(Setup!C5,LanguageRef,0)))</f>
        <v>Group C Runner Up</v>
      </c>
      <c r="L56" s="277">
        <f ca="1">OFFSET('Knock Out Stages'!$I$7,A56,0)</f>
        <v>0</v>
      </c>
      <c r="M56" s="278">
        <f ca="1">OFFSET('Knock Out Stages'!$I$8,A56,0)</f>
        <v>0</v>
      </c>
      <c r="N56" s="279" t="s">
        <v>709</v>
      </c>
      <c r="P56" s="344"/>
      <c r="Q56" s="344"/>
      <c r="R56" s="344"/>
      <c r="S56" s="344"/>
      <c r="T56" s="344"/>
      <c r="U56" s="344"/>
      <c r="V56" s="344"/>
      <c r="W56" s="344"/>
      <c r="X56" s="19"/>
      <c r="Y56" s="120"/>
      <c r="CO56" s="24"/>
      <c r="CP56" s="24"/>
      <c r="CQ56" s="55" t="s">
        <v>133</v>
      </c>
      <c r="CR56" s="24"/>
    </row>
    <row r="57" spans="1:96" s="16" customFormat="1" ht="14.5" customHeight="1" x14ac:dyDescent="0.35">
      <c r="A57" s="47">
        <f t="shared" si="2"/>
        <v>6</v>
      </c>
      <c r="B57" s="82">
        <v>51</v>
      </c>
      <c r="C57" s="339"/>
      <c r="D57" s="134">
        <f t="shared" si="0"/>
        <v>44899.916666666664</v>
      </c>
      <c r="E57" s="135">
        <f>Calculator!BX58</f>
        <v>44899.916666666664</v>
      </c>
      <c r="F57" s="136" t="str">
        <f ca="1">IF(SUM(R11:R14)=12,Q11,INDEX(Translation,MATCH("Group B Winner",TransRef,0),MATCH(Setup!C5,LanguageRef,0)))</f>
        <v>Group B Winner</v>
      </c>
      <c r="G57" s="137"/>
      <c r="H57" s="272" t="str">
        <f ca="1">IF(OFFSET('Knock Out Stages'!$H$7,A57,0)&lt;&gt;"",OFFSET('Knock Out Stages'!$H$7,A57,0),"")</f>
        <v/>
      </c>
      <c r="I57" s="273" t="str">
        <f ca="1">IF(OFFSET('Knock Out Stages'!$H$8,A57,0)&lt;&gt;"",OFFSET('Knock Out Stages'!$H$8,A57,0),"")</f>
        <v/>
      </c>
      <c r="J57" s="137"/>
      <c r="K57" s="11" t="str">
        <f ca="1">IF(SUM(R5:R8)=12,Q6,INDEX(Translation,MATCH("Group A Runner Up",TransRef,0),MATCH(Setup!C5,LanguageRef,0)))</f>
        <v>Group A Runner Up</v>
      </c>
      <c r="L57" s="274">
        <f ca="1">OFFSET('Knock Out Stages'!$I$7,A57,0)</f>
        <v>0</v>
      </c>
      <c r="M57" s="275">
        <f ca="1">OFFSET('Knock Out Stages'!$I$8,A57,0)</f>
        <v>0</v>
      </c>
      <c r="N57" s="276" t="s">
        <v>711</v>
      </c>
      <c r="P57" s="345" t="str">
        <f ca="1">UPPER(IF(AND(H69&lt;&gt;"",I69&lt;&gt;""),IF((H69+L69)&gt;(I69+M69),F69,IF((H69+L69)&lt;(I69+M69),K69,INDEX(Translation,MATCH("World Cup 2022 Champion",TransRef,0),MATCH(Setup!C5,LanguageRef,0)))),INDEX(Translation,MATCH("World Cup 2022 Champion",TransRef,0),MATCH(Setup!C5,LanguageRef,0))))</f>
        <v>WORLD CUP 2022 CHAMPION</v>
      </c>
      <c r="Q57" s="345"/>
      <c r="R57" s="345"/>
      <c r="S57" s="345"/>
      <c r="T57" s="345"/>
      <c r="U57" s="345"/>
      <c r="V57" s="345"/>
      <c r="W57" s="345"/>
      <c r="X57" s="19"/>
      <c r="Y57" s="120"/>
      <c r="CO57" s="24"/>
      <c r="CP57" s="24"/>
      <c r="CQ57" s="55" t="s">
        <v>134</v>
      </c>
      <c r="CR57" s="24"/>
    </row>
    <row r="58" spans="1:96" s="16" customFormat="1" ht="14.5" customHeight="1" x14ac:dyDescent="0.35">
      <c r="A58" s="47">
        <f t="shared" si="2"/>
        <v>8</v>
      </c>
      <c r="B58" s="82">
        <v>53</v>
      </c>
      <c r="C58" s="339"/>
      <c r="D58" s="63">
        <f t="shared" si="0"/>
        <v>44900.75</v>
      </c>
      <c r="E58" s="64">
        <f>Calculator!BX59</f>
        <v>44900.75</v>
      </c>
      <c r="F58" s="65" t="str">
        <f ca="1">IF(SUM(R29:R32)=12,Q29,INDEX(Translation,MATCH("Group E Winner",TransRef,0),MATCH(Setup!C5,LanguageRef,0)))</f>
        <v>Group E Winner</v>
      </c>
      <c r="G58" s="83"/>
      <c r="H58" s="272" t="str">
        <f ca="1">IF(OFFSET('Knock Out Stages'!$H$7,A58,0)&lt;&gt;"",OFFSET('Knock Out Stages'!$H$7,A58,0),"")</f>
        <v/>
      </c>
      <c r="I58" s="273" t="str">
        <f ca="1">IF(OFFSET('Knock Out Stages'!$H$8,A58,0)&lt;&gt;"",OFFSET('Knock Out Stages'!$H$8,A58,0),"")</f>
        <v/>
      </c>
      <c r="J58" s="83"/>
      <c r="K58" s="66" t="str">
        <f ca="1">IF(SUM(R35:R38)=12,Q36,INDEX(Translation,MATCH("Group F Runner Up",TransRef,0),MATCH(Setup!C5,LanguageRef,0)))</f>
        <v>Group F Runner Up</v>
      </c>
      <c r="L58" s="277">
        <f ca="1">OFFSET('Knock Out Stages'!$I$7,A58,0)</f>
        <v>0</v>
      </c>
      <c r="M58" s="278">
        <f ca="1">OFFSET('Knock Out Stages'!$I$8,A58,0)</f>
        <v>0</v>
      </c>
      <c r="N58" s="279" t="s">
        <v>715</v>
      </c>
      <c r="P58" s="345"/>
      <c r="Q58" s="345"/>
      <c r="R58" s="345"/>
      <c r="S58" s="345"/>
      <c r="T58" s="345"/>
      <c r="U58" s="345"/>
      <c r="V58" s="345"/>
      <c r="W58" s="345"/>
      <c r="X58" s="19"/>
      <c r="Y58" s="120"/>
      <c r="CO58" s="24"/>
      <c r="CP58" s="24"/>
      <c r="CQ58" s="55" t="s">
        <v>135</v>
      </c>
      <c r="CR58" s="24"/>
    </row>
    <row r="59" spans="1:96" s="16" customFormat="1" ht="14.5" customHeight="1" x14ac:dyDescent="0.35">
      <c r="A59" s="47">
        <f t="shared" si="2"/>
        <v>10</v>
      </c>
      <c r="B59" s="82">
        <v>54</v>
      </c>
      <c r="C59" s="339"/>
      <c r="D59" s="134">
        <f t="shared" si="0"/>
        <v>44900.916666666664</v>
      </c>
      <c r="E59" s="135">
        <f>Calculator!BX60</f>
        <v>44900.916666666664</v>
      </c>
      <c r="F59" s="136" t="str">
        <f ca="1">IF(SUM(R41:R44)=12,Q41,INDEX(Translation,MATCH("Group G Winner",TransRef,0),MATCH(Setup!C5,LanguageRef,0)))</f>
        <v>Group G Winner</v>
      </c>
      <c r="G59" s="137"/>
      <c r="H59" s="272" t="str">
        <f ca="1">IF(OFFSET('Knock Out Stages'!$H$7,A59,0)&lt;&gt;"",OFFSET('Knock Out Stages'!$H$7,A59,0),"")</f>
        <v/>
      </c>
      <c r="I59" s="273" t="str">
        <f ca="1">IF(OFFSET('Knock Out Stages'!$H$8,A59,0)&lt;&gt;"",OFFSET('Knock Out Stages'!$H$8,A59,0),"")</f>
        <v/>
      </c>
      <c r="J59" s="137"/>
      <c r="K59" s="11" t="str">
        <f ca="1">IF(SUM(R47:R50)=12,Q48,INDEX(Translation,MATCH("Group H Runner Up",TransRef,0),MATCH(Setup!C5,LanguageRef,0)))</f>
        <v>Group H Runner Up</v>
      </c>
      <c r="L59" s="274">
        <f ca="1">OFFSET('Knock Out Stages'!$I$7,A59,0)</f>
        <v>0</v>
      </c>
      <c r="M59" s="275">
        <f ca="1">OFFSET('Knock Out Stages'!$I$8,A59,0)</f>
        <v>0</v>
      </c>
      <c r="N59" s="276" t="s">
        <v>126</v>
      </c>
      <c r="P59" s="345"/>
      <c r="Q59" s="345"/>
      <c r="R59" s="345"/>
      <c r="S59" s="345"/>
      <c r="T59" s="345"/>
      <c r="U59" s="345"/>
      <c r="V59" s="345"/>
      <c r="W59" s="345"/>
      <c r="X59" s="19"/>
      <c r="Y59" s="120"/>
      <c r="CO59" s="24"/>
      <c r="CP59" s="24"/>
      <c r="CQ59" s="55" t="s">
        <v>136</v>
      </c>
      <c r="CR59" s="24"/>
    </row>
    <row r="60" spans="1:96" s="16" customFormat="1" ht="14.5" customHeight="1" x14ac:dyDescent="0.35">
      <c r="A60" s="47">
        <f t="shared" si="2"/>
        <v>12</v>
      </c>
      <c r="B60" s="82">
        <v>55</v>
      </c>
      <c r="C60" s="339"/>
      <c r="D60" s="63">
        <f t="shared" si="0"/>
        <v>44901.75</v>
      </c>
      <c r="E60" s="64">
        <f>Calculator!BX61</f>
        <v>44901.75</v>
      </c>
      <c r="F60" s="65" t="str">
        <f ca="1">IF(SUM(R35:R38)=12,Q35,INDEX(Translation,MATCH("Group F Winner",TransRef,0),MATCH(Setup!C5,LanguageRef,0)))</f>
        <v>Group F Winner</v>
      </c>
      <c r="G60" s="83"/>
      <c r="H60" s="272" t="str">
        <f ca="1">IF(OFFSET('Knock Out Stages'!$H$7,A60,0)&lt;&gt;"",OFFSET('Knock Out Stages'!$H$7,A60,0),"")</f>
        <v/>
      </c>
      <c r="I60" s="273" t="str">
        <f ca="1">IF(OFFSET('Knock Out Stages'!$H$8,A60,0)&lt;&gt;"",OFFSET('Knock Out Stages'!$H$8,A60,0),"")</f>
        <v/>
      </c>
      <c r="J60" s="83"/>
      <c r="K60" s="66" t="str">
        <f ca="1">IF(SUM(R29:R32)=12,Q30,INDEX(Translation,MATCH("Group E Runner Up",TransRef,0),MATCH(Setup!C5,LanguageRef,0)))</f>
        <v>Group E Runner Up</v>
      </c>
      <c r="L60" s="277">
        <f ca="1">OFFSET('Knock Out Stages'!$I$7,A60,0)</f>
        <v>0</v>
      </c>
      <c r="M60" s="278">
        <f ca="1">OFFSET('Knock Out Stages'!$I$8,A60,0)</f>
        <v>0</v>
      </c>
      <c r="N60" s="279" t="s">
        <v>714</v>
      </c>
      <c r="P60" s="345"/>
      <c r="Q60" s="345"/>
      <c r="R60" s="345"/>
      <c r="S60" s="345"/>
      <c r="T60" s="345"/>
      <c r="U60" s="345"/>
      <c r="V60" s="345"/>
      <c r="W60" s="345"/>
      <c r="X60" s="19"/>
      <c r="Y60" s="120"/>
      <c r="CO60" s="24"/>
      <c r="CP60" s="24"/>
      <c r="CQ60" s="55" t="s">
        <v>137</v>
      </c>
      <c r="CR60" s="24"/>
    </row>
    <row r="61" spans="1:96" s="16" customFormat="1" ht="14.5" customHeight="1" x14ac:dyDescent="0.35">
      <c r="A61" s="47">
        <f t="shared" si="2"/>
        <v>14</v>
      </c>
      <c r="B61" s="84">
        <v>56</v>
      </c>
      <c r="C61" s="339"/>
      <c r="D61" s="148">
        <f t="shared" si="0"/>
        <v>44901.916666666664</v>
      </c>
      <c r="E61" s="139">
        <f>Calculator!BX62</f>
        <v>44901.916666666664</v>
      </c>
      <c r="F61" s="140" t="str">
        <f ca="1">IF(SUM(R47:R50)=12,Q47,INDEX(Translation,MATCH("Group H Winner",TransRef,0),MATCH(Setup!C5,LanguageRef,0)))</f>
        <v>Group H Winner</v>
      </c>
      <c r="G61" s="141"/>
      <c r="H61" s="280" t="str">
        <f ca="1">IF(OFFSET('Knock Out Stages'!$H$7,A61,0)&lt;&gt;"",OFFSET('Knock Out Stages'!$H$7,A61,0),"")</f>
        <v/>
      </c>
      <c r="I61" s="281" t="str">
        <f ca="1">IF(OFFSET('Knock Out Stages'!$H$8,A61,0)&lt;&gt;"",OFFSET('Knock Out Stages'!$H$8,A61,0),"")</f>
        <v/>
      </c>
      <c r="J61" s="141"/>
      <c r="K61" s="142" t="str">
        <f ca="1">IF(SUM(R41:R44)=12,Q42,INDEX(Translation,MATCH("Group G Runner Up",TransRef,0),MATCH(Setup!C5,LanguageRef,0)))</f>
        <v>Group G Runner Up</v>
      </c>
      <c r="L61" s="282">
        <f ca="1">OFFSET('Knock Out Stages'!$I$7,A61,0)</f>
        <v>0</v>
      </c>
      <c r="M61" s="283">
        <f ca="1">OFFSET('Knock Out Stages'!$I$8,A61,0)</f>
        <v>0</v>
      </c>
      <c r="N61" s="284" t="s">
        <v>713</v>
      </c>
      <c r="P61" s="345"/>
      <c r="Q61" s="345"/>
      <c r="R61" s="345"/>
      <c r="S61" s="345"/>
      <c r="T61" s="345"/>
      <c r="U61" s="345"/>
      <c r="V61" s="345"/>
      <c r="W61" s="345"/>
      <c r="X61" s="19"/>
      <c r="Y61" s="120"/>
      <c r="CO61" s="24"/>
      <c r="CP61" s="24"/>
      <c r="CQ61" s="55" t="s">
        <v>138</v>
      </c>
      <c r="CR61" s="24"/>
    </row>
    <row r="62" spans="1:96" s="16" customFormat="1" ht="14.5" customHeight="1" x14ac:dyDescent="0.35">
      <c r="A62" s="47">
        <v>0</v>
      </c>
      <c r="B62" s="82">
        <v>58</v>
      </c>
      <c r="C62" s="346" t="s">
        <v>139</v>
      </c>
      <c r="D62" s="63">
        <f t="shared" si="0"/>
        <v>44904.75</v>
      </c>
      <c r="E62" s="64">
        <f>Calculator!BX63</f>
        <v>44904.75</v>
      </c>
      <c r="F62" s="65" t="str">
        <f ca="1">IF(AND(H58&lt;&gt;"",I58&lt;&gt;""),IF((H58+L58)&gt;(I58+M58),F58,IF((H58+L58)&lt;(I58+M58),K58,INDEX(Translation,MATCH("Match 53 Winner",TransRef,0),MATCH(Setup!C5,LanguageRef,0)))),INDEX(Translation,MATCH("Match 53 Winner",TransRef,0),MATCH(Setup!C5,LanguageRef,0)))</f>
        <v>Match 53 Winner</v>
      </c>
      <c r="G62" s="83"/>
      <c r="H62" s="254" t="str">
        <f ca="1">IF(OFFSET('Knock Out Stages'!$H$26,A62,0)&lt;&gt;"",OFFSET('Knock Out Stages'!$H$26,A62,0),"")</f>
        <v/>
      </c>
      <c r="I62" s="255" t="str">
        <f ca="1">IF(OFFSET('Knock Out Stages'!$H$27,A62,0)&lt;&gt;"",OFFSET('Knock Out Stages'!$H$27,A62,0),"")</f>
        <v/>
      </c>
      <c r="J62" s="83"/>
      <c r="K62" s="66" t="str">
        <f ca="1">IF(AND(H59&lt;&gt;"",I59&lt;&gt;""),IF((H59+L59)&gt;(I59+M59),F59,IF((H59+L59)&lt;(I59+M59),K59,INDEX(Translation,MATCH("Match 54 Winner",TransRef,0),MATCH(Setup!C5,LanguageRef,0)))),INDEX(Translation,MATCH("Match 54 Winner",TransRef,0),MATCH(Setup!C5,LanguageRef,0)))</f>
        <v>Match 54 Winner</v>
      </c>
      <c r="L62" s="269">
        <f ca="1">OFFSET('Knock Out Stages'!$I$26,A62,0)</f>
        <v>0</v>
      </c>
      <c r="M62" s="270">
        <f ca="1">OFFSET('Knock Out Stages'!$I$27,A62,0)</f>
        <v>0</v>
      </c>
      <c r="N62" s="279" t="s">
        <v>714</v>
      </c>
      <c r="P62" s="340" t="str">
        <f>INDEX(Translation,MATCH("Second Place",TransRef,0),MATCH(Setup!$C$5,LanguageRef,0))</f>
        <v>Second place</v>
      </c>
      <c r="Q62" s="340"/>
      <c r="R62" s="340"/>
      <c r="S62" s="340"/>
      <c r="T62" s="340"/>
      <c r="U62" s="340"/>
      <c r="V62" s="340"/>
      <c r="W62" s="340"/>
      <c r="X62" s="19"/>
      <c r="Y62" s="120"/>
      <c r="CO62" s="24"/>
      <c r="CP62" s="24"/>
      <c r="CQ62" s="55" t="s">
        <v>140</v>
      </c>
      <c r="CR62" s="24"/>
    </row>
    <row r="63" spans="1:96" ht="14.5" customHeight="1" x14ac:dyDescent="0.35">
      <c r="A63" s="47">
        <f t="shared" si="2"/>
        <v>2</v>
      </c>
      <c r="B63" s="82">
        <v>57</v>
      </c>
      <c r="C63" s="347"/>
      <c r="D63" s="134">
        <f t="shared" si="0"/>
        <v>44904.916666666664</v>
      </c>
      <c r="E63" s="135">
        <f>Calculator!BX64</f>
        <v>44904.916666666664</v>
      </c>
      <c r="F63" s="136" t="str">
        <f ca="1">IF(AND(H54&lt;&gt;"",I54&lt;&gt;""),IF((H54+L54)&gt;(I54+M54),F54,IF((H54+L54)&lt;(I54+M54),K54,INDEX(Translation,MATCH("Match 49 Winner",TransRef,0),MATCH(Setup!C5,LanguageRef,0)))),INDEX(Translation,MATCH("Match 49 Winner",TransRef,0),MATCH(Setup!C5,LanguageRef,0)))</f>
        <v>Match 49 Winner</v>
      </c>
      <c r="G63" s="137"/>
      <c r="H63" s="272" t="str">
        <f ca="1">IF(OFFSET('Knock Out Stages'!$H$26,A63,0)&lt;&gt;"",OFFSET('Knock Out Stages'!$H$26,A63,0),"")</f>
        <v/>
      </c>
      <c r="I63" s="273" t="str">
        <f ca="1">IF(OFFSET('Knock Out Stages'!$H$27,A63,0)&lt;&gt;"",OFFSET('Knock Out Stages'!$H$27,A63,0),"")</f>
        <v/>
      </c>
      <c r="J63" s="137"/>
      <c r="K63" s="11" t="str">
        <f ca="1">IF(AND(H55&lt;&gt;"",I55&lt;&gt;""),IF((H55+L55)&gt;(I55+M55),F55,IF((H55+L55)&lt;(I55+M55),K55,INDEX(Translation,MATCH("Match 50 Winner",TransRef,0),MATCH(Setup!C5,LanguageRef,0)))),INDEX(Translation,MATCH("Match 50 Winner",TransRef,0),MATCH(Setup!C5,LanguageRef,0)))</f>
        <v>Match 50 Winner</v>
      </c>
      <c r="L63" s="274">
        <f ca="1">OFFSET('Knock Out Stages'!$I$26,A63,0)</f>
        <v>0</v>
      </c>
      <c r="M63" s="275">
        <f ca="1">OFFSET('Knock Out Stages'!$I$27,A63,0)</f>
        <v>0</v>
      </c>
      <c r="N63" s="276" t="s">
        <v>713</v>
      </c>
      <c r="O63" s="16"/>
      <c r="P63" s="340"/>
      <c r="Q63" s="340"/>
      <c r="R63" s="340"/>
      <c r="S63" s="340"/>
      <c r="T63" s="340"/>
      <c r="U63" s="340"/>
      <c r="V63" s="340"/>
      <c r="W63" s="340"/>
      <c r="X63" s="19"/>
      <c r="Y63" s="120"/>
    </row>
    <row r="64" spans="1:96" ht="14.5" customHeight="1" x14ac:dyDescent="0.35">
      <c r="A64" s="47">
        <f t="shared" si="2"/>
        <v>4</v>
      </c>
      <c r="B64" s="82">
        <v>60</v>
      </c>
      <c r="C64" s="347"/>
      <c r="D64" s="63">
        <f t="shared" si="0"/>
        <v>44905.75</v>
      </c>
      <c r="E64" s="64">
        <f>Calculator!BX65</f>
        <v>44905.75</v>
      </c>
      <c r="F64" s="65" t="str">
        <f ca="1">IF(AND(H60&lt;&gt;"",I60&lt;&gt;""),IF((H60+L60)&gt;(I60+M60),F60,IF((H60+L60)&lt;(I60+M60),K60,INDEX(Translation,MATCH("Match 55 Winner",TransRef,0),MATCH(Setup!C5,LanguageRef,0)))),INDEX(Translation,MATCH("Match 55 Winner",TransRef,0),MATCH(Setup!C5,LanguageRef,0)))</f>
        <v>Match 55 Winner</v>
      </c>
      <c r="G64" s="83"/>
      <c r="H64" s="272" t="str">
        <f ca="1">IF(OFFSET('Knock Out Stages'!$H$26,A64,0)&lt;&gt;"",OFFSET('Knock Out Stages'!$H$26,A64,0),"")</f>
        <v/>
      </c>
      <c r="I64" s="273" t="str">
        <f ca="1">IF(OFFSET('Knock Out Stages'!$H$27,A64,0)&lt;&gt;"",OFFSET('Knock Out Stages'!$H$27,A64,0),"")</f>
        <v/>
      </c>
      <c r="J64" s="83"/>
      <c r="K64" s="66" t="str">
        <f ca="1">IF(AND(H61&lt;&gt;"",I61&lt;&gt;""),IF((H61+L61)&gt;(I61+M61),F61,IF((H61+L61)&lt;(I61+M61),K61,INDEX(Translation,MATCH("Match 56 Winner",TransRef,0),MATCH(Setup!C5,LanguageRef,0)))),INDEX(Translation,MATCH("Match 56 Winner",TransRef,0),MATCH(Setup!C5,LanguageRef,0)))</f>
        <v>Match 56 Winner</v>
      </c>
      <c r="L64" s="277">
        <f ca="1">OFFSET('Knock Out Stages'!$I$26,A64,0)</f>
        <v>0</v>
      </c>
      <c r="M64" s="278">
        <f ca="1">OFFSET('Knock Out Stages'!$I$27,A64,0)</f>
        <v>0</v>
      </c>
      <c r="N64" s="279" t="s">
        <v>709</v>
      </c>
      <c r="O64" s="16"/>
      <c r="P64" s="348" t="str">
        <f ca="1">UPPER(IF(AND(H69&lt;&gt;"",I69&lt;&gt;""),IF((H69+L69)&lt;(I69+M69),F69,IF((H69+L69)&gt;(I69+M69),K69,INDEX(Translation,MATCH("World Cup 2022 Runner Up",TransRef,0),MATCH(Setup!C5,LanguageRef,0)))),INDEX(Translation,MATCH("World Cup 2022 Runner Up",TransRef,0),MATCH(Setup!C5,LanguageRef,0))))</f>
        <v>WORLD CUP 2022 RUNNER UP</v>
      </c>
      <c r="Q64" s="348"/>
      <c r="R64" s="348"/>
      <c r="S64" s="348"/>
      <c r="T64" s="348"/>
      <c r="U64" s="348"/>
      <c r="V64" s="348"/>
      <c r="W64" s="348"/>
      <c r="X64" s="19"/>
      <c r="Y64" s="120"/>
    </row>
    <row r="65" spans="1:25" ht="14.5" customHeight="1" x14ac:dyDescent="0.35">
      <c r="A65" s="47">
        <f t="shared" si="2"/>
        <v>6</v>
      </c>
      <c r="B65" s="84">
        <v>59</v>
      </c>
      <c r="C65" s="347"/>
      <c r="D65" s="138">
        <f t="shared" si="0"/>
        <v>44905.916666666664</v>
      </c>
      <c r="E65" s="139">
        <f>Calculator!BX66</f>
        <v>44905.916666666664</v>
      </c>
      <c r="F65" s="140" t="str">
        <f ca="1">IF(AND(H57&lt;&gt;"",I57&lt;&gt;""),IF((H57+L57)&gt;(I57+M57),F57,IF((H57+L57)&lt;(I57+M57),K57,INDEX(Translation,MATCH("Match 51 Winner",TransRef,0),MATCH(Setup!C5,LanguageRef,0)))),INDEX(Translation,MATCH("Match 51 Winner",TransRef,0),MATCH(Setup!C5,LanguageRef,0)))</f>
        <v>Match 51 Winner</v>
      </c>
      <c r="G65" s="141"/>
      <c r="H65" s="280" t="str">
        <f ca="1">IF(OFFSET('Knock Out Stages'!$H$26,A65,0)&lt;&gt;"",OFFSET('Knock Out Stages'!$H$26,A65,0),"")</f>
        <v/>
      </c>
      <c r="I65" s="281" t="str">
        <f ca="1">IF(OFFSET('Knock Out Stages'!$H$27,A65,0)&lt;&gt;"",OFFSET('Knock Out Stages'!$H$27,A65,0),"")</f>
        <v/>
      </c>
      <c r="J65" s="141"/>
      <c r="K65" s="142" t="str">
        <f ca="1">IF(AND(H56&lt;&gt;"",I56&lt;&gt;""),IF((H56+L56)&gt;(I56+M56),F56,IF((H56+L56)&lt;(I56+M56),K56,INDEX(Translation,MATCH("Match 52 Winner",TransRef,0),MATCH(Setup!C5,LanguageRef,0)))),INDEX(Translation,MATCH("Match 52 Winner",TransRef,0),MATCH(Setup!C5,LanguageRef,0)))</f>
        <v>Match 52 Winner</v>
      </c>
      <c r="L65" s="282">
        <f ca="1">OFFSET('Knock Out Stages'!$I$26,A65,0)</f>
        <v>0</v>
      </c>
      <c r="M65" s="283">
        <f ca="1">OFFSET('Knock Out Stages'!$I$27,A65,0)</f>
        <v>0</v>
      </c>
      <c r="N65" s="284" t="s">
        <v>711</v>
      </c>
      <c r="O65" s="16"/>
      <c r="P65" s="348"/>
      <c r="Q65" s="348"/>
      <c r="R65" s="348"/>
      <c r="S65" s="348"/>
      <c r="T65" s="348"/>
      <c r="U65" s="348"/>
      <c r="V65" s="348"/>
      <c r="W65" s="348"/>
      <c r="X65" s="19"/>
      <c r="Y65" s="120"/>
    </row>
    <row r="66" spans="1:25" ht="14.5" customHeight="1" thickBot="1" x14ac:dyDescent="0.4">
      <c r="A66" s="47">
        <v>0</v>
      </c>
      <c r="B66" s="81">
        <v>61</v>
      </c>
      <c r="C66" s="339" t="s">
        <v>141</v>
      </c>
      <c r="D66" s="63">
        <f t="shared" si="0"/>
        <v>44908.916666666664</v>
      </c>
      <c r="E66" s="64">
        <f>Calculator!BX67</f>
        <v>44908.916666666664</v>
      </c>
      <c r="F66" s="65" t="str">
        <f ca="1">IF(AND(H63&lt;&gt;"",I63&lt;&gt;""),IF((H63+L63)&gt;(I63+M63),F63,IF((H63+L63)&lt;(I63+M63),K63,INDEX(Translation,MATCH("Match 57 Winner",TransRef,0),MATCH(Setup!C5,LanguageRef,0)))),INDEX(Translation,MATCH("Match 57 Winner",TransRef,0),MATCH(Setup!C5,LanguageRef,0)))</f>
        <v>Match 57 Winner</v>
      </c>
      <c r="G66" s="83"/>
      <c r="H66" s="254" t="str">
        <f ca="1">IF(OFFSET('Knock Out Stages'!$H$37,A66,0)&lt;&gt;"",OFFSET('Knock Out Stages'!$H$37,A66,0),"")</f>
        <v/>
      </c>
      <c r="I66" s="255" t="str">
        <f ca="1">IF(OFFSET('Knock Out Stages'!$H$38,A66,0)&lt;&gt;"",OFFSET('Knock Out Stages'!$H$38,A66,0),"")</f>
        <v/>
      </c>
      <c r="J66" s="83"/>
      <c r="K66" s="66" t="str">
        <f ca="1">IF(AND(H62&lt;&gt;"",I62&lt;&gt;""),IF((H62+L62)&gt;(I62+M62),F62,IF((H62+L62)&lt;(I62+M62),K62,INDEX(Translation,MATCH("Match 58 Winner",TransRef,0),MATCH(Setup!C5,LanguageRef,0)))),INDEX(Translation,MATCH("Match 58 Winner",TransRef,0),MATCH(Setup!C5,LanguageRef,0)))</f>
        <v>Match 58 Winner</v>
      </c>
      <c r="L66" s="285">
        <f ca="1">OFFSET('Knock Out Stages'!$I$37,A66,0)</f>
        <v>0</v>
      </c>
      <c r="M66" s="286">
        <f ca="1">OFFSET('Knock Out Stages'!$I$38,A66,0)</f>
        <v>0</v>
      </c>
      <c r="N66" s="279" t="s">
        <v>713</v>
      </c>
      <c r="O66" s="16"/>
      <c r="P66" s="340" t="str">
        <f>INDEX(Translation,MATCH("Third Place",TransRef,0),MATCH(Setup!$C$5,LanguageRef,0))</f>
        <v>Third Place</v>
      </c>
      <c r="Q66" s="340"/>
      <c r="R66" s="340"/>
      <c r="S66" s="340"/>
      <c r="T66" s="340"/>
      <c r="U66" s="340"/>
      <c r="V66" s="340"/>
      <c r="W66" s="340"/>
      <c r="X66" s="19"/>
      <c r="Y66" s="120"/>
    </row>
    <row r="67" spans="1:25" ht="14.5" customHeight="1" x14ac:dyDescent="0.35">
      <c r="A67" s="47">
        <f t="shared" si="2"/>
        <v>2</v>
      </c>
      <c r="B67" s="84">
        <v>62</v>
      </c>
      <c r="C67" s="339"/>
      <c r="D67" s="138">
        <f t="shared" si="0"/>
        <v>44909.916666666664</v>
      </c>
      <c r="E67" s="139">
        <f>Calculator!BX68</f>
        <v>44909.916666666664</v>
      </c>
      <c r="F67" s="140" t="str">
        <f ca="1">IF(AND(H65&lt;&gt;"",I65&lt;&gt;""),IF((H65+L65)&gt;(I65+M65),F65,IF((H65+L65)&lt;(I65+M65),K65,INDEX(Translation,MATCH("Match 59 Winner",TransRef,0),MATCH(Setup!C5,LanguageRef,0)))),INDEX(Translation,MATCH("Match 59 Winner",TransRef,0),MATCH(Setup!C5,LanguageRef,0)))</f>
        <v>Match 59 Winner</v>
      </c>
      <c r="G67" s="141"/>
      <c r="H67" s="280" t="str">
        <f ca="1">IF(OFFSET('Knock Out Stages'!$H$37,A67,0)&lt;&gt;"",OFFSET('Knock Out Stages'!$H$37,A67,0),"")</f>
        <v/>
      </c>
      <c r="I67" s="281" t="str">
        <f ca="1">IF(OFFSET('Knock Out Stages'!$H$38,A67,0)&lt;&gt;"",OFFSET('Knock Out Stages'!$H$38,A67,0),"")</f>
        <v/>
      </c>
      <c r="J67" s="141"/>
      <c r="K67" s="142" t="str">
        <f ca="1">IF(AND(H64&lt;&gt;"",I64&lt;&gt;""),IF((H64+L64)&gt;(I64+M64),F64,IF((H64+L64)&lt;(I64+M64),K64,INDEX(Translation,MATCH("Match 60 Winner",TransRef,0),MATCH(Setup!C5,LanguageRef,0)))),INDEX(Translation,MATCH("Match 60 Winner",TransRef,0),MATCH(Setup!C5,LanguageRef,0)))</f>
        <v>Match 60 Winner</v>
      </c>
      <c r="L67" s="287">
        <f ca="1">OFFSET('Knock Out Stages'!$I$37,A67,0)</f>
        <v>0</v>
      </c>
      <c r="M67" s="288">
        <f ca="1">OFFSET('Knock Out Stages'!$I$38,A67,0)</f>
        <v>0</v>
      </c>
      <c r="N67" s="284" t="s">
        <v>711</v>
      </c>
      <c r="O67" s="16"/>
      <c r="P67" s="340"/>
      <c r="Q67" s="340"/>
      <c r="R67" s="340"/>
      <c r="S67" s="340"/>
      <c r="T67" s="340"/>
      <c r="U67" s="340"/>
      <c r="V67" s="340"/>
      <c r="W67" s="340"/>
      <c r="X67" s="19"/>
      <c r="Y67" s="120"/>
    </row>
    <row r="68" spans="1:25" ht="14.5" customHeight="1" x14ac:dyDescent="0.35">
      <c r="A68" s="48">
        <v>0</v>
      </c>
      <c r="B68" s="86">
        <v>63</v>
      </c>
      <c r="C68" s="87" t="s">
        <v>142</v>
      </c>
      <c r="D68" s="88">
        <f t="shared" si="0"/>
        <v>44912.75</v>
      </c>
      <c r="E68" s="89">
        <f>Calculator!BX69</f>
        <v>44912.75</v>
      </c>
      <c r="F68" s="90" t="str">
        <f ca="1">IF(AND(H66&lt;&gt;"",I66&lt;&gt;""),IF((H66+L66)&lt;(I66+M66),F66,IF((H66+L66)&gt;(I66+M66),K66,INDEX(Translation,MATCH("Match 61 Loser",TransRef,0),MATCH(Setup!C5,LanguageRef,0)))),INDEX(Translation,MATCH("Match 61 Loser",TransRef,0),MATCH(Setup!C5,LanguageRef,0)))</f>
        <v>Match 61 Loser</v>
      </c>
      <c r="G68" s="91"/>
      <c r="H68" s="289" t="str">
        <f ca="1">IF(OFFSET('Knock Out Stages'!$H$44,A68,0)&lt;&gt;"",OFFSET('Knock Out Stages'!$H$44,A68,0),"")</f>
        <v/>
      </c>
      <c r="I68" s="290" t="str">
        <f ca="1">IF(OFFSET('Knock Out Stages'!$H$45,A68,0)&lt;&gt;"",OFFSET('Knock Out Stages'!$H$45,A68,0),"")</f>
        <v/>
      </c>
      <c r="J68" s="91"/>
      <c r="K68" s="92" t="str">
        <f ca="1">IF(AND(H67&lt;&gt;"",I67&lt;&gt;""),IF((H67+L67)&lt;(I67+M67),F67,IF((H67+L67)&gt;(I67+M67),K67,INDEX(Translation,MATCH("Match 62 Loser",TransRef,0),MATCH(Setup!C5,LanguageRef,0)))),INDEX(Translation,MATCH("Match 62 Loser",TransRef,0),MATCH(Setup!C5,LanguageRef,0)))</f>
        <v>Match 62 Loser</v>
      </c>
      <c r="L68" s="291">
        <f ca="1">OFFSET('Knock Out Stages'!$I$44,A68,0)</f>
        <v>0</v>
      </c>
      <c r="M68" s="292">
        <f ca="1">OFFSET('Knock Out Stages'!$I$45,A68,0)</f>
        <v>0</v>
      </c>
      <c r="N68" s="293" t="s">
        <v>710</v>
      </c>
      <c r="O68" s="16"/>
      <c r="P68" s="352" t="str">
        <f ca="1">UPPER(IF(AND(H68&lt;&gt;"",I68&lt;&gt;""),IF((H68+L68)&gt;(I68+M68),F68,IF((H68+L68)&lt;(I68+M68),K68,INDEX(Translation,MATCH("World Cup 2022 3rd Place",TransRef,0),MATCH(Setup!C5,LanguageRef,0)))),INDEX(Translation,MATCH("World Cup 2022 3rd Place",TransRef,0),MATCH(Setup!C5,LanguageRef,0))))</f>
        <v>WORLD CUP 2022 3RD PLACE</v>
      </c>
      <c r="Q68" s="352"/>
      <c r="R68" s="352"/>
      <c r="S68" s="352"/>
      <c r="T68" s="352"/>
      <c r="U68" s="352"/>
      <c r="V68" s="352"/>
      <c r="W68" s="352"/>
      <c r="X68" s="19"/>
      <c r="Y68" s="120"/>
    </row>
    <row r="69" spans="1:25" ht="14.5" customHeight="1" x14ac:dyDescent="0.35">
      <c r="A69" s="48">
        <v>0</v>
      </c>
      <c r="B69" s="86">
        <v>64</v>
      </c>
      <c r="C69" s="87" t="s">
        <v>127</v>
      </c>
      <c r="D69" s="143">
        <f t="shared" ref="D69" si="3">E69</f>
        <v>44913.75</v>
      </c>
      <c r="E69" s="144">
        <f>Calculator!BX70</f>
        <v>44913.75</v>
      </c>
      <c r="F69" s="145" t="str">
        <f ca="1">IF(AND(H66&lt;&gt;"",I66&lt;&gt;""),IF((H66+L66)&gt;(I66+M66),F66,IF((H66+L66)&lt;(I66+M66),K66,INDEX(Translation,MATCH("Match 61 Winner",TransRef,0),MATCH(Setup!C5,LanguageRef,0)))),INDEX(Translation,MATCH("Match 61 Winner",TransRef,0),MATCH(Setup!C5,LanguageRef,0)))</f>
        <v>Match 61 Winner</v>
      </c>
      <c r="G69" s="146"/>
      <c r="H69" s="289" t="str">
        <f ca="1">IF(OFFSET('Knock Out Stages'!$H$49,A69,0)&lt;&gt;"",OFFSET('Knock Out Stages'!$H$49,A69,0),"")</f>
        <v/>
      </c>
      <c r="I69" s="290" t="str">
        <f ca="1">IF(OFFSET('Knock Out Stages'!$H$50,A69,0)&lt;&gt;"",OFFSET('Knock Out Stages'!$H$50,A69,0),"")</f>
        <v/>
      </c>
      <c r="J69" s="146"/>
      <c r="K69" s="147" t="str">
        <f ca="1">IF(AND(H67&lt;&gt;"",I67&lt;&gt;""),IF((H67+L67)&gt;(I67+M67),F67,IF((H67+L67)&lt;(I67+M67),K67,INDEX(Translation,MATCH("Match 62 Winner",TransRef,0),MATCH(Setup!C5,LanguageRef,0)))),INDEX(Translation,MATCH("Match 62 Winner",TransRef,0),MATCH(Setup!C5,LanguageRef,0)))</f>
        <v>Match 62 Winner</v>
      </c>
      <c r="L69" s="294">
        <f ca="1">OFFSET('Knock Out Stages'!$I$49,A69,0)</f>
        <v>0</v>
      </c>
      <c r="M69" s="295">
        <f ca="1">OFFSET('Knock Out Stages'!$I$49,A69,0)</f>
        <v>0</v>
      </c>
      <c r="N69" s="296" t="s">
        <v>713</v>
      </c>
      <c r="O69" s="16"/>
      <c r="P69" s="352"/>
      <c r="Q69" s="352"/>
      <c r="R69" s="352"/>
      <c r="S69" s="352"/>
      <c r="T69" s="352"/>
      <c r="U69" s="352"/>
      <c r="V69" s="352"/>
      <c r="W69" s="352"/>
      <c r="X69" s="19"/>
      <c r="Y69" s="120"/>
    </row>
    <row r="70" spans="1:25" ht="14.4" customHeight="1" x14ac:dyDescent="0.35">
      <c r="B70" s="18" t="s">
        <v>143</v>
      </c>
      <c r="C70" s="16"/>
      <c r="D70" s="13"/>
      <c r="E70" s="16"/>
      <c r="F70" s="15"/>
      <c r="G70" s="15"/>
      <c r="H70" s="16"/>
      <c r="I70" s="16"/>
      <c r="J70" s="15"/>
      <c r="K70" s="17"/>
      <c r="L70" s="17"/>
      <c r="M70" s="17"/>
      <c r="N70" s="16"/>
      <c r="O70" s="16"/>
      <c r="X70" s="19"/>
      <c r="Y70" s="120"/>
    </row>
    <row r="71" spans="1:25" ht="14.4" customHeight="1" x14ac:dyDescent="0.35">
      <c r="O71" s="16"/>
      <c r="X71" s="19"/>
      <c r="Y71" s="120"/>
    </row>
    <row r="72" spans="1:25" x14ac:dyDescent="0.35">
      <c r="O72" s="16"/>
      <c r="X72" s="19"/>
      <c r="Y72" s="120"/>
    </row>
    <row r="73" spans="1:25" x14ac:dyDescent="0.35">
      <c r="H73" s="16"/>
      <c r="I73" s="16"/>
      <c r="J73" s="15"/>
      <c r="K73" s="17"/>
      <c r="L73" s="17"/>
      <c r="M73" s="17"/>
      <c r="N73" s="16"/>
      <c r="O73" s="93"/>
      <c r="X73" s="19"/>
      <c r="Y73" s="120"/>
    </row>
    <row r="74" spans="1:25" x14ac:dyDescent="0.35">
      <c r="H74" s="16"/>
      <c r="I74" s="16"/>
      <c r="J74" s="15"/>
      <c r="K74" s="17"/>
      <c r="L74" s="17"/>
      <c r="M74" s="17"/>
      <c r="N74" s="16"/>
      <c r="O74" s="11"/>
      <c r="X74" s="19"/>
      <c r="Y74" s="120"/>
    </row>
    <row r="75" spans="1:25" x14ac:dyDescent="0.35">
      <c r="H75" s="16"/>
      <c r="I75" s="16"/>
      <c r="J75" s="15"/>
      <c r="K75" s="17"/>
      <c r="L75" s="17"/>
      <c r="M75" s="17"/>
      <c r="N75" s="16"/>
      <c r="O75" s="11"/>
      <c r="X75" s="19"/>
      <c r="Y75" s="120"/>
    </row>
    <row r="76" spans="1:25" x14ac:dyDescent="0.35">
      <c r="H76" s="16"/>
      <c r="I76" s="16"/>
      <c r="J76" s="15"/>
      <c r="K76" s="17"/>
      <c r="L76" s="17"/>
      <c r="M76" s="17"/>
      <c r="N76" s="16"/>
      <c r="O76" s="11"/>
      <c r="X76" s="19"/>
      <c r="Y76" s="120"/>
    </row>
    <row r="77" spans="1:25" x14ac:dyDescent="0.35"/>
    <row r="78" spans="1:25" x14ac:dyDescent="0.35"/>
    <row r="79" spans="1:25" x14ac:dyDescent="0.35"/>
    <row r="80" spans="1:25" ht="15.65" customHeight="1" x14ac:dyDescent="0.35"/>
    <row r="81" x14ac:dyDescent="0.35"/>
    <row r="82" ht="28.75" customHeight="1" x14ac:dyDescent="0.35"/>
    <row r="83" ht="28.75" customHeight="1" x14ac:dyDescent="0.35"/>
    <row r="84" x14ac:dyDescent="0.35"/>
    <row r="85" ht="21" customHeight="1" x14ac:dyDescent="0.35"/>
    <row r="86" x14ac:dyDescent="0.35"/>
    <row r="87" x14ac:dyDescent="0.35"/>
    <row r="88" x14ac:dyDescent="0.35"/>
    <row r="89" x14ac:dyDescent="0.35"/>
    <row r="90" x14ac:dyDescent="0.35"/>
    <row r="91" x14ac:dyDescent="0.35"/>
    <row r="92" x14ac:dyDescent="0.35"/>
    <row r="93" x14ac:dyDescent="0.35"/>
    <row r="94" x14ac:dyDescent="0.35"/>
    <row r="95" x14ac:dyDescent="0.35"/>
    <row r="96" x14ac:dyDescent="0.35"/>
    <row r="97" x14ac:dyDescent="0.35"/>
    <row r="98" x14ac:dyDescent="0.35"/>
    <row r="99" x14ac:dyDescent="0.35"/>
    <row r="100" x14ac:dyDescent="0.35"/>
    <row r="101" x14ac:dyDescent="0.35"/>
    <row r="102" x14ac:dyDescent="0.35"/>
    <row r="103" x14ac:dyDescent="0.35"/>
    <row r="104" x14ac:dyDescent="0.35"/>
    <row r="105" x14ac:dyDescent="0.35"/>
    <row r="106" x14ac:dyDescent="0.35"/>
    <row r="107" x14ac:dyDescent="0.35"/>
    <row r="108" x14ac:dyDescent="0.35"/>
    <row r="109" x14ac:dyDescent="0.35"/>
    <row r="110" x14ac:dyDescent="0.35"/>
    <row r="111" x14ac:dyDescent="0.35"/>
    <row r="112" x14ac:dyDescent="0.35"/>
    <row r="113" x14ac:dyDescent="0.35"/>
    <row r="114" x14ac:dyDescent="0.35"/>
    <row r="115" x14ac:dyDescent="0.35"/>
    <row r="116" x14ac:dyDescent="0.35"/>
    <row r="117" x14ac:dyDescent="0.35"/>
    <row r="118" x14ac:dyDescent="0.35"/>
    <row r="119" x14ac:dyDescent="0.35"/>
    <row r="120" x14ac:dyDescent="0.35"/>
    <row r="121" x14ac:dyDescent="0.35"/>
    <row r="122" x14ac:dyDescent="0.35"/>
    <row r="123" x14ac:dyDescent="0.35"/>
    <row r="124" x14ac:dyDescent="0.35"/>
    <row r="125" x14ac:dyDescent="0.35"/>
    <row r="126" x14ac:dyDescent="0.35"/>
    <row r="127" x14ac:dyDescent="0.35"/>
    <row r="128" x14ac:dyDescent="0.35"/>
    <row r="129" x14ac:dyDescent="0.35"/>
    <row r="130" x14ac:dyDescent="0.35"/>
    <row r="131" x14ac:dyDescent="0.35"/>
    <row r="132" x14ac:dyDescent="0.35"/>
    <row r="133" x14ac:dyDescent="0.35"/>
    <row r="134" x14ac:dyDescent="0.35"/>
    <row r="135" x14ac:dyDescent="0.35"/>
    <row r="136" x14ac:dyDescent="0.35"/>
    <row r="137" x14ac:dyDescent="0.35"/>
    <row r="138" x14ac:dyDescent="0.35"/>
    <row r="139" x14ac:dyDescent="0.35"/>
    <row r="140" x14ac:dyDescent="0.35"/>
    <row r="141" x14ac:dyDescent="0.35"/>
    <row r="142" x14ac:dyDescent="0.35"/>
    <row r="143" x14ac:dyDescent="0.35"/>
    <row r="144" x14ac:dyDescent="0.35"/>
    <row r="145" x14ac:dyDescent="0.35"/>
    <row r="146" x14ac:dyDescent="0.35"/>
    <row r="147" x14ac:dyDescent="0.35"/>
    <row r="148" x14ac:dyDescent="0.35"/>
    <row r="149" x14ac:dyDescent="0.35"/>
    <row r="150" x14ac:dyDescent="0.35"/>
    <row r="151" x14ac:dyDescent="0.35"/>
    <row r="152" x14ac:dyDescent="0.35"/>
    <row r="153" x14ac:dyDescent="0.35"/>
    <row r="154" x14ac:dyDescent="0.35"/>
    <row r="155" x14ac:dyDescent="0.35"/>
    <row r="156" x14ac:dyDescent="0.35"/>
    <row r="157" x14ac:dyDescent="0.35"/>
    <row r="158" x14ac:dyDescent="0.35"/>
    <row r="159" x14ac:dyDescent="0.35"/>
    <row r="160" x14ac:dyDescent="0.35"/>
    <row r="161" x14ac:dyDescent="0.35"/>
    <row r="162" x14ac:dyDescent="0.35"/>
    <row r="163" x14ac:dyDescent="0.35"/>
    <row r="164" x14ac:dyDescent="0.35"/>
    <row r="165" x14ac:dyDescent="0.35"/>
    <row r="166" x14ac:dyDescent="0.35"/>
    <row r="167" x14ac:dyDescent="0.35"/>
    <row r="168" x14ac:dyDescent="0.35"/>
    <row r="169" x14ac:dyDescent="0.35"/>
  </sheetData>
  <sheetProtection password="CBF1" sheet="1" objects="1" scenarios="1"/>
  <mergeCells count="20">
    <mergeCell ref="N2:W2"/>
    <mergeCell ref="P68:W69"/>
    <mergeCell ref="P34:Q34"/>
    <mergeCell ref="P40:Q40"/>
    <mergeCell ref="P46:Q46"/>
    <mergeCell ref="C66:C67"/>
    <mergeCell ref="P66:W67"/>
    <mergeCell ref="C54:C61"/>
    <mergeCell ref="H3:I3"/>
    <mergeCell ref="P4:Q4"/>
    <mergeCell ref="P10:Q10"/>
    <mergeCell ref="P16:Q16"/>
    <mergeCell ref="P22:Q22"/>
    <mergeCell ref="P28:Q28"/>
    <mergeCell ref="L53:M53"/>
    <mergeCell ref="P53:W56"/>
    <mergeCell ref="P57:W61"/>
    <mergeCell ref="C62:C65"/>
    <mergeCell ref="P62:W63"/>
    <mergeCell ref="P64:W65"/>
  </mergeCells>
  <conditionalFormatting sqref="L54:M67">
    <cfRule type="expression" dxfId="149" priority="64">
      <formula>AND($H54&lt;&gt;"",$I54&lt;&gt;"",$H54=$I54)</formula>
    </cfRule>
  </conditionalFormatting>
  <conditionalFormatting sqref="F54:F67">
    <cfRule type="expression" dxfId="148" priority="53">
      <formula>$L54&gt;$M54</formula>
    </cfRule>
    <cfRule type="expression" dxfId="147" priority="54">
      <formula>$L54&lt;$M54</formula>
    </cfRule>
    <cfRule type="expression" dxfId="146" priority="59">
      <formula>$H54&lt;$I54</formula>
    </cfRule>
    <cfRule type="expression" dxfId="145" priority="60">
      <formula>$H54&gt;$I54</formula>
    </cfRule>
  </conditionalFormatting>
  <conditionalFormatting sqref="K54:K67">
    <cfRule type="expression" dxfId="144" priority="55">
      <formula>$L54&lt;$M54</formula>
    </cfRule>
    <cfRule type="expression" dxfId="143" priority="56">
      <formula>$L54&gt;$M54</formula>
    </cfRule>
    <cfRule type="expression" dxfId="142" priority="57">
      <formula>$H54&gt;$I54</formula>
    </cfRule>
    <cfRule type="expression" dxfId="141" priority="58">
      <formula>$H54&lt;$I54</formula>
    </cfRule>
  </conditionalFormatting>
  <conditionalFormatting sqref="H5:I52">
    <cfRule type="expression" dxfId="140" priority="52">
      <formula>ISTEXT(H5)</formula>
    </cfRule>
  </conditionalFormatting>
  <conditionalFormatting sqref="F5:G20">
    <cfRule type="expression" dxfId="139" priority="50">
      <formula>$H5&lt;$I5</formula>
    </cfRule>
    <cfRule type="expression" dxfId="138" priority="51">
      <formula>$H5&gt;$I5</formula>
    </cfRule>
  </conditionalFormatting>
  <conditionalFormatting sqref="K5:K20">
    <cfRule type="expression" dxfId="137" priority="48">
      <formula>$H5&gt;$I5</formula>
    </cfRule>
    <cfRule type="expression" dxfId="136" priority="49">
      <formula>$H5&lt;$I5</formula>
    </cfRule>
  </conditionalFormatting>
  <conditionalFormatting sqref="J5:J20">
    <cfRule type="expression" dxfId="135" priority="46">
      <formula>$H5&lt;$I5</formula>
    </cfRule>
    <cfRule type="expression" dxfId="134" priority="47">
      <formula>$H5&gt;$I5</formula>
    </cfRule>
  </conditionalFormatting>
  <conditionalFormatting sqref="F21:G36">
    <cfRule type="expression" dxfId="133" priority="44">
      <formula>$H21&lt;$I21</formula>
    </cfRule>
    <cfRule type="expression" dxfId="132" priority="45">
      <formula>$H21&gt;$I21</formula>
    </cfRule>
  </conditionalFormatting>
  <conditionalFormatting sqref="K21:K36">
    <cfRule type="expression" dxfId="131" priority="42">
      <formula>$H21&gt;$I21</formula>
    </cfRule>
    <cfRule type="expression" dxfId="130" priority="43">
      <formula>$H21&lt;$I21</formula>
    </cfRule>
  </conditionalFormatting>
  <conditionalFormatting sqref="J21:J36">
    <cfRule type="expression" dxfId="129" priority="40">
      <formula>$H21&lt;$I21</formula>
    </cfRule>
    <cfRule type="expression" dxfId="128" priority="41">
      <formula>$H21&gt;$I21</formula>
    </cfRule>
  </conditionalFormatting>
  <conditionalFormatting sqref="F37:G52">
    <cfRule type="expression" dxfId="127" priority="38">
      <formula>$H37&lt;$I37</formula>
    </cfRule>
    <cfRule type="expression" dxfId="126" priority="39">
      <formula>$H37&gt;$I37</formula>
    </cfRule>
  </conditionalFormatting>
  <conditionalFormatting sqref="K37:K52">
    <cfRule type="expression" dxfId="125" priority="36">
      <formula>$H37&gt;$I37</formula>
    </cfRule>
    <cfRule type="expression" dxfId="124" priority="37">
      <formula>$H37&lt;$I37</formula>
    </cfRule>
  </conditionalFormatting>
  <conditionalFormatting sqref="J37:J52">
    <cfRule type="expression" dxfId="123" priority="34">
      <formula>$H37&lt;$I37</formula>
    </cfRule>
    <cfRule type="expression" dxfId="122" priority="35">
      <formula>$H37&gt;$I37</formula>
    </cfRule>
  </conditionalFormatting>
  <conditionalFormatting sqref="F68:F69">
    <cfRule type="expression" dxfId="121" priority="24">
      <formula>$L68&gt;$M68</formula>
    </cfRule>
    <cfRule type="expression" dxfId="120" priority="25">
      <formula>$L68&lt;$M68</formula>
    </cfRule>
    <cfRule type="expression" dxfId="119" priority="30">
      <formula>$H68&lt;$I68</formula>
    </cfRule>
    <cfRule type="expression" dxfId="118" priority="31">
      <formula>$H68&gt;$I68</formula>
    </cfRule>
  </conditionalFormatting>
  <conditionalFormatting sqref="K68:K69">
    <cfRule type="expression" dxfId="117" priority="26">
      <formula>$L68&lt;$M68</formula>
    </cfRule>
    <cfRule type="expression" dxfId="116" priority="27">
      <formula>$L68&gt;$M68</formula>
    </cfRule>
    <cfRule type="expression" dxfId="115" priority="28">
      <formula>$H68&gt;$I68</formula>
    </cfRule>
    <cfRule type="expression" dxfId="114" priority="29">
      <formula>$H68&lt;$I68</formula>
    </cfRule>
  </conditionalFormatting>
  <conditionalFormatting sqref="H54:I59">
    <cfRule type="expression" dxfId="113" priority="23">
      <formula>ISTEXT(H54)</formula>
    </cfRule>
  </conditionalFormatting>
  <conditionalFormatting sqref="H60:I69">
    <cfRule type="expression" dxfId="112" priority="22">
      <formula>ISTEXT(H60)</formula>
    </cfRule>
  </conditionalFormatting>
  <conditionalFormatting sqref="P3:W69">
    <cfRule type="expression" dxfId="111" priority="20">
      <formula>$B$70&lt;&gt;"© 2022 | journalSHEET.com"</formula>
    </cfRule>
  </conditionalFormatting>
  <conditionalFormatting sqref="L54:M54">
    <cfRule type="expression" dxfId="110" priority="17">
      <formula>L54=0</formula>
    </cfRule>
  </conditionalFormatting>
  <conditionalFormatting sqref="L55:M55">
    <cfRule type="expression" dxfId="109" priority="16">
      <formula>L55=0</formula>
    </cfRule>
  </conditionalFormatting>
  <conditionalFormatting sqref="L56:M56">
    <cfRule type="expression" dxfId="108" priority="15">
      <formula>L56=0</formula>
    </cfRule>
  </conditionalFormatting>
  <conditionalFormatting sqref="L57:M57">
    <cfRule type="expression" dxfId="107" priority="14">
      <formula>L57=0</formula>
    </cfRule>
  </conditionalFormatting>
  <conditionalFormatting sqref="L58:M58">
    <cfRule type="expression" dxfId="106" priority="13">
      <formula>L58=0</formula>
    </cfRule>
  </conditionalFormatting>
  <conditionalFormatting sqref="L59:M59">
    <cfRule type="expression" dxfId="105" priority="12">
      <formula>L59=0</formula>
    </cfRule>
  </conditionalFormatting>
  <conditionalFormatting sqref="L60:M60">
    <cfRule type="expression" dxfId="104" priority="11">
      <formula>L60=0</formula>
    </cfRule>
  </conditionalFormatting>
  <conditionalFormatting sqref="L61:M61">
    <cfRule type="expression" dxfId="103" priority="10">
      <formula>L61=0</formula>
    </cfRule>
  </conditionalFormatting>
  <conditionalFormatting sqref="L62:M62">
    <cfRule type="expression" dxfId="102" priority="9">
      <formula>L62=0</formula>
    </cfRule>
  </conditionalFormatting>
  <conditionalFormatting sqref="L63:M63">
    <cfRule type="expression" dxfId="101" priority="8">
      <formula>L63=0</formula>
    </cfRule>
  </conditionalFormatting>
  <conditionalFormatting sqref="L64:M64">
    <cfRule type="expression" dxfId="100" priority="7">
      <formula>L64=0</formula>
    </cfRule>
  </conditionalFormatting>
  <conditionalFormatting sqref="L65:M65">
    <cfRule type="expression" dxfId="99" priority="6">
      <formula>L65=0</formula>
    </cfRule>
  </conditionalFormatting>
  <conditionalFormatting sqref="L66:M66">
    <cfRule type="expression" dxfId="98" priority="5">
      <formula>L66=0</formula>
    </cfRule>
  </conditionalFormatting>
  <conditionalFormatting sqref="L67:M67">
    <cfRule type="expression" dxfId="97" priority="4">
      <formula>L67=0</formula>
    </cfRule>
  </conditionalFormatting>
  <conditionalFormatting sqref="L68:M69">
    <cfRule type="expression" dxfId="96" priority="3">
      <formula>AND($H68&lt;&gt;"",$I68&lt;&gt;"",$H68=$I68)</formula>
    </cfRule>
  </conditionalFormatting>
  <conditionalFormatting sqref="L68:M68">
    <cfRule type="expression" dxfId="95" priority="2">
      <formula>L68=0</formula>
    </cfRule>
  </conditionalFormatting>
  <conditionalFormatting sqref="L69:M69">
    <cfRule type="expression" dxfId="94" priority="1">
      <formula>L69=0</formula>
    </cfRule>
  </conditionalFormatting>
  <hyperlinks>
    <hyperlink ref="AE6" r:id="rId1"/>
    <hyperlink ref="N2:W2" location="About!A1" display="CLICK HERE TO PURCHASE FULLY EDITABLE VERSION"/>
  </hyperlinks>
  <printOptions horizontalCentered="1" verticalCentered="1"/>
  <pageMargins left="0.3" right="0.3" top="0.3" bottom="0.3" header="0.21" footer="0.26"/>
  <pageSetup scale="73" orientation="portrait" horizontalDpi="300" verticalDpi="300" r:id="rId2"/>
  <headerFooter alignWithMargins="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L105"/>
  <sheetViews>
    <sheetView showGridLines="0" zoomScaleNormal="100" workbookViewId="0">
      <pane ySplit="6" topLeftCell="A7" activePane="bottomLeft" state="frozen"/>
      <selection pane="bottomLeft" activeCell="K12" sqref="K12"/>
    </sheetView>
  </sheetViews>
  <sheetFormatPr defaultColWidth="9.08984375" defaultRowHeight="14.5" x14ac:dyDescent="0.25"/>
  <cols>
    <col min="1" max="1" width="1.6328125" style="26" customWidth="1"/>
    <col min="2" max="2" width="8.6328125" style="26" customWidth="1"/>
    <col min="3" max="3" width="7.54296875" style="26" customWidth="1"/>
    <col min="4" max="5" width="12.6328125" style="26" customWidth="1"/>
    <col min="6" max="6" width="20.6328125" style="26" customWidth="1"/>
    <col min="7" max="7" width="1.6328125" style="28" customWidth="1"/>
    <col min="8" max="8" width="4.6328125" style="26" customWidth="1"/>
    <col min="9" max="9" width="1.6328125" style="28" customWidth="1"/>
    <col min="10" max="17" width="20.6328125" style="26" customWidth="1"/>
    <col min="18" max="83" width="9.08984375" style="26" customWidth="1"/>
    <col min="84" max="87" width="9.08984375" style="181" customWidth="1"/>
    <col min="88" max="90" width="9.08984375" style="26" customWidth="1"/>
    <col min="91" max="16384" width="9.08984375" style="26"/>
  </cols>
  <sheetData>
    <row r="1" spans="1:90" s="109" customFormat="1" ht="5" customHeight="1" x14ac:dyDescent="0.25">
      <c r="A1" s="175"/>
      <c r="B1" s="175"/>
      <c r="C1" s="176"/>
      <c r="D1" s="175"/>
      <c r="E1" s="175"/>
      <c r="F1" s="175"/>
      <c r="G1" s="176"/>
      <c r="H1" s="175"/>
      <c r="I1" s="175"/>
      <c r="J1" s="177">
        <v>1</v>
      </c>
      <c r="K1" s="177">
        <v>2</v>
      </c>
      <c r="L1" s="177">
        <v>3</v>
      </c>
      <c r="M1" s="177">
        <v>4</v>
      </c>
      <c r="N1" s="177">
        <v>5</v>
      </c>
      <c r="O1" s="177">
        <v>6</v>
      </c>
      <c r="P1" s="177">
        <v>7</v>
      </c>
      <c r="Q1" s="177">
        <v>8</v>
      </c>
      <c r="CF1" s="178"/>
      <c r="CG1" s="178"/>
      <c r="CH1" s="178"/>
      <c r="CI1" s="178"/>
    </row>
    <row r="2" spans="1:90" ht="5" customHeight="1" x14ac:dyDescent="0.25">
      <c r="A2" s="179"/>
      <c r="B2" s="179"/>
      <c r="C2" s="180"/>
      <c r="D2" s="179"/>
      <c r="E2" s="179"/>
      <c r="F2" s="179"/>
      <c r="G2" s="180"/>
      <c r="H2" s="179"/>
      <c r="I2" s="179"/>
      <c r="J2" s="179"/>
      <c r="K2" s="179"/>
      <c r="L2" s="179"/>
      <c r="M2" s="179"/>
      <c r="N2" s="179"/>
      <c r="O2" s="179"/>
      <c r="P2" s="179"/>
      <c r="Q2" s="179"/>
    </row>
    <row r="3" spans="1:90" ht="30" customHeight="1" x14ac:dyDescent="0.5">
      <c r="A3" s="182"/>
      <c r="B3" s="183" t="str">
        <f>UPPER(INDEX(Language!$A$1:$H$112,MATCH("Group Stages",Language!$B$1:$B$122,0),MATCH(Setup!$C$5,Language!$A$1:$G$1,0)))</f>
        <v>GROUP STAGES</v>
      </c>
      <c r="C3" s="183"/>
      <c r="D3" s="183"/>
      <c r="E3" s="183"/>
      <c r="F3" s="183"/>
      <c r="G3" s="184"/>
      <c r="H3" s="183"/>
      <c r="I3" s="183"/>
      <c r="J3" s="193" t="s">
        <v>726</v>
      </c>
      <c r="K3" s="194"/>
      <c r="L3" s="194"/>
      <c r="M3" s="194"/>
      <c r="N3" s="194"/>
      <c r="O3" s="195"/>
      <c r="P3" s="195"/>
      <c r="Q3" s="195"/>
    </row>
    <row r="4" spans="1:90" ht="15" customHeight="1" x14ac:dyDescent="0.25">
      <c r="B4" s="185" t="str">
        <f>INDEX(Language!$A$1:$H$112,MATCH("Group",Language!$B$1:$B$122,0),MATCH(Setup!$C$5,Language!$A$1:$G$1,0))</f>
        <v>Group</v>
      </c>
      <c r="C4" s="185" t="str">
        <f>INDEX(Language!$A$1:$H$112,MATCH("Match #",Language!$B$1:$B$122,0),MATCH(Setup!$C$5,Language!$A$1:$G$1,0))</f>
        <v>Match #</v>
      </c>
      <c r="D4" s="185" t="str">
        <f>INDEX(Language!$A$1:$H$112,MATCH("Date",Language!$B$1:$B$122,0),MATCH(Setup!$C$5,Language!$A$1:$G$1,0))</f>
        <v>Date</v>
      </c>
      <c r="E4" s="185" t="str">
        <f>INDEX(Language!$A$1:$H$112,MATCH("Time",Language!$B$1:$B$122,0),MATCH(Setup!$C$5,Language!$A$1:$G$1,0))</f>
        <v>Time</v>
      </c>
      <c r="F4" s="220" t="str">
        <f>INDEX(Language!$A$1:$H$112,MATCH("Country",Language!$B$1:$B$122,0),MATCH(Setup!$C$5,Language!$A$1:$G$1,0))</f>
        <v>Country</v>
      </c>
      <c r="G4" s="185"/>
      <c r="H4" s="185" t="str">
        <f>INDEX(Language!$A$1:$H$112,MATCH("Score",Language!$B$1:$B$122,0),MATCH(Setup!$C$5,Language!$A$1:$G$1,0))</f>
        <v>Score</v>
      </c>
      <c r="I4" s="121"/>
      <c r="J4" s="185" t="s">
        <v>716</v>
      </c>
      <c r="K4" s="185" t="s">
        <v>717</v>
      </c>
      <c r="L4" s="185" t="s">
        <v>142</v>
      </c>
      <c r="M4" s="185" t="s">
        <v>718</v>
      </c>
      <c r="N4" s="185" t="s">
        <v>719</v>
      </c>
      <c r="O4" s="185" t="s">
        <v>720</v>
      </c>
      <c r="P4" s="186" t="s">
        <v>721</v>
      </c>
      <c r="Q4" s="186" t="s">
        <v>722</v>
      </c>
      <c r="CF4" s="26"/>
      <c r="CG4" s="26"/>
      <c r="CH4" s="16"/>
      <c r="CI4" s="16"/>
    </row>
    <row r="5" spans="1:90" ht="5" customHeight="1" x14ac:dyDescent="0.25">
      <c r="B5" s="353"/>
      <c r="C5" s="353"/>
      <c r="D5" s="353"/>
      <c r="E5" s="353"/>
      <c r="F5" s="353"/>
      <c r="G5" s="353"/>
      <c r="H5" s="353"/>
      <c r="I5" s="353"/>
      <c r="J5" s="353"/>
      <c r="K5" s="353"/>
      <c r="L5" s="353"/>
      <c r="M5" s="353"/>
      <c r="N5" s="353"/>
      <c r="O5" s="353"/>
      <c r="P5" s="353"/>
      <c r="Q5" s="353"/>
      <c r="CD5" s="181"/>
      <c r="CE5" s="181"/>
      <c r="CH5" s="26"/>
      <c r="CI5" s="26"/>
    </row>
    <row r="6" spans="1:90" ht="5" customHeight="1" x14ac:dyDescent="0.25">
      <c r="B6" s="16"/>
      <c r="C6" s="16"/>
      <c r="D6" s="47"/>
      <c r="E6" s="16"/>
      <c r="F6" s="16"/>
      <c r="G6" s="67"/>
      <c r="H6" s="16"/>
      <c r="I6" s="16"/>
      <c r="J6" s="16"/>
      <c r="K6" s="16"/>
      <c r="L6" s="16"/>
      <c r="M6" s="16"/>
      <c r="N6" s="16"/>
      <c r="O6" s="16"/>
      <c r="CF6" s="26"/>
      <c r="CH6" s="24"/>
      <c r="CI6" s="24"/>
      <c r="CJ6" s="181"/>
    </row>
    <row r="7" spans="1:90" ht="15" customHeight="1" x14ac:dyDescent="0.25">
      <c r="A7" s="187"/>
      <c r="B7" s="358" t="s">
        <v>123</v>
      </c>
      <c r="C7" s="355">
        <v>2</v>
      </c>
      <c r="D7" s="299">
        <f>E7</f>
        <v>44885.791666666664</v>
      </c>
      <c r="E7" s="300">
        <f>Tournament!E5</f>
        <v>44885.791666666664</v>
      </c>
      <c r="F7" s="297" t="str">
        <f>Tournament!F5</f>
        <v>Qatar</v>
      </c>
      <c r="G7" s="188"/>
      <c r="H7" s="189"/>
      <c r="I7" s="188"/>
      <c r="J7" s="190"/>
      <c r="K7" s="190"/>
      <c r="L7" s="190"/>
      <c r="M7" s="190"/>
      <c r="N7" s="190"/>
      <c r="O7" s="190"/>
      <c r="P7" s="190"/>
      <c r="Q7" s="190"/>
      <c r="CF7" s="26"/>
      <c r="CG7" s="26"/>
      <c r="CH7" s="26"/>
      <c r="CJ7" s="24"/>
      <c r="CK7" s="24"/>
      <c r="CL7" s="181"/>
    </row>
    <row r="8" spans="1:90" ht="15" customHeight="1" x14ac:dyDescent="0.25">
      <c r="A8" s="187"/>
      <c r="B8" s="354"/>
      <c r="C8" s="356"/>
      <c r="D8" s="357" t="str">
        <f>Tournament!N5</f>
        <v>Al Bayt</v>
      </c>
      <c r="E8" s="357"/>
      <c r="F8" s="298" t="str">
        <f>Tournament!K5</f>
        <v>Ecuador</v>
      </c>
      <c r="G8" s="188"/>
      <c r="H8" s="189"/>
      <c r="I8" s="188"/>
      <c r="J8" s="191"/>
      <c r="K8" s="191"/>
      <c r="L8" s="191"/>
      <c r="M8" s="191"/>
      <c r="N8" s="191"/>
      <c r="O8" s="191"/>
      <c r="P8" s="191"/>
      <c r="Q8" s="191"/>
      <c r="T8" s="192" t="s">
        <v>723</v>
      </c>
      <c r="CF8" s="26"/>
      <c r="CG8" s="26"/>
      <c r="CH8" s="26"/>
      <c r="CJ8" s="24"/>
      <c r="CK8" s="24"/>
      <c r="CL8" s="181"/>
    </row>
    <row r="9" spans="1:90" ht="15" customHeight="1" x14ac:dyDescent="0.25">
      <c r="A9" s="187"/>
      <c r="B9" s="354" t="s">
        <v>124</v>
      </c>
      <c r="C9" s="355">
        <v>3</v>
      </c>
      <c r="D9" s="299">
        <f t="shared" ref="D9:D101" si="0">E9</f>
        <v>44886.666666666664</v>
      </c>
      <c r="E9" s="300">
        <f>Tournament!E6</f>
        <v>44886.666666666664</v>
      </c>
      <c r="F9" s="297" t="str">
        <f>Tournament!F6</f>
        <v>England</v>
      </c>
      <c r="G9" s="188"/>
      <c r="H9" s="189"/>
      <c r="I9" s="188"/>
      <c r="J9" s="190"/>
      <c r="K9" s="190"/>
      <c r="L9" s="190"/>
      <c r="M9" s="190"/>
      <c r="N9" s="190"/>
      <c r="O9" s="190"/>
      <c r="P9" s="190"/>
      <c r="Q9" s="190"/>
      <c r="CF9" s="26"/>
      <c r="CG9" s="26"/>
      <c r="CH9" s="26"/>
      <c r="CJ9" s="24"/>
      <c r="CK9" s="24"/>
      <c r="CL9" s="181"/>
    </row>
    <row r="10" spans="1:90" ht="15" customHeight="1" x14ac:dyDescent="0.25">
      <c r="A10" s="187"/>
      <c r="B10" s="354"/>
      <c r="C10" s="356"/>
      <c r="D10" s="357" t="str">
        <f>Tournament!N6</f>
        <v>Khalifa International</v>
      </c>
      <c r="E10" s="357"/>
      <c r="F10" s="298" t="str">
        <f>Tournament!K6</f>
        <v>Iran</v>
      </c>
      <c r="G10" s="188"/>
      <c r="H10" s="189"/>
      <c r="I10" s="188"/>
      <c r="J10" s="191"/>
      <c r="K10" s="191"/>
      <c r="L10" s="191"/>
      <c r="M10" s="191"/>
      <c r="N10" s="191"/>
      <c r="O10" s="191"/>
      <c r="P10" s="191"/>
      <c r="Q10" s="191"/>
      <c r="CF10" s="26"/>
      <c r="CG10" s="26"/>
      <c r="CH10" s="26"/>
      <c r="CJ10" s="24"/>
      <c r="CK10" s="24"/>
      <c r="CL10" s="181"/>
    </row>
    <row r="11" spans="1:90" ht="15" customHeight="1" x14ac:dyDescent="0.25">
      <c r="A11" s="187"/>
      <c r="B11" s="354" t="s">
        <v>123</v>
      </c>
      <c r="C11" s="355">
        <v>1</v>
      </c>
      <c r="D11" s="299">
        <f t="shared" si="0"/>
        <v>44886.791666666664</v>
      </c>
      <c r="E11" s="300">
        <f>Tournament!E7</f>
        <v>44886.791666666664</v>
      </c>
      <c r="F11" s="297" t="str">
        <f>Tournament!F7</f>
        <v>Senegal</v>
      </c>
      <c r="G11" s="188"/>
      <c r="H11" s="189"/>
      <c r="I11" s="188"/>
      <c r="J11" s="190"/>
      <c r="K11" s="190"/>
      <c r="L11" s="190"/>
      <c r="M11" s="190"/>
      <c r="N11" s="190"/>
      <c r="O11" s="190"/>
      <c r="P11" s="190"/>
      <c r="Q11" s="190"/>
      <c r="CF11" s="26"/>
      <c r="CG11" s="26"/>
      <c r="CH11" s="26"/>
      <c r="CJ11" s="24"/>
      <c r="CK11" s="24"/>
      <c r="CL11" s="181"/>
    </row>
    <row r="12" spans="1:90" ht="15" customHeight="1" x14ac:dyDescent="0.25">
      <c r="A12" s="187"/>
      <c r="B12" s="354"/>
      <c r="C12" s="356"/>
      <c r="D12" s="357" t="str">
        <f>Tournament!N7</f>
        <v>Al Thumama</v>
      </c>
      <c r="E12" s="357"/>
      <c r="F12" s="298" t="str">
        <f>Tournament!K7</f>
        <v>Netherlands</v>
      </c>
      <c r="G12" s="188"/>
      <c r="H12" s="189"/>
      <c r="I12" s="188"/>
      <c r="J12" s="191"/>
      <c r="K12" s="191"/>
      <c r="L12" s="191"/>
      <c r="M12" s="191"/>
      <c r="N12" s="191"/>
      <c r="O12" s="191"/>
      <c r="P12" s="191"/>
      <c r="Q12" s="191"/>
      <c r="CF12" s="26"/>
      <c r="CG12" s="26"/>
      <c r="CH12" s="26"/>
      <c r="CJ12" s="24"/>
      <c r="CK12" s="24"/>
      <c r="CL12" s="181"/>
    </row>
    <row r="13" spans="1:90" ht="15" customHeight="1" x14ac:dyDescent="0.25">
      <c r="A13" s="187"/>
      <c r="B13" s="354" t="s">
        <v>124</v>
      </c>
      <c r="C13" s="355">
        <v>4</v>
      </c>
      <c r="D13" s="299">
        <f t="shared" si="0"/>
        <v>44886.916666666664</v>
      </c>
      <c r="E13" s="300">
        <f>Tournament!E8</f>
        <v>44886.916666666664</v>
      </c>
      <c r="F13" s="297" t="str">
        <f>Tournament!F8</f>
        <v>United States</v>
      </c>
      <c r="G13" s="188"/>
      <c r="H13" s="189"/>
      <c r="I13" s="188"/>
      <c r="J13" s="190"/>
      <c r="K13" s="190"/>
      <c r="L13" s="190"/>
      <c r="M13" s="190"/>
      <c r="N13" s="190"/>
      <c r="O13" s="190"/>
      <c r="P13" s="190"/>
      <c r="Q13" s="190"/>
      <c r="CF13" s="26"/>
      <c r="CG13" s="26"/>
      <c r="CH13" s="26"/>
      <c r="CJ13" s="24"/>
      <c r="CK13" s="24"/>
      <c r="CL13" s="181"/>
    </row>
    <row r="14" spans="1:90" ht="15" customHeight="1" x14ac:dyDescent="0.25">
      <c r="A14" s="187"/>
      <c r="B14" s="354"/>
      <c r="C14" s="356"/>
      <c r="D14" s="357" t="str">
        <f>Tournament!N8</f>
        <v>Ahmad Bin Ali</v>
      </c>
      <c r="E14" s="357"/>
      <c r="F14" s="298" t="str">
        <f>Tournament!K8</f>
        <v>Wales</v>
      </c>
      <c r="G14" s="188"/>
      <c r="H14" s="189"/>
      <c r="I14" s="188"/>
      <c r="J14" s="191"/>
      <c r="K14" s="191"/>
      <c r="L14" s="191"/>
      <c r="M14" s="191"/>
      <c r="N14" s="191"/>
      <c r="O14" s="191"/>
      <c r="P14" s="191"/>
      <c r="Q14" s="191"/>
      <c r="CF14" s="26"/>
      <c r="CG14" s="26"/>
      <c r="CH14" s="26"/>
      <c r="CJ14" s="24"/>
      <c r="CK14" s="24"/>
      <c r="CL14" s="181"/>
    </row>
    <row r="15" spans="1:90" ht="15" customHeight="1" x14ac:dyDescent="0.25">
      <c r="A15" s="187"/>
      <c r="B15" s="354" t="s">
        <v>125</v>
      </c>
      <c r="C15" s="355">
        <v>8</v>
      </c>
      <c r="D15" s="299">
        <f t="shared" si="0"/>
        <v>44887.541666666664</v>
      </c>
      <c r="E15" s="300">
        <f>Tournament!E9</f>
        <v>44887.541666666664</v>
      </c>
      <c r="F15" s="297" t="str">
        <f>Tournament!F9</f>
        <v>Argentina</v>
      </c>
      <c r="G15" s="188"/>
      <c r="H15" s="189"/>
      <c r="I15" s="188"/>
      <c r="J15" s="190"/>
      <c r="K15" s="190"/>
      <c r="L15" s="190"/>
      <c r="M15" s="190"/>
      <c r="N15" s="190"/>
      <c r="O15" s="190"/>
      <c r="P15" s="190"/>
      <c r="Q15" s="190"/>
      <c r="CF15" s="26"/>
      <c r="CG15" s="26"/>
      <c r="CH15" s="26"/>
      <c r="CJ15" s="24"/>
      <c r="CK15" s="24"/>
      <c r="CL15" s="181"/>
    </row>
    <row r="16" spans="1:90" ht="15" customHeight="1" x14ac:dyDescent="0.25">
      <c r="A16" s="187"/>
      <c r="B16" s="354"/>
      <c r="C16" s="356"/>
      <c r="D16" s="357" t="str">
        <f>Tournament!N9</f>
        <v>Lusail</v>
      </c>
      <c r="E16" s="357"/>
      <c r="F16" s="298" t="str">
        <f>Tournament!K9</f>
        <v>Saudi Arabia</v>
      </c>
      <c r="G16" s="188"/>
      <c r="H16" s="189"/>
      <c r="I16" s="188"/>
      <c r="J16" s="191"/>
      <c r="K16" s="191"/>
      <c r="L16" s="191"/>
      <c r="M16" s="191"/>
      <c r="N16" s="191"/>
      <c r="O16" s="191"/>
      <c r="P16" s="191"/>
      <c r="Q16" s="191"/>
      <c r="CF16" s="26"/>
      <c r="CG16" s="26"/>
      <c r="CH16" s="26"/>
      <c r="CJ16" s="24"/>
      <c r="CK16" s="24"/>
      <c r="CL16" s="181"/>
    </row>
    <row r="17" spans="1:90" ht="15" customHeight="1" x14ac:dyDescent="0.25">
      <c r="A17" s="187"/>
      <c r="B17" s="354" t="s">
        <v>119</v>
      </c>
      <c r="C17" s="355">
        <v>6</v>
      </c>
      <c r="D17" s="299">
        <f t="shared" si="0"/>
        <v>44887.666666666664</v>
      </c>
      <c r="E17" s="300">
        <f>Tournament!E10</f>
        <v>44887.666666666664</v>
      </c>
      <c r="F17" s="297" t="str">
        <f>Tournament!F10</f>
        <v>Denmark</v>
      </c>
      <c r="G17" s="188"/>
      <c r="H17" s="189"/>
      <c r="I17" s="188"/>
      <c r="J17" s="190"/>
      <c r="K17" s="190"/>
      <c r="L17" s="190"/>
      <c r="M17" s="190"/>
      <c r="N17" s="190"/>
      <c r="O17" s="190"/>
      <c r="P17" s="190"/>
      <c r="Q17" s="190"/>
      <c r="CF17" s="26"/>
      <c r="CG17" s="26"/>
      <c r="CH17" s="26"/>
      <c r="CJ17" s="24"/>
      <c r="CK17" s="24"/>
      <c r="CL17" s="181"/>
    </row>
    <row r="18" spans="1:90" ht="15" customHeight="1" x14ac:dyDescent="0.25">
      <c r="A18" s="187"/>
      <c r="B18" s="354"/>
      <c r="C18" s="356"/>
      <c r="D18" s="357" t="str">
        <f>Tournament!N10</f>
        <v>Education City</v>
      </c>
      <c r="E18" s="357"/>
      <c r="F18" s="298" t="str">
        <f>Tournament!K10</f>
        <v>Tunisia</v>
      </c>
      <c r="G18" s="188"/>
      <c r="H18" s="189"/>
      <c r="I18" s="188"/>
      <c r="J18" s="191"/>
      <c r="K18" s="191"/>
      <c r="L18" s="191"/>
      <c r="M18" s="191"/>
      <c r="N18" s="191"/>
      <c r="O18" s="191"/>
      <c r="P18" s="191"/>
      <c r="Q18" s="191"/>
      <c r="CF18" s="26"/>
      <c r="CG18" s="26"/>
      <c r="CH18" s="26"/>
      <c r="CJ18" s="24"/>
      <c r="CK18" s="24"/>
      <c r="CL18" s="181"/>
    </row>
    <row r="19" spans="1:90" ht="15" customHeight="1" x14ac:dyDescent="0.25">
      <c r="A19" s="187"/>
      <c r="B19" s="354" t="s">
        <v>125</v>
      </c>
      <c r="C19" s="355">
        <v>7</v>
      </c>
      <c r="D19" s="299">
        <f t="shared" si="0"/>
        <v>44887.791666666664</v>
      </c>
      <c r="E19" s="300">
        <f>Tournament!E11</f>
        <v>44887.791666666664</v>
      </c>
      <c r="F19" s="297" t="str">
        <f>Tournament!F11</f>
        <v>Mexico</v>
      </c>
      <c r="G19" s="188"/>
      <c r="H19" s="189"/>
      <c r="I19" s="188"/>
      <c r="J19" s="190"/>
      <c r="K19" s="190"/>
      <c r="L19" s="190"/>
      <c r="M19" s="190"/>
      <c r="N19" s="190"/>
      <c r="O19" s="190"/>
      <c r="P19" s="190"/>
      <c r="Q19" s="190"/>
      <c r="CF19" s="26"/>
      <c r="CG19" s="26"/>
      <c r="CH19" s="26"/>
      <c r="CJ19" s="73"/>
      <c r="CK19" s="24"/>
      <c r="CL19" s="181"/>
    </row>
    <row r="20" spans="1:90" ht="15" customHeight="1" x14ac:dyDescent="0.25">
      <c r="A20" s="187"/>
      <c r="B20" s="354"/>
      <c r="C20" s="356"/>
      <c r="D20" s="357" t="str">
        <f>Tournament!N11</f>
        <v>Stadium 974</v>
      </c>
      <c r="E20" s="357"/>
      <c r="F20" s="298" t="str">
        <f>Tournament!K11</f>
        <v>Poland</v>
      </c>
      <c r="G20" s="188"/>
      <c r="H20" s="189"/>
      <c r="I20" s="188"/>
      <c r="J20" s="191"/>
      <c r="K20" s="191"/>
      <c r="L20" s="191"/>
      <c r="M20" s="191"/>
      <c r="N20" s="191"/>
      <c r="O20" s="191"/>
      <c r="P20" s="191"/>
      <c r="Q20" s="191"/>
      <c r="CF20" s="26"/>
      <c r="CG20" s="26"/>
      <c r="CH20" s="26"/>
      <c r="CJ20" s="73"/>
      <c r="CK20" s="24"/>
      <c r="CL20" s="181"/>
    </row>
    <row r="21" spans="1:90" ht="15" customHeight="1" x14ac:dyDescent="0.25">
      <c r="A21" s="187"/>
      <c r="B21" s="354" t="s">
        <v>119</v>
      </c>
      <c r="C21" s="355">
        <v>5</v>
      </c>
      <c r="D21" s="299">
        <f t="shared" si="0"/>
        <v>44887.916666666664</v>
      </c>
      <c r="E21" s="300">
        <f>Tournament!E12</f>
        <v>44887.916666666664</v>
      </c>
      <c r="F21" s="297" t="str">
        <f>Tournament!F12</f>
        <v>France</v>
      </c>
      <c r="G21" s="188"/>
      <c r="H21" s="189"/>
      <c r="I21" s="188"/>
      <c r="J21" s="190"/>
      <c r="K21" s="190"/>
      <c r="L21" s="190"/>
      <c r="M21" s="190"/>
      <c r="N21" s="190"/>
      <c r="O21" s="190"/>
      <c r="P21" s="190"/>
      <c r="Q21" s="190"/>
      <c r="CF21" s="26"/>
      <c r="CG21" s="26"/>
      <c r="CH21" s="26"/>
      <c r="CJ21" s="24"/>
      <c r="CK21" s="24"/>
      <c r="CL21" s="181"/>
    </row>
    <row r="22" spans="1:90" ht="15" customHeight="1" x14ac:dyDescent="0.25">
      <c r="A22" s="187"/>
      <c r="B22" s="354"/>
      <c r="C22" s="356"/>
      <c r="D22" s="357" t="str">
        <f>Tournament!N12</f>
        <v>Al Janoub</v>
      </c>
      <c r="E22" s="357"/>
      <c r="F22" s="298" t="str">
        <f>Tournament!K12</f>
        <v>Australia</v>
      </c>
      <c r="G22" s="188"/>
      <c r="H22" s="189"/>
      <c r="I22" s="188"/>
      <c r="J22" s="191"/>
      <c r="K22" s="191"/>
      <c r="L22" s="191"/>
      <c r="M22" s="191"/>
      <c r="N22" s="191"/>
      <c r="O22" s="191"/>
      <c r="P22" s="191"/>
      <c r="Q22" s="191"/>
      <c r="CF22" s="26"/>
      <c r="CG22" s="26"/>
      <c r="CH22" s="26"/>
      <c r="CJ22" s="24"/>
      <c r="CK22" s="24"/>
      <c r="CL22" s="181"/>
    </row>
    <row r="23" spans="1:90" ht="15" customHeight="1" x14ac:dyDescent="0.25">
      <c r="A23" s="187"/>
      <c r="B23" s="354" t="s">
        <v>127</v>
      </c>
      <c r="C23" s="355">
        <v>12</v>
      </c>
      <c r="D23" s="299">
        <f t="shared" si="0"/>
        <v>44888.541666666664</v>
      </c>
      <c r="E23" s="300">
        <f>Tournament!E13</f>
        <v>44888.541666666664</v>
      </c>
      <c r="F23" s="297" t="str">
        <f>Tournament!F13</f>
        <v>Morocco</v>
      </c>
      <c r="G23" s="188"/>
      <c r="H23" s="189"/>
      <c r="I23" s="188"/>
      <c r="J23" s="190"/>
      <c r="K23" s="190"/>
      <c r="L23" s="190"/>
      <c r="M23" s="190"/>
      <c r="N23" s="190"/>
      <c r="O23" s="190"/>
      <c r="P23" s="190"/>
      <c r="Q23" s="190"/>
      <c r="CF23" s="26"/>
      <c r="CG23" s="26"/>
      <c r="CH23" s="26"/>
      <c r="CJ23" s="24"/>
      <c r="CK23" s="24"/>
      <c r="CL23" s="181"/>
    </row>
    <row r="24" spans="1:90" ht="15" customHeight="1" x14ac:dyDescent="0.25">
      <c r="B24" s="354"/>
      <c r="C24" s="356"/>
      <c r="D24" s="357" t="str">
        <f>Tournament!N13</f>
        <v>Al Bayt</v>
      </c>
      <c r="E24" s="357"/>
      <c r="F24" s="298" t="str">
        <f>Tournament!K13</f>
        <v>Croatia</v>
      </c>
      <c r="G24" s="188"/>
      <c r="H24" s="189"/>
      <c r="I24" s="188"/>
      <c r="J24" s="191"/>
      <c r="K24" s="191"/>
      <c r="L24" s="191"/>
      <c r="M24" s="191"/>
      <c r="N24" s="191"/>
      <c r="O24" s="191"/>
      <c r="P24" s="191"/>
      <c r="Q24" s="191"/>
      <c r="CF24" s="26"/>
      <c r="CG24" s="26"/>
      <c r="CH24" s="26"/>
      <c r="CJ24" s="24"/>
      <c r="CK24" s="24"/>
      <c r="CL24" s="181"/>
    </row>
    <row r="25" spans="1:90" ht="15" customHeight="1" x14ac:dyDescent="0.25">
      <c r="A25" s="187"/>
      <c r="B25" s="354" t="s">
        <v>128</v>
      </c>
      <c r="C25" s="355">
        <v>11</v>
      </c>
      <c r="D25" s="299">
        <f t="shared" si="0"/>
        <v>44888.666666666664</v>
      </c>
      <c r="E25" s="300">
        <f>Tournament!E14</f>
        <v>44888.666666666664</v>
      </c>
      <c r="F25" s="297" t="str">
        <f>Tournament!F14</f>
        <v>Germany</v>
      </c>
      <c r="G25" s="188"/>
      <c r="H25" s="189"/>
      <c r="I25" s="188"/>
      <c r="J25" s="190"/>
      <c r="K25" s="190"/>
      <c r="L25" s="190"/>
      <c r="M25" s="190"/>
      <c r="N25" s="190"/>
      <c r="O25" s="190"/>
      <c r="P25" s="190"/>
      <c r="Q25" s="190"/>
      <c r="CF25" s="26"/>
      <c r="CG25" s="26"/>
      <c r="CH25" s="26"/>
      <c r="CJ25" s="24"/>
      <c r="CK25" s="24"/>
      <c r="CL25" s="181"/>
    </row>
    <row r="26" spans="1:90" ht="15" customHeight="1" x14ac:dyDescent="0.25">
      <c r="A26" s="187"/>
      <c r="B26" s="354"/>
      <c r="C26" s="356"/>
      <c r="D26" s="357" t="str">
        <f>Tournament!N14</f>
        <v>Khalifa International</v>
      </c>
      <c r="E26" s="357"/>
      <c r="F26" s="298" t="str">
        <f>Tournament!K14</f>
        <v>Japan</v>
      </c>
      <c r="G26" s="188"/>
      <c r="H26" s="189"/>
      <c r="I26" s="188"/>
      <c r="J26" s="191"/>
      <c r="K26" s="191"/>
      <c r="L26" s="191"/>
      <c r="M26" s="191"/>
      <c r="N26" s="191"/>
      <c r="O26" s="191"/>
      <c r="P26" s="191"/>
      <c r="Q26" s="191"/>
      <c r="CF26" s="26"/>
      <c r="CG26" s="26"/>
      <c r="CH26" s="26"/>
      <c r="CJ26" s="24"/>
      <c r="CK26" s="24"/>
      <c r="CL26" s="181"/>
    </row>
    <row r="27" spans="1:90" ht="15" customHeight="1" x14ac:dyDescent="0.25">
      <c r="A27" s="187"/>
      <c r="B27" s="354" t="s">
        <v>128</v>
      </c>
      <c r="C27" s="355">
        <v>10</v>
      </c>
      <c r="D27" s="299">
        <f t="shared" si="0"/>
        <v>44888.791666666664</v>
      </c>
      <c r="E27" s="300">
        <f>Tournament!E15</f>
        <v>44888.791666666664</v>
      </c>
      <c r="F27" s="297" t="str">
        <f>Tournament!F15</f>
        <v>Spain</v>
      </c>
      <c r="G27" s="188"/>
      <c r="H27" s="189"/>
      <c r="I27" s="188"/>
      <c r="J27" s="190"/>
      <c r="K27" s="190"/>
      <c r="L27" s="190"/>
      <c r="M27" s="190"/>
      <c r="N27" s="190"/>
      <c r="O27" s="190"/>
      <c r="P27" s="190"/>
      <c r="Q27" s="190"/>
      <c r="CF27" s="26"/>
      <c r="CG27" s="26"/>
      <c r="CH27" s="26"/>
      <c r="CJ27" s="24"/>
      <c r="CK27" s="24"/>
      <c r="CL27" s="181"/>
    </row>
    <row r="28" spans="1:90" ht="15" customHeight="1" x14ac:dyDescent="0.25">
      <c r="A28" s="187"/>
      <c r="B28" s="354"/>
      <c r="C28" s="356"/>
      <c r="D28" s="357" t="str">
        <f>Tournament!N15</f>
        <v>Al Thumama</v>
      </c>
      <c r="E28" s="357"/>
      <c r="F28" s="298" t="str">
        <f>Tournament!K15</f>
        <v>Costa Rica</v>
      </c>
      <c r="G28" s="188"/>
      <c r="H28" s="189"/>
      <c r="I28" s="188"/>
      <c r="J28" s="191"/>
      <c r="K28" s="191"/>
      <c r="L28" s="191"/>
      <c r="M28" s="191"/>
      <c r="N28" s="191"/>
      <c r="O28" s="191"/>
      <c r="P28" s="191"/>
      <c r="Q28" s="191"/>
      <c r="CF28" s="26"/>
      <c r="CG28" s="26"/>
      <c r="CH28" s="26"/>
      <c r="CJ28" s="24"/>
      <c r="CK28" s="24"/>
      <c r="CL28" s="181"/>
    </row>
    <row r="29" spans="1:90" ht="15" customHeight="1" x14ac:dyDescent="0.25">
      <c r="A29" s="187"/>
      <c r="B29" s="354" t="s">
        <v>127</v>
      </c>
      <c r="C29" s="355">
        <v>9</v>
      </c>
      <c r="D29" s="299">
        <f t="shared" si="0"/>
        <v>44888.916666666664</v>
      </c>
      <c r="E29" s="300">
        <f>Tournament!E16</f>
        <v>44888.916666666664</v>
      </c>
      <c r="F29" s="297" t="str">
        <f>Tournament!F16</f>
        <v>Belgium</v>
      </c>
      <c r="G29" s="188"/>
      <c r="H29" s="189"/>
      <c r="I29" s="188"/>
      <c r="J29" s="190"/>
      <c r="K29" s="190"/>
      <c r="L29" s="190"/>
      <c r="M29" s="190"/>
      <c r="N29" s="190"/>
      <c r="O29" s="190"/>
      <c r="P29" s="190"/>
      <c r="Q29" s="190"/>
      <c r="CF29" s="26"/>
      <c r="CG29" s="26"/>
      <c r="CH29" s="26"/>
      <c r="CJ29" s="24"/>
      <c r="CK29" s="24"/>
      <c r="CL29" s="181"/>
    </row>
    <row r="30" spans="1:90" ht="15" customHeight="1" x14ac:dyDescent="0.25">
      <c r="A30" s="187"/>
      <c r="B30" s="354"/>
      <c r="C30" s="356"/>
      <c r="D30" s="357" t="str">
        <f>Tournament!N16</f>
        <v>Ahmad Bin Ali</v>
      </c>
      <c r="E30" s="357"/>
      <c r="F30" s="298" t="str">
        <f>Tournament!K16</f>
        <v>Canada</v>
      </c>
      <c r="G30" s="188"/>
      <c r="H30" s="189"/>
      <c r="I30" s="188"/>
      <c r="J30" s="191"/>
      <c r="K30" s="191"/>
      <c r="L30" s="191"/>
      <c r="M30" s="191"/>
      <c r="N30" s="191"/>
      <c r="O30" s="191"/>
      <c r="P30" s="191"/>
      <c r="Q30" s="191"/>
      <c r="CF30" s="26"/>
      <c r="CG30" s="26"/>
      <c r="CH30" s="26"/>
      <c r="CJ30" s="24"/>
      <c r="CK30" s="24"/>
      <c r="CL30" s="181"/>
    </row>
    <row r="31" spans="1:90" ht="15" customHeight="1" x14ac:dyDescent="0.25">
      <c r="A31" s="187"/>
      <c r="B31" s="354" t="s">
        <v>129</v>
      </c>
      <c r="C31" s="355">
        <v>13</v>
      </c>
      <c r="D31" s="299">
        <f t="shared" si="0"/>
        <v>44889.541666666664</v>
      </c>
      <c r="E31" s="300">
        <f>Tournament!E17</f>
        <v>44889.541666666664</v>
      </c>
      <c r="F31" s="297" t="str">
        <f>Tournament!F17</f>
        <v>Switzerland</v>
      </c>
      <c r="G31" s="188"/>
      <c r="H31" s="189"/>
      <c r="I31" s="188"/>
      <c r="J31" s="190"/>
      <c r="K31" s="190"/>
      <c r="L31" s="190"/>
      <c r="M31" s="190"/>
      <c r="N31" s="190"/>
      <c r="O31" s="190"/>
      <c r="P31" s="190"/>
      <c r="Q31" s="190"/>
      <c r="CF31" s="26"/>
      <c r="CG31" s="26"/>
      <c r="CH31" s="26"/>
      <c r="CJ31" s="24"/>
      <c r="CK31" s="24"/>
      <c r="CL31" s="181"/>
    </row>
    <row r="32" spans="1:90" ht="15" customHeight="1" x14ac:dyDescent="0.25">
      <c r="A32" s="187"/>
      <c r="B32" s="354"/>
      <c r="C32" s="356"/>
      <c r="D32" s="357" t="str">
        <f>Tournament!N17</f>
        <v>Al Janoub</v>
      </c>
      <c r="E32" s="357"/>
      <c r="F32" s="298" t="str">
        <f>Tournament!K17</f>
        <v>Cameroon</v>
      </c>
      <c r="G32" s="188"/>
      <c r="H32" s="189"/>
      <c r="I32" s="188"/>
      <c r="J32" s="191"/>
      <c r="K32" s="191"/>
      <c r="L32" s="191"/>
      <c r="M32" s="191"/>
      <c r="N32" s="191"/>
      <c r="O32" s="191"/>
      <c r="P32" s="191"/>
      <c r="Q32" s="191"/>
      <c r="CF32" s="26"/>
      <c r="CG32" s="26"/>
      <c r="CH32" s="26"/>
      <c r="CJ32" s="24"/>
      <c r="CK32" s="24"/>
      <c r="CL32" s="181"/>
    </row>
    <row r="33" spans="1:90" ht="15" customHeight="1" x14ac:dyDescent="0.25">
      <c r="A33" s="187"/>
      <c r="B33" s="354" t="s">
        <v>130</v>
      </c>
      <c r="C33" s="355">
        <v>14</v>
      </c>
      <c r="D33" s="299">
        <f t="shared" si="0"/>
        <v>44889.666666666664</v>
      </c>
      <c r="E33" s="300">
        <f>Tournament!E18</f>
        <v>44889.666666666664</v>
      </c>
      <c r="F33" s="297" t="str">
        <f>Tournament!F18</f>
        <v>Uruguay</v>
      </c>
      <c r="G33" s="188"/>
      <c r="H33" s="189"/>
      <c r="I33" s="188"/>
      <c r="J33" s="190"/>
      <c r="K33" s="190"/>
      <c r="L33" s="190"/>
      <c r="M33" s="190"/>
      <c r="N33" s="190"/>
      <c r="O33" s="190"/>
      <c r="P33" s="190"/>
      <c r="Q33" s="190"/>
      <c r="CF33" s="26"/>
      <c r="CG33" s="26"/>
      <c r="CH33" s="26"/>
      <c r="CJ33" s="24"/>
      <c r="CK33" s="24"/>
      <c r="CL33" s="181"/>
    </row>
    <row r="34" spans="1:90" ht="15" customHeight="1" x14ac:dyDescent="0.25">
      <c r="A34" s="187"/>
      <c r="B34" s="354"/>
      <c r="C34" s="356"/>
      <c r="D34" s="357" t="str">
        <f>Tournament!N18</f>
        <v>Education City</v>
      </c>
      <c r="E34" s="357"/>
      <c r="F34" s="298" t="str">
        <f>Tournament!K18</f>
        <v>South Korea</v>
      </c>
      <c r="G34" s="188"/>
      <c r="H34" s="189"/>
      <c r="I34" s="188"/>
      <c r="J34" s="191"/>
      <c r="K34" s="191"/>
      <c r="L34" s="191"/>
      <c r="M34" s="191"/>
      <c r="N34" s="191"/>
      <c r="O34" s="191"/>
      <c r="P34" s="191"/>
      <c r="Q34" s="191"/>
      <c r="CF34" s="26"/>
      <c r="CG34" s="26"/>
      <c r="CH34" s="26"/>
      <c r="CJ34" s="24"/>
      <c r="CK34" s="24"/>
      <c r="CL34" s="181"/>
    </row>
    <row r="35" spans="1:90" ht="15" customHeight="1" x14ac:dyDescent="0.25">
      <c r="A35" s="187"/>
      <c r="B35" s="354" t="s">
        <v>130</v>
      </c>
      <c r="C35" s="355">
        <v>15</v>
      </c>
      <c r="D35" s="299">
        <f t="shared" si="0"/>
        <v>44889.791666666664</v>
      </c>
      <c r="E35" s="300">
        <f>Tournament!E19</f>
        <v>44889.791666666664</v>
      </c>
      <c r="F35" s="297" t="str">
        <f>Tournament!F19</f>
        <v>Portugal</v>
      </c>
      <c r="G35" s="188"/>
      <c r="H35" s="189"/>
      <c r="I35" s="188"/>
      <c r="J35" s="190"/>
      <c r="K35" s="190"/>
      <c r="L35" s="190"/>
      <c r="M35" s="190"/>
      <c r="N35" s="190"/>
      <c r="O35" s="190"/>
      <c r="P35" s="190"/>
      <c r="Q35" s="190"/>
      <c r="CF35" s="26"/>
      <c r="CG35" s="26"/>
      <c r="CH35" s="26"/>
      <c r="CJ35" s="24"/>
      <c r="CK35" s="24"/>
      <c r="CL35" s="181"/>
    </row>
    <row r="36" spans="1:90" ht="15" customHeight="1" x14ac:dyDescent="0.25">
      <c r="A36" s="187"/>
      <c r="B36" s="354"/>
      <c r="C36" s="356"/>
      <c r="D36" s="357" t="str">
        <f>Tournament!N19</f>
        <v>Stadium 974</v>
      </c>
      <c r="E36" s="357"/>
      <c r="F36" s="298" t="str">
        <f>Tournament!K19</f>
        <v>Ghana</v>
      </c>
      <c r="G36" s="188"/>
      <c r="H36" s="189"/>
      <c r="I36" s="188"/>
      <c r="J36" s="191"/>
      <c r="K36" s="191"/>
      <c r="L36" s="191"/>
      <c r="M36" s="191"/>
      <c r="N36" s="191"/>
      <c r="O36" s="191"/>
      <c r="P36" s="191"/>
      <c r="Q36" s="191"/>
      <c r="CF36" s="26"/>
      <c r="CG36" s="26"/>
      <c r="CH36" s="26"/>
      <c r="CJ36" s="24"/>
      <c r="CK36" s="24"/>
      <c r="CL36" s="181"/>
    </row>
    <row r="37" spans="1:90" ht="15" customHeight="1" x14ac:dyDescent="0.25">
      <c r="A37" s="187"/>
      <c r="B37" s="354" t="s">
        <v>129</v>
      </c>
      <c r="C37" s="355">
        <v>16</v>
      </c>
      <c r="D37" s="299">
        <f t="shared" si="0"/>
        <v>44889.916666666664</v>
      </c>
      <c r="E37" s="300">
        <f>Tournament!E20</f>
        <v>44889.916666666664</v>
      </c>
      <c r="F37" s="297" t="str">
        <f>Tournament!F20</f>
        <v>Brazil</v>
      </c>
      <c r="G37" s="188"/>
      <c r="H37" s="189"/>
      <c r="I37" s="188"/>
      <c r="J37" s="190"/>
      <c r="K37" s="190"/>
      <c r="L37" s="190"/>
      <c r="M37" s="190"/>
      <c r="N37" s="190"/>
      <c r="O37" s="190"/>
      <c r="P37" s="190"/>
      <c r="Q37" s="190"/>
      <c r="CF37" s="26"/>
      <c r="CG37" s="26"/>
      <c r="CH37" s="26"/>
      <c r="CJ37" s="24"/>
      <c r="CK37" s="24"/>
      <c r="CL37" s="181"/>
    </row>
    <row r="38" spans="1:90" ht="15" customHeight="1" x14ac:dyDescent="0.25">
      <c r="A38" s="187"/>
      <c r="B38" s="354"/>
      <c r="C38" s="356"/>
      <c r="D38" s="357" t="str">
        <f>Tournament!N20</f>
        <v>Lusail</v>
      </c>
      <c r="E38" s="357"/>
      <c r="F38" s="298" t="str">
        <f>Tournament!K20</f>
        <v>Serbia</v>
      </c>
      <c r="G38" s="188"/>
      <c r="H38" s="189"/>
      <c r="I38" s="188"/>
      <c r="J38" s="191"/>
      <c r="K38" s="191"/>
      <c r="L38" s="191"/>
      <c r="M38" s="191"/>
      <c r="N38" s="191"/>
      <c r="O38" s="191"/>
      <c r="P38" s="191"/>
      <c r="Q38" s="191"/>
      <c r="CF38" s="26"/>
      <c r="CG38" s="26"/>
      <c r="CH38" s="26"/>
      <c r="CJ38" s="24"/>
      <c r="CK38" s="24"/>
      <c r="CL38" s="181"/>
    </row>
    <row r="39" spans="1:90" ht="15" customHeight="1" x14ac:dyDescent="0.25">
      <c r="A39" s="187"/>
      <c r="B39" s="354" t="s">
        <v>124</v>
      </c>
      <c r="C39" s="355">
        <v>17</v>
      </c>
      <c r="D39" s="299">
        <f t="shared" si="0"/>
        <v>44890.541666666664</v>
      </c>
      <c r="E39" s="300">
        <f>Tournament!E21</f>
        <v>44890.541666666664</v>
      </c>
      <c r="F39" s="297" t="str">
        <f>Tournament!F21</f>
        <v>Wales</v>
      </c>
      <c r="G39" s="188"/>
      <c r="H39" s="189"/>
      <c r="I39" s="188"/>
      <c r="J39" s="190"/>
      <c r="K39" s="190"/>
      <c r="L39" s="190"/>
      <c r="M39" s="190"/>
      <c r="N39" s="190"/>
      <c r="O39" s="190"/>
      <c r="P39" s="190"/>
      <c r="Q39" s="190"/>
      <c r="CF39" s="26"/>
      <c r="CG39" s="26"/>
      <c r="CH39" s="26"/>
      <c r="CJ39" s="24"/>
      <c r="CK39" s="24"/>
      <c r="CL39" s="181"/>
    </row>
    <row r="40" spans="1:90" ht="15" customHeight="1" x14ac:dyDescent="0.25">
      <c r="A40" s="187"/>
      <c r="B40" s="354"/>
      <c r="C40" s="356"/>
      <c r="D40" s="357" t="str">
        <f>Tournament!N21</f>
        <v>Ahmad Bin Ali</v>
      </c>
      <c r="E40" s="357"/>
      <c r="F40" s="298" t="str">
        <f>Tournament!K21</f>
        <v>Iran</v>
      </c>
      <c r="G40" s="188"/>
      <c r="H40" s="189"/>
      <c r="I40" s="188"/>
      <c r="J40" s="191"/>
      <c r="K40" s="191"/>
      <c r="L40" s="191"/>
      <c r="M40" s="191"/>
      <c r="N40" s="191"/>
      <c r="O40" s="191"/>
      <c r="P40" s="191"/>
      <c r="Q40" s="191"/>
      <c r="CF40" s="26"/>
      <c r="CG40" s="26"/>
      <c r="CH40" s="26"/>
      <c r="CJ40" s="24"/>
      <c r="CK40" s="24"/>
      <c r="CL40" s="181"/>
    </row>
    <row r="41" spans="1:90" ht="15" customHeight="1" x14ac:dyDescent="0.25">
      <c r="A41" s="187"/>
      <c r="B41" s="354" t="s">
        <v>123</v>
      </c>
      <c r="C41" s="355">
        <v>18</v>
      </c>
      <c r="D41" s="299">
        <f t="shared" si="0"/>
        <v>44890.666666666664</v>
      </c>
      <c r="E41" s="300">
        <f>Tournament!E22</f>
        <v>44890.666666666664</v>
      </c>
      <c r="F41" s="297" t="str">
        <f>Tournament!F22</f>
        <v>Qatar</v>
      </c>
      <c r="G41" s="188"/>
      <c r="H41" s="189"/>
      <c r="I41" s="188"/>
      <c r="J41" s="190"/>
      <c r="K41" s="190"/>
      <c r="L41" s="190"/>
      <c r="M41" s="190"/>
      <c r="N41" s="190"/>
      <c r="O41" s="190"/>
      <c r="P41" s="190"/>
      <c r="Q41" s="190"/>
      <c r="CF41" s="26"/>
      <c r="CG41" s="26"/>
      <c r="CH41" s="26"/>
      <c r="CJ41" s="24"/>
      <c r="CK41" s="24"/>
      <c r="CL41" s="181"/>
    </row>
    <row r="42" spans="1:90" ht="15" customHeight="1" x14ac:dyDescent="0.25">
      <c r="A42" s="187"/>
      <c r="B42" s="354"/>
      <c r="C42" s="356"/>
      <c r="D42" s="357" t="str">
        <f>Tournament!N22</f>
        <v>Al Thumama</v>
      </c>
      <c r="E42" s="357"/>
      <c r="F42" s="298" t="str">
        <f>Tournament!K22</f>
        <v>Senegal</v>
      </c>
      <c r="G42" s="188"/>
      <c r="H42" s="189"/>
      <c r="I42" s="188"/>
      <c r="J42" s="191"/>
      <c r="K42" s="191"/>
      <c r="L42" s="191"/>
      <c r="M42" s="191"/>
      <c r="N42" s="191"/>
      <c r="O42" s="191"/>
      <c r="P42" s="191"/>
      <c r="Q42" s="191"/>
      <c r="CF42" s="26"/>
      <c r="CG42" s="26"/>
      <c r="CH42" s="26"/>
      <c r="CJ42" s="24"/>
      <c r="CK42" s="24"/>
      <c r="CL42" s="181"/>
    </row>
    <row r="43" spans="1:90" ht="15" customHeight="1" x14ac:dyDescent="0.25">
      <c r="A43" s="187"/>
      <c r="B43" s="354" t="s">
        <v>123</v>
      </c>
      <c r="C43" s="355">
        <v>19</v>
      </c>
      <c r="D43" s="299">
        <f t="shared" si="0"/>
        <v>44890.791666666664</v>
      </c>
      <c r="E43" s="300">
        <f>Tournament!E23</f>
        <v>44890.791666666664</v>
      </c>
      <c r="F43" s="297" t="str">
        <f>Tournament!F23</f>
        <v>Netherlands</v>
      </c>
      <c r="G43" s="188"/>
      <c r="H43" s="189"/>
      <c r="I43" s="188"/>
      <c r="J43" s="190"/>
      <c r="K43" s="190"/>
      <c r="L43" s="190"/>
      <c r="M43" s="190"/>
      <c r="N43" s="190"/>
      <c r="O43" s="190"/>
      <c r="P43" s="190"/>
      <c r="Q43" s="190"/>
      <c r="CF43" s="26"/>
      <c r="CG43" s="26"/>
      <c r="CH43" s="26"/>
      <c r="CJ43" s="24"/>
      <c r="CK43" s="24"/>
      <c r="CL43" s="181"/>
    </row>
    <row r="44" spans="1:90" ht="15" customHeight="1" x14ac:dyDescent="0.25">
      <c r="A44" s="187"/>
      <c r="B44" s="354"/>
      <c r="C44" s="356"/>
      <c r="D44" s="357" t="str">
        <f>Tournament!N23</f>
        <v>Khalifa International</v>
      </c>
      <c r="E44" s="357"/>
      <c r="F44" s="298" t="str">
        <f>Tournament!K23</f>
        <v>Ecuador</v>
      </c>
      <c r="G44" s="188"/>
      <c r="H44" s="189"/>
      <c r="I44" s="188"/>
      <c r="J44" s="191"/>
      <c r="K44" s="191"/>
      <c r="L44" s="191"/>
      <c r="M44" s="191"/>
      <c r="N44" s="191"/>
      <c r="O44" s="191"/>
      <c r="P44" s="191"/>
      <c r="Q44" s="191"/>
      <c r="CF44" s="26"/>
      <c r="CG44" s="26"/>
      <c r="CH44" s="26"/>
      <c r="CJ44" s="24"/>
      <c r="CK44" s="24"/>
      <c r="CL44" s="181"/>
    </row>
    <row r="45" spans="1:90" ht="15" customHeight="1" x14ac:dyDescent="0.25">
      <c r="A45" s="187"/>
      <c r="B45" s="354" t="s">
        <v>124</v>
      </c>
      <c r="C45" s="355">
        <v>20</v>
      </c>
      <c r="D45" s="299">
        <f t="shared" si="0"/>
        <v>44890.916666666664</v>
      </c>
      <c r="E45" s="300">
        <f>Tournament!E24</f>
        <v>44890.916666666664</v>
      </c>
      <c r="F45" s="297" t="str">
        <f>Tournament!F24</f>
        <v>England</v>
      </c>
      <c r="G45" s="188"/>
      <c r="H45" s="189"/>
      <c r="I45" s="188"/>
      <c r="J45" s="190"/>
      <c r="K45" s="190"/>
      <c r="L45" s="190"/>
      <c r="M45" s="190"/>
      <c r="N45" s="190"/>
      <c r="O45" s="190"/>
      <c r="P45" s="190"/>
      <c r="Q45" s="190"/>
      <c r="CF45" s="26"/>
      <c r="CG45" s="26"/>
      <c r="CH45" s="26"/>
      <c r="CJ45" s="24"/>
      <c r="CK45" s="24"/>
      <c r="CL45" s="181"/>
    </row>
    <row r="46" spans="1:90" ht="15" customHeight="1" x14ac:dyDescent="0.25">
      <c r="A46" s="187"/>
      <c r="B46" s="354"/>
      <c r="C46" s="356"/>
      <c r="D46" s="357" t="str">
        <f>Tournament!N24</f>
        <v>Al Bayt</v>
      </c>
      <c r="E46" s="357"/>
      <c r="F46" s="298" t="str">
        <f>Tournament!K24</f>
        <v>United States</v>
      </c>
      <c r="G46" s="188"/>
      <c r="H46" s="189"/>
      <c r="I46" s="188"/>
      <c r="J46" s="191"/>
      <c r="K46" s="191"/>
      <c r="L46" s="191"/>
      <c r="M46" s="191"/>
      <c r="N46" s="191"/>
      <c r="O46" s="191"/>
      <c r="P46" s="191"/>
      <c r="Q46" s="191"/>
      <c r="CF46" s="26"/>
      <c r="CG46" s="26"/>
      <c r="CH46" s="26"/>
      <c r="CJ46" s="24"/>
      <c r="CK46" s="24"/>
      <c r="CL46" s="181"/>
    </row>
    <row r="47" spans="1:90" ht="15" customHeight="1" x14ac:dyDescent="0.25">
      <c r="A47" s="187"/>
      <c r="B47" s="354" t="s">
        <v>119</v>
      </c>
      <c r="C47" s="355">
        <v>21</v>
      </c>
      <c r="D47" s="299">
        <f t="shared" si="0"/>
        <v>44891.541666666664</v>
      </c>
      <c r="E47" s="300">
        <f>Tournament!E25</f>
        <v>44891.541666666664</v>
      </c>
      <c r="F47" s="297" t="str">
        <f>Tournament!F25</f>
        <v>Tunisia</v>
      </c>
      <c r="G47" s="188"/>
      <c r="H47" s="189"/>
      <c r="I47" s="188"/>
      <c r="J47" s="190"/>
      <c r="K47" s="190"/>
      <c r="L47" s="190"/>
      <c r="M47" s="190"/>
      <c r="N47" s="190"/>
      <c r="O47" s="190"/>
      <c r="P47" s="190"/>
      <c r="Q47" s="190"/>
      <c r="CF47" s="26"/>
      <c r="CG47" s="26"/>
      <c r="CH47" s="26"/>
      <c r="CJ47" s="24"/>
      <c r="CK47" s="24"/>
      <c r="CL47" s="181"/>
    </row>
    <row r="48" spans="1:90" ht="15" customHeight="1" x14ac:dyDescent="0.25">
      <c r="A48" s="187"/>
      <c r="B48" s="354"/>
      <c r="C48" s="356"/>
      <c r="D48" s="357" t="str">
        <f>Tournament!N25</f>
        <v>Al Janoub</v>
      </c>
      <c r="E48" s="357"/>
      <c r="F48" s="298" t="str">
        <f>Tournament!K25</f>
        <v>Australia</v>
      </c>
      <c r="G48" s="188"/>
      <c r="H48" s="189"/>
      <c r="I48" s="188"/>
      <c r="J48" s="191"/>
      <c r="K48" s="191"/>
      <c r="L48" s="191"/>
      <c r="M48" s="191"/>
      <c r="N48" s="191"/>
      <c r="O48" s="191"/>
      <c r="P48" s="191"/>
      <c r="Q48" s="191"/>
      <c r="CF48" s="26"/>
      <c r="CG48" s="26"/>
      <c r="CH48" s="26"/>
      <c r="CJ48" s="24"/>
      <c r="CK48" s="24"/>
      <c r="CL48" s="181"/>
    </row>
    <row r="49" spans="1:90" ht="15" customHeight="1" x14ac:dyDescent="0.25">
      <c r="A49" s="187"/>
      <c r="B49" s="354" t="s">
        <v>125</v>
      </c>
      <c r="C49" s="355">
        <v>22</v>
      </c>
      <c r="D49" s="299">
        <f t="shared" si="0"/>
        <v>44891.666666666664</v>
      </c>
      <c r="E49" s="300">
        <f>Tournament!E26</f>
        <v>44891.666666666664</v>
      </c>
      <c r="F49" s="297" t="str">
        <f>Tournament!F26</f>
        <v>Poland</v>
      </c>
      <c r="G49" s="188"/>
      <c r="H49" s="189"/>
      <c r="I49" s="188"/>
      <c r="J49" s="190"/>
      <c r="K49" s="190"/>
      <c r="L49" s="190"/>
      <c r="M49" s="190"/>
      <c r="N49" s="190"/>
      <c r="O49" s="190"/>
      <c r="P49" s="190"/>
      <c r="Q49" s="190"/>
      <c r="CF49" s="26"/>
      <c r="CG49" s="26"/>
      <c r="CH49" s="26"/>
      <c r="CJ49" s="24"/>
      <c r="CK49" s="24"/>
      <c r="CL49" s="181"/>
    </row>
    <row r="50" spans="1:90" ht="15" customHeight="1" x14ac:dyDescent="0.25">
      <c r="A50" s="187"/>
      <c r="B50" s="354"/>
      <c r="C50" s="356"/>
      <c r="D50" s="357" t="str">
        <f>Tournament!N26</f>
        <v>Education City</v>
      </c>
      <c r="E50" s="357"/>
      <c r="F50" s="298" t="str">
        <f>Tournament!K26</f>
        <v>Saudi Arabia</v>
      </c>
      <c r="G50" s="188"/>
      <c r="H50" s="189"/>
      <c r="I50" s="188"/>
      <c r="J50" s="191"/>
      <c r="K50" s="191"/>
      <c r="L50" s="191"/>
      <c r="M50" s="191"/>
      <c r="N50" s="191"/>
      <c r="O50" s="191"/>
      <c r="P50" s="191"/>
      <c r="Q50" s="191"/>
      <c r="CF50" s="26"/>
      <c r="CG50" s="26"/>
      <c r="CH50" s="26"/>
      <c r="CJ50" s="24"/>
      <c r="CK50" s="24"/>
      <c r="CL50" s="181"/>
    </row>
    <row r="51" spans="1:90" ht="15" customHeight="1" x14ac:dyDescent="0.25">
      <c r="A51" s="187"/>
      <c r="B51" s="354" t="s">
        <v>119</v>
      </c>
      <c r="C51" s="355">
        <v>23</v>
      </c>
      <c r="D51" s="299">
        <f t="shared" si="0"/>
        <v>44891.791666666664</v>
      </c>
      <c r="E51" s="300">
        <f>Tournament!E27</f>
        <v>44891.791666666664</v>
      </c>
      <c r="F51" s="297" t="str">
        <f>Tournament!F27</f>
        <v>France</v>
      </c>
      <c r="G51" s="188"/>
      <c r="H51" s="189"/>
      <c r="I51" s="188"/>
      <c r="J51" s="190"/>
      <c r="K51" s="190"/>
      <c r="L51" s="190"/>
      <c r="M51" s="190"/>
      <c r="N51" s="190"/>
      <c r="O51" s="190"/>
      <c r="P51" s="190"/>
      <c r="Q51" s="190"/>
      <c r="CF51" s="26"/>
      <c r="CG51" s="26"/>
      <c r="CH51" s="26"/>
      <c r="CJ51" s="24"/>
      <c r="CK51" s="24"/>
      <c r="CL51" s="181"/>
    </row>
    <row r="52" spans="1:90" ht="15" customHeight="1" x14ac:dyDescent="0.25">
      <c r="A52" s="187"/>
      <c r="B52" s="354"/>
      <c r="C52" s="356"/>
      <c r="D52" s="357" t="str">
        <f>Tournament!N27</f>
        <v>Stadium 974</v>
      </c>
      <c r="E52" s="357"/>
      <c r="F52" s="298" t="str">
        <f>Tournament!K27</f>
        <v>Denmark</v>
      </c>
      <c r="G52" s="188"/>
      <c r="H52" s="189"/>
      <c r="I52" s="188"/>
      <c r="J52" s="191"/>
      <c r="K52" s="191"/>
      <c r="L52" s="191"/>
      <c r="M52" s="191"/>
      <c r="N52" s="191"/>
      <c r="O52" s="191"/>
      <c r="P52" s="191"/>
      <c r="Q52" s="191"/>
      <c r="CF52" s="26"/>
      <c r="CG52" s="26"/>
      <c r="CH52" s="26"/>
      <c r="CJ52" s="24"/>
      <c r="CK52" s="24"/>
      <c r="CL52" s="181"/>
    </row>
    <row r="53" spans="1:90" ht="15" customHeight="1" x14ac:dyDescent="0.25">
      <c r="A53" s="187"/>
      <c r="B53" s="354" t="s">
        <v>125</v>
      </c>
      <c r="C53" s="355">
        <v>24</v>
      </c>
      <c r="D53" s="299">
        <f t="shared" si="0"/>
        <v>44891.916666666664</v>
      </c>
      <c r="E53" s="300">
        <f>Tournament!E28</f>
        <v>44891.916666666664</v>
      </c>
      <c r="F53" s="297" t="str">
        <f>Tournament!F28</f>
        <v>Argentina</v>
      </c>
      <c r="G53" s="188"/>
      <c r="H53" s="189"/>
      <c r="I53" s="188"/>
      <c r="J53" s="190"/>
      <c r="K53" s="190"/>
      <c r="L53" s="190"/>
      <c r="M53" s="190"/>
      <c r="N53" s="190"/>
      <c r="O53" s="190"/>
      <c r="P53" s="190"/>
      <c r="Q53" s="190"/>
      <c r="CF53" s="26"/>
      <c r="CG53" s="26"/>
      <c r="CH53" s="26"/>
      <c r="CJ53" s="24"/>
      <c r="CK53" s="24"/>
      <c r="CL53" s="181"/>
    </row>
    <row r="54" spans="1:90" ht="15" customHeight="1" x14ac:dyDescent="0.25">
      <c r="A54" s="187"/>
      <c r="B54" s="354"/>
      <c r="C54" s="356"/>
      <c r="D54" s="357" t="str">
        <f>Tournament!N28</f>
        <v>Lusail</v>
      </c>
      <c r="E54" s="357"/>
      <c r="F54" s="298" t="str">
        <f>Tournament!K28</f>
        <v>Mexico</v>
      </c>
      <c r="G54" s="188"/>
      <c r="H54" s="189"/>
      <c r="I54" s="188"/>
      <c r="J54" s="191"/>
      <c r="K54" s="191"/>
      <c r="L54" s="191"/>
      <c r="M54" s="191"/>
      <c r="N54" s="191"/>
      <c r="O54" s="191"/>
      <c r="P54" s="191"/>
      <c r="Q54" s="191"/>
      <c r="CF54" s="26"/>
      <c r="CG54" s="26"/>
      <c r="CH54" s="26"/>
      <c r="CJ54" s="24"/>
      <c r="CK54" s="24"/>
      <c r="CL54" s="181"/>
    </row>
    <row r="55" spans="1:90" ht="15" customHeight="1" x14ac:dyDescent="0.25">
      <c r="A55" s="187"/>
      <c r="B55" s="354" t="s">
        <v>128</v>
      </c>
      <c r="C55" s="355">
        <v>25</v>
      </c>
      <c r="D55" s="299">
        <f t="shared" si="0"/>
        <v>44892.541666666664</v>
      </c>
      <c r="E55" s="300">
        <f>Tournament!E29</f>
        <v>44892.541666666664</v>
      </c>
      <c r="F55" s="297" t="str">
        <f>Tournament!F29</f>
        <v>Japan</v>
      </c>
      <c r="G55" s="188"/>
      <c r="H55" s="189"/>
      <c r="I55" s="188"/>
      <c r="J55" s="190"/>
      <c r="K55" s="190"/>
      <c r="L55" s="190"/>
      <c r="M55" s="190"/>
      <c r="N55" s="190"/>
      <c r="O55" s="190"/>
      <c r="P55" s="190"/>
      <c r="Q55" s="190"/>
      <c r="CF55" s="26"/>
      <c r="CG55" s="26"/>
      <c r="CH55" s="26"/>
      <c r="CJ55" s="24"/>
      <c r="CK55" s="24"/>
      <c r="CL55" s="181"/>
    </row>
    <row r="56" spans="1:90" ht="15" customHeight="1" x14ac:dyDescent="0.25">
      <c r="A56" s="187"/>
      <c r="B56" s="354"/>
      <c r="C56" s="356"/>
      <c r="D56" s="357" t="str">
        <f>Tournament!N29</f>
        <v>Ahmad Bin Ali</v>
      </c>
      <c r="E56" s="357"/>
      <c r="F56" s="298" t="str">
        <f>Tournament!K29</f>
        <v>Costa Rica</v>
      </c>
      <c r="G56" s="188"/>
      <c r="H56" s="189"/>
      <c r="I56" s="188"/>
      <c r="J56" s="191"/>
      <c r="K56" s="191"/>
      <c r="L56" s="191"/>
      <c r="M56" s="191"/>
      <c r="N56" s="191"/>
      <c r="O56" s="191"/>
      <c r="P56" s="191"/>
      <c r="Q56" s="191"/>
      <c r="CF56" s="26"/>
      <c r="CG56" s="26"/>
      <c r="CH56" s="26"/>
      <c r="CJ56" s="24"/>
      <c r="CK56" s="24"/>
      <c r="CL56" s="181"/>
    </row>
    <row r="57" spans="1:90" ht="15" customHeight="1" x14ac:dyDescent="0.25">
      <c r="A57" s="187"/>
      <c r="B57" s="354" t="s">
        <v>127</v>
      </c>
      <c r="C57" s="355">
        <v>26</v>
      </c>
      <c r="D57" s="299">
        <f t="shared" si="0"/>
        <v>44892.666666666664</v>
      </c>
      <c r="E57" s="300">
        <f>Tournament!E30</f>
        <v>44892.666666666664</v>
      </c>
      <c r="F57" s="297" t="str">
        <f>Tournament!F30</f>
        <v>Belgium</v>
      </c>
      <c r="G57" s="188"/>
      <c r="H57" s="189"/>
      <c r="I57" s="188"/>
      <c r="J57" s="190"/>
      <c r="K57" s="190"/>
      <c r="L57" s="190"/>
      <c r="M57" s="190"/>
      <c r="N57" s="190"/>
      <c r="O57" s="190"/>
      <c r="P57" s="190"/>
      <c r="Q57" s="190"/>
      <c r="CF57" s="26"/>
      <c r="CG57" s="26"/>
      <c r="CH57" s="26"/>
      <c r="CJ57" s="73"/>
      <c r="CK57" s="24"/>
      <c r="CL57" s="181"/>
    </row>
    <row r="58" spans="1:90" ht="15" customHeight="1" x14ac:dyDescent="0.25">
      <c r="A58" s="187"/>
      <c r="B58" s="354"/>
      <c r="C58" s="356"/>
      <c r="D58" s="357" t="str">
        <f>Tournament!N30</f>
        <v>Al Thumama</v>
      </c>
      <c r="E58" s="357"/>
      <c r="F58" s="298" t="str">
        <f>Tournament!K30</f>
        <v>Morocco</v>
      </c>
      <c r="G58" s="188"/>
      <c r="H58" s="189"/>
      <c r="I58" s="188"/>
      <c r="J58" s="191"/>
      <c r="K58" s="191"/>
      <c r="L58" s="191"/>
      <c r="M58" s="191"/>
      <c r="N58" s="191"/>
      <c r="O58" s="191"/>
      <c r="P58" s="191"/>
      <c r="Q58" s="191"/>
      <c r="CF58" s="26"/>
      <c r="CG58" s="26"/>
      <c r="CH58" s="26"/>
      <c r="CJ58" s="73"/>
      <c r="CK58" s="24"/>
      <c r="CL58" s="181"/>
    </row>
    <row r="59" spans="1:90" ht="15" customHeight="1" x14ac:dyDescent="0.25">
      <c r="A59" s="187"/>
      <c r="B59" s="354" t="s">
        <v>127</v>
      </c>
      <c r="C59" s="355">
        <v>27</v>
      </c>
      <c r="D59" s="299">
        <f t="shared" si="0"/>
        <v>44892.791666666664</v>
      </c>
      <c r="E59" s="300">
        <f>Tournament!E31</f>
        <v>44892.791666666664</v>
      </c>
      <c r="F59" s="297" t="str">
        <f>Tournament!F31</f>
        <v>Croatia</v>
      </c>
      <c r="G59" s="188"/>
      <c r="H59" s="189"/>
      <c r="I59" s="188"/>
      <c r="J59" s="190"/>
      <c r="K59" s="190"/>
      <c r="L59" s="190"/>
      <c r="M59" s="190"/>
      <c r="N59" s="190"/>
      <c r="O59" s="190"/>
      <c r="P59" s="190"/>
      <c r="Q59" s="190"/>
      <c r="CF59" s="26"/>
      <c r="CG59" s="26"/>
      <c r="CH59" s="26"/>
      <c r="CJ59" s="73"/>
      <c r="CK59" s="24"/>
      <c r="CL59" s="181"/>
    </row>
    <row r="60" spans="1:90" ht="15" customHeight="1" x14ac:dyDescent="0.25">
      <c r="A60" s="187"/>
      <c r="B60" s="354"/>
      <c r="C60" s="356"/>
      <c r="D60" s="357" t="str">
        <f>Tournament!N31</f>
        <v>Khalifa International</v>
      </c>
      <c r="E60" s="357"/>
      <c r="F60" s="298" t="str">
        <f>Tournament!K31</f>
        <v>Canada</v>
      </c>
      <c r="G60" s="188"/>
      <c r="H60" s="189"/>
      <c r="I60" s="188"/>
      <c r="J60" s="191"/>
      <c r="K60" s="191"/>
      <c r="L60" s="191"/>
      <c r="M60" s="191"/>
      <c r="N60" s="191"/>
      <c r="O60" s="191"/>
      <c r="P60" s="191"/>
      <c r="Q60" s="191"/>
      <c r="CF60" s="26"/>
      <c r="CG60" s="26"/>
      <c r="CH60" s="26"/>
      <c r="CJ60" s="73"/>
      <c r="CK60" s="24"/>
      <c r="CL60" s="181"/>
    </row>
    <row r="61" spans="1:90" ht="15" customHeight="1" x14ac:dyDescent="0.25">
      <c r="A61" s="187"/>
      <c r="B61" s="354" t="s">
        <v>128</v>
      </c>
      <c r="C61" s="355">
        <v>28</v>
      </c>
      <c r="D61" s="299">
        <f t="shared" si="0"/>
        <v>44892.916666666664</v>
      </c>
      <c r="E61" s="300">
        <f>Tournament!E32</f>
        <v>44892.916666666664</v>
      </c>
      <c r="F61" s="297" t="str">
        <f>Tournament!F32</f>
        <v>Spain</v>
      </c>
      <c r="G61" s="188"/>
      <c r="H61" s="189"/>
      <c r="I61" s="188"/>
      <c r="J61" s="190"/>
      <c r="K61" s="190"/>
      <c r="L61" s="190"/>
      <c r="M61" s="190"/>
      <c r="N61" s="190"/>
      <c r="O61" s="190"/>
      <c r="P61" s="190"/>
      <c r="Q61" s="190"/>
      <c r="CF61" s="26"/>
      <c r="CG61" s="26"/>
      <c r="CH61" s="26"/>
      <c r="CJ61" s="181"/>
      <c r="CK61" s="24"/>
      <c r="CL61" s="181"/>
    </row>
    <row r="62" spans="1:90" ht="15" customHeight="1" x14ac:dyDescent="0.25">
      <c r="A62" s="187"/>
      <c r="B62" s="354"/>
      <c r="C62" s="356"/>
      <c r="D62" s="357" t="str">
        <f>Tournament!N32</f>
        <v>Al Bayt</v>
      </c>
      <c r="E62" s="357"/>
      <c r="F62" s="298" t="str">
        <f>Tournament!K32</f>
        <v>Germany</v>
      </c>
      <c r="G62" s="188"/>
      <c r="H62" s="189"/>
      <c r="I62" s="188"/>
      <c r="J62" s="191"/>
      <c r="K62" s="191"/>
      <c r="L62" s="191"/>
      <c r="M62" s="191"/>
      <c r="N62" s="191"/>
      <c r="O62" s="191"/>
      <c r="P62" s="191"/>
      <c r="Q62" s="191"/>
      <c r="CF62" s="26"/>
      <c r="CG62" s="26"/>
      <c r="CH62" s="26"/>
      <c r="CJ62" s="181"/>
      <c r="CK62" s="24"/>
      <c r="CL62" s="181"/>
    </row>
    <row r="63" spans="1:90" ht="15" customHeight="1" x14ac:dyDescent="0.25">
      <c r="A63" s="187"/>
      <c r="B63" s="354" t="s">
        <v>129</v>
      </c>
      <c r="C63" s="355">
        <v>29</v>
      </c>
      <c r="D63" s="299">
        <f t="shared" si="0"/>
        <v>44893.541666666664</v>
      </c>
      <c r="E63" s="300">
        <f>Tournament!E33</f>
        <v>44893.541666666664</v>
      </c>
      <c r="F63" s="297" t="str">
        <f>Tournament!F33</f>
        <v>Cameroon</v>
      </c>
      <c r="G63" s="188"/>
      <c r="H63" s="189"/>
      <c r="I63" s="188"/>
      <c r="J63" s="190"/>
      <c r="K63" s="190"/>
      <c r="L63" s="190"/>
      <c r="M63" s="190"/>
      <c r="N63" s="190"/>
      <c r="O63" s="190"/>
      <c r="P63" s="190"/>
      <c r="Q63" s="190"/>
      <c r="CF63" s="26"/>
      <c r="CG63" s="26"/>
      <c r="CH63" s="26"/>
      <c r="CJ63" s="181"/>
      <c r="CK63" s="24"/>
      <c r="CL63" s="181"/>
    </row>
    <row r="64" spans="1:90" ht="15" customHeight="1" x14ac:dyDescent="0.25">
      <c r="A64" s="187"/>
      <c r="B64" s="354"/>
      <c r="C64" s="356"/>
      <c r="D64" s="357" t="str">
        <f>Tournament!N33</f>
        <v>Al Janoub</v>
      </c>
      <c r="E64" s="357"/>
      <c r="F64" s="298" t="str">
        <f>Tournament!K33</f>
        <v>Serbia</v>
      </c>
      <c r="G64" s="188"/>
      <c r="H64" s="189"/>
      <c r="I64" s="188"/>
      <c r="J64" s="191"/>
      <c r="K64" s="191"/>
      <c r="L64" s="191"/>
      <c r="M64" s="191"/>
      <c r="N64" s="191"/>
      <c r="O64" s="191"/>
      <c r="P64" s="191"/>
      <c r="Q64" s="191"/>
      <c r="CF64" s="26"/>
      <c r="CG64" s="26"/>
      <c r="CH64" s="26"/>
      <c r="CJ64" s="181"/>
      <c r="CK64" s="24"/>
      <c r="CL64" s="181"/>
    </row>
    <row r="65" spans="1:90" ht="15" customHeight="1" x14ac:dyDescent="0.25">
      <c r="A65" s="187"/>
      <c r="B65" s="354" t="s">
        <v>130</v>
      </c>
      <c r="C65" s="355">
        <v>30</v>
      </c>
      <c r="D65" s="299">
        <f t="shared" si="0"/>
        <v>44893.666666666664</v>
      </c>
      <c r="E65" s="300">
        <f>Tournament!E34</f>
        <v>44893.666666666664</v>
      </c>
      <c r="F65" s="297" t="str">
        <f>Tournament!F34</f>
        <v>South Korea</v>
      </c>
      <c r="G65" s="188"/>
      <c r="H65" s="189"/>
      <c r="I65" s="188"/>
      <c r="J65" s="190"/>
      <c r="K65" s="190"/>
      <c r="L65" s="190"/>
      <c r="M65" s="190"/>
      <c r="N65" s="190"/>
      <c r="O65" s="190"/>
      <c r="P65" s="190"/>
      <c r="Q65" s="190"/>
      <c r="CF65" s="26"/>
      <c r="CG65" s="26"/>
      <c r="CH65" s="26"/>
      <c r="CJ65" s="181"/>
      <c r="CK65" s="24"/>
      <c r="CL65" s="181"/>
    </row>
    <row r="66" spans="1:90" ht="15" customHeight="1" x14ac:dyDescent="0.25">
      <c r="A66" s="187"/>
      <c r="B66" s="354"/>
      <c r="C66" s="356"/>
      <c r="D66" s="357" t="str">
        <f>Tournament!N34</f>
        <v>Education City</v>
      </c>
      <c r="E66" s="357"/>
      <c r="F66" s="298" t="str">
        <f>Tournament!K34</f>
        <v>Ghana</v>
      </c>
      <c r="G66" s="188"/>
      <c r="H66" s="189"/>
      <c r="I66" s="188"/>
      <c r="J66" s="191"/>
      <c r="K66" s="191"/>
      <c r="L66" s="191"/>
      <c r="M66" s="191"/>
      <c r="N66" s="191"/>
      <c r="O66" s="191"/>
      <c r="P66" s="191"/>
      <c r="Q66" s="191"/>
      <c r="CF66" s="26"/>
      <c r="CG66" s="26"/>
      <c r="CH66" s="26"/>
      <c r="CJ66" s="181"/>
      <c r="CK66" s="24"/>
      <c r="CL66" s="181"/>
    </row>
    <row r="67" spans="1:90" ht="15" customHeight="1" x14ac:dyDescent="0.25">
      <c r="A67" s="187"/>
      <c r="B67" s="354" t="s">
        <v>129</v>
      </c>
      <c r="C67" s="355">
        <v>31</v>
      </c>
      <c r="D67" s="299">
        <f t="shared" si="0"/>
        <v>44893.791666666664</v>
      </c>
      <c r="E67" s="300">
        <f>Tournament!E35</f>
        <v>44893.791666666664</v>
      </c>
      <c r="F67" s="297" t="str">
        <f>Tournament!F35</f>
        <v>Brazil</v>
      </c>
      <c r="G67" s="188"/>
      <c r="H67" s="189"/>
      <c r="I67" s="188"/>
      <c r="J67" s="190"/>
      <c r="K67" s="190"/>
      <c r="L67" s="190"/>
      <c r="M67" s="190"/>
      <c r="N67" s="190"/>
      <c r="O67" s="190"/>
      <c r="P67" s="190"/>
      <c r="Q67" s="190"/>
      <c r="CF67" s="26"/>
      <c r="CG67" s="26"/>
      <c r="CH67" s="26"/>
      <c r="CJ67" s="181"/>
      <c r="CK67" s="24"/>
      <c r="CL67" s="181"/>
    </row>
    <row r="68" spans="1:90" ht="15" customHeight="1" x14ac:dyDescent="0.25">
      <c r="A68" s="187"/>
      <c r="B68" s="354"/>
      <c r="C68" s="356"/>
      <c r="D68" s="357" t="str">
        <f>Tournament!N35</f>
        <v>Stadium 974</v>
      </c>
      <c r="E68" s="357"/>
      <c r="F68" s="298" t="str">
        <f>Tournament!K35</f>
        <v>Switzerland</v>
      </c>
      <c r="G68" s="188"/>
      <c r="H68" s="189"/>
      <c r="I68" s="188"/>
      <c r="J68" s="191"/>
      <c r="K68" s="191"/>
      <c r="L68" s="191"/>
      <c r="M68" s="191"/>
      <c r="N68" s="191"/>
      <c r="O68" s="191"/>
      <c r="P68" s="191"/>
      <c r="Q68" s="191"/>
      <c r="CF68" s="26"/>
      <c r="CG68" s="26"/>
      <c r="CH68" s="26"/>
      <c r="CJ68" s="181"/>
      <c r="CK68" s="24"/>
      <c r="CL68" s="181"/>
    </row>
    <row r="69" spans="1:90" ht="15" customHeight="1" x14ac:dyDescent="0.25">
      <c r="A69" s="187"/>
      <c r="B69" s="354" t="s">
        <v>130</v>
      </c>
      <c r="C69" s="355">
        <v>32</v>
      </c>
      <c r="D69" s="299">
        <f>Tournament!E36</f>
        <v>44893.916666666664</v>
      </c>
      <c r="E69" s="300">
        <f>Tournament!E36</f>
        <v>44893.916666666664</v>
      </c>
      <c r="F69" s="297" t="str">
        <f>Tournament!F36</f>
        <v>Portugal</v>
      </c>
      <c r="G69" s="188"/>
      <c r="H69" s="189"/>
      <c r="I69" s="188"/>
      <c r="J69" s="190"/>
      <c r="K69" s="190"/>
      <c r="L69" s="190"/>
      <c r="M69" s="190"/>
      <c r="N69" s="190"/>
      <c r="O69" s="190"/>
      <c r="P69" s="190"/>
      <c r="Q69" s="190"/>
      <c r="CF69" s="26"/>
      <c r="CG69" s="26"/>
      <c r="CH69" s="26"/>
      <c r="CJ69" s="181"/>
      <c r="CK69" s="24"/>
      <c r="CL69" s="181"/>
    </row>
    <row r="70" spans="1:90" ht="15" customHeight="1" x14ac:dyDescent="0.25">
      <c r="A70" s="187"/>
      <c r="B70" s="354"/>
      <c r="C70" s="356"/>
      <c r="D70" s="357" t="str">
        <f>Tournament!N36</f>
        <v>Lusail</v>
      </c>
      <c r="E70" s="357"/>
      <c r="F70" s="298" t="str">
        <f>Tournament!K36</f>
        <v>Uruguay</v>
      </c>
      <c r="G70" s="188"/>
      <c r="H70" s="189"/>
      <c r="I70" s="188"/>
      <c r="J70" s="191"/>
      <c r="K70" s="191"/>
      <c r="L70" s="191"/>
      <c r="M70" s="191"/>
      <c r="N70" s="191"/>
      <c r="O70" s="191"/>
      <c r="P70" s="191"/>
      <c r="Q70" s="191"/>
      <c r="CF70" s="26"/>
      <c r="CG70" s="26"/>
      <c r="CH70" s="26"/>
      <c r="CJ70" s="181"/>
      <c r="CK70" s="24"/>
      <c r="CL70" s="181"/>
    </row>
    <row r="71" spans="1:90" ht="15" customHeight="1" x14ac:dyDescent="0.25">
      <c r="A71" s="187"/>
      <c r="B71" s="354" t="s">
        <v>123</v>
      </c>
      <c r="C71" s="355">
        <v>35</v>
      </c>
      <c r="D71" s="299">
        <f>Tournament!E37</f>
        <v>44894.75</v>
      </c>
      <c r="E71" s="300">
        <f>Tournament!E37</f>
        <v>44894.75</v>
      </c>
      <c r="F71" s="297" t="str">
        <f>Tournament!F37</f>
        <v>Ecuador</v>
      </c>
      <c r="G71" s="188"/>
      <c r="H71" s="189"/>
      <c r="I71" s="188"/>
      <c r="J71" s="190"/>
      <c r="K71" s="190"/>
      <c r="L71" s="190"/>
      <c r="M71" s="190"/>
      <c r="N71" s="190"/>
      <c r="O71" s="190"/>
      <c r="P71" s="190"/>
      <c r="Q71" s="190"/>
      <c r="CF71" s="26"/>
      <c r="CG71" s="26"/>
      <c r="CH71" s="26"/>
      <c r="CJ71" s="181"/>
      <c r="CK71" s="24"/>
      <c r="CL71" s="181"/>
    </row>
    <row r="72" spans="1:90" ht="15" customHeight="1" x14ac:dyDescent="0.25">
      <c r="A72" s="187"/>
      <c r="B72" s="354"/>
      <c r="C72" s="356"/>
      <c r="D72" s="357" t="str">
        <f>Tournament!N37</f>
        <v>Khalifa International</v>
      </c>
      <c r="E72" s="357"/>
      <c r="F72" s="298" t="str">
        <f>Tournament!K37</f>
        <v>Senegal</v>
      </c>
      <c r="G72" s="188"/>
      <c r="H72" s="189"/>
      <c r="I72" s="188"/>
      <c r="J72" s="191"/>
      <c r="K72" s="191"/>
      <c r="L72" s="191"/>
      <c r="M72" s="191"/>
      <c r="N72" s="191"/>
      <c r="O72" s="191"/>
      <c r="P72" s="191"/>
      <c r="Q72" s="191"/>
      <c r="CF72" s="26"/>
      <c r="CG72" s="26"/>
      <c r="CH72" s="26"/>
      <c r="CJ72" s="181"/>
      <c r="CK72" s="24"/>
      <c r="CL72" s="181"/>
    </row>
    <row r="73" spans="1:90" ht="15" customHeight="1" x14ac:dyDescent="0.25">
      <c r="A73" s="187"/>
      <c r="B73" s="354" t="s">
        <v>123</v>
      </c>
      <c r="C73" s="355">
        <v>36</v>
      </c>
      <c r="D73" s="299">
        <f>Tournament!E38</f>
        <v>44894.75</v>
      </c>
      <c r="E73" s="300">
        <f>Tournament!E38</f>
        <v>44894.75</v>
      </c>
      <c r="F73" s="297" t="str">
        <f>Tournament!F38</f>
        <v>Netherlands</v>
      </c>
      <c r="G73" s="188"/>
      <c r="H73" s="189"/>
      <c r="I73" s="188"/>
      <c r="J73" s="190"/>
      <c r="K73" s="190"/>
      <c r="L73" s="190"/>
      <c r="M73" s="190"/>
      <c r="N73" s="190"/>
      <c r="O73" s="190"/>
      <c r="P73" s="190"/>
      <c r="Q73" s="190"/>
      <c r="CF73" s="26"/>
      <c r="CG73" s="26"/>
      <c r="CH73" s="26"/>
      <c r="CJ73" s="181"/>
      <c r="CK73" s="24"/>
      <c r="CL73" s="181"/>
    </row>
    <row r="74" spans="1:90" ht="15" customHeight="1" x14ac:dyDescent="0.25">
      <c r="A74" s="187"/>
      <c r="B74" s="354"/>
      <c r="C74" s="356"/>
      <c r="D74" s="357" t="str">
        <f>Tournament!N38</f>
        <v>Al Bayt</v>
      </c>
      <c r="E74" s="357"/>
      <c r="F74" s="298" t="str">
        <f>Tournament!K38</f>
        <v>Qatar</v>
      </c>
      <c r="G74" s="188"/>
      <c r="H74" s="189"/>
      <c r="I74" s="188"/>
      <c r="J74" s="191"/>
      <c r="K74" s="191"/>
      <c r="L74" s="191"/>
      <c r="M74" s="191"/>
      <c r="N74" s="191"/>
      <c r="O74" s="191"/>
      <c r="P74" s="191"/>
      <c r="Q74" s="191"/>
      <c r="CF74" s="26"/>
      <c r="CG74" s="26"/>
      <c r="CH74" s="26"/>
      <c r="CJ74" s="181"/>
      <c r="CK74" s="24"/>
      <c r="CL74" s="181"/>
    </row>
    <row r="75" spans="1:90" ht="15" customHeight="1" x14ac:dyDescent="0.25">
      <c r="A75" s="187"/>
      <c r="B75" s="354" t="s">
        <v>124</v>
      </c>
      <c r="C75" s="355">
        <v>33</v>
      </c>
      <c r="D75" s="299">
        <f t="shared" si="0"/>
        <v>44894.916666666664</v>
      </c>
      <c r="E75" s="300">
        <f>Tournament!E39</f>
        <v>44894.916666666664</v>
      </c>
      <c r="F75" s="297" t="str">
        <f>Tournament!F39</f>
        <v>Wales</v>
      </c>
      <c r="G75" s="188"/>
      <c r="H75" s="189"/>
      <c r="I75" s="188"/>
      <c r="J75" s="190"/>
      <c r="K75" s="190"/>
      <c r="L75" s="190"/>
      <c r="M75" s="190"/>
      <c r="N75" s="190"/>
      <c r="O75" s="190"/>
      <c r="P75" s="190"/>
      <c r="Q75" s="190"/>
      <c r="CF75" s="26"/>
      <c r="CG75" s="26"/>
      <c r="CH75" s="26"/>
      <c r="CJ75" s="181"/>
      <c r="CK75" s="24"/>
      <c r="CL75" s="181"/>
    </row>
    <row r="76" spans="1:90" ht="15" customHeight="1" x14ac:dyDescent="0.25">
      <c r="A76" s="187"/>
      <c r="B76" s="354"/>
      <c r="C76" s="356"/>
      <c r="D76" s="357" t="str">
        <f>Tournament!N39</f>
        <v>Ahmad Bin Ali</v>
      </c>
      <c r="E76" s="357"/>
      <c r="F76" s="298" t="str">
        <f>Tournament!K39</f>
        <v>England</v>
      </c>
      <c r="G76" s="188"/>
      <c r="H76" s="189"/>
      <c r="I76" s="188"/>
      <c r="J76" s="191"/>
      <c r="K76" s="191"/>
      <c r="L76" s="191"/>
      <c r="M76" s="191"/>
      <c r="N76" s="191"/>
      <c r="O76" s="191"/>
      <c r="P76" s="191"/>
      <c r="Q76" s="191"/>
      <c r="CF76" s="26"/>
      <c r="CG76" s="26"/>
      <c r="CH76" s="26"/>
      <c r="CJ76" s="181"/>
      <c r="CK76" s="24"/>
      <c r="CL76" s="181"/>
    </row>
    <row r="77" spans="1:90" ht="15" customHeight="1" x14ac:dyDescent="0.25">
      <c r="A77" s="187"/>
      <c r="B77" s="354" t="s">
        <v>124</v>
      </c>
      <c r="C77" s="355">
        <v>34</v>
      </c>
      <c r="D77" s="299">
        <f t="shared" si="0"/>
        <v>44894.916666666664</v>
      </c>
      <c r="E77" s="300">
        <f>Tournament!E40</f>
        <v>44894.916666666664</v>
      </c>
      <c r="F77" s="297" t="str">
        <f>Tournament!F40</f>
        <v>Iran</v>
      </c>
      <c r="G77" s="188"/>
      <c r="H77" s="189"/>
      <c r="I77" s="188"/>
      <c r="J77" s="190"/>
      <c r="K77" s="190"/>
      <c r="L77" s="190"/>
      <c r="M77" s="190"/>
      <c r="N77" s="190"/>
      <c r="O77" s="190"/>
      <c r="P77" s="190"/>
      <c r="Q77" s="190"/>
      <c r="CF77" s="26"/>
      <c r="CG77" s="26"/>
      <c r="CH77" s="26"/>
      <c r="CJ77" s="181"/>
      <c r="CK77" s="24"/>
      <c r="CL77" s="181"/>
    </row>
    <row r="78" spans="1:90" ht="15" customHeight="1" x14ac:dyDescent="0.25">
      <c r="B78" s="354"/>
      <c r="C78" s="356"/>
      <c r="D78" s="357" t="str">
        <f>Tournament!N40</f>
        <v>Al Thumama</v>
      </c>
      <c r="E78" s="357"/>
      <c r="F78" s="298" t="str">
        <f>Tournament!K40</f>
        <v>United States</v>
      </c>
      <c r="G78" s="188"/>
      <c r="H78" s="189"/>
      <c r="I78" s="188"/>
      <c r="J78" s="191"/>
      <c r="K78" s="191"/>
      <c r="L78" s="191"/>
      <c r="M78" s="191"/>
      <c r="N78" s="191"/>
      <c r="O78" s="191"/>
      <c r="P78" s="191"/>
      <c r="Q78" s="191"/>
      <c r="CF78" s="26"/>
      <c r="CG78" s="26"/>
      <c r="CH78" s="26"/>
      <c r="CJ78" s="181"/>
      <c r="CK78" s="24"/>
      <c r="CL78" s="181"/>
    </row>
    <row r="79" spans="1:90" ht="15" customHeight="1" x14ac:dyDescent="0.25">
      <c r="B79" s="354" t="s">
        <v>119</v>
      </c>
      <c r="C79" s="355">
        <v>37</v>
      </c>
      <c r="D79" s="299">
        <f t="shared" si="0"/>
        <v>44895.75</v>
      </c>
      <c r="E79" s="300">
        <f>Tournament!E41</f>
        <v>44895.75</v>
      </c>
      <c r="F79" s="297" t="str">
        <f>Tournament!F41</f>
        <v>Australia</v>
      </c>
      <c r="G79" s="188"/>
      <c r="H79" s="189"/>
      <c r="I79" s="188"/>
      <c r="J79" s="190"/>
      <c r="K79" s="190"/>
      <c r="L79" s="190"/>
      <c r="M79" s="190"/>
      <c r="N79" s="190"/>
      <c r="O79" s="190"/>
      <c r="P79" s="190"/>
      <c r="Q79" s="190"/>
      <c r="CF79" s="26"/>
      <c r="CG79" s="26"/>
      <c r="CH79" s="26"/>
      <c r="CJ79" s="181"/>
      <c r="CK79" s="24"/>
      <c r="CL79" s="181"/>
    </row>
    <row r="80" spans="1:90" ht="15" customHeight="1" x14ac:dyDescent="0.25">
      <c r="B80" s="354"/>
      <c r="C80" s="356"/>
      <c r="D80" s="357" t="str">
        <f>Tournament!N41</f>
        <v>Al Janoub</v>
      </c>
      <c r="E80" s="357"/>
      <c r="F80" s="298" t="str">
        <f>Tournament!K41</f>
        <v>Denmark</v>
      </c>
      <c r="G80" s="188"/>
      <c r="H80" s="189"/>
      <c r="I80" s="188"/>
      <c r="J80" s="191"/>
      <c r="K80" s="191"/>
      <c r="L80" s="191"/>
      <c r="M80" s="191"/>
      <c r="N80" s="191"/>
      <c r="O80" s="191"/>
      <c r="P80" s="191"/>
      <c r="Q80" s="191"/>
      <c r="CF80" s="26"/>
      <c r="CG80" s="26"/>
      <c r="CH80" s="26"/>
      <c r="CJ80" s="181"/>
      <c r="CK80" s="24"/>
      <c r="CL80" s="181"/>
    </row>
    <row r="81" spans="2:90" ht="15" customHeight="1" x14ac:dyDescent="0.25">
      <c r="B81" s="354" t="s">
        <v>119</v>
      </c>
      <c r="C81" s="355">
        <v>38</v>
      </c>
      <c r="D81" s="299">
        <f t="shared" si="0"/>
        <v>44895.75</v>
      </c>
      <c r="E81" s="300">
        <f>Tournament!E42</f>
        <v>44895.75</v>
      </c>
      <c r="F81" s="297" t="str">
        <f>Tournament!F42</f>
        <v>Tunisia</v>
      </c>
      <c r="G81" s="188"/>
      <c r="H81" s="189"/>
      <c r="I81" s="188"/>
      <c r="J81" s="190"/>
      <c r="K81" s="190"/>
      <c r="L81" s="190"/>
      <c r="M81" s="190"/>
      <c r="N81" s="190"/>
      <c r="O81" s="190"/>
      <c r="P81" s="190"/>
      <c r="Q81" s="190"/>
      <c r="CF81" s="26"/>
      <c r="CG81" s="26"/>
      <c r="CH81" s="26"/>
      <c r="CJ81" s="181"/>
      <c r="CK81" s="24"/>
      <c r="CL81" s="181"/>
    </row>
    <row r="82" spans="2:90" ht="15" customHeight="1" x14ac:dyDescent="0.25">
      <c r="B82" s="354"/>
      <c r="C82" s="356"/>
      <c r="D82" s="357" t="str">
        <f>Tournament!N42</f>
        <v>Education City</v>
      </c>
      <c r="E82" s="357"/>
      <c r="F82" s="298" t="str">
        <f>Tournament!K42</f>
        <v>France</v>
      </c>
      <c r="G82" s="188"/>
      <c r="H82" s="189"/>
      <c r="I82" s="188"/>
      <c r="J82" s="191"/>
      <c r="K82" s="191"/>
      <c r="L82" s="191"/>
      <c r="M82" s="191"/>
      <c r="N82" s="191"/>
      <c r="O82" s="191"/>
      <c r="P82" s="191"/>
      <c r="Q82" s="191"/>
      <c r="CF82" s="26"/>
      <c r="CG82" s="26"/>
      <c r="CH82" s="26"/>
      <c r="CJ82" s="181"/>
      <c r="CK82" s="24"/>
      <c r="CL82" s="181"/>
    </row>
    <row r="83" spans="2:90" ht="15" customHeight="1" x14ac:dyDescent="0.25">
      <c r="B83" s="354" t="s">
        <v>125</v>
      </c>
      <c r="C83" s="355">
        <v>39</v>
      </c>
      <c r="D83" s="299">
        <f t="shared" si="0"/>
        <v>44895.916666666664</v>
      </c>
      <c r="E83" s="300">
        <f>Tournament!E43</f>
        <v>44895.916666666664</v>
      </c>
      <c r="F83" s="297" t="str">
        <f>Tournament!F43</f>
        <v>Poland</v>
      </c>
      <c r="G83" s="188"/>
      <c r="H83" s="189"/>
      <c r="I83" s="188"/>
      <c r="J83" s="190"/>
      <c r="K83" s="190"/>
      <c r="L83" s="190"/>
      <c r="M83" s="190"/>
      <c r="N83" s="190"/>
      <c r="O83" s="190"/>
      <c r="P83" s="190"/>
      <c r="Q83" s="190"/>
      <c r="CF83" s="26"/>
      <c r="CG83" s="26"/>
      <c r="CH83" s="26"/>
      <c r="CJ83" s="181"/>
      <c r="CK83" s="24"/>
      <c r="CL83" s="181"/>
    </row>
    <row r="84" spans="2:90" ht="15" customHeight="1" x14ac:dyDescent="0.25">
      <c r="B84" s="354"/>
      <c r="C84" s="356"/>
      <c r="D84" s="357" t="str">
        <f>Tournament!N43</f>
        <v>Stadium 974</v>
      </c>
      <c r="E84" s="357"/>
      <c r="F84" s="298" t="str">
        <f>Tournament!K43</f>
        <v>Argentina</v>
      </c>
      <c r="G84" s="188"/>
      <c r="H84" s="189"/>
      <c r="I84" s="188"/>
      <c r="J84" s="191"/>
      <c r="K84" s="191"/>
      <c r="L84" s="191"/>
      <c r="M84" s="191"/>
      <c r="N84" s="191"/>
      <c r="O84" s="191"/>
      <c r="P84" s="191"/>
      <c r="Q84" s="191"/>
      <c r="CF84" s="26"/>
      <c r="CG84" s="26"/>
      <c r="CH84" s="26"/>
      <c r="CJ84" s="181"/>
      <c r="CK84" s="24"/>
      <c r="CL84" s="181"/>
    </row>
    <row r="85" spans="2:90" ht="15" customHeight="1" x14ac:dyDescent="0.25">
      <c r="B85" s="354" t="s">
        <v>125</v>
      </c>
      <c r="C85" s="355">
        <v>40</v>
      </c>
      <c r="D85" s="299">
        <f t="shared" si="0"/>
        <v>44895.916666666664</v>
      </c>
      <c r="E85" s="300">
        <f>Tournament!E44</f>
        <v>44895.916666666664</v>
      </c>
      <c r="F85" s="297" t="str">
        <f>Tournament!F44</f>
        <v>Saudi Arabia</v>
      </c>
      <c r="G85" s="188"/>
      <c r="H85" s="189"/>
      <c r="I85" s="188"/>
      <c r="J85" s="190"/>
      <c r="K85" s="190"/>
      <c r="L85" s="190"/>
      <c r="M85" s="190"/>
      <c r="N85" s="190"/>
      <c r="O85" s="190"/>
      <c r="P85" s="190"/>
      <c r="Q85" s="190"/>
      <c r="CF85" s="26"/>
      <c r="CG85" s="26"/>
      <c r="CH85" s="26"/>
      <c r="CJ85" s="181"/>
      <c r="CK85" s="24"/>
      <c r="CL85" s="181"/>
    </row>
    <row r="86" spans="2:90" ht="15" customHeight="1" x14ac:dyDescent="0.25">
      <c r="B86" s="354"/>
      <c r="C86" s="356"/>
      <c r="D86" s="357" t="str">
        <f>Tournament!N44</f>
        <v>Lusail</v>
      </c>
      <c r="E86" s="357"/>
      <c r="F86" s="298" t="str">
        <f>Tournament!K44</f>
        <v>Mexico</v>
      </c>
      <c r="G86" s="188"/>
      <c r="H86" s="189"/>
      <c r="I86" s="188"/>
      <c r="J86" s="191"/>
      <c r="K86" s="191"/>
      <c r="L86" s="191"/>
      <c r="M86" s="191"/>
      <c r="N86" s="191"/>
      <c r="O86" s="191"/>
      <c r="P86" s="191"/>
      <c r="Q86" s="191"/>
      <c r="CF86" s="26"/>
      <c r="CG86" s="26"/>
      <c r="CH86" s="26"/>
      <c r="CJ86" s="181"/>
      <c r="CK86" s="24"/>
      <c r="CL86" s="181"/>
    </row>
    <row r="87" spans="2:90" ht="15" customHeight="1" x14ac:dyDescent="0.25">
      <c r="B87" s="354" t="s">
        <v>127</v>
      </c>
      <c r="C87" s="355">
        <v>41</v>
      </c>
      <c r="D87" s="299">
        <f t="shared" si="0"/>
        <v>44896.75</v>
      </c>
      <c r="E87" s="300">
        <f>Tournament!E45</f>
        <v>44896.75</v>
      </c>
      <c r="F87" s="297" t="str">
        <f>Tournament!F45</f>
        <v>Croatia</v>
      </c>
      <c r="G87" s="188"/>
      <c r="H87" s="189"/>
      <c r="I87" s="188"/>
      <c r="J87" s="190"/>
      <c r="K87" s="190"/>
      <c r="L87" s="190"/>
      <c r="M87" s="190"/>
      <c r="N87" s="190"/>
      <c r="O87" s="190"/>
      <c r="P87" s="190"/>
      <c r="Q87" s="190"/>
      <c r="CF87" s="26"/>
      <c r="CG87" s="26"/>
      <c r="CH87" s="26"/>
      <c r="CJ87" s="181"/>
      <c r="CK87" s="24"/>
      <c r="CL87" s="181"/>
    </row>
    <row r="88" spans="2:90" ht="15" customHeight="1" x14ac:dyDescent="0.25">
      <c r="B88" s="354"/>
      <c r="C88" s="356"/>
      <c r="D88" s="357" t="str">
        <f>Tournament!N45</f>
        <v>Ahmad Bin Ali</v>
      </c>
      <c r="E88" s="357"/>
      <c r="F88" s="298" t="str">
        <f>Tournament!K45</f>
        <v>Belgium</v>
      </c>
      <c r="G88" s="188"/>
      <c r="H88" s="189"/>
      <c r="I88" s="188"/>
      <c r="J88" s="191"/>
      <c r="K88" s="191"/>
      <c r="L88" s="191"/>
      <c r="M88" s="191"/>
      <c r="N88" s="191"/>
      <c r="O88" s="191"/>
      <c r="P88" s="191"/>
      <c r="Q88" s="191"/>
      <c r="CF88" s="26"/>
      <c r="CG88" s="26"/>
      <c r="CH88" s="26"/>
      <c r="CJ88" s="181"/>
      <c r="CK88" s="24"/>
      <c r="CL88" s="181"/>
    </row>
    <row r="89" spans="2:90" ht="15" customHeight="1" x14ac:dyDescent="0.25">
      <c r="B89" s="354" t="s">
        <v>127</v>
      </c>
      <c r="C89" s="355">
        <v>42</v>
      </c>
      <c r="D89" s="299">
        <f t="shared" si="0"/>
        <v>44896.75</v>
      </c>
      <c r="E89" s="300">
        <f>Tournament!E46</f>
        <v>44896.75</v>
      </c>
      <c r="F89" s="297" t="str">
        <f>Tournament!F46</f>
        <v>Canada</v>
      </c>
      <c r="G89" s="188"/>
      <c r="H89" s="189"/>
      <c r="I89" s="188"/>
      <c r="J89" s="190"/>
      <c r="K89" s="190"/>
      <c r="L89" s="190"/>
      <c r="M89" s="190"/>
      <c r="N89" s="190"/>
      <c r="O89" s="190"/>
      <c r="P89" s="190"/>
      <c r="Q89" s="190"/>
      <c r="CF89" s="26"/>
      <c r="CG89" s="26"/>
      <c r="CH89" s="26"/>
      <c r="CJ89" s="181"/>
      <c r="CK89" s="24"/>
      <c r="CL89" s="181"/>
    </row>
    <row r="90" spans="2:90" ht="15" customHeight="1" x14ac:dyDescent="0.25">
      <c r="B90" s="354"/>
      <c r="C90" s="356"/>
      <c r="D90" s="357" t="str">
        <f>Tournament!N46</f>
        <v>Al Thumama</v>
      </c>
      <c r="E90" s="357"/>
      <c r="F90" s="298" t="str">
        <f>Tournament!K46</f>
        <v>Morocco</v>
      </c>
      <c r="G90" s="188"/>
      <c r="H90" s="189"/>
      <c r="I90" s="188"/>
      <c r="J90" s="191"/>
      <c r="K90" s="191"/>
      <c r="L90" s="191"/>
      <c r="M90" s="191"/>
      <c r="N90" s="191"/>
      <c r="O90" s="191"/>
      <c r="P90" s="191"/>
      <c r="Q90" s="191"/>
      <c r="CF90" s="26"/>
      <c r="CG90" s="26"/>
      <c r="CH90" s="26"/>
      <c r="CJ90" s="181"/>
      <c r="CK90" s="24"/>
      <c r="CL90" s="181"/>
    </row>
    <row r="91" spans="2:90" ht="15" customHeight="1" x14ac:dyDescent="0.25">
      <c r="B91" s="354" t="s">
        <v>128</v>
      </c>
      <c r="C91" s="355">
        <v>43</v>
      </c>
      <c r="D91" s="299">
        <f t="shared" si="0"/>
        <v>44896.916666666664</v>
      </c>
      <c r="E91" s="300">
        <f>Tournament!E47</f>
        <v>44896.916666666664</v>
      </c>
      <c r="F91" s="297" t="str">
        <f>Tournament!F47</f>
        <v>Japan</v>
      </c>
      <c r="G91" s="188"/>
      <c r="H91" s="189"/>
      <c r="I91" s="188"/>
      <c r="J91" s="190"/>
      <c r="K91" s="190"/>
      <c r="L91" s="190"/>
      <c r="M91" s="190"/>
      <c r="N91" s="190"/>
      <c r="O91" s="190"/>
      <c r="P91" s="190"/>
      <c r="Q91" s="190"/>
      <c r="CF91" s="26"/>
      <c r="CG91" s="26"/>
      <c r="CH91" s="26"/>
      <c r="CJ91" s="181"/>
      <c r="CK91" s="24"/>
      <c r="CL91" s="181"/>
    </row>
    <row r="92" spans="2:90" ht="15" customHeight="1" x14ac:dyDescent="0.25">
      <c r="B92" s="354"/>
      <c r="C92" s="356"/>
      <c r="D92" s="357" t="str">
        <f>Tournament!N47</f>
        <v>Khalifa International</v>
      </c>
      <c r="E92" s="357"/>
      <c r="F92" s="298" t="str">
        <f>Tournament!K47</f>
        <v>Spain</v>
      </c>
      <c r="G92" s="188"/>
      <c r="H92" s="189"/>
      <c r="I92" s="188"/>
      <c r="J92" s="191"/>
      <c r="K92" s="191"/>
      <c r="L92" s="191"/>
      <c r="M92" s="191"/>
      <c r="N92" s="191"/>
      <c r="O92" s="191"/>
      <c r="P92" s="191"/>
      <c r="Q92" s="191"/>
      <c r="CF92" s="26"/>
      <c r="CG92" s="26"/>
      <c r="CH92" s="26"/>
      <c r="CJ92" s="181"/>
      <c r="CK92" s="24"/>
      <c r="CL92" s="181"/>
    </row>
    <row r="93" spans="2:90" ht="15" customHeight="1" x14ac:dyDescent="0.25">
      <c r="B93" s="354" t="s">
        <v>128</v>
      </c>
      <c r="C93" s="355">
        <v>44</v>
      </c>
      <c r="D93" s="299">
        <f t="shared" si="0"/>
        <v>44896.916666666664</v>
      </c>
      <c r="E93" s="300">
        <f>Tournament!E48</f>
        <v>44896.916666666664</v>
      </c>
      <c r="F93" s="297" t="str">
        <f>Tournament!F48</f>
        <v>Costa Rica</v>
      </c>
      <c r="G93" s="188"/>
      <c r="H93" s="189"/>
      <c r="I93" s="188"/>
      <c r="J93" s="190"/>
      <c r="K93" s="190"/>
      <c r="L93" s="190"/>
      <c r="M93" s="190"/>
      <c r="N93" s="190"/>
      <c r="O93" s="190"/>
      <c r="P93" s="190"/>
      <c r="Q93" s="190"/>
      <c r="CF93" s="26"/>
      <c r="CG93" s="26"/>
      <c r="CH93" s="26"/>
      <c r="CJ93" s="181"/>
      <c r="CK93" s="24"/>
      <c r="CL93" s="181"/>
    </row>
    <row r="94" spans="2:90" ht="15" customHeight="1" x14ac:dyDescent="0.25">
      <c r="B94" s="354"/>
      <c r="C94" s="356"/>
      <c r="D94" s="357" t="str">
        <f>Tournament!N48</f>
        <v>Al Bayt</v>
      </c>
      <c r="E94" s="357"/>
      <c r="F94" s="298" t="str">
        <f>Tournament!K48</f>
        <v>Germany</v>
      </c>
      <c r="G94" s="188"/>
      <c r="H94" s="189"/>
      <c r="I94" s="188"/>
      <c r="J94" s="191"/>
      <c r="K94" s="191"/>
      <c r="L94" s="191"/>
      <c r="M94" s="191"/>
      <c r="N94" s="191"/>
      <c r="O94" s="191"/>
      <c r="P94" s="191"/>
      <c r="Q94" s="191"/>
      <c r="CF94" s="26"/>
      <c r="CG94" s="26"/>
      <c r="CH94" s="26"/>
      <c r="CJ94" s="181"/>
      <c r="CK94" s="24"/>
      <c r="CL94" s="181"/>
    </row>
    <row r="95" spans="2:90" ht="15" customHeight="1" x14ac:dyDescent="0.25">
      <c r="B95" s="354" t="s">
        <v>130</v>
      </c>
      <c r="C95" s="355">
        <v>45</v>
      </c>
      <c r="D95" s="299">
        <f t="shared" si="0"/>
        <v>44897.75</v>
      </c>
      <c r="E95" s="300">
        <f>Tournament!E49</f>
        <v>44897.75</v>
      </c>
      <c r="F95" s="297" t="str">
        <f>Tournament!F49</f>
        <v>Ghana</v>
      </c>
      <c r="G95" s="188"/>
      <c r="H95" s="189"/>
      <c r="I95" s="188"/>
      <c r="J95" s="190"/>
      <c r="K95" s="190"/>
      <c r="L95" s="190"/>
      <c r="M95" s="190"/>
      <c r="N95" s="190"/>
      <c r="O95" s="190"/>
      <c r="P95" s="190"/>
      <c r="Q95" s="190"/>
      <c r="CF95" s="26"/>
      <c r="CG95" s="26"/>
      <c r="CH95" s="26"/>
      <c r="CJ95" s="181"/>
      <c r="CK95" s="24"/>
      <c r="CL95" s="181"/>
    </row>
    <row r="96" spans="2:90" ht="15" customHeight="1" x14ac:dyDescent="0.25">
      <c r="B96" s="354"/>
      <c r="C96" s="356"/>
      <c r="D96" s="357" t="str">
        <f>Tournament!N49</f>
        <v>Al Janoub</v>
      </c>
      <c r="E96" s="357"/>
      <c r="F96" s="298" t="str">
        <f>Tournament!K49</f>
        <v>Uruguay</v>
      </c>
      <c r="G96" s="188"/>
      <c r="H96" s="189"/>
      <c r="I96" s="188"/>
      <c r="J96" s="191"/>
      <c r="K96" s="191"/>
      <c r="L96" s="191"/>
      <c r="M96" s="191"/>
      <c r="N96" s="191"/>
      <c r="O96" s="191"/>
      <c r="P96" s="191"/>
      <c r="Q96" s="191"/>
      <c r="CF96" s="26"/>
      <c r="CG96" s="26"/>
      <c r="CH96" s="26"/>
      <c r="CJ96" s="181"/>
      <c r="CK96" s="24"/>
      <c r="CL96" s="181"/>
    </row>
    <row r="97" spans="2:88" ht="15" customHeight="1" x14ac:dyDescent="0.25">
      <c r="B97" s="354" t="s">
        <v>130</v>
      </c>
      <c r="C97" s="355">
        <v>46</v>
      </c>
      <c r="D97" s="299">
        <f t="shared" si="0"/>
        <v>44897.75</v>
      </c>
      <c r="E97" s="300">
        <f>Tournament!E50</f>
        <v>44897.75</v>
      </c>
      <c r="F97" s="297" t="str">
        <f>Tournament!F50</f>
        <v>South Korea</v>
      </c>
      <c r="G97" s="188"/>
      <c r="H97" s="189"/>
      <c r="I97" s="188"/>
      <c r="J97" s="190"/>
      <c r="K97" s="190"/>
      <c r="L97" s="190"/>
      <c r="M97" s="190"/>
      <c r="N97" s="190"/>
      <c r="O97" s="190"/>
      <c r="P97" s="190"/>
      <c r="Q97" s="190"/>
      <c r="CF97" s="26"/>
      <c r="CI97" s="24"/>
      <c r="CJ97" s="181"/>
    </row>
    <row r="98" spans="2:88" ht="15" customHeight="1" x14ac:dyDescent="0.25">
      <c r="B98" s="354"/>
      <c r="C98" s="356"/>
      <c r="D98" s="357" t="str">
        <f>Tournament!N50</f>
        <v>Education City</v>
      </c>
      <c r="E98" s="357"/>
      <c r="F98" s="298" t="str">
        <f>Tournament!K50</f>
        <v>Portugal</v>
      </c>
      <c r="G98" s="188"/>
      <c r="H98" s="189"/>
      <c r="I98" s="188"/>
      <c r="J98" s="191"/>
      <c r="K98" s="191"/>
      <c r="L98" s="191"/>
      <c r="M98" s="191"/>
      <c r="N98" s="191"/>
      <c r="O98" s="191"/>
      <c r="P98" s="191"/>
      <c r="Q98" s="191"/>
      <c r="CF98" s="26"/>
      <c r="CI98" s="24"/>
      <c r="CJ98" s="181"/>
    </row>
    <row r="99" spans="2:88" ht="15" customHeight="1" x14ac:dyDescent="0.25">
      <c r="B99" s="354" t="s">
        <v>129</v>
      </c>
      <c r="C99" s="355">
        <v>47</v>
      </c>
      <c r="D99" s="299">
        <f t="shared" si="0"/>
        <v>44897.916666666664</v>
      </c>
      <c r="E99" s="300">
        <f>Tournament!E51</f>
        <v>44897.916666666664</v>
      </c>
      <c r="F99" s="297" t="str">
        <f>Tournament!F51</f>
        <v>Serbia</v>
      </c>
      <c r="G99" s="188"/>
      <c r="H99" s="189"/>
      <c r="I99" s="188"/>
      <c r="J99" s="190"/>
      <c r="K99" s="190"/>
      <c r="L99" s="190"/>
      <c r="M99" s="190"/>
      <c r="N99" s="190"/>
      <c r="O99" s="190"/>
      <c r="P99" s="190"/>
      <c r="Q99" s="190"/>
      <c r="CH99" s="24"/>
    </row>
    <row r="100" spans="2:88" ht="15" customHeight="1" x14ac:dyDescent="0.25">
      <c r="B100" s="354"/>
      <c r="C100" s="356"/>
      <c r="D100" s="357" t="str">
        <f>Tournament!N51</f>
        <v>Stadium 974</v>
      </c>
      <c r="E100" s="357"/>
      <c r="F100" s="298" t="str">
        <f>Tournament!K51</f>
        <v>Switzerland</v>
      </c>
      <c r="G100" s="188"/>
      <c r="H100" s="189"/>
      <c r="I100" s="188"/>
      <c r="J100" s="191"/>
      <c r="K100" s="191"/>
      <c r="L100" s="191"/>
      <c r="M100" s="191"/>
      <c r="N100" s="191"/>
      <c r="O100" s="191"/>
      <c r="P100" s="191"/>
      <c r="Q100" s="191"/>
      <c r="CH100" s="24"/>
    </row>
    <row r="101" spans="2:88" ht="15" customHeight="1" x14ac:dyDescent="0.25">
      <c r="B101" s="354" t="s">
        <v>129</v>
      </c>
      <c r="C101" s="355">
        <v>48</v>
      </c>
      <c r="D101" s="299">
        <f t="shared" si="0"/>
        <v>44897.916666666664</v>
      </c>
      <c r="E101" s="300">
        <f>Tournament!E52</f>
        <v>44897.916666666664</v>
      </c>
      <c r="F101" s="297" t="str">
        <f>Tournament!F52</f>
        <v>Cameroon</v>
      </c>
      <c r="G101" s="188"/>
      <c r="H101" s="189"/>
      <c r="I101" s="188"/>
      <c r="J101" s="190"/>
      <c r="K101" s="190"/>
      <c r="L101" s="190"/>
      <c r="M101" s="190"/>
      <c r="N101" s="190"/>
      <c r="O101" s="190"/>
      <c r="P101" s="190"/>
      <c r="Q101" s="190"/>
      <c r="CH101" s="24"/>
    </row>
    <row r="102" spans="2:88" ht="15" customHeight="1" x14ac:dyDescent="0.25">
      <c r="B102" s="359"/>
      <c r="C102" s="356"/>
      <c r="D102" s="357" t="str">
        <f>Tournament!N52</f>
        <v>Lusail</v>
      </c>
      <c r="E102" s="357"/>
      <c r="F102" s="298" t="str">
        <f>Tournament!K52</f>
        <v>Brazil</v>
      </c>
      <c r="G102" s="188"/>
      <c r="H102" s="189"/>
      <c r="I102" s="188"/>
      <c r="J102" s="191"/>
      <c r="K102" s="191"/>
      <c r="L102" s="191"/>
      <c r="M102" s="191"/>
      <c r="N102" s="191"/>
      <c r="O102" s="191"/>
      <c r="P102" s="191"/>
      <c r="Q102" s="191"/>
      <c r="CH102" s="24"/>
    </row>
    <row r="103" spans="2:88" ht="5" customHeight="1" x14ac:dyDescent="0.25">
      <c r="CH103" s="24"/>
    </row>
    <row r="104" spans="2:88" ht="5" customHeight="1" x14ac:dyDescent="0.25">
      <c r="B104" s="353"/>
      <c r="C104" s="353"/>
      <c r="D104" s="353"/>
      <c r="E104" s="353"/>
      <c r="F104" s="353"/>
      <c r="G104" s="353"/>
      <c r="H104" s="353"/>
      <c r="I104" s="353"/>
      <c r="J104" s="353"/>
      <c r="K104" s="353"/>
      <c r="L104" s="353"/>
      <c r="M104" s="353"/>
      <c r="N104" s="353"/>
      <c r="O104" s="353"/>
      <c r="P104" s="353"/>
      <c r="Q104" s="353"/>
      <c r="CD104" s="181"/>
      <c r="CE104" s="181"/>
      <c r="CH104" s="26"/>
      <c r="CI104" s="26"/>
    </row>
    <row r="105" spans="2:88" ht="15" customHeight="1" x14ac:dyDescent="0.25">
      <c r="B105" s="245" t="s">
        <v>143</v>
      </c>
    </row>
  </sheetData>
  <sheetProtection password="CBF1" sheet="1" objects="1" scenarios="1" sort="0" autoFilter="0" pivotTables="0"/>
  <mergeCells count="146">
    <mergeCell ref="B99:B100"/>
    <mergeCell ref="C99:C100"/>
    <mergeCell ref="D100:E100"/>
    <mergeCell ref="B101:B102"/>
    <mergeCell ref="C101:C102"/>
    <mergeCell ref="D102:E102"/>
    <mergeCell ref="B95:B96"/>
    <mergeCell ref="C95:C96"/>
    <mergeCell ref="D96:E96"/>
    <mergeCell ref="B97:B98"/>
    <mergeCell ref="C97:C98"/>
    <mergeCell ref="D98:E98"/>
    <mergeCell ref="B91:B92"/>
    <mergeCell ref="C91:C92"/>
    <mergeCell ref="D92:E92"/>
    <mergeCell ref="B93:B94"/>
    <mergeCell ref="C93:C94"/>
    <mergeCell ref="D94:E94"/>
    <mergeCell ref="B87:B88"/>
    <mergeCell ref="C87:C88"/>
    <mergeCell ref="D88:E88"/>
    <mergeCell ref="B89:B90"/>
    <mergeCell ref="C89:C90"/>
    <mergeCell ref="D90:E90"/>
    <mergeCell ref="B83:B84"/>
    <mergeCell ref="C83:C84"/>
    <mergeCell ref="D84:E84"/>
    <mergeCell ref="B85:B86"/>
    <mergeCell ref="C85:C86"/>
    <mergeCell ref="D86:E86"/>
    <mergeCell ref="B79:B80"/>
    <mergeCell ref="C79:C80"/>
    <mergeCell ref="D80:E80"/>
    <mergeCell ref="B81:B82"/>
    <mergeCell ref="C81:C82"/>
    <mergeCell ref="D82:E82"/>
    <mergeCell ref="B75:B76"/>
    <mergeCell ref="C75:C76"/>
    <mergeCell ref="D76:E76"/>
    <mergeCell ref="B77:B78"/>
    <mergeCell ref="C77:C78"/>
    <mergeCell ref="D78:E78"/>
    <mergeCell ref="B71:B72"/>
    <mergeCell ref="C71:C72"/>
    <mergeCell ref="D72:E72"/>
    <mergeCell ref="B73:B74"/>
    <mergeCell ref="C73:C74"/>
    <mergeCell ref="D74:E74"/>
    <mergeCell ref="B67:B68"/>
    <mergeCell ref="C67:C68"/>
    <mergeCell ref="D68:E68"/>
    <mergeCell ref="B69:B70"/>
    <mergeCell ref="C69:C70"/>
    <mergeCell ref="D70:E70"/>
    <mergeCell ref="B63:B64"/>
    <mergeCell ref="C63:C64"/>
    <mergeCell ref="D64:E64"/>
    <mergeCell ref="B65:B66"/>
    <mergeCell ref="C65:C66"/>
    <mergeCell ref="D66:E66"/>
    <mergeCell ref="B59:B60"/>
    <mergeCell ref="C59:C60"/>
    <mergeCell ref="D60:E60"/>
    <mergeCell ref="B61:B62"/>
    <mergeCell ref="C61:C62"/>
    <mergeCell ref="D62:E62"/>
    <mergeCell ref="B55:B56"/>
    <mergeCell ref="C55:C56"/>
    <mergeCell ref="D56:E56"/>
    <mergeCell ref="B57:B58"/>
    <mergeCell ref="C57:C58"/>
    <mergeCell ref="D58:E58"/>
    <mergeCell ref="B51:B52"/>
    <mergeCell ref="C51:C52"/>
    <mergeCell ref="D52:E52"/>
    <mergeCell ref="B53:B54"/>
    <mergeCell ref="C53:C54"/>
    <mergeCell ref="D54:E54"/>
    <mergeCell ref="B47:B48"/>
    <mergeCell ref="C47:C48"/>
    <mergeCell ref="D48:E48"/>
    <mergeCell ref="B49:B50"/>
    <mergeCell ref="C49:C50"/>
    <mergeCell ref="D50:E50"/>
    <mergeCell ref="B43:B44"/>
    <mergeCell ref="C43:C44"/>
    <mergeCell ref="D44:E44"/>
    <mergeCell ref="B45:B46"/>
    <mergeCell ref="C45:C46"/>
    <mergeCell ref="D46:E46"/>
    <mergeCell ref="B39:B40"/>
    <mergeCell ref="C39:C40"/>
    <mergeCell ref="D40:E40"/>
    <mergeCell ref="B41:B42"/>
    <mergeCell ref="C41:C42"/>
    <mergeCell ref="D42:E42"/>
    <mergeCell ref="B35:B36"/>
    <mergeCell ref="C35:C36"/>
    <mergeCell ref="D36:E36"/>
    <mergeCell ref="B37:B38"/>
    <mergeCell ref="C37:C38"/>
    <mergeCell ref="D38:E38"/>
    <mergeCell ref="B31:B32"/>
    <mergeCell ref="C31:C32"/>
    <mergeCell ref="D32:E32"/>
    <mergeCell ref="B33:B34"/>
    <mergeCell ref="C33:C34"/>
    <mergeCell ref="D34:E34"/>
    <mergeCell ref="C17:C18"/>
    <mergeCell ref="D18:E18"/>
    <mergeCell ref="B27:B28"/>
    <mergeCell ref="C27:C28"/>
    <mergeCell ref="D28:E28"/>
    <mergeCell ref="B29:B30"/>
    <mergeCell ref="C29:C30"/>
    <mergeCell ref="D30:E30"/>
    <mergeCell ref="B23:B24"/>
    <mergeCell ref="C23:C24"/>
    <mergeCell ref="D24:E24"/>
    <mergeCell ref="B25:B26"/>
    <mergeCell ref="C25:C26"/>
    <mergeCell ref="D26:E26"/>
    <mergeCell ref="B104:Q104"/>
    <mergeCell ref="B11:B12"/>
    <mergeCell ref="C11:C12"/>
    <mergeCell ref="D12:E12"/>
    <mergeCell ref="B13:B14"/>
    <mergeCell ref="C13:C14"/>
    <mergeCell ref="D14:E14"/>
    <mergeCell ref="B5:Q5"/>
    <mergeCell ref="B7:B8"/>
    <mergeCell ref="C7:C8"/>
    <mergeCell ref="D8:E8"/>
    <mergeCell ref="B9:B10"/>
    <mergeCell ref="C9:C10"/>
    <mergeCell ref="D10:E10"/>
    <mergeCell ref="B19:B20"/>
    <mergeCell ref="C19:C20"/>
    <mergeCell ref="D20:E20"/>
    <mergeCell ref="B21:B22"/>
    <mergeCell ref="C21:C22"/>
    <mergeCell ref="D22:E22"/>
    <mergeCell ref="B15:B16"/>
    <mergeCell ref="C15:C16"/>
    <mergeCell ref="D16:E16"/>
    <mergeCell ref="B17:B18"/>
  </mergeCells>
  <conditionalFormatting sqref="H7:H8">
    <cfRule type="expression" dxfId="93" priority="31">
      <formula>ISBLANK(H7)</formula>
    </cfRule>
  </conditionalFormatting>
  <conditionalFormatting sqref="J7:Q102">
    <cfRule type="expression" dxfId="92" priority="30">
      <formula>$H7&gt;=J$1</formula>
    </cfRule>
  </conditionalFormatting>
  <conditionalFormatting sqref="F7">
    <cfRule type="expression" dxfId="91" priority="28">
      <formula>$H7&lt;$H8</formula>
    </cfRule>
    <cfRule type="expression" dxfId="90" priority="29">
      <formula>$H7&gt;$H8</formula>
    </cfRule>
  </conditionalFormatting>
  <conditionalFormatting sqref="F8">
    <cfRule type="expression" dxfId="89" priority="26">
      <formula>$H7&lt;$H8</formula>
    </cfRule>
    <cfRule type="expression" dxfId="88" priority="27">
      <formula>$H7&gt;$H8</formula>
    </cfRule>
  </conditionalFormatting>
  <conditionalFormatting sqref="F9 F11 F13 F15 F17 F19 F21 F23 F25 F27 F29 F31 F33 F35 F37 F39 F41 F43 F45 F47 F49 F51 F53 F55 F57 F59 F61 F63 F65 F67 F69 F71 F73 F75 F77 F79 F81 F83 F85 F87 F89 F91 F93 F95 F97 F99 F101">
    <cfRule type="expression" dxfId="87" priority="23">
      <formula>$H9&lt;$H10</formula>
    </cfRule>
    <cfRule type="expression" dxfId="86" priority="24">
      <formula>$H9&gt;$H10</formula>
    </cfRule>
  </conditionalFormatting>
  <conditionalFormatting sqref="F10 F12 F14 F16 F18 F20 F22 F24 F26 F28 F30 F32 F34 F36 F38 F40 F42 F44 F46 F48 F50 F52 F54 F56 F58 F60 F62 F64 F66 F68 F70 F72 F74 F76 F78 F80 F82 F84 F86 F88 F90 F92 F94 F96 F98 F100 F102">
    <cfRule type="expression" dxfId="85" priority="21">
      <formula>$H9&lt;$H10</formula>
    </cfRule>
    <cfRule type="expression" dxfId="84" priority="22">
      <formula>$H9&gt;$H10</formula>
    </cfRule>
  </conditionalFormatting>
  <conditionalFormatting sqref="H9:H102">
    <cfRule type="expression" dxfId="83" priority="25">
      <formula>ISBLANK(H9)</formula>
    </cfRule>
  </conditionalFormatting>
  <conditionalFormatting sqref="H7:Q102">
    <cfRule type="expression" dxfId="82" priority="1">
      <formula>$B$105&lt;&gt;"© 2022 | journalSHEET.com"</formula>
    </cfRule>
  </conditionalFormatting>
  <dataValidations count="96">
    <dataValidation type="list" allowBlank="1" showInputMessage="1" showErrorMessage="1" sqref="J96:Q96">
      <formula1>H3H2</formula1>
    </dataValidation>
    <dataValidation type="list" allowBlank="1" showInputMessage="1" showErrorMessage="1" sqref="J95:Q95">
      <formula1>H2H3</formula1>
    </dataValidation>
    <dataValidation type="list" allowBlank="1" showInputMessage="1" showErrorMessage="1" sqref="J98:Q98">
      <formula1>H1H4</formula1>
    </dataValidation>
    <dataValidation type="list" allowBlank="1" showInputMessage="1" showErrorMessage="1" sqref="J97:Q97">
      <formula1>H4H1</formula1>
    </dataValidation>
    <dataValidation type="list" allowBlank="1" showInputMessage="1" showErrorMessage="1" sqref="J100:Q100">
      <formula1>G3G2</formula1>
    </dataValidation>
    <dataValidation type="list" allowBlank="1" showInputMessage="1" showErrorMessage="1" sqref="J99:Q99">
      <formula1>G2G3</formula1>
    </dataValidation>
    <dataValidation type="list" allowBlank="1" showInputMessage="1" showErrorMessage="1" sqref="J102:Q102">
      <formula1>G1G4</formula1>
    </dataValidation>
    <dataValidation type="list" allowBlank="1" showInputMessage="1" showErrorMessage="1" sqref="J101:Q101">
      <formula1>G4G1</formula1>
    </dataValidation>
    <dataValidation type="list" allowBlank="1" showInputMessage="1" showErrorMessage="1" sqref="J88:Q88">
      <formula1>F3F2</formula1>
    </dataValidation>
    <dataValidation type="list" allowBlank="1" showInputMessage="1" showErrorMessage="1" sqref="J87:Q87">
      <formula1>F2F3</formula1>
    </dataValidation>
    <dataValidation type="list" allowBlank="1" showInputMessage="1" showErrorMessage="1" sqref="J90:Q90">
      <formula1>F1F4</formula1>
    </dataValidation>
    <dataValidation type="list" allowBlank="1" showInputMessage="1" showErrorMessage="1" sqref="J89:Q89">
      <formula1>F4F1</formula1>
    </dataValidation>
    <dataValidation type="list" allowBlank="1" showInputMessage="1" showErrorMessage="1" sqref="J92:Q92">
      <formula1>E3E2</formula1>
    </dataValidation>
    <dataValidation type="list" allowBlank="1" showInputMessage="1" showErrorMessage="1" sqref="J91:Q91">
      <formula1>E2E3</formula1>
    </dataValidation>
    <dataValidation type="list" allowBlank="1" showInputMessage="1" showErrorMessage="1" sqref="J94:Q94">
      <formula1>E1E4</formula1>
    </dataValidation>
    <dataValidation type="list" allowBlank="1" showInputMessage="1" showErrorMessage="1" sqref="J93:Q93">
      <formula1>E4E1</formula1>
    </dataValidation>
    <dataValidation type="list" allowBlank="1" showInputMessage="1" showErrorMessage="1" sqref="J82:Q82">
      <formula1>D3D2</formula1>
    </dataValidation>
    <dataValidation type="list" allowBlank="1" showInputMessage="1" showErrorMessage="1" sqref="J81:Q81">
      <formula1>D2D3</formula1>
    </dataValidation>
    <dataValidation type="list" allowBlank="1" showInputMessage="1" showErrorMessage="1" sqref="J80:Q80">
      <formula1>D1D4</formula1>
    </dataValidation>
    <dataValidation type="list" allowBlank="1" showInputMessage="1" showErrorMessage="1" sqref="J79:Q79">
      <formula1>D4D1</formula1>
    </dataValidation>
    <dataValidation type="list" allowBlank="1" showInputMessage="1" showErrorMessage="1" sqref="J86:Q86">
      <formula1>AC3C2</formula1>
    </dataValidation>
    <dataValidation type="list" allowBlank="1" showInputMessage="1" showErrorMessage="1" sqref="J85:Q85">
      <formula1>AC2C3</formula1>
    </dataValidation>
    <dataValidation type="list" allowBlank="1" showInputMessage="1" showErrorMessage="1" sqref="J84:Q84">
      <formula1>AC1C4</formula1>
    </dataValidation>
    <dataValidation type="list" allowBlank="1" showInputMessage="1" showErrorMessage="1" sqref="J83:Q83">
      <formula1>AC4C1</formula1>
    </dataValidation>
    <dataValidation type="list" allowBlank="1" showInputMessage="1" showErrorMessage="1" sqref="J78:Q78">
      <formula1>B3B2</formula1>
    </dataValidation>
    <dataValidation type="list" allowBlank="1" showInputMessage="1" showErrorMessage="1" sqref="J77:Q77">
      <formula1>B2B3</formula1>
    </dataValidation>
    <dataValidation type="list" allowBlank="1" showInputMessage="1" showErrorMessage="1" sqref="J76:Q76">
      <formula1>B1B4</formula1>
    </dataValidation>
    <dataValidation type="list" allowBlank="1" showInputMessage="1" showErrorMessage="1" sqref="J75:Q75">
      <formula1>B4B1</formula1>
    </dataValidation>
    <dataValidation type="list" allowBlank="1" showInputMessage="1" showErrorMessage="1" sqref="J74:Q74">
      <formula1>A3A2</formula1>
    </dataValidation>
    <dataValidation type="list" allowBlank="1" showInputMessage="1" showErrorMessage="1" sqref="J73:Q73">
      <formula1>A2A3</formula1>
    </dataValidation>
    <dataValidation type="list" allowBlank="1" showInputMessage="1" showErrorMessage="1" sqref="J72:Q72">
      <formula1>A1A4</formula1>
    </dataValidation>
    <dataValidation type="list" allowBlank="1" showInputMessage="1" showErrorMessage="1" sqref="J71:Q71">
      <formula1>A4A1</formula1>
    </dataValidation>
    <dataValidation type="list" allowBlank="1" showInputMessage="1" showErrorMessage="1" sqref="J66:Q66">
      <formula1>H2H4</formula1>
    </dataValidation>
    <dataValidation type="list" allowBlank="1" showInputMessage="1" showErrorMessage="1" sqref="J65:Q65">
      <formula1>H4H2</formula1>
    </dataValidation>
    <dataValidation type="list" allowBlank="1" showInputMessage="1" showErrorMessage="1" sqref="J70:Q70">
      <formula1>H3H1</formula1>
    </dataValidation>
    <dataValidation type="list" allowBlank="1" showInputMessage="1" showErrorMessage="1" sqref="J69:Q69">
      <formula1>H1H3</formula1>
    </dataValidation>
    <dataValidation type="list" allowBlank="1" showInputMessage="1" showErrorMessage="1" sqref="J64:Q64">
      <formula1>G2G4</formula1>
    </dataValidation>
    <dataValidation type="list" allowBlank="1" showInputMessage="1" showErrorMessage="1" sqref="J63:Q63">
      <formula1>G4G2</formula1>
    </dataValidation>
    <dataValidation type="list" allowBlank="1" showInputMessage="1" showErrorMessage="1" sqref="J68:Q68">
      <formula1>G3G1</formula1>
    </dataValidation>
    <dataValidation type="list" allowBlank="1" showInputMessage="1" showErrorMessage="1" sqref="J67:Q67">
      <formula1>G1G3</formula1>
    </dataValidation>
    <dataValidation type="list" allowBlank="1" showInputMessage="1" showErrorMessage="1" sqref="J59:Q59">
      <formula1>F2F4</formula1>
    </dataValidation>
    <dataValidation type="list" allowBlank="1" showInputMessage="1" showErrorMessage="1" sqref="J60:Q60">
      <formula1>F4F2</formula1>
    </dataValidation>
    <dataValidation type="list" allowBlank="1" showInputMessage="1" showErrorMessage="1" sqref="J57:Q57">
      <formula1>F3F1</formula1>
    </dataValidation>
    <dataValidation type="list" allowBlank="1" showInputMessage="1" showErrorMessage="1" sqref="J58:Q58">
      <formula1>F1F3</formula1>
    </dataValidation>
    <dataValidation type="list" allowBlank="1" showInputMessage="1" showErrorMessage="1" sqref="J55:Q55">
      <formula1>E2E4</formula1>
    </dataValidation>
    <dataValidation type="list" allowBlank="1" showInputMessage="1" showErrorMessage="1" sqref="J56:Q56">
      <formula1>E4E2</formula1>
    </dataValidation>
    <dataValidation type="list" allowBlank="1" showInputMessage="1" showErrorMessage="1" sqref="J61:Q61">
      <formula1>E3E1</formula1>
    </dataValidation>
    <dataValidation type="list" allowBlank="1" showInputMessage="1" showErrorMessage="1" sqref="J62:Q62">
      <formula1>E1E3</formula1>
    </dataValidation>
    <dataValidation type="list" allowBlank="1" showInputMessage="1" showErrorMessage="1" sqref="J47:Q47">
      <formula1>D2D4</formula1>
    </dataValidation>
    <dataValidation type="list" allowBlank="1" showInputMessage="1" showErrorMessage="1" sqref="J48:Q48">
      <formula1>D4D2</formula1>
    </dataValidation>
    <dataValidation type="list" allowBlank="1" showInputMessage="1" showErrorMessage="1" sqref="J51:Q51">
      <formula1>D3D1</formula1>
    </dataValidation>
    <dataValidation type="list" allowBlank="1" showInputMessage="1" showErrorMessage="1" sqref="J52:Q52">
      <formula1>D1D3</formula1>
    </dataValidation>
    <dataValidation type="list" allowBlank="1" showInputMessage="1" showErrorMessage="1" sqref="J50:Q50">
      <formula1>AC2C4</formula1>
    </dataValidation>
    <dataValidation type="list" allowBlank="1" showInputMessage="1" showErrorMessage="1" sqref="J49:Q49">
      <formula1>AC4C2</formula1>
    </dataValidation>
    <dataValidation type="list" allowBlank="1" showInputMessage="1" showErrorMessage="1" sqref="J54:Q54">
      <formula1>AC3C1</formula1>
    </dataValidation>
    <dataValidation type="list" allowBlank="1" showInputMessage="1" showErrorMessage="1" sqref="J53:Q53">
      <formula1>AC1C3</formula1>
    </dataValidation>
    <dataValidation type="list" allowBlank="1" showInputMessage="1" showErrorMessage="1" sqref="J40:Q40">
      <formula1>B2B4</formula1>
    </dataValidation>
    <dataValidation type="list" allowBlank="1" showInputMessage="1" showErrorMessage="1" sqref="J39:Q39">
      <formula1>B4B2</formula1>
    </dataValidation>
    <dataValidation type="list" allowBlank="1" showInputMessage="1" showErrorMessage="1" sqref="J46:Q46">
      <formula1>B3B1</formula1>
    </dataValidation>
    <dataValidation type="list" allowBlank="1" showInputMessage="1" showErrorMessage="1" sqref="J45:Q45">
      <formula1>B1B3</formula1>
    </dataValidation>
    <dataValidation type="list" allowBlank="1" showInputMessage="1" showErrorMessage="1" sqref="J43:Q43">
      <formula1>A2A4</formula1>
    </dataValidation>
    <dataValidation type="list" allowBlank="1" showInputMessage="1" showErrorMessage="1" sqref="J44:Q44">
      <formula1>A4A2</formula1>
    </dataValidation>
    <dataValidation type="list" allowBlank="1" showInputMessage="1" showErrorMessage="1" sqref="J41:Q41">
      <formula1>A3A1</formula1>
    </dataValidation>
    <dataValidation type="list" allowBlank="1" showInputMessage="1" showErrorMessage="1" sqref="J42:Q42">
      <formula1>A1A3</formula1>
    </dataValidation>
    <dataValidation type="list" allowBlank="1" showInputMessage="1" showErrorMessage="1" sqref="J34:Q34">
      <formula1>H4H3</formula1>
    </dataValidation>
    <dataValidation type="list" allowBlank="1" showInputMessage="1" showErrorMessage="1" sqref="J33:Q33">
      <formula1>H3H4</formula1>
    </dataValidation>
    <dataValidation type="list" allowBlank="1" showInputMessage="1" showErrorMessage="1" sqref="J36:Q36">
      <formula1>H2H1</formula1>
    </dataValidation>
    <dataValidation type="list" allowBlank="1" showInputMessage="1" showErrorMessage="1" sqref="J35:Q35">
      <formula1>H1H2</formula1>
    </dataValidation>
    <dataValidation type="list" allowBlank="1" showInputMessage="1" showErrorMessage="1" sqref="J32:Q32">
      <formula1>G4G3</formula1>
    </dataValidation>
    <dataValidation type="list" allowBlank="1" showInputMessage="1" showErrorMessage="1" sqref="J31:Q31">
      <formula1>G3G4</formula1>
    </dataValidation>
    <dataValidation type="list" allowBlank="1" showInputMessage="1" showErrorMessage="1" sqref="J38:Q38">
      <formula1>G2G1</formula1>
    </dataValidation>
    <dataValidation type="list" allowBlank="1" showInputMessage="1" showErrorMessage="1" sqref="J37:Q37">
      <formula1>G1G2</formula1>
    </dataValidation>
    <dataValidation type="list" allowBlank="1" showInputMessage="1" showErrorMessage="1" sqref="J30:Q30">
      <formula1>F4F3</formula1>
    </dataValidation>
    <dataValidation type="list" allowBlank="1" showInputMessage="1" showErrorMessage="1" sqref="J29:Q29">
      <formula1>F3F4</formula1>
    </dataValidation>
    <dataValidation type="list" allowBlank="1" showInputMessage="1" showErrorMessage="1" sqref="J24:Q24">
      <formula1>F2F1</formula1>
    </dataValidation>
    <dataValidation type="list" allowBlank="1" showInputMessage="1" showErrorMessage="1" sqref="J23:Q23">
      <formula1>F1F2</formula1>
    </dataValidation>
    <dataValidation type="list" allowBlank="1" showInputMessage="1" showErrorMessage="1" sqref="J28:Q28">
      <formula1>E4E3</formula1>
    </dataValidation>
    <dataValidation type="list" allowBlank="1" showInputMessage="1" showErrorMessage="1" sqref="J27:Q27">
      <formula1>E3E4</formula1>
    </dataValidation>
    <dataValidation type="list" allowBlank="1" showInputMessage="1" showErrorMessage="1" sqref="J26:Q26">
      <formula1>E2E1</formula1>
    </dataValidation>
    <dataValidation type="list" allowBlank="1" showInputMessage="1" showErrorMessage="1" sqref="J25:Q25">
      <formula1>E1E2</formula1>
    </dataValidation>
    <dataValidation type="list" allowBlank="1" showInputMessage="1" showErrorMessage="1" sqref="J22:Q22">
      <formula1>D4D3</formula1>
    </dataValidation>
    <dataValidation type="list" allowBlank="1" showInputMessage="1" showErrorMessage="1" sqref="J21:Q21">
      <formula1>D3D4</formula1>
    </dataValidation>
    <dataValidation type="list" allowBlank="1" showInputMessage="1" showErrorMessage="1" sqref="J18:Q18">
      <formula1>D2D1</formula1>
    </dataValidation>
    <dataValidation type="list" allowBlank="1" showInputMessage="1" showErrorMessage="1" sqref="J17:Q17">
      <formula1>D1D2</formula1>
    </dataValidation>
    <dataValidation type="list" allowBlank="1" showInputMessage="1" showErrorMessage="1" sqref="J20:Q20">
      <formula1>AC4C3</formula1>
    </dataValidation>
    <dataValidation type="list" allowBlank="1" showInputMessage="1" showErrorMessage="1" sqref="J19:Q19">
      <formula1>AC3C4</formula1>
    </dataValidation>
    <dataValidation type="list" allowBlank="1" showInputMessage="1" showErrorMessage="1" sqref="J16:Q16">
      <formula1>AC2C1</formula1>
    </dataValidation>
    <dataValidation type="list" allowBlank="1" showInputMessage="1" showErrorMessage="1" sqref="J15:Q15">
      <formula1>AC1C2</formula1>
    </dataValidation>
    <dataValidation type="list" allowBlank="1" showInputMessage="1" showErrorMessage="1" sqref="J14:Q14">
      <formula1>B4B3</formula1>
    </dataValidation>
    <dataValidation type="list" allowBlank="1" showInputMessage="1" showErrorMessage="1" sqref="J13:Q13">
      <formula1>B3B4</formula1>
    </dataValidation>
    <dataValidation type="list" allowBlank="1" showInputMessage="1" showErrorMessage="1" sqref="J10:Q10">
      <formula1>B2B1</formula1>
    </dataValidation>
    <dataValidation type="list" allowBlank="1" showInputMessage="1" showErrorMessage="1" sqref="J9:Q9">
      <formula1>B1B2</formula1>
    </dataValidation>
    <dataValidation type="list" allowBlank="1" showInputMessage="1" showErrorMessage="1" sqref="J8:Q8">
      <formula1>A4A3</formula1>
    </dataValidation>
    <dataValidation type="list" allowBlank="1" showInputMessage="1" showErrorMessage="1" sqref="J7:Q7">
      <formula1>A3A4</formula1>
    </dataValidation>
    <dataValidation type="list" allowBlank="1" showInputMessage="1" showErrorMessage="1" sqref="J12:Q12">
      <formula1>A2A1</formula1>
    </dataValidation>
    <dataValidation type="list" allowBlank="1" showInputMessage="1" showErrorMessage="1" sqref="J11:Q11">
      <formula1>A1A2</formula1>
    </dataValidation>
  </dataValidations>
  <printOptions horizontalCentered="1" verticalCentered="1"/>
  <pageMargins left="0.39" right="0.32" top="0.28999999999999998" bottom="0.39" header="0.21" footer="0.26"/>
  <pageSetup scale="40" orientation="portrait" horizontalDpi="300" verticalDpi="300" r:id="rId1"/>
  <headerFooter alignWithMargins="0">
    <oddFooter>&amp;C
copyright (c) exceltemplate.net 2013</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M55"/>
  <sheetViews>
    <sheetView showGridLines="0" zoomScaleNormal="100" workbookViewId="0">
      <pane ySplit="6" topLeftCell="A7" activePane="bottomLeft" state="frozen"/>
      <selection pane="bottomLeft" activeCell="M15" sqref="M15"/>
    </sheetView>
  </sheetViews>
  <sheetFormatPr defaultColWidth="9.08984375" defaultRowHeight="14.5" x14ac:dyDescent="0.25"/>
  <cols>
    <col min="1" max="1" width="1.6328125" style="26" customWidth="1"/>
    <col min="2" max="2" width="8.6328125" style="26" customWidth="1"/>
    <col min="3" max="3" width="7.54296875" style="26" customWidth="1"/>
    <col min="4" max="5" width="12.6328125" style="26" customWidth="1"/>
    <col min="6" max="6" width="20.6328125" style="26" customWidth="1"/>
    <col min="7" max="7" width="1.6328125" style="26" customWidth="1"/>
    <col min="8" max="9" width="4.6328125" style="26" customWidth="1"/>
    <col min="10" max="10" width="1.6328125" style="26" customWidth="1"/>
    <col min="11" max="18" width="20.6328125" style="26" customWidth="1"/>
    <col min="19" max="19" width="1.54296875" style="26" customWidth="1"/>
    <col min="20" max="20" width="12.54296875" style="26" bestFit="1" customWidth="1"/>
    <col min="21" max="21" width="27.453125" style="26" bestFit="1" customWidth="1"/>
    <col min="22" max="84" width="9.08984375" style="26" customWidth="1"/>
    <col min="85" max="88" width="9.08984375" style="181" customWidth="1"/>
    <col min="89" max="91" width="9.08984375" style="26" customWidth="1"/>
    <col min="92" max="16384" width="9.08984375" style="26"/>
  </cols>
  <sheetData>
    <row r="1" spans="2:91" s="175" customFormat="1" ht="5" customHeight="1" x14ac:dyDescent="0.25">
      <c r="E1" s="176"/>
      <c r="H1" s="177"/>
      <c r="I1" s="177"/>
      <c r="J1" s="177"/>
      <c r="K1" s="177">
        <v>1</v>
      </c>
      <c r="L1" s="177">
        <v>2</v>
      </c>
      <c r="M1" s="177">
        <v>3</v>
      </c>
      <c r="N1" s="177">
        <v>4</v>
      </c>
      <c r="O1" s="177">
        <v>5</v>
      </c>
      <c r="P1" s="177">
        <v>6</v>
      </c>
      <c r="Q1" s="177">
        <v>7</v>
      </c>
      <c r="R1" s="177">
        <v>8</v>
      </c>
    </row>
    <row r="2" spans="2:91" s="179" customFormat="1" ht="5" customHeight="1" x14ac:dyDescent="0.25">
      <c r="E2" s="180"/>
    </row>
    <row r="3" spans="2:91" s="182" customFormat="1" ht="30" customHeight="1" x14ac:dyDescent="0.5">
      <c r="B3" s="183" t="str">
        <f>UPPER(INDEX(Language!$A$1:$H$112,MATCH("Knock Out Rounds",Language!$B$1:$B$122,0),MATCH(Setup!$C$5,Language!$A$1:$G$1,0)))</f>
        <v>KNOCK OUT ROUNDS</v>
      </c>
      <c r="C3" s="183"/>
      <c r="D3" s="183"/>
      <c r="E3" s="184"/>
      <c r="F3" s="183"/>
      <c r="G3" s="183"/>
      <c r="H3" s="183"/>
      <c r="I3" s="183"/>
      <c r="J3" s="183"/>
      <c r="K3" s="193" t="s">
        <v>726</v>
      </c>
      <c r="L3" s="194"/>
      <c r="M3" s="194"/>
      <c r="N3" s="194"/>
      <c r="O3" s="194"/>
      <c r="P3" s="195"/>
      <c r="Q3" s="195"/>
      <c r="R3" s="195"/>
    </row>
    <row r="4" spans="2:91" s="183" customFormat="1" ht="15" customHeight="1" x14ac:dyDescent="0.25">
      <c r="E4" s="184"/>
      <c r="H4" s="185" t="s">
        <v>727</v>
      </c>
      <c r="I4" s="185" t="s">
        <v>131</v>
      </c>
      <c r="J4" s="121"/>
      <c r="K4" s="185" t="s">
        <v>716</v>
      </c>
      <c r="L4" s="185" t="s">
        <v>717</v>
      </c>
      <c r="M4" s="185" t="s">
        <v>142</v>
      </c>
      <c r="N4" s="185" t="s">
        <v>718</v>
      </c>
      <c r="O4" s="186" t="s">
        <v>719</v>
      </c>
      <c r="P4" s="186" t="s">
        <v>720</v>
      </c>
      <c r="Q4" s="186" t="s">
        <v>721</v>
      </c>
      <c r="R4" s="186" t="s">
        <v>722</v>
      </c>
    </row>
    <row r="5" spans="2:91" ht="5" customHeight="1" x14ac:dyDescent="0.25">
      <c r="B5" s="196"/>
      <c r="C5" s="196"/>
      <c r="D5" s="196"/>
      <c r="E5" s="196"/>
      <c r="F5" s="196"/>
      <c r="G5" s="196"/>
      <c r="H5" s="196"/>
      <c r="I5" s="196"/>
      <c r="J5" s="196"/>
      <c r="K5" s="196"/>
      <c r="L5" s="196"/>
      <c r="M5" s="196"/>
      <c r="N5" s="196"/>
      <c r="O5" s="196"/>
      <c r="P5" s="196"/>
      <c r="Q5" s="196"/>
      <c r="R5" s="196"/>
      <c r="S5" s="197"/>
      <c r="T5" s="197"/>
      <c r="U5" s="197"/>
      <c r="V5" s="197"/>
      <c r="CI5" s="24"/>
    </row>
    <row r="6" spans="2:91" s="202" customFormat="1" ht="5" customHeight="1" x14ac:dyDescent="0.25">
      <c r="B6" s="47"/>
      <c r="C6" s="198"/>
      <c r="D6" s="198"/>
      <c r="E6" s="198"/>
      <c r="F6" s="198"/>
      <c r="G6" s="198"/>
      <c r="H6" s="199"/>
      <c r="I6" s="199"/>
      <c r="J6" s="198"/>
      <c r="K6" s="199"/>
      <c r="L6" s="199"/>
      <c r="M6" s="199"/>
      <c r="N6" s="199"/>
      <c r="O6" s="200"/>
      <c r="P6" s="200"/>
      <c r="Q6" s="200"/>
      <c r="R6" s="200"/>
      <c r="S6" s="201"/>
      <c r="T6" s="201"/>
      <c r="U6" s="201"/>
      <c r="V6" s="201"/>
      <c r="CL6" s="198"/>
    </row>
    <row r="7" spans="2:91" ht="15" customHeight="1" x14ac:dyDescent="0.25">
      <c r="B7" s="360" t="str">
        <f>INDEX(Language!$A$1:$H$112,MATCH("Round of 16",Language!$B$1:$B$122,0),MATCH(Setup!$C$5,Language!$A$1:$G$1,0))</f>
        <v>Round of 16</v>
      </c>
      <c r="C7" s="355">
        <v>49</v>
      </c>
      <c r="D7" s="299">
        <f>E7</f>
        <v>44898.75</v>
      </c>
      <c r="E7" s="300">
        <f>Tournament!E54</f>
        <v>44898.75</v>
      </c>
      <c r="F7" s="297" t="str">
        <f ca="1">Tournament!F54</f>
        <v>Group A Winner</v>
      </c>
      <c r="G7" s="188"/>
      <c r="H7" s="203"/>
      <c r="I7" s="204"/>
      <c r="J7" s="188"/>
      <c r="K7" s="205"/>
      <c r="L7" s="205"/>
      <c r="M7" s="205"/>
      <c r="N7" s="205"/>
      <c r="O7" s="205"/>
      <c r="P7" s="205"/>
      <c r="Q7" s="205"/>
      <c r="R7" s="205"/>
      <c r="S7" s="197"/>
      <c r="T7" s="197"/>
      <c r="U7" s="197"/>
      <c r="V7" s="197"/>
      <c r="CG7" s="26"/>
      <c r="CH7" s="26"/>
      <c r="CI7" s="26"/>
      <c r="CK7" s="181"/>
      <c r="CL7" s="24"/>
      <c r="CM7" s="181"/>
    </row>
    <row r="8" spans="2:91" ht="15" customHeight="1" x14ac:dyDescent="0.25">
      <c r="B8" s="361"/>
      <c r="C8" s="356"/>
      <c r="D8" s="357" t="str">
        <f>Tournament!N54</f>
        <v>Khalifa International</v>
      </c>
      <c r="E8" s="357"/>
      <c r="F8" s="298" t="str">
        <f ca="1">Tournament!K54</f>
        <v>Group B Runner Up</v>
      </c>
      <c r="G8" s="188"/>
      <c r="H8" s="203"/>
      <c r="I8" s="204"/>
      <c r="J8" s="188"/>
      <c r="K8" s="206"/>
      <c r="L8" s="206"/>
      <c r="M8" s="206"/>
      <c r="N8" s="206"/>
      <c r="O8" s="206"/>
      <c r="P8" s="206"/>
      <c r="Q8" s="206"/>
      <c r="R8" s="206"/>
      <c r="S8" s="197"/>
      <c r="T8" s="197"/>
      <c r="U8" s="197"/>
      <c r="V8" s="197"/>
      <c r="CG8" s="26"/>
      <c r="CH8" s="26"/>
      <c r="CI8" s="26"/>
      <c r="CK8" s="181"/>
      <c r="CL8" s="24"/>
      <c r="CM8" s="181"/>
    </row>
    <row r="9" spans="2:91" ht="15" customHeight="1" x14ac:dyDescent="0.25">
      <c r="B9" s="361"/>
      <c r="C9" s="355">
        <v>50</v>
      </c>
      <c r="D9" s="299">
        <f>E9</f>
        <v>44898.916666666664</v>
      </c>
      <c r="E9" s="300">
        <f>Tournament!E55</f>
        <v>44898.916666666664</v>
      </c>
      <c r="F9" s="297" t="str">
        <f ca="1">Tournament!F55</f>
        <v>Group C Winner</v>
      </c>
      <c r="G9" s="188"/>
      <c r="H9" s="203"/>
      <c r="I9" s="204"/>
      <c r="J9" s="188"/>
      <c r="K9" s="205"/>
      <c r="L9" s="205"/>
      <c r="M9" s="205"/>
      <c r="N9" s="205"/>
      <c r="O9" s="205"/>
      <c r="P9" s="205"/>
      <c r="Q9" s="205"/>
      <c r="R9" s="205"/>
      <c r="S9" s="197"/>
      <c r="T9" s="197"/>
      <c r="U9" s="197"/>
      <c r="V9" s="197"/>
      <c r="CG9" s="26"/>
      <c r="CH9" s="26"/>
      <c r="CI9" s="26"/>
      <c r="CK9" s="181"/>
      <c r="CL9" s="24"/>
      <c r="CM9" s="181"/>
    </row>
    <row r="10" spans="2:91" ht="15" customHeight="1" x14ac:dyDescent="0.25">
      <c r="B10" s="361"/>
      <c r="C10" s="356"/>
      <c r="D10" s="357" t="str">
        <f>Tournament!N55</f>
        <v>Ahmad Bin Ali</v>
      </c>
      <c r="E10" s="357"/>
      <c r="F10" s="298" t="str">
        <f ca="1">Tournament!K55</f>
        <v>Group D Runner Up</v>
      </c>
      <c r="G10" s="188"/>
      <c r="H10" s="203"/>
      <c r="I10" s="204"/>
      <c r="J10" s="188"/>
      <c r="K10" s="206"/>
      <c r="L10" s="206"/>
      <c r="M10" s="206"/>
      <c r="N10" s="206"/>
      <c r="O10" s="206"/>
      <c r="P10" s="206"/>
      <c r="Q10" s="206"/>
      <c r="R10" s="206"/>
      <c r="S10" s="197"/>
      <c r="T10" s="197"/>
      <c r="U10" s="197"/>
      <c r="V10" s="197"/>
      <c r="CG10" s="26"/>
      <c r="CH10" s="26"/>
      <c r="CI10" s="26"/>
      <c r="CK10" s="181"/>
      <c r="CL10" s="24"/>
      <c r="CM10" s="181"/>
    </row>
    <row r="11" spans="2:91" ht="15" customHeight="1" x14ac:dyDescent="0.25">
      <c r="B11" s="361"/>
      <c r="C11" s="355">
        <v>52</v>
      </c>
      <c r="D11" s="299">
        <f>E11</f>
        <v>44899.75</v>
      </c>
      <c r="E11" s="300">
        <f>Tournament!E56</f>
        <v>44899.75</v>
      </c>
      <c r="F11" s="297" t="str">
        <f ca="1">Tournament!F56</f>
        <v>Group D Winner</v>
      </c>
      <c r="G11" s="188"/>
      <c r="H11" s="203"/>
      <c r="I11" s="204"/>
      <c r="J11" s="188"/>
      <c r="K11" s="205"/>
      <c r="L11" s="205"/>
      <c r="M11" s="205"/>
      <c r="N11" s="205"/>
      <c r="O11" s="205"/>
      <c r="P11" s="205"/>
      <c r="Q11" s="205"/>
      <c r="R11" s="205"/>
      <c r="S11" s="197"/>
      <c r="T11" s="197"/>
      <c r="U11" s="197"/>
      <c r="V11" s="197"/>
      <c r="CG11" s="26"/>
      <c r="CH11" s="26"/>
      <c r="CI11" s="26"/>
      <c r="CK11" s="181"/>
      <c r="CL11" s="24"/>
      <c r="CM11" s="181"/>
    </row>
    <row r="12" spans="2:91" ht="15" customHeight="1" x14ac:dyDescent="0.25">
      <c r="B12" s="361"/>
      <c r="C12" s="356"/>
      <c r="D12" s="357" t="str">
        <f>Tournament!N56</f>
        <v>Al Thumama</v>
      </c>
      <c r="E12" s="357"/>
      <c r="F12" s="298" t="str">
        <f ca="1">Tournament!K56</f>
        <v>Group C Runner Up</v>
      </c>
      <c r="G12" s="188"/>
      <c r="H12" s="203"/>
      <c r="I12" s="204"/>
      <c r="J12" s="188"/>
      <c r="K12" s="206"/>
      <c r="L12" s="206"/>
      <c r="M12" s="206"/>
      <c r="N12" s="206"/>
      <c r="O12" s="206"/>
      <c r="P12" s="206"/>
      <c r="Q12" s="206"/>
      <c r="R12" s="206"/>
      <c r="S12" s="197"/>
      <c r="T12" s="197"/>
      <c r="U12" s="197"/>
      <c r="V12" s="197"/>
      <c r="CG12" s="26"/>
      <c r="CH12" s="26"/>
      <c r="CI12" s="26"/>
      <c r="CK12" s="181"/>
      <c r="CL12" s="24"/>
      <c r="CM12" s="181"/>
    </row>
    <row r="13" spans="2:91" ht="15" customHeight="1" x14ac:dyDescent="0.25">
      <c r="B13" s="361"/>
      <c r="C13" s="355">
        <v>51</v>
      </c>
      <c r="D13" s="299">
        <f>E13</f>
        <v>44899.916666666664</v>
      </c>
      <c r="E13" s="300">
        <f>Tournament!E57</f>
        <v>44899.916666666664</v>
      </c>
      <c r="F13" s="297" t="str">
        <f ca="1">Tournament!F57</f>
        <v>Group B Winner</v>
      </c>
      <c r="G13" s="188"/>
      <c r="H13" s="203"/>
      <c r="I13" s="204"/>
      <c r="J13" s="188"/>
      <c r="K13" s="205"/>
      <c r="L13" s="205"/>
      <c r="M13" s="205"/>
      <c r="N13" s="205"/>
      <c r="O13" s="205"/>
      <c r="P13" s="205"/>
      <c r="Q13" s="205"/>
      <c r="R13" s="205"/>
      <c r="S13" s="197"/>
      <c r="T13" s="197"/>
      <c r="U13" s="197"/>
      <c r="V13" s="197"/>
      <c r="CG13" s="26"/>
      <c r="CH13" s="26"/>
      <c r="CI13" s="26"/>
      <c r="CK13" s="181"/>
      <c r="CL13" s="24"/>
      <c r="CM13" s="181"/>
    </row>
    <row r="14" spans="2:91" ht="15" customHeight="1" x14ac:dyDescent="0.25">
      <c r="B14" s="361"/>
      <c r="C14" s="356"/>
      <c r="D14" s="357" t="str">
        <f>Tournament!N57</f>
        <v>Al Bayt</v>
      </c>
      <c r="E14" s="357"/>
      <c r="F14" s="298" t="str">
        <f ca="1">Tournament!K57</f>
        <v>Group A Runner Up</v>
      </c>
      <c r="G14" s="188"/>
      <c r="H14" s="203"/>
      <c r="I14" s="204"/>
      <c r="J14" s="188"/>
      <c r="K14" s="206"/>
      <c r="L14" s="206"/>
      <c r="M14" s="206"/>
      <c r="N14" s="206"/>
      <c r="O14" s="206"/>
      <c r="P14" s="206"/>
      <c r="Q14" s="206"/>
      <c r="R14" s="206"/>
      <c r="S14" s="197"/>
      <c r="T14" s="197"/>
      <c r="U14" s="197"/>
      <c r="V14" s="197"/>
      <c r="CG14" s="26"/>
      <c r="CH14" s="26"/>
      <c r="CI14" s="26"/>
      <c r="CK14" s="181"/>
      <c r="CL14" s="24"/>
      <c r="CM14" s="181"/>
    </row>
    <row r="15" spans="2:91" ht="15" customHeight="1" x14ac:dyDescent="0.25">
      <c r="B15" s="361"/>
      <c r="C15" s="355">
        <v>53</v>
      </c>
      <c r="D15" s="299">
        <f>E15</f>
        <v>44900.75</v>
      </c>
      <c r="E15" s="300">
        <f>Tournament!E58</f>
        <v>44900.75</v>
      </c>
      <c r="F15" s="297" t="str">
        <f ca="1">Tournament!F58</f>
        <v>Group E Winner</v>
      </c>
      <c r="G15" s="188"/>
      <c r="H15" s="203"/>
      <c r="I15" s="204"/>
      <c r="J15" s="188"/>
      <c r="K15" s="205"/>
      <c r="L15" s="205"/>
      <c r="M15" s="205"/>
      <c r="N15" s="205"/>
      <c r="O15" s="205"/>
      <c r="P15" s="205"/>
      <c r="Q15" s="205"/>
      <c r="R15" s="205"/>
      <c r="S15" s="197"/>
      <c r="T15" s="197"/>
      <c r="U15" s="197"/>
      <c r="V15" s="197"/>
      <c r="CG15" s="26"/>
      <c r="CH15" s="26"/>
      <c r="CI15" s="26"/>
      <c r="CK15" s="181"/>
      <c r="CL15" s="24"/>
      <c r="CM15" s="181"/>
    </row>
    <row r="16" spans="2:91" ht="15" customHeight="1" x14ac:dyDescent="0.25">
      <c r="B16" s="361"/>
      <c r="C16" s="356"/>
      <c r="D16" s="357" t="str">
        <f>Tournament!N58</f>
        <v>Al Janoub</v>
      </c>
      <c r="E16" s="357"/>
      <c r="F16" s="298" t="str">
        <f ca="1">Tournament!K58</f>
        <v>Group F Runner Up</v>
      </c>
      <c r="G16" s="188"/>
      <c r="H16" s="203"/>
      <c r="I16" s="204"/>
      <c r="J16" s="188"/>
      <c r="K16" s="206"/>
      <c r="L16" s="206"/>
      <c r="M16" s="206"/>
      <c r="N16" s="206"/>
      <c r="O16" s="206"/>
      <c r="P16" s="206"/>
      <c r="Q16" s="206"/>
      <c r="R16" s="206"/>
      <c r="S16" s="197"/>
      <c r="T16" s="197"/>
      <c r="U16" s="197"/>
      <c r="V16" s="197"/>
      <c r="CG16" s="26"/>
      <c r="CH16" s="26"/>
      <c r="CI16" s="26"/>
      <c r="CK16" s="181"/>
      <c r="CL16" s="24"/>
      <c r="CM16" s="181"/>
    </row>
    <row r="17" spans="2:91" ht="15" customHeight="1" x14ac:dyDescent="0.25">
      <c r="B17" s="361"/>
      <c r="C17" s="355">
        <v>54</v>
      </c>
      <c r="D17" s="299">
        <f>E17</f>
        <v>44900.916666666664</v>
      </c>
      <c r="E17" s="300">
        <f>Tournament!E59</f>
        <v>44900.916666666664</v>
      </c>
      <c r="F17" s="297" t="str">
        <f ca="1">Tournament!F59</f>
        <v>Group G Winner</v>
      </c>
      <c r="G17" s="188"/>
      <c r="H17" s="203"/>
      <c r="I17" s="204"/>
      <c r="J17" s="188"/>
      <c r="K17" s="205"/>
      <c r="L17" s="205"/>
      <c r="M17" s="205"/>
      <c r="N17" s="205"/>
      <c r="O17" s="205"/>
      <c r="P17" s="205"/>
      <c r="Q17" s="205"/>
      <c r="R17" s="205"/>
      <c r="S17" s="197"/>
      <c r="T17" s="197"/>
      <c r="U17" s="197"/>
      <c r="V17" s="197"/>
      <c r="CG17" s="26"/>
      <c r="CH17" s="26"/>
      <c r="CI17" s="26"/>
      <c r="CK17" s="181"/>
      <c r="CL17" s="24"/>
      <c r="CM17" s="181"/>
    </row>
    <row r="18" spans="2:91" ht="15" customHeight="1" x14ac:dyDescent="0.25">
      <c r="B18" s="361"/>
      <c r="C18" s="356"/>
      <c r="D18" s="357" t="str">
        <f>Tournament!N59</f>
        <v>Stadium 974</v>
      </c>
      <c r="E18" s="357"/>
      <c r="F18" s="298" t="str">
        <f ca="1">Tournament!K59</f>
        <v>Group H Runner Up</v>
      </c>
      <c r="G18" s="188"/>
      <c r="H18" s="203"/>
      <c r="I18" s="204"/>
      <c r="J18" s="188"/>
      <c r="K18" s="206"/>
      <c r="L18" s="206"/>
      <c r="M18" s="206"/>
      <c r="N18" s="206"/>
      <c r="O18" s="206"/>
      <c r="P18" s="206"/>
      <c r="Q18" s="206"/>
      <c r="R18" s="206"/>
      <c r="S18" s="197"/>
      <c r="T18" s="197"/>
      <c r="U18" s="197"/>
      <c r="V18" s="197"/>
      <c r="CG18" s="26"/>
      <c r="CH18" s="26"/>
      <c r="CI18" s="26"/>
      <c r="CK18" s="181"/>
      <c r="CL18" s="24"/>
      <c r="CM18" s="181"/>
    </row>
    <row r="19" spans="2:91" ht="15" customHeight="1" x14ac:dyDescent="0.25">
      <c r="B19" s="361"/>
      <c r="C19" s="355">
        <v>55</v>
      </c>
      <c r="D19" s="299">
        <f>E19</f>
        <v>44901.75</v>
      </c>
      <c r="E19" s="300">
        <f>Tournament!E60</f>
        <v>44901.75</v>
      </c>
      <c r="F19" s="297" t="str">
        <f ca="1">Tournament!F60</f>
        <v>Group F Winner</v>
      </c>
      <c r="G19" s="188"/>
      <c r="H19" s="203"/>
      <c r="I19" s="204"/>
      <c r="J19" s="188"/>
      <c r="K19" s="205"/>
      <c r="L19" s="205"/>
      <c r="M19" s="205"/>
      <c r="N19" s="205"/>
      <c r="O19" s="205"/>
      <c r="P19" s="205"/>
      <c r="Q19" s="205"/>
      <c r="R19" s="205"/>
      <c r="S19" s="197"/>
      <c r="T19" s="197"/>
      <c r="U19" s="197"/>
      <c r="V19" s="197"/>
      <c r="CG19" s="26"/>
      <c r="CH19" s="26"/>
      <c r="CI19" s="26"/>
      <c r="CK19" s="181"/>
      <c r="CL19" s="24"/>
      <c r="CM19" s="181"/>
    </row>
    <row r="20" spans="2:91" ht="15" customHeight="1" x14ac:dyDescent="0.25">
      <c r="B20" s="361"/>
      <c r="C20" s="356"/>
      <c r="D20" s="357" t="str">
        <f>Tournament!N60</f>
        <v>Education City</v>
      </c>
      <c r="E20" s="357"/>
      <c r="F20" s="298" t="str">
        <f ca="1">Tournament!K60</f>
        <v>Group E Runner Up</v>
      </c>
      <c r="G20" s="188"/>
      <c r="H20" s="203"/>
      <c r="I20" s="204"/>
      <c r="J20" s="188"/>
      <c r="K20" s="206"/>
      <c r="L20" s="206"/>
      <c r="M20" s="206"/>
      <c r="N20" s="206"/>
      <c r="O20" s="206"/>
      <c r="P20" s="206"/>
      <c r="Q20" s="206"/>
      <c r="R20" s="206"/>
      <c r="S20" s="197"/>
      <c r="T20" s="197"/>
      <c r="U20" s="197"/>
      <c r="V20" s="197"/>
      <c r="CG20" s="26"/>
      <c r="CH20" s="26"/>
      <c r="CI20" s="26"/>
      <c r="CK20" s="181"/>
      <c r="CL20" s="24"/>
      <c r="CM20" s="181"/>
    </row>
    <row r="21" spans="2:91" ht="15" customHeight="1" x14ac:dyDescent="0.25">
      <c r="B21" s="361"/>
      <c r="C21" s="355">
        <v>56</v>
      </c>
      <c r="D21" s="299">
        <f>E21</f>
        <v>44901.916666666664</v>
      </c>
      <c r="E21" s="300">
        <f>Tournament!E61</f>
        <v>44901.916666666664</v>
      </c>
      <c r="F21" s="297" t="str">
        <f ca="1">Tournament!F61</f>
        <v>Group H Winner</v>
      </c>
      <c r="G21" s="188"/>
      <c r="H21" s="203"/>
      <c r="I21" s="204"/>
      <c r="J21" s="188"/>
      <c r="K21" s="205"/>
      <c r="L21" s="205"/>
      <c r="M21" s="205"/>
      <c r="N21" s="205"/>
      <c r="O21" s="205"/>
      <c r="P21" s="205"/>
      <c r="Q21" s="205"/>
      <c r="R21" s="205"/>
      <c r="S21" s="197"/>
      <c r="T21" s="197"/>
      <c r="U21" s="197"/>
      <c r="V21" s="197"/>
      <c r="CI21" s="24"/>
    </row>
    <row r="22" spans="2:91" ht="15" customHeight="1" x14ac:dyDescent="0.25">
      <c r="B22" s="362"/>
      <c r="C22" s="356"/>
      <c r="D22" s="357" t="str">
        <f>Tournament!N61</f>
        <v>Lusail</v>
      </c>
      <c r="E22" s="357"/>
      <c r="F22" s="298" t="str">
        <f ca="1">Tournament!K61</f>
        <v>Group G Runner Up</v>
      </c>
      <c r="G22" s="188"/>
      <c r="H22" s="203"/>
      <c r="I22" s="204"/>
      <c r="J22" s="188"/>
      <c r="K22" s="206"/>
      <c r="L22" s="206"/>
      <c r="M22" s="206"/>
      <c r="N22" s="206"/>
      <c r="O22" s="206"/>
      <c r="P22" s="206"/>
      <c r="Q22" s="206"/>
      <c r="R22" s="206"/>
      <c r="S22" s="197"/>
      <c r="T22" s="197"/>
      <c r="U22" s="197"/>
      <c r="V22" s="197"/>
      <c r="CI22" s="24"/>
    </row>
    <row r="23" spans="2:91" ht="5" customHeight="1" x14ac:dyDescent="0.25">
      <c r="B23" s="67"/>
      <c r="C23" s="67"/>
      <c r="D23" s="301"/>
      <c r="E23" s="302"/>
      <c r="F23" s="303"/>
      <c r="G23" s="207"/>
      <c r="H23" s="207"/>
      <c r="I23" s="208"/>
      <c r="J23" s="209"/>
      <c r="K23" s="207"/>
      <c r="L23" s="207"/>
      <c r="M23" s="207"/>
      <c r="N23" s="207"/>
      <c r="O23" s="207"/>
      <c r="P23" s="207"/>
      <c r="Q23" s="207"/>
      <c r="R23" s="207"/>
      <c r="S23" s="197"/>
      <c r="T23" s="197"/>
      <c r="U23" s="197"/>
      <c r="V23" s="197"/>
      <c r="CI23" s="24"/>
    </row>
    <row r="24" spans="2:91" ht="5" customHeight="1" x14ac:dyDescent="0.25">
      <c r="B24" s="196"/>
      <c r="C24" s="196"/>
      <c r="D24" s="196"/>
      <c r="E24" s="196"/>
      <c r="F24" s="196"/>
      <c r="G24" s="196"/>
      <c r="H24" s="304"/>
      <c r="I24" s="304"/>
      <c r="J24" s="304"/>
      <c r="K24" s="304"/>
      <c r="L24" s="304"/>
      <c r="M24" s="304"/>
      <c r="N24" s="304"/>
      <c r="O24" s="304"/>
      <c r="P24" s="304"/>
      <c r="Q24" s="304"/>
      <c r="R24" s="304"/>
      <c r="S24" s="197"/>
      <c r="T24" s="197"/>
      <c r="U24" s="197"/>
      <c r="V24" s="197"/>
    </row>
    <row r="25" spans="2:91" ht="5" customHeight="1" x14ac:dyDescent="0.25">
      <c r="B25" s="16"/>
      <c r="C25" s="16"/>
      <c r="D25" s="16"/>
      <c r="E25" s="16"/>
      <c r="F25" s="16"/>
      <c r="G25" s="207"/>
      <c r="H25" s="207"/>
      <c r="I25" s="208"/>
      <c r="J25" s="209"/>
      <c r="K25" s="204"/>
      <c r="L25" s="204"/>
      <c r="M25" s="204"/>
      <c r="N25" s="204"/>
      <c r="O25" s="204"/>
      <c r="P25" s="204"/>
      <c r="Q25" s="204"/>
      <c r="R25" s="204"/>
      <c r="S25" s="197"/>
      <c r="T25" s="197"/>
      <c r="U25" s="197"/>
      <c r="V25" s="197"/>
    </row>
    <row r="26" spans="2:91" ht="15" customHeight="1" x14ac:dyDescent="0.25">
      <c r="B26" s="360" t="str">
        <f>INDEX(Language!$A$1:$H$112,MATCH("Quarter Finals",Language!$B$1:$B$122,0),MATCH(Setup!$C$5,Language!$A$1:$G$1,0))</f>
        <v>Quarter Finals</v>
      </c>
      <c r="C26" s="355">
        <v>58</v>
      </c>
      <c r="D26" s="299">
        <f>E26</f>
        <v>44904.75</v>
      </c>
      <c r="E26" s="300">
        <f>Tournament!E62</f>
        <v>44904.75</v>
      </c>
      <c r="F26" s="297" t="str">
        <f ca="1">Tournament!F62</f>
        <v>Match 53 Winner</v>
      </c>
      <c r="G26" s="188"/>
      <c r="H26" s="203"/>
      <c r="I26" s="204"/>
      <c r="J26" s="188"/>
      <c r="K26" s="205"/>
      <c r="L26" s="205"/>
      <c r="M26" s="205"/>
      <c r="N26" s="205"/>
      <c r="O26" s="205"/>
      <c r="P26" s="205"/>
      <c r="Q26" s="205"/>
      <c r="R26" s="205"/>
      <c r="S26" s="197"/>
      <c r="T26" s="197"/>
      <c r="U26" s="197"/>
      <c r="V26" s="197"/>
      <c r="CE26" s="181"/>
      <c r="CF26" s="181"/>
      <c r="CI26" s="26"/>
      <c r="CJ26" s="26"/>
    </row>
    <row r="27" spans="2:91" ht="15" customHeight="1" x14ac:dyDescent="0.25">
      <c r="B27" s="361"/>
      <c r="C27" s="356"/>
      <c r="D27" s="357" t="str">
        <f>Tournament!N62</f>
        <v>Education City</v>
      </c>
      <c r="E27" s="357"/>
      <c r="F27" s="298" t="str">
        <f ca="1">Tournament!K62</f>
        <v>Match 54 Winner</v>
      </c>
      <c r="G27" s="188"/>
      <c r="H27" s="203"/>
      <c r="I27" s="204"/>
      <c r="J27" s="188"/>
      <c r="K27" s="206"/>
      <c r="L27" s="206"/>
      <c r="M27" s="206"/>
      <c r="N27" s="206"/>
      <c r="O27" s="206"/>
      <c r="P27" s="206"/>
      <c r="Q27" s="206"/>
      <c r="R27" s="206"/>
      <c r="S27" s="197"/>
      <c r="T27" s="197"/>
      <c r="U27" s="197"/>
      <c r="V27" s="197"/>
      <c r="CE27" s="181"/>
      <c r="CF27" s="181"/>
      <c r="CI27" s="26"/>
      <c r="CJ27" s="26"/>
    </row>
    <row r="28" spans="2:91" ht="15" customHeight="1" x14ac:dyDescent="0.25">
      <c r="B28" s="361"/>
      <c r="C28" s="355">
        <v>57</v>
      </c>
      <c r="D28" s="299">
        <f>E28</f>
        <v>44904.916666666664</v>
      </c>
      <c r="E28" s="300">
        <f>Tournament!E63</f>
        <v>44904.916666666664</v>
      </c>
      <c r="F28" s="297" t="str">
        <f ca="1">Tournament!F63</f>
        <v>Match 49 Winner</v>
      </c>
      <c r="G28" s="188"/>
      <c r="H28" s="203"/>
      <c r="I28" s="204"/>
      <c r="J28" s="188"/>
      <c r="K28" s="205"/>
      <c r="L28" s="205"/>
      <c r="M28" s="205"/>
      <c r="N28" s="205"/>
      <c r="O28" s="205"/>
      <c r="P28" s="205"/>
      <c r="Q28" s="205"/>
      <c r="R28" s="205"/>
      <c r="S28" s="197"/>
      <c r="T28" s="197"/>
      <c r="U28" s="197"/>
      <c r="V28" s="197"/>
      <c r="CE28" s="181"/>
      <c r="CF28" s="181"/>
      <c r="CI28" s="26"/>
      <c r="CJ28" s="26"/>
    </row>
    <row r="29" spans="2:91" ht="15" customHeight="1" x14ac:dyDescent="0.25">
      <c r="B29" s="361"/>
      <c r="C29" s="356"/>
      <c r="D29" s="357" t="str">
        <f>Tournament!N63</f>
        <v>Lusail</v>
      </c>
      <c r="E29" s="357"/>
      <c r="F29" s="298" t="str">
        <f ca="1">Tournament!K63</f>
        <v>Match 50 Winner</v>
      </c>
      <c r="G29" s="188"/>
      <c r="H29" s="203"/>
      <c r="I29" s="204"/>
      <c r="J29" s="188"/>
      <c r="K29" s="206"/>
      <c r="L29" s="206"/>
      <c r="M29" s="206"/>
      <c r="N29" s="206"/>
      <c r="O29" s="206"/>
      <c r="P29" s="206"/>
      <c r="Q29" s="206"/>
      <c r="R29" s="206"/>
      <c r="S29" s="197"/>
      <c r="T29" s="197"/>
      <c r="U29" s="197"/>
      <c r="V29" s="197"/>
      <c r="CE29" s="181"/>
      <c r="CF29" s="181"/>
      <c r="CI29" s="26"/>
      <c r="CJ29" s="26"/>
    </row>
    <row r="30" spans="2:91" ht="15" customHeight="1" x14ac:dyDescent="0.25">
      <c r="B30" s="361"/>
      <c r="C30" s="355">
        <v>60</v>
      </c>
      <c r="D30" s="299">
        <f>E30</f>
        <v>44905.75</v>
      </c>
      <c r="E30" s="300">
        <f>Tournament!E64</f>
        <v>44905.75</v>
      </c>
      <c r="F30" s="297" t="str">
        <f ca="1">Tournament!F64</f>
        <v>Match 55 Winner</v>
      </c>
      <c r="G30" s="188"/>
      <c r="H30" s="203"/>
      <c r="I30" s="204"/>
      <c r="J30" s="188"/>
      <c r="K30" s="205"/>
      <c r="L30" s="205"/>
      <c r="M30" s="205"/>
      <c r="N30" s="205"/>
      <c r="O30" s="205"/>
      <c r="P30" s="205"/>
      <c r="Q30" s="205"/>
      <c r="R30" s="205"/>
      <c r="S30" s="197"/>
      <c r="T30" s="197"/>
      <c r="U30" s="197"/>
      <c r="V30" s="197"/>
      <c r="CE30" s="181"/>
      <c r="CF30" s="181"/>
      <c r="CI30" s="26"/>
      <c r="CJ30" s="26"/>
    </row>
    <row r="31" spans="2:91" ht="15" customHeight="1" x14ac:dyDescent="0.25">
      <c r="B31" s="361"/>
      <c r="C31" s="356"/>
      <c r="D31" s="357" t="str">
        <f>Tournament!N64</f>
        <v>Al Thumama</v>
      </c>
      <c r="E31" s="357"/>
      <c r="F31" s="298" t="str">
        <f ca="1">Tournament!K64</f>
        <v>Match 56 Winner</v>
      </c>
      <c r="G31" s="188"/>
      <c r="H31" s="203"/>
      <c r="I31" s="204"/>
      <c r="J31" s="188"/>
      <c r="K31" s="206"/>
      <c r="L31" s="206"/>
      <c r="M31" s="206"/>
      <c r="N31" s="206"/>
      <c r="O31" s="206"/>
      <c r="P31" s="206"/>
      <c r="Q31" s="206"/>
      <c r="R31" s="206"/>
      <c r="S31" s="197"/>
      <c r="T31" s="197"/>
      <c r="U31" s="197"/>
      <c r="V31" s="197"/>
      <c r="CE31" s="181"/>
      <c r="CF31" s="181"/>
      <c r="CI31" s="26"/>
      <c r="CJ31" s="26"/>
    </row>
    <row r="32" spans="2:91" ht="15" customHeight="1" x14ac:dyDescent="0.25">
      <c r="B32" s="361"/>
      <c r="C32" s="355">
        <v>59</v>
      </c>
      <c r="D32" s="299">
        <f>E32</f>
        <v>44905.916666666664</v>
      </c>
      <c r="E32" s="300">
        <f>Tournament!E65</f>
        <v>44905.916666666664</v>
      </c>
      <c r="F32" s="297" t="str">
        <f ca="1">Tournament!F65</f>
        <v>Match 51 Winner</v>
      </c>
      <c r="G32" s="188"/>
      <c r="H32" s="203"/>
      <c r="I32" s="204"/>
      <c r="J32" s="188"/>
      <c r="K32" s="205"/>
      <c r="L32" s="205"/>
      <c r="M32" s="205"/>
      <c r="N32" s="205"/>
      <c r="O32" s="205"/>
      <c r="P32" s="205"/>
      <c r="Q32" s="205"/>
      <c r="R32" s="205"/>
      <c r="S32" s="197"/>
      <c r="T32" s="197"/>
      <c r="U32" s="197"/>
      <c r="V32" s="197"/>
      <c r="CE32" s="181"/>
      <c r="CF32" s="181"/>
      <c r="CI32" s="26"/>
      <c r="CJ32" s="26"/>
    </row>
    <row r="33" spans="2:88" ht="15" customHeight="1" x14ac:dyDescent="0.25">
      <c r="B33" s="362"/>
      <c r="C33" s="356"/>
      <c r="D33" s="357" t="s">
        <v>724</v>
      </c>
      <c r="E33" s="357"/>
      <c r="F33" s="298" t="str">
        <f ca="1">Tournament!K65</f>
        <v>Match 52 Winner</v>
      </c>
      <c r="G33" s="188"/>
      <c r="H33" s="203"/>
      <c r="I33" s="204"/>
      <c r="J33" s="188"/>
      <c r="K33" s="206"/>
      <c r="L33" s="206"/>
      <c r="M33" s="206"/>
      <c r="N33" s="206"/>
      <c r="O33" s="206"/>
      <c r="P33" s="206"/>
      <c r="Q33" s="206"/>
      <c r="R33" s="206"/>
      <c r="S33" s="197"/>
      <c r="T33" s="197"/>
      <c r="U33" s="197"/>
      <c r="V33" s="197"/>
      <c r="CE33" s="181"/>
      <c r="CF33" s="181"/>
      <c r="CI33" s="26"/>
      <c r="CJ33" s="26"/>
    </row>
    <row r="34" spans="2:88" ht="5" customHeight="1" x14ac:dyDescent="0.25">
      <c r="B34" s="16"/>
      <c r="D34" s="16"/>
      <c r="E34" s="16"/>
      <c r="F34" s="16"/>
      <c r="G34" s="207"/>
      <c r="H34" s="207"/>
      <c r="I34" s="204"/>
      <c r="J34" s="209"/>
      <c r="K34" s="207"/>
      <c r="L34" s="207"/>
      <c r="M34" s="207"/>
      <c r="N34" s="207"/>
      <c r="O34" s="207"/>
      <c r="P34" s="207"/>
      <c r="Q34" s="207"/>
      <c r="R34" s="207"/>
      <c r="S34" s="197"/>
      <c r="T34" s="197"/>
      <c r="U34" s="197"/>
      <c r="V34" s="197"/>
      <c r="CE34" s="181"/>
      <c r="CF34" s="181"/>
      <c r="CI34" s="26"/>
      <c r="CJ34" s="26"/>
    </row>
    <row r="35" spans="2:88" ht="5" customHeight="1" x14ac:dyDescent="0.25">
      <c r="B35" s="196"/>
      <c r="C35" s="196"/>
      <c r="D35" s="196"/>
      <c r="E35" s="196"/>
      <c r="F35" s="196"/>
      <c r="G35" s="196"/>
      <c r="H35" s="304"/>
      <c r="I35" s="304"/>
      <c r="J35" s="304"/>
      <c r="K35" s="304"/>
      <c r="L35" s="304"/>
      <c r="M35" s="304"/>
      <c r="N35" s="304"/>
      <c r="O35" s="304"/>
      <c r="P35" s="304"/>
      <c r="Q35" s="304"/>
      <c r="R35" s="304"/>
      <c r="S35" s="197"/>
      <c r="T35" s="197"/>
      <c r="U35" s="197"/>
      <c r="V35" s="197"/>
      <c r="CE35" s="181"/>
      <c r="CF35" s="181"/>
      <c r="CI35" s="26"/>
      <c r="CJ35" s="26"/>
    </row>
    <row r="36" spans="2:88" ht="5" customHeight="1" x14ac:dyDescent="0.25">
      <c r="B36" s="16"/>
      <c r="D36" s="16"/>
      <c r="E36" s="16"/>
      <c r="F36" s="16"/>
      <c r="G36" s="207"/>
      <c r="H36" s="204"/>
      <c r="I36" s="204"/>
      <c r="J36" s="209"/>
      <c r="K36" s="207"/>
      <c r="L36" s="207"/>
      <c r="M36" s="207"/>
      <c r="N36" s="207"/>
      <c r="O36" s="207"/>
      <c r="P36" s="207"/>
      <c r="Q36" s="207"/>
      <c r="R36" s="207"/>
      <c r="S36" s="197"/>
      <c r="T36" s="197"/>
      <c r="U36" s="197"/>
      <c r="V36" s="197"/>
      <c r="CE36" s="181"/>
      <c r="CF36" s="181"/>
      <c r="CI36" s="26"/>
      <c r="CJ36" s="26"/>
    </row>
    <row r="37" spans="2:88" ht="15" customHeight="1" x14ac:dyDescent="0.25">
      <c r="B37" s="360" t="str">
        <f>INDEX(Language!$A$1:$H$112,MATCH("Semi Finals",Language!$B$1:$B$122,0),MATCH(Setup!$C$5,Language!$A$1:$G$1,0))</f>
        <v>Semi Finals</v>
      </c>
      <c r="C37" s="355">
        <v>61</v>
      </c>
      <c r="D37" s="299">
        <f>E37</f>
        <v>44908.916666666664</v>
      </c>
      <c r="E37" s="300">
        <f>Tournament!E66</f>
        <v>44908.916666666664</v>
      </c>
      <c r="F37" s="297" t="str">
        <f ca="1">Tournament!F66</f>
        <v>Match 57 Winner</v>
      </c>
      <c r="G37" s="188"/>
      <c r="H37" s="203"/>
      <c r="I37" s="204"/>
      <c r="J37" s="188"/>
      <c r="K37" s="205"/>
      <c r="L37" s="205"/>
      <c r="M37" s="205"/>
      <c r="N37" s="205"/>
      <c r="O37" s="205"/>
      <c r="P37" s="205"/>
      <c r="Q37" s="205"/>
      <c r="R37" s="205"/>
      <c r="S37" s="197"/>
      <c r="T37" s="197"/>
      <c r="U37" s="197"/>
      <c r="V37" s="197"/>
      <c r="CE37" s="181"/>
      <c r="CF37" s="181"/>
      <c r="CI37" s="26"/>
      <c r="CJ37" s="26"/>
    </row>
    <row r="38" spans="2:88" ht="15" customHeight="1" x14ac:dyDescent="0.25">
      <c r="B38" s="361"/>
      <c r="C38" s="356"/>
      <c r="D38" s="357" t="str">
        <f>Tournament!N66</f>
        <v>Lusail</v>
      </c>
      <c r="E38" s="357"/>
      <c r="F38" s="298" t="str">
        <f ca="1">Tournament!K66</f>
        <v>Match 58 Winner</v>
      </c>
      <c r="G38" s="188"/>
      <c r="H38" s="203"/>
      <c r="I38" s="204"/>
      <c r="J38" s="188"/>
      <c r="K38" s="206"/>
      <c r="L38" s="206"/>
      <c r="M38" s="206"/>
      <c r="N38" s="206"/>
      <c r="O38" s="206"/>
      <c r="P38" s="206"/>
      <c r="Q38" s="206"/>
      <c r="R38" s="206"/>
      <c r="S38" s="197"/>
      <c r="T38" s="197"/>
      <c r="U38" s="197"/>
      <c r="V38" s="197"/>
      <c r="CE38" s="181"/>
      <c r="CF38" s="181"/>
      <c r="CI38" s="26"/>
      <c r="CJ38" s="26"/>
    </row>
    <row r="39" spans="2:88" ht="15" customHeight="1" x14ac:dyDescent="0.25">
      <c r="B39" s="361"/>
      <c r="C39" s="355">
        <v>62</v>
      </c>
      <c r="D39" s="299">
        <f>E39</f>
        <v>44909.916666666664</v>
      </c>
      <c r="E39" s="300">
        <f>Tournament!E67</f>
        <v>44909.916666666664</v>
      </c>
      <c r="F39" s="297" t="str">
        <f ca="1">Tournament!F67</f>
        <v>Match 59 Winner</v>
      </c>
      <c r="G39" s="188"/>
      <c r="H39" s="203"/>
      <c r="I39" s="204"/>
      <c r="J39" s="188"/>
      <c r="K39" s="205"/>
      <c r="L39" s="205"/>
      <c r="M39" s="205"/>
      <c r="N39" s="205"/>
      <c r="O39" s="205"/>
      <c r="P39" s="205"/>
      <c r="Q39" s="205"/>
      <c r="R39" s="205"/>
      <c r="S39" s="197"/>
      <c r="T39" s="197"/>
      <c r="U39" s="197"/>
      <c r="V39" s="197"/>
      <c r="CE39" s="181"/>
      <c r="CF39" s="181"/>
      <c r="CI39" s="26"/>
      <c r="CJ39" s="26"/>
    </row>
    <row r="40" spans="2:88" ht="15" customHeight="1" x14ac:dyDescent="0.25">
      <c r="B40" s="362"/>
      <c r="C40" s="356"/>
      <c r="D40" s="357" t="str">
        <f>Tournament!N67</f>
        <v>Al Bayt</v>
      </c>
      <c r="E40" s="357"/>
      <c r="F40" s="298" t="str">
        <f ca="1">Tournament!K67</f>
        <v>Match 60 Winner</v>
      </c>
      <c r="G40" s="188"/>
      <c r="H40" s="203"/>
      <c r="I40" s="204"/>
      <c r="J40" s="188"/>
      <c r="K40" s="206"/>
      <c r="L40" s="206"/>
      <c r="M40" s="206"/>
      <c r="N40" s="206"/>
      <c r="O40" s="206"/>
      <c r="P40" s="206"/>
      <c r="Q40" s="206"/>
      <c r="R40" s="206"/>
      <c r="S40" s="197"/>
      <c r="T40" s="197"/>
      <c r="U40" s="197"/>
      <c r="V40" s="197"/>
      <c r="CE40" s="181"/>
      <c r="CF40" s="181"/>
      <c r="CI40" s="26"/>
      <c r="CJ40" s="26"/>
    </row>
    <row r="41" spans="2:88" ht="5" customHeight="1" x14ac:dyDescent="0.25">
      <c r="B41" s="16"/>
      <c r="C41" s="16"/>
      <c r="D41" s="16"/>
      <c r="E41" s="16"/>
      <c r="F41" s="303"/>
      <c r="G41" s="207"/>
      <c r="H41" s="207"/>
      <c r="I41" s="204"/>
      <c r="J41" s="207"/>
      <c r="K41" s="210"/>
      <c r="L41" s="210"/>
      <c r="M41" s="210"/>
      <c r="N41" s="210"/>
      <c r="O41" s="210"/>
      <c r="P41" s="210"/>
      <c r="Q41" s="210"/>
      <c r="R41" s="210"/>
      <c r="S41" s="197"/>
      <c r="T41" s="197"/>
      <c r="U41" s="197"/>
      <c r="V41" s="197"/>
      <c r="CE41" s="181"/>
      <c r="CF41" s="181"/>
      <c r="CI41" s="26"/>
      <c r="CJ41" s="26"/>
    </row>
    <row r="42" spans="2:88" ht="5" customHeight="1" x14ac:dyDescent="0.25">
      <c r="B42" s="196"/>
      <c r="C42" s="196"/>
      <c r="D42" s="196"/>
      <c r="E42" s="196"/>
      <c r="F42" s="196"/>
      <c r="G42" s="196"/>
      <c r="H42" s="304"/>
      <c r="I42" s="304"/>
      <c r="J42" s="304"/>
      <c r="K42" s="304"/>
      <c r="L42" s="304"/>
      <c r="M42" s="304"/>
      <c r="N42" s="304"/>
      <c r="O42" s="304"/>
      <c r="P42" s="304"/>
      <c r="Q42" s="304"/>
      <c r="R42" s="304"/>
      <c r="S42" s="197"/>
      <c r="T42" s="197"/>
      <c r="U42" s="197"/>
      <c r="V42" s="197"/>
      <c r="CE42" s="181"/>
      <c r="CF42" s="181"/>
      <c r="CI42" s="26"/>
      <c r="CJ42" s="26"/>
    </row>
    <row r="43" spans="2:88" ht="5" customHeight="1" x14ac:dyDescent="0.25">
      <c r="B43" s="16"/>
      <c r="D43" s="16"/>
      <c r="E43" s="16"/>
      <c r="F43" s="303"/>
      <c r="G43" s="207"/>
      <c r="H43" s="204"/>
      <c r="I43" s="204"/>
      <c r="J43" s="209"/>
      <c r="K43" s="207"/>
      <c r="L43" s="207"/>
      <c r="M43" s="207"/>
      <c r="N43" s="207"/>
      <c r="O43" s="207"/>
      <c r="P43" s="207"/>
      <c r="Q43" s="207"/>
      <c r="R43" s="207"/>
      <c r="S43" s="197"/>
      <c r="T43" s="197"/>
      <c r="U43" s="197"/>
      <c r="V43" s="197"/>
      <c r="CE43" s="181"/>
      <c r="CF43" s="181"/>
      <c r="CI43" s="26"/>
      <c r="CJ43" s="26"/>
    </row>
    <row r="44" spans="2:88" ht="15" customHeight="1" x14ac:dyDescent="0.25">
      <c r="B44" s="360" t="str">
        <f>INDEX(Language!$A$1:$H$112,MATCH("Third Place",Language!$B$1:$B$122,0),MATCH(Setup!$C$5,Language!$A$1:$G$1,0))</f>
        <v>Third Place</v>
      </c>
      <c r="C44" s="355">
        <v>63</v>
      </c>
      <c r="D44" s="299">
        <f>E44</f>
        <v>44912.75</v>
      </c>
      <c r="E44" s="300">
        <f>Tournament!E68</f>
        <v>44912.75</v>
      </c>
      <c r="F44" s="297" t="str">
        <f ca="1">Tournament!F68</f>
        <v>Match 61 Loser</v>
      </c>
      <c r="G44" s="188"/>
      <c r="H44" s="203"/>
      <c r="I44" s="204"/>
      <c r="J44" s="188"/>
      <c r="K44" s="205"/>
      <c r="L44" s="205"/>
      <c r="M44" s="205"/>
      <c r="N44" s="205"/>
      <c r="O44" s="205"/>
      <c r="P44" s="205"/>
      <c r="Q44" s="205"/>
      <c r="R44" s="205"/>
      <c r="CE44" s="181"/>
      <c r="CF44" s="181"/>
      <c r="CI44" s="26"/>
      <c r="CJ44" s="26"/>
    </row>
    <row r="45" spans="2:88" ht="15" customHeight="1" x14ac:dyDescent="0.25">
      <c r="B45" s="362"/>
      <c r="C45" s="356"/>
      <c r="D45" s="357" t="str">
        <f>Tournament!N68</f>
        <v>Khalifa International</v>
      </c>
      <c r="E45" s="357"/>
      <c r="F45" s="298" t="str">
        <f ca="1">Tournament!K68</f>
        <v>Match 62 Loser</v>
      </c>
      <c r="G45" s="188"/>
      <c r="H45" s="203"/>
      <c r="I45" s="204"/>
      <c r="J45" s="188"/>
      <c r="K45" s="206"/>
      <c r="L45" s="206"/>
      <c r="M45" s="206"/>
      <c r="N45" s="206"/>
      <c r="O45" s="206"/>
      <c r="P45" s="206"/>
      <c r="Q45" s="206"/>
      <c r="R45" s="206"/>
      <c r="CE45" s="181"/>
      <c r="CF45" s="181"/>
      <c r="CI45" s="26"/>
      <c r="CJ45" s="26"/>
    </row>
    <row r="46" spans="2:88" ht="5" customHeight="1" x14ac:dyDescent="0.25">
      <c r="B46" s="16"/>
      <c r="C46" s="16"/>
      <c r="D46" s="16"/>
      <c r="E46" s="16"/>
      <c r="F46" s="303"/>
      <c r="G46" s="207"/>
      <c r="H46" s="207"/>
      <c r="I46" s="204"/>
      <c r="J46" s="207"/>
      <c r="K46" s="210"/>
      <c r="L46" s="210"/>
      <c r="M46" s="210"/>
      <c r="N46" s="210"/>
      <c r="O46" s="210"/>
      <c r="P46" s="210"/>
      <c r="Q46" s="210"/>
      <c r="R46" s="210"/>
      <c r="S46" s="197"/>
      <c r="T46" s="197"/>
      <c r="U46" s="197"/>
      <c r="V46" s="197"/>
      <c r="CE46" s="181"/>
      <c r="CF46" s="181"/>
      <c r="CI46" s="26"/>
      <c r="CJ46" s="26"/>
    </row>
    <row r="47" spans="2:88" ht="5" customHeight="1" x14ac:dyDescent="0.25">
      <c r="B47" s="196"/>
      <c r="C47" s="196"/>
      <c r="D47" s="196"/>
      <c r="E47" s="196"/>
      <c r="F47" s="196"/>
      <c r="G47" s="196"/>
      <c r="H47" s="304"/>
      <c r="I47" s="304"/>
      <c r="J47" s="304"/>
      <c r="K47" s="304"/>
      <c r="L47" s="304"/>
      <c r="M47" s="304"/>
      <c r="N47" s="304"/>
      <c r="O47" s="304"/>
      <c r="P47" s="304"/>
      <c r="Q47" s="304"/>
      <c r="R47" s="304"/>
      <c r="S47" s="197"/>
      <c r="T47" s="197"/>
      <c r="U47" s="197"/>
      <c r="V47" s="197"/>
      <c r="CE47" s="181"/>
      <c r="CF47" s="181"/>
      <c r="CI47" s="26"/>
      <c r="CJ47" s="26"/>
    </row>
    <row r="48" spans="2:88" ht="5" customHeight="1" x14ac:dyDescent="0.25">
      <c r="B48" s="16"/>
      <c r="D48" s="16"/>
      <c r="E48" s="16"/>
      <c r="F48" s="303"/>
      <c r="G48" s="207"/>
      <c r="H48" s="204"/>
      <c r="I48" s="204"/>
      <c r="J48" s="209"/>
      <c r="K48" s="207"/>
      <c r="L48" s="207"/>
      <c r="M48" s="207"/>
      <c r="N48" s="207"/>
      <c r="O48" s="207"/>
      <c r="P48" s="207"/>
      <c r="Q48" s="207"/>
      <c r="R48" s="207"/>
      <c r="S48" s="197"/>
      <c r="T48" s="197"/>
      <c r="U48" s="197"/>
      <c r="V48" s="197"/>
      <c r="CE48" s="181"/>
      <c r="CF48" s="181"/>
      <c r="CI48" s="26"/>
      <c r="CJ48" s="26"/>
    </row>
    <row r="49" spans="2:88" ht="15" customHeight="1" x14ac:dyDescent="0.25">
      <c r="B49" s="363" t="str">
        <f>INDEX(Language!$A$1:$H$112,MATCH("Final",Language!$B$1:$B$122,0),MATCH(Setup!$C$5,Language!$A$1:$G$1,0))</f>
        <v>Final</v>
      </c>
      <c r="C49" s="355">
        <v>64</v>
      </c>
      <c r="D49" s="299">
        <f>E49</f>
        <v>44913.75</v>
      </c>
      <c r="E49" s="300">
        <f>Tournament!E69</f>
        <v>44913.75</v>
      </c>
      <c r="F49" s="297" t="str">
        <f ca="1">Tournament!F69</f>
        <v>Match 61 Winner</v>
      </c>
      <c r="G49" s="188"/>
      <c r="H49" s="203"/>
      <c r="I49" s="204"/>
      <c r="J49" s="188"/>
      <c r="K49" s="205"/>
      <c r="L49" s="205"/>
      <c r="M49" s="205"/>
      <c r="N49" s="205"/>
      <c r="O49" s="205"/>
      <c r="P49" s="205"/>
      <c r="Q49" s="205"/>
      <c r="R49" s="205"/>
      <c r="CE49" s="181"/>
      <c r="CF49" s="181"/>
      <c r="CI49" s="26"/>
      <c r="CJ49" s="26"/>
    </row>
    <row r="50" spans="2:88" ht="15" customHeight="1" x14ac:dyDescent="0.25">
      <c r="B50" s="364"/>
      <c r="C50" s="356"/>
      <c r="D50" s="357" t="str">
        <f>Tournament!N69</f>
        <v>Lusail</v>
      </c>
      <c r="E50" s="357"/>
      <c r="F50" s="298" t="str">
        <f ca="1">Tournament!K69</f>
        <v>Match 62 Winner</v>
      </c>
      <c r="G50" s="188"/>
      <c r="H50" s="203"/>
      <c r="I50" s="204"/>
      <c r="J50" s="188"/>
      <c r="K50" s="206"/>
      <c r="L50" s="206"/>
      <c r="M50" s="206"/>
      <c r="N50" s="206"/>
      <c r="O50" s="206"/>
      <c r="P50" s="206"/>
      <c r="Q50" s="206"/>
      <c r="R50" s="206"/>
      <c r="CE50" s="181"/>
      <c r="CF50" s="181"/>
      <c r="CI50" s="26"/>
      <c r="CJ50" s="26"/>
    </row>
    <row r="51" spans="2:88" ht="5" customHeight="1" x14ac:dyDescent="0.25">
      <c r="H51" s="28"/>
      <c r="S51" s="197"/>
      <c r="T51" s="197"/>
      <c r="U51" s="197"/>
      <c r="V51" s="197"/>
      <c r="CF51" s="181"/>
      <c r="CJ51" s="26"/>
    </row>
    <row r="52" spans="2:88" ht="5" customHeight="1" x14ac:dyDescent="0.25">
      <c r="B52" s="211"/>
      <c r="C52" s="211"/>
      <c r="D52" s="211"/>
      <c r="E52" s="211"/>
      <c r="F52" s="211"/>
      <c r="G52" s="211"/>
      <c r="H52" s="211"/>
      <c r="I52" s="212"/>
      <c r="J52" s="212"/>
      <c r="K52" s="212"/>
      <c r="L52" s="212"/>
      <c r="M52" s="212"/>
      <c r="N52" s="212"/>
      <c r="O52" s="212"/>
      <c r="P52" s="212"/>
      <c r="Q52" s="212"/>
      <c r="R52" s="212"/>
      <c r="S52" s="197"/>
      <c r="T52" s="197"/>
      <c r="U52" s="197"/>
      <c r="V52" s="197"/>
      <c r="CF52" s="181"/>
      <c r="CJ52" s="26"/>
    </row>
    <row r="53" spans="2:88" ht="30" customHeight="1" x14ac:dyDescent="0.25">
      <c r="B53" s="213"/>
      <c r="C53" s="214" t="str">
        <f>INDEX(Language!$A$1:$H$112,MATCH("World Cup 2022 Champion",Language!$B$1:$B$122,0),MATCH(Setup!$C$5,Language!$A$1:$G$1,0))</f>
        <v>World Cup 2022 Champion</v>
      </c>
      <c r="D53" s="214"/>
      <c r="E53" s="215"/>
      <c r="F53" s="365" t="str">
        <f ca="1">Tournament!P57</f>
        <v>WORLD CUP 2022 CHAMPION</v>
      </c>
      <c r="G53" s="365"/>
      <c r="H53" s="365"/>
      <c r="I53" s="365"/>
      <c r="J53" s="365" t="s">
        <v>728</v>
      </c>
      <c r="K53" s="365"/>
      <c r="L53" s="365" t="str">
        <f ca="1">'Top Scorer'!C8</f>
        <v/>
      </c>
      <c r="M53" s="365"/>
      <c r="N53" s="365"/>
      <c r="O53" s="365"/>
      <c r="P53" s="365"/>
      <c r="Q53" s="365"/>
      <c r="R53" s="365"/>
      <c r="S53" s="197"/>
      <c r="T53" s="197"/>
      <c r="U53" s="197"/>
      <c r="V53" s="197"/>
      <c r="CF53" s="181"/>
      <c r="CJ53" s="26"/>
    </row>
    <row r="54" spans="2:88" ht="5" customHeight="1" x14ac:dyDescent="0.25">
      <c r="B54" s="216"/>
      <c r="C54" s="216"/>
      <c r="D54" s="216"/>
      <c r="E54" s="216"/>
      <c r="F54" s="216"/>
      <c r="G54" s="216"/>
      <c r="H54" s="216"/>
      <c r="I54" s="217"/>
      <c r="J54" s="217"/>
      <c r="K54" s="217"/>
      <c r="L54" s="217"/>
      <c r="M54" s="217"/>
      <c r="N54" s="217"/>
      <c r="O54" s="217"/>
      <c r="P54" s="217"/>
      <c r="Q54" s="217"/>
      <c r="R54" s="217"/>
      <c r="S54" s="197"/>
      <c r="T54" s="197"/>
      <c r="U54" s="197"/>
      <c r="V54" s="197"/>
      <c r="CF54" s="181"/>
      <c r="CJ54" s="26"/>
    </row>
    <row r="55" spans="2:88" ht="15" customHeight="1" x14ac:dyDescent="0.25">
      <c r="B55" s="245" t="s">
        <v>143</v>
      </c>
      <c r="E55" s="192"/>
      <c r="M55" s="16"/>
      <c r="N55" s="16"/>
      <c r="O55" s="16"/>
      <c r="P55" s="16"/>
      <c r="S55" s="197"/>
      <c r="T55" s="197"/>
      <c r="U55" s="197"/>
      <c r="V55" s="197"/>
      <c r="CF55" s="181"/>
      <c r="CJ55" s="26"/>
    </row>
  </sheetData>
  <sheetProtection password="CBF1" sheet="1" objects="1" scenarios="1" sort="0" autoFilter="0" pivotTables="0"/>
  <mergeCells count="38">
    <mergeCell ref="D20:E20"/>
    <mergeCell ref="B49:B50"/>
    <mergeCell ref="C49:C50"/>
    <mergeCell ref="D50:E50"/>
    <mergeCell ref="F53:R53"/>
    <mergeCell ref="B37:B40"/>
    <mergeCell ref="C37:C38"/>
    <mergeCell ref="D38:E38"/>
    <mergeCell ref="C39:C40"/>
    <mergeCell ref="D40:E40"/>
    <mergeCell ref="B44:B45"/>
    <mergeCell ref="C44:C45"/>
    <mergeCell ref="D45:E45"/>
    <mergeCell ref="B26:B33"/>
    <mergeCell ref="C26:C27"/>
    <mergeCell ref="D27:E27"/>
    <mergeCell ref="C28:C29"/>
    <mergeCell ref="D29:E29"/>
    <mergeCell ref="C30:C31"/>
    <mergeCell ref="D31:E31"/>
    <mergeCell ref="C32:C33"/>
    <mergeCell ref="D33:E33"/>
    <mergeCell ref="C21:C22"/>
    <mergeCell ref="D22:E22"/>
    <mergeCell ref="B7:B22"/>
    <mergeCell ref="C7:C8"/>
    <mergeCell ref="D8:E8"/>
    <mergeCell ref="C9:C10"/>
    <mergeCell ref="D10:E10"/>
    <mergeCell ref="C11:C12"/>
    <mergeCell ref="D12:E12"/>
    <mergeCell ref="C13:C14"/>
    <mergeCell ref="D14:E14"/>
    <mergeCell ref="C15:C16"/>
    <mergeCell ref="D16:E16"/>
    <mergeCell ref="C17:C18"/>
    <mergeCell ref="D18:E18"/>
    <mergeCell ref="C19:C20"/>
  </mergeCells>
  <conditionalFormatting sqref="F23">
    <cfRule type="expression" dxfId="81" priority="74">
      <formula>H23&gt;H22</formula>
    </cfRule>
    <cfRule type="expression" dxfId="80" priority="75">
      <formula>H23&lt;H22</formula>
    </cfRule>
  </conditionalFormatting>
  <conditionalFormatting sqref="I7">
    <cfRule type="expression" dxfId="79" priority="76">
      <formula>AND($H7=$H8,$H7&lt;&gt;"")</formula>
    </cfRule>
  </conditionalFormatting>
  <conditionalFormatting sqref="I8">
    <cfRule type="expression" dxfId="78" priority="73">
      <formula>AND($H7=$H8,$H7&lt;&gt;"")</formula>
    </cfRule>
  </conditionalFormatting>
  <conditionalFormatting sqref="I9">
    <cfRule type="expression" dxfId="77" priority="72">
      <formula>AND($H9=$H10,$H9&lt;&gt;"")</formula>
    </cfRule>
  </conditionalFormatting>
  <conditionalFormatting sqref="I10">
    <cfRule type="expression" dxfId="76" priority="71">
      <formula>AND($H9=$H10,$H9&lt;&gt;"")</formula>
    </cfRule>
  </conditionalFormatting>
  <conditionalFormatting sqref="I11">
    <cfRule type="expression" dxfId="75" priority="70">
      <formula>AND($H11=$H12,$H11&lt;&gt;"")</formula>
    </cfRule>
  </conditionalFormatting>
  <conditionalFormatting sqref="I12">
    <cfRule type="expression" dxfId="74" priority="69">
      <formula>AND($H11=$H12,$H11&lt;&gt;"")</formula>
    </cfRule>
  </conditionalFormatting>
  <conditionalFormatting sqref="I13">
    <cfRule type="expression" dxfId="73" priority="68">
      <formula>AND($H13=$H14,$H13&lt;&gt;"")</formula>
    </cfRule>
  </conditionalFormatting>
  <conditionalFormatting sqref="I14">
    <cfRule type="expression" dxfId="72" priority="67">
      <formula>AND($H13=$H14,$H13&lt;&gt;"")</formula>
    </cfRule>
  </conditionalFormatting>
  <conditionalFormatting sqref="I15">
    <cfRule type="expression" dxfId="71" priority="66">
      <formula>AND($H15=$H16,$H15&lt;&gt;"")</formula>
    </cfRule>
  </conditionalFormatting>
  <conditionalFormatting sqref="I16">
    <cfRule type="expression" dxfId="70" priority="65">
      <formula>AND($H15=$H16,$H15&lt;&gt;"")</formula>
    </cfRule>
  </conditionalFormatting>
  <conditionalFormatting sqref="I17">
    <cfRule type="expression" dxfId="69" priority="64">
      <formula>AND($H17=$H18,$H17&lt;&gt;"")</formula>
    </cfRule>
  </conditionalFormatting>
  <conditionalFormatting sqref="I18">
    <cfRule type="expression" dxfId="68" priority="63">
      <formula>AND($H17=$H18,$H17&lt;&gt;"")</formula>
    </cfRule>
  </conditionalFormatting>
  <conditionalFormatting sqref="I19">
    <cfRule type="expression" dxfId="67" priority="62">
      <formula>AND($H19=$H20,$H19&lt;&gt;"")</formula>
    </cfRule>
  </conditionalFormatting>
  <conditionalFormatting sqref="I20">
    <cfRule type="expression" dxfId="66" priority="61">
      <formula>AND($H19=$H20,$H19&lt;&gt;"")</formula>
    </cfRule>
  </conditionalFormatting>
  <conditionalFormatting sqref="I21">
    <cfRule type="expression" dxfId="65" priority="60">
      <formula>AND($H21=$H22,$H21&lt;&gt;"")</formula>
    </cfRule>
  </conditionalFormatting>
  <conditionalFormatting sqref="I22">
    <cfRule type="expression" dxfId="64" priority="59">
      <formula>AND($H21=$H22,$H21&lt;&gt;"")</formula>
    </cfRule>
  </conditionalFormatting>
  <conditionalFormatting sqref="I26">
    <cfRule type="expression" dxfId="63" priority="58">
      <formula>AND($H26=$H27,$H26&lt;&gt;"")</formula>
    </cfRule>
  </conditionalFormatting>
  <conditionalFormatting sqref="I27">
    <cfRule type="expression" dxfId="62" priority="57">
      <formula>AND($H26=$H27,$H26&lt;&gt;"")</formula>
    </cfRule>
  </conditionalFormatting>
  <conditionalFormatting sqref="I28">
    <cfRule type="expression" dxfId="61" priority="56">
      <formula>AND($H28=$H29,$H28&lt;&gt;"")</formula>
    </cfRule>
  </conditionalFormatting>
  <conditionalFormatting sqref="I29">
    <cfRule type="expression" dxfId="60" priority="55">
      <formula>AND($H28=$H29,$H28&lt;&gt;"")</formula>
    </cfRule>
  </conditionalFormatting>
  <conditionalFormatting sqref="I30">
    <cfRule type="expression" dxfId="59" priority="54">
      <formula>AND($H30=$H31,$H30&lt;&gt;"")</formula>
    </cfRule>
  </conditionalFormatting>
  <conditionalFormatting sqref="I31">
    <cfRule type="expression" dxfId="58" priority="53">
      <formula>AND($H30=$H31,$H30&lt;&gt;"")</formula>
    </cfRule>
  </conditionalFormatting>
  <conditionalFormatting sqref="I32">
    <cfRule type="expression" dxfId="57" priority="52">
      <formula>AND($H32=$H33,$H32&lt;&gt;"")</formula>
    </cfRule>
  </conditionalFormatting>
  <conditionalFormatting sqref="I33">
    <cfRule type="expression" dxfId="56" priority="51">
      <formula>AND($H32=$H33,$H32&lt;&gt;"")</formula>
    </cfRule>
  </conditionalFormatting>
  <conditionalFormatting sqref="I37">
    <cfRule type="expression" dxfId="55" priority="50">
      <formula>AND($H37=$H38,$H37&lt;&gt;"")</formula>
    </cfRule>
  </conditionalFormatting>
  <conditionalFormatting sqref="I38">
    <cfRule type="expression" dxfId="54" priority="49">
      <formula>AND($H37=$H38,$H37&lt;&gt;"")</formula>
    </cfRule>
  </conditionalFormatting>
  <conditionalFormatting sqref="I39">
    <cfRule type="expression" dxfId="53" priority="48">
      <formula>AND($H39=$H40,$H39&lt;&gt;"")</formula>
    </cfRule>
  </conditionalFormatting>
  <conditionalFormatting sqref="I40">
    <cfRule type="expression" dxfId="52" priority="47">
      <formula>AND($H39=$H40,$H39&lt;&gt;"")</formula>
    </cfRule>
  </conditionalFormatting>
  <conditionalFormatting sqref="I44">
    <cfRule type="expression" dxfId="51" priority="46">
      <formula>AND($H44=$H45,$H44&lt;&gt;"")</formula>
    </cfRule>
  </conditionalFormatting>
  <conditionalFormatting sqref="I45">
    <cfRule type="expression" dxfId="50" priority="45">
      <formula>AND($H44=$H45,$H44&lt;&gt;"")</formula>
    </cfRule>
  </conditionalFormatting>
  <conditionalFormatting sqref="F7">
    <cfRule type="expression" dxfId="49" priority="42">
      <formula>$H7+$I7&lt;$H8+$I8</formula>
    </cfRule>
    <cfRule type="expression" dxfId="48" priority="44">
      <formula>$H7+$I7&gt;$H8+$I8</formula>
    </cfRule>
  </conditionalFormatting>
  <conditionalFormatting sqref="F8">
    <cfRule type="expression" dxfId="47" priority="41">
      <formula>$H7+$I7&lt;$H8+$I8</formula>
    </cfRule>
    <cfRule type="expression" dxfId="46" priority="43">
      <formula>$H7+$I7&gt;$H8+$I8</formula>
    </cfRule>
  </conditionalFormatting>
  <conditionalFormatting sqref="I49">
    <cfRule type="expression" dxfId="45" priority="40">
      <formula>AND($H49=$H50,$H49&lt;&gt;"")</formula>
    </cfRule>
  </conditionalFormatting>
  <conditionalFormatting sqref="I50">
    <cfRule type="expression" dxfId="44" priority="39">
      <formula>AND($H49=$H50,$H49&lt;&gt;"")</formula>
    </cfRule>
  </conditionalFormatting>
  <conditionalFormatting sqref="F9 F11 F13 F15 F17 F19 F21">
    <cfRule type="expression" dxfId="43" priority="36">
      <formula>$H9+$I9&lt;$H10+$I10</formula>
    </cfRule>
    <cfRule type="expression" dxfId="42" priority="38">
      <formula>$H9+$I9&gt;$H10+$I10</formula>
    </cfRule>
  </conditionalFormatting>
  <conditionalFormatting sqref="F10 F12 F14 F16 F18 F20 F22">
    <cfRule type="expression" dxfId="41" priority="35">
      <formula>$H9+$I9&lt;$H10+$I10</formula>
    </cfRule>
    <cfRule type="expression" dxfId="40" priority="37">
      <formula>$H9+$I9&gt;$H10+$I10</formula>
    </cfRule>
  </conditionalFormatting>
  <conditionalFormatting sqref="F26">
    <cfRule type="expression" dxfId="39" priority="32">
      <formula>$H26+$I26&lt;$H27+$I27</formula>
    </cfRule>
    <cfRule type="expression" dxfId="38" priority="34">
      <formula>$H26+$I26&gt;$H27+$I27</formula>
    </cfRule>
  </conditionalFormatting>
  <conditionalFormatting sqref="F27">
    <cfRule type="expression" dxfId="37" priority="31">
      <formula>$H26+$I26&lt;$H27+$I27</formula>
    </cfRule>
    <cfRule type="expression" dxfId="36" priority="33">
      <formula>$H26+$I26&gt;$H27+$I27</formula>
    </cfRule>
  </conditionalFormatting>
  <conditionalFormatting sqref="F28 F30 F32">
    <cfRule type="expression" dxfId="35" priority="28">
      <formula>$H28+$I28&lt;$H29+$I29</formula>
    </cfRule>
    <cfRule type="expression" dxfId="34" priority="30">
      <formula>$H28+$I28&gt;$H29+$I29</formula>
    </cfRule>
  </conditionalFormatting>
  <conditionalFormatting sqref="F29 F31 F33">
    <cfRule type="expression" dxfId="33" priority="27">
      <formula>$H28+$I28&lt;$H29+$I29</formula>
    </cfRule>
    <cfRule type="expression" dxfId="32" priority="29">
      <formula>$H28+$I28&gt;$H29+$I29</formula>
    </cfRule>
  </conditionalFormatting>
  <conditionalFormatting sqref="F37">
    <cfRule type="expression" dxfId="31" priority="24">
      <formula>$H37+$I37&lt;$H38+$I38</formula>
    </cfRule>
    <cfRule type="expression" dxfId="30" priority="26">
      <formula>$H37+$I37&gt;$H38+$I38</formula>
    </cfRule>
  </conditionalFormatting>
  <conditionalFormatting sqref="F38">
    <cfRule type="expression" dxfId="29" priority="23">
      <formula>$H37+$I37&lt;$H38+$I38</formula>
    </cfRule>
    <cfRule type="expression" dxfId="28" priority="25">
      <formula>$H37+$I37&gt;$H38+$I38</formula>
    </cfRule>
  </conditionalFormatting>
  <conditionalFormatting sqref="F39">
    <cfRule type="expression" dxfId="27" priority="20">
      <formula>$H39+$I39&lt;$H40+$I40</formula>
    </cfRule>
    <cfRule type="expression" dxfId="26" priority="22">
      <formula>$H39+$I39&gt;$H40+$I40</formula>
    </cfRule>
  </conditionalFormatting>
  <conditionalFormatting sqref="F40">
    <cfRule type="expression" dxfId="25" priority="19">
      <formula>$H39+$I39&lt;$H40+$I40</formula>
    </cfRule>
    <cfRule type="expression" dxfId="24" priority="21">
      <formula>$H39+$I39&gt;$H40+$I40</formula>
    </cfRule>
  </conditionalFormatting>
  <conditionalFormatting sqref="F44">
    <cfRule type="expression" dxfId="23" priority="16">
      <formula>$H44+$I44&lt;$H45+$I45</formula>
    </cfRule>
    <cfRule type="expression" dxfId="22" priority="18">
      <formula>$H44+$I44&gt;$H45+$I45</formula>
    </cfRule>
  </conditionalFormatting>
  <conditionalFormatting sqref="F45">
    <cfRule type="expression" dxfId="21" priority="15">
      <formula>$H44+$I44&lt;$H45+$I45</formula>
    </cfRule>
    <cfRule type="expression" dxfId="20" priority="17">
      <formula>$H44+$I44&gt;$H45+$I45</formula>
    </cfRule>
  </conditionalFormatting>
  <conditionalFormatting sqref="F49">
    <cfRule type="expression" dxfId="19" priority="12">
      <formula>$H49+$I49&lt;$H50+$I50</formula>
    </cfRule>
    <cfRule type="expression" dxfId="18" priority="14">
      <formula>$H49+$I49&gt;$H50+$I50</formula>
    </cfRule>
  </conditionalFormatting>
  <conditionalFormatting sqref="F50">
    <cfRule type="expression" dxfId="17" priority="11">
      <formula>$H49+$I49&lt;$H50+$I50</formula>
    </cfRule>
    <cfRule type="expression" dxfId="16" priority="13">
      <formula>$H49+$I49&gt;$H50+$I50</formula>
    </cfRule>
  </conditionalFormatting>
  <conditionalFormatting sqref="H7:H22">
    <cfRule type="expression" dxfId="15" priority="10">
      <formula>H7&lt;&gt;""</formula>
    </cfRule>
  </conditionalFormatting>
  <conditionalFormatting sqref="H26:H33">
    <cfRule type="expression" dxfId="14" priority="9">
      <formula>H26&lt;&gt;""</formula>
    </cfRule>
  </conditionalFormatting>
  <conditionalFormatting sqref="H37:H40">
    <cfRule type="expression" dxfId="13" priority="8">
      <formula>H37&lt;&gt;""</formula>
    </cfRule>
  </conditionalFormatting>
  <conditionalFormatting sqref="H44:H45">
    <cfRule type="expression" dxfId="12" priority="7">
      <formula>H44&lt;&gt;""</formula>
    </cfRule>
  </conditionalFormatting>
  <conditionalFormatting sqref="H49:H50">
    <cfRule type="expression" dxfId="11" priority="6">
      <formula>H49&lt;&gt;""</formula>
    </cfRule>
  </conditionalFormatting>
  <conditionalFormatting sqref="K7:R22">
    <cfRule type="expression" dxfId="10" priority="5">
      <formula>$H7&gt;=K$1</formula>
    </cfRule>
  </conditionalFormatting>
  <conditionalFormatting sqref="K26:R33">
    <cfRule type="expression" dxfId="9" priority="4">
      <formula>$H26&gt;=K$1</formula>
    </cfRule>
  </conditionalFormatting>
  <conditionalFormatting sqref="K37:R40">
    <cfRule type="expression" dxfId="8" priority="3">
      <formula>$H37&gt;=K$1</formula>
    </cfRule>
  </conditionalFormatting>
  <conditionalFormatting sqref="K44:R45">
    <cfRule type="expression" dxfId="7" priority="2">
      <formula>$H44&gt;=K$1</formula>
    </cfRule>
  </conditionalFormatting>
  <conditionalFormatting sqref="K49:R50">
    <cfRule type="expression" dxfId="6" priority="1">
      <formula>$H49&gt;=K$1</formula>
    </cfRule>
  </conditionalFormatting>
  <dataValidations count="32">
    <dataValidation type="list" allowBlank="1" showInputMessage="1" showErrorMessage="1" sqref="K50:R50">
      <formula1>FINAL12</formula1>
    </dataValidation>
    <dataValidation type="list" allowBlank="1" showInputMessage="1" showErrorMessage="1" sqref="K49:R49">
      <formula1>FINAL11</formula1>
    </dataValidation>
    <dataValidation type="list" allowBlank="1" showInputMessage="1" showErrorMessage="1" sqref="K45:R45">
      <formula1>THIR12</formula1>
    </dataValidation>
    <dataValidation type="list" allowBlank="1" showInputMessage="1" showErrorMessage="1" sqref="K44:R44">
      <formula1>THIR11</formula1>
    </dataValidation>
    <dataValidation type="list" allowBlank="1" showInputMessage="1" showErrorMessage="1" sqref="K40:R40">
      <formula1>SEFI22</formula1>
    </dataValidation>
    <dataValidation type="list" allowBlank="1" showInputMessage="1" showErrorMessage="1" sqref="K39:R39">
      <formula1>SEFI21</formula1>
    </dataValidation>
    <dataValidation type="list" allowBlank="1" showInputMessage="1" showErrorMessage="1" sqref="K38:R38">
      <formula1>SEFI12</formula1>
    </dataValidation>
    <dataValidation type="list" allowBlank="1" showInputMessage="1" showErrorMessage="1" sqref="K37:R37">
      <formula1>SEFI11</formula1>
    </dataValidation>
    <dataValidation type="list" allowBlank="1" showInputMessage="1" showErrorMessage="1" sqref="K33:R33">
      <formula1>BIGQ42</formula1>
    </dataValidation>
    <dataValidation type="list" allowBlank="1" showInputMessage="1" showErrorMessage="1" sqref="K32:R32">
      <formula1>BIGQ41</formula1>
    </dataValidation>
    <dataValidation type="list" allowBlank="1" showInputMessage="1" showErrorMessage="1" sqref="K31:R31">
      <formula1>BIGQ32</formula1>
    </dataValidation>
    <dataValidation type="list" allowBlank="1" showInputMessage="1" showErrorMessage="1" sqref="K30:R30">
      <formula1>BIGQ31</formula1>
    </dataValidation>
    <dataValidation type="list" allowBlank="1" showInputMessage="1" showErrorMessage="1" sqref="K29:R29">
      <formula1>BIGQ22</formula1>
    </dataValidation>
    <dataValidation type="list" allowBlank="1" showInputMessage="1" showErrorMessage="1" sqref="K28:R28">
      <formula1>BIGQ21</formula1>
    </dataValidation>
    <dataValidation type="list" allowBlank="1" showInputMessage="1" showErrorMessage="1" sqref="K27:R27">
      <formula1>BIGQ12</formula1>
    </dataValidation>
    <dataValidation type="list" allowBlank="1" showInputMessage="1" showErrorMessage="1" sqref="K26:R26">
      <formula1>BIGQ11</formula1>
    </dataValidation>
    <dataValidation type="list" allowBlank="1" showInputMessage="1" showErrorMessage="1" sqref="K22:R22">
      <formula1>QUFI82</formula1>
    </dataValidation>
    <dataValidation type="list" allowBlank="1" showInputMessage="1" showErrorMessage="1" sqref="K21:R21">
      <formula1>QUFI81</formula1>
    </dataValidation>
    <dataValidation type="list" allowBlank="1" showInputMessage="1" showErrorMessage="1" sqref="K20:R20">
      <formula1>QUFI72</formula1>
    </dataValidation>
    <dataValidation type="list" allowBlank="1" showInputMessage="1" showErrorMessage="1" sqref="K19:R19">
      <formula1>QUFI71</formula1>
    </dataValidation>
    <dataValidation type="list" allowBlank="1" showInputMessage="1" showErrorMessage="1" sqref="K18:R18">
      <formula1>QUFI62</formula1>
    </dataValidation>
    <dataValidation type="list" allowBlank="1" showInputMessage="1" showErrorMessage="1" sqref="K17:R17">
      <formula1>QUFI61</formula1>
    </dataValidation>
    <dataValidation type="list" allowBlank="1" showInputMessage="1" showErrorMessage="1" sqref="K16:R16">
      <formula1>QUFI52</formula1>
    </dataValidation>
    <dataValidation type="list" allowBlank="1" showInputMessage="1" showErrorMessage="1" sqref="K15:R15">
      <formula1>QUFI51</formula1>
    </dataValidation>
    <dataValidation type="list" allowBlank="1" showInputMessage="1" showErrorMessage="1" sqref="K14:R14">
      <formula1>QUFI42</formula1>
    </dataValidation>
    <dataValidation type="list" allowBlank="1" showInputMessage="1" showErrorMessage="1" sqref="K13:R13">
      <formula1>QUFI41</formula1>
    </dataValidation>
    <dataValidation type="list" allowBlank="1" showInputMessage="1" showErrorMessage="1" sqref="K12:R12">
      <formula1>QUFI32</formula1>
    </dataValidation>
    <dataValidation type="list" allowBlank="1" showInputMessage="1" showErrorMessage="1" sqref="K11:R11">
      <formula1>QUFI31</formula1>
    </dataValidation>
    <dataValidation type="list" allowBlank="1" showInputMessage="1" showErrorMessage="1" sqref="K10:R10">
      <formula1>QUFI22</formula1>
    </dataValidation>
    <dataValidation type="list" allowBlank="1" showInputMessage="1" showErrorMessage="1" sqref="K9:R9">
      <formula1>QUFI21</formula1>
    </dataValidation>
    <dataValidation type="list" allowBlank="1" showInputMessage="1" showErrorMessage="1" sqref="K8:R8">
      <formula1>QUFI12</formula1>
    </dataValidation>
    <dataValidation type="list" allowBlank="1" showInputMessage="1" showErrorMessage="1" sqref="K7:R7">
      <formula1>QUFI11</formula1>
    </dataValidation>
  </dataValidations>
  <printOptions horizontalCentered="1" verticalCentered="1"/>
  <pageMargins left="0.39" right="0.32" top="0.28999999999999998" bottom="0.39" header="0.21" footer="0.26"/>
  <pageSetup scale="49" orientation="portrait" horizontalDpi="300" verticalDpi="300" r:id="rId1"/>
  <headerFooter alignWithMargins="0">
    <oddFooter>&amp;C
copyright (c) exceltemplate.net 2013</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E57"/>
  <sheetViews>
    <sheetView showGridLines="0" workbookViewId="0">
      <pane ySplit="7" topLeftCell="A8" activePane="bottomLeft" state="frozen"/>
      <selection pane="bottomLeft" activeCell="H3" sqref="H3:M3"/>
    </sheetView>
  </sheetViews>
  <sheetFormatPr defaultRowHeight="12.5" x14ac:dyDescent="0.25"/>
  <cols>
    <col min="1" max="1" width="1.6328125" style="249" customWidth="1"/>
    <col min="2" max="2" width="5.6328125" customWidth="1"/>
    <col min="3" max="3" width="36.6328125" style="238" customWidth="1"/>
    <col min="5" max="5" width="4.6328125" customWidth="1"/>
    <col min="6" max="6" width="36.6328125" customWidth="1"/>
    <col min="8" max="8" width="4.36328125" customWidth="1"/>
    <col min="13" max="13" width="10.08984375" customWidth="1"/>
  </cols>
  <sheetData>
    <row r="1" spans="1:83" s="175" customFormat="1" ht="5" customHeight="1" x14ac:dyDescent="0.25">
      <c r="A1" s="227"/>
      <c r="C1" s="231"/>
      <c r="D1" s="227"/>
      <c r="E1" s="227"/>
      <c r="F1" s="177">
        <v>1</v>
      </c>
      <c r="G1" s="177">
        <v>2</v>
      </c>
      <c r="H1" s="177">
        <v>3</v>
      </c>
      <c r="I1" s="177">
        <v>4</v>
      </c>
      <c r="J1" s="177">
        <v>5</v>
      </c>
      <c r="K1" s="177">
        <v>6</v>
      </c>
      <c r="L1" s="177">
        <v>7</v>
      </c>
      <c r="M1" s="177">
        <v>8</v>
      </c>
    </row>
    <row r="2" spans="1:83" s="179" customFormat="1" ht="5" customHeight="1" thickBot="1" x14ac:dyDescent="0.3">
      <c r="A2" s="221"/>
      <c r="C2" s="232"/>
      <c r="D2" s="221"/>
      <c r="E2" s="221"/>
      <c r="N2" s="187"/>
      <c r="O2" s="187"/>
      <c r="P2" s="187"/>
      <c r="Q2" s="187"/>
    </row>
    <row r="3" spans="1:83" s="182" customFormat="1" ht="30" customHeight="1" thickBot="1" x14ac:dyDescent="0.3">
      <c r="A3" s="247"/>
      <c r="B3" s="183" t="s">
        <v>893</v>
      </c>
      <c r="C3" s="233"/>
      <c r="D3" s="222"/>
      <c r="E3" s="222"/>
      <c r="F3" s="183"/>
      <c r="G3" s="183"/>
      <c r="H3" s="349" t="s">
        <v>1104</v>
      </c>
      <c r="I3" s="350"/>
      <c r="J3" s="350"/>
      <c r="K3" s="350"/>
      <c r="L3" s="350"/>
      <c r="M3" s="350"/>
      <c r="N3" s="187"/>
      <c r="O3" s="187"/>
      <c r="P3" s="187"/>
      <c r="Q3" s="187"/>
    </row>
    <row r="4" spans="1:83" s="26" customFormat="1" ht="5" customHeight="1" x14ac:dyDescent="0.25">
      <c r="A4" s="192"/>
      <c r="C4" s="25"/>
      <c r="D4" s="223"/>
      <c r="E4" s="223"/>
      <c r="N4" s="187"/>
      <c r="O4" s="187"/>
      <c r="P4" s="187"/>
      <c r="Q4" s="187"/>
      <c r="CB4" s="181"/>
      <c r="CC4" s="181"/>
      <c r="CD4" s="181"/>
      <c r="CE4" s="181"/>
    </row>
    <row r="5" spans="1:83" s="187" customFormat="1" ht="15" customHeight="1" thickBot="1" x14ac:dyDescent="0.3">
      <c r="A5" s="248"/>
      <c r="B5" s="224" t="s">
        <v>891</v>
      </c>
      <c r="C5" s="234" t="s">
        <v>892</v>
      </c>
      <c r="D5" s="225"/>
      <c r="E5" s="230" t="str">
        <f ca="1">IF(AND(B9="",'Knock Out Stages'!H49&lt;&gt;"",'Knock Out Stages'!H50&lt;&gt;""),"Reorder Rank","")</f>
        <v/>
      </c>
    </row>
    <row r="6" spans="1:83" s="187" customFormat="1" ht="5" customHeight="1" x14ac:dyDescent="0.25">
      <c r="A6" s="248"/>
      <c r="B6" s="228"/>
      <c r="C6" s="235"/>
      <c r="D6" s="225"/>
      <c r="E6" s="225"/>
    </row>
    <row r="7" spans="1:83" s="187" customFormat="1" ht="5" customHeight="1" x14ac:dyDescent="0.25">
      <c r="A7" s="248">
        <f ca="1">COUNTIF(B8:B57,MaxGoal)</f>
        <v>50</v>
      </c>
      <c r="B7" s="226"/>
      <c r="C7" s="236"/>
      <c r="D7" s="225"/>
      <c r="E7" s="225"/>
    </row>
    <row r="8" spans="1:83" s="26" customFormat="1" ht="15" customHeight="1" x14ac:dyDescent="0.25">
      <c r="A8" s="192">
        <v>1</v>
      </c>
      <c r="B8" s="229">
        <f ca="1">INDEX('Dummy Top Scorer'!CN:CN,MATCH(A8,'Dummy Top Scorer'!CO:CO,0),0)</f>
        <v>0</v>
      </c>
      <c r="C8" s="237" t="str">
        <f ca="1">IF(B8=0,"",IF(E8&lt;&gt;"",INDEX(F$8:F$17,MATCH(A8,E$8:E$17,0),0),INDEX('Dummy Top Scorer'!CP:CP,MATCH(A8,'Dummy Top Scorer'!CO:CO,0),0)))</f>
        <v/>
      </c>
      <c r="D8" s="209"/>
      <c r="E8" s="204"/>
      <c r="F8" s="25" t="str">
        <f ca="1">IF(B8&lt;&gt;0,IF(AND(CountMax&gt;1,B8=MaxGoal),INDEX('Dummy Top Scorer'!CP:CP,MATCH(A8,'Dummy Top Scorer'!CO:CO,0),0),""),"")</f>
        <v/>
      </c>
      <c r="G8" s="192">
        <v>1</v>
      </c>
      <c r="H8" s="332" t="s">
        <v>1105</v>
      </c>
      <c r="I8" s="332"/>
      <c r="J8" s="332"/>
      <c r="K8" s="332"/>
      <c r="L8" s="332"/>
      <c r="M8" s="332"/>
      <c r="BR8" s="181"/>
      <c r="BS8" s="181"/>
      <c r="BT8" s="181"/>
      <c r="BU8" s="181"/>
    </row>
    <row r="9" spans="1:83" s="26" customFormat="1" ht="15" customHeight="1" x14ac:dyDescent="0.25">
      <c r="A9" s="192">
        <v>2</v>
      </c>
      <c r="B9" s="229">
        <f ca="1">INDEX('Dummy Top Scorer'!CN:CN,MATCH(A9,'Dummy Top Scorer'!CO:CO,0),0)</f>
        <v>0</v>
      </c>
      <c r="C9" s="237" t="str">
        <f ca="1">IF(B9=0,"",IF(E9&lt;&gt;"",INDEX(F$8:F$17,MATCH(A9,E$8:E$17,0),0),INDEX('Dummy Top Scorer'!CP:CP,MATCH(A9,'Dummy Top Scorer'!CO:CO,0),0)))</f>
        <v/>
      </c>
      <c r="D9" s="209"/>
      <c r="E9" s="204"/>
      <c r="F9" s="25" t="str">
        <f ca="1">IF(B9&lt;&gt;0,IF(AND(CountMax&gt;1,B9=MaxGoal),INDEX('Dummy Top Scorer'!CP:CP,MATCH(A9,'Dummy Top Scorer'!CO:CO,0),0),""),"")</f>
        <v/>
      </c>
      <c r="G9" s="192">
        <v>2</v>
      </c>
      <c r="H9" s="229">
        <v>1</v>
      </c>
      <c r="I9" s="332" t="s">
        <v>1106</v>
      </c>
      <c r="J9" s="332"/>
      <c r="K9" s="332"/>
      <c r="L9" s="332"/>
      <c r="M9" s="332"/>
      <c r="BR9" s="181"/>
      <c r="BS9" s="181"/>
      <c r="BT9" s="181"/>
      <c r="BU9" s="181"/>
    </row>
    <row r="10" spans="1:83" s="26" customFormat="1" ht="15" customHeight="1" x14ac:dyDescent="0.25">
      <c r="A10" s="192">
        <v>3</v>
      </c>
      <c r="B10" s="229">
        <f ca="1">INDEX('Dummy Top Scorer'!CN:CN,MATCH(A10,'Dummy Top Scorer'!CO:CO,0),0)</f>
        <v>0</v>
      </c>
      <c r="C10" s="237" t="str">
        <f ca="1">IF(B10=0,"",IF(E10&lt;&gt;"",INDEX(F$8:F$17,MATCH(A10,E$8:E$17,0),0),INDEX('Dummy Top Scorer'!CP:CP,MATCH(A10,'Dummy Top Scorer'!CO:CO,0),0)))</f>
        <v/>
      </c>
      <c r="D10" s="209"/>
      <c r="E10" s="204"/>
      <c r="F10" s="25" t="str">
        <f ca="1">IF(B10&lt;&gt;0,IF(AND(CountMax&gt;1,B10=MaxGoal),INDEX('Dummy Top Scorer'!CP:CP,MATCH(A10,'Dummy Top Scorer'!CO:CO,0),0),""),"")</f>
        <v/>
      </c>
      <c r="G10" s="192">
        <v>3</v>
      </c>
      <c r="H10" s="229">
        <v>2</v>
      </c>
      <c r="I10" s="332" t="s">
        <v>1107</v>
      </c>
      <c r="J10" s="332"/>
      <c r="K10" s="332"/>
      <c r="L10" s="332"/>
      <c r="M10" s="332"/>
      <c r="BR10" s="181"/>
      <c r="BS10" s="181"/>
      <c r="BT10" s="181"/>
      <c r="BU10" s="181"/>
    </row>
    <row r="11" spans="1:83" s="26" customFormat="1" ht="15" customHeight="1" x14ac:dyDescent="0.25">
      <c r="A11" s="192">
        <v>4</v>
      </c>
      <c r="B11" s="229">
        <f ca="1">INDEX('Dummy Top Scorer'!CN:CN,MATCH(A11,'Dummy Top Scorer'!CO:CO,0),0)</f>
        <v>0</v>
      </c>
      <c r="C11" s="237" t="str">
        <f ca="1">IF(B11=0,"",IF(E11&lt;&gt;"",INDEX(F$8:F$17,MATCH(A11,E$8:E$17,0),0),INDEX('Dummy Top Scorer'!CP:CP,MATCH(A11,'Dummy Top Scorer'!CO:CO,0),0)))</f>
        <v/>
      </c>
      <c r="D11" s="209"/>
      <c r="E11" s="207"/>
      <c r="F11" s="25" t="str">
        <f ca="1">IF(B11&lt;&gt;0,IF(AND(CountMax&gt;1,B11=MaxGoal),INDEX('Dummy Top Scorer'!CP:CP,MATCH(A11,'Dummy Top Scorer'!CO:CO,0),0),""),"")</f>
        <v/>
      </c>
      <c r="G11" s="192">
        <v>4</v>
      </c>
      <c r="H11" s="229">
        <v>3</v>
      </c>
      <c r="I11" s="332" t="s">
        <v>1108</v>
      </c>
      <c r="J11" s="332"/>
      <c r="K11" s="332"/>
      <c r="L11" s="332"/>
      <c r="M11" s="332"/>
      <c r="BR11" s="181"/>
      <c r="BS11" s="181"/>
      <c r="BT11" s="181"/>
      <c r="BU11" s="181"/>
    </row>
    <row r="12" spans="1:83" s="26" customFormat="1" ht="15" customHeight="1" x14ac:dyDescent="0.25">
      <c r="A12" s="192">
        <v>5</v>
      </c>
      <c r="B12" s="229">
        <f ca="1">INDEX('Dummy Top Scorer'!CN:CN,MATCH(A12,'Dummy Top Scorer'!CO:CO,0),0)</f>
        <v>0</v>
      </c>
      <c r="C12" s="237" t="str">
        <f ca="1">IF(B12=0,"",IF(E12&lt;&gt;"",INDEX(F$8:F$17,MATCH(A12,E$8:E$17,0),0),INDEX('Dummy Top Scorer'!CP:CP,MATCH(A12,'Dummy Top Scorer'!CO:CO,0),0)))</f>
        <v/>
      </c>
      <c r="D12" s="209"/>
      <c r="E12" s="207"/>
      <c r="F12" s="25" t="str">
        <f ca="1">IF(B12&lt;&gt;0,IF(AND(CountMax&gt;1,B12=MaxGoal),INDEX('Dummy Top Scorer'!CP:CP,MATCH(A12,'Dummy Top Scorer'!CO:CO,0),0),""),"")</f>
        <v/>
      </c>
      <c r="G12" s="192">
        <v>5</v>
      </c>
      <c r="H12" s="229">
        <v>4</v>
      </c>
      <c r="I12" s="332" t="s">
        <v>1109</v>
      </c>
      <c r="J12" s="332"/>
      <c r="K12" s="332"/>
      <c r="L12" s="332"/>
      <c r="M12" s="332"/>
      <c r="BR12" s="181"/>
      <c r="BS12" s="181"/>
      <c r="BT12" s="181"/>
      <c r="BU12" s="181"/>
    </row>
    <row r="13" spans="1:83" s="26" customFormat="1" ht="15" customHeight="1" x14ac:dyDescent="0.25">
      <c r="A13" s="192">
        <v>6</v>
      </c>
      <c r="B13" s="229">
        <f ca="1">INDEX('Dummy Top Scorer'!CN:CN,MATCH(A13,'Dummy Top Scorer'!CO:CO,0),0)</f>
        <v>0</v>
      </c>
      <c r="C13" s="237" t="str">
        <f ca="1">IF(B13=0,"",IF(E13&lt;&gt;"",INDEX(F$8:F$17,MATCH(A13,E$8:E$17,0),0),INDEX('Dummy Top Scorer'!CP:CP,MATCH(A13,'Dummy Top Scorer'!CO:CO,0),0)))</f>
        <v/>
      </c>
      <c r="D13" s="209"/>
      <c r="E13" s="207"/>
      <c r="F13" s="25" t="str">
        <f ca="1">IF(B13&lt;&gt;0,IF(AND(CountMax&gt;1,B13=MaxGoal),INDEX('Dummy Top Scorer'!CP:CP,MATCH(A13,'Dummy Top Scorer'!CO:CO,0),0),""),"")</f>
        <v/>
      </c>
      <c r="G13" s="192">
        <v>6</v>
      </c>
      <c r="H13" s="229">
        <v>5</v>
      </c>
      <c r="I13" s="332" t="s">
        <v>1110</v>
      </c>
      <c r="J13" s="332"/>
      <c r="K13" s="332"/>
      <c r="L13" s="332"/>
      <c r="M13" s="332"/>
      <c r="BR13" s="181"/>
      <c r="BS13" s="181"/>
      <c r="BT13" s="181"/>
      <c r="BU13" s="181"/>
    </row>
    <row r="14" spans="1:83" s="26" customFormat="1" ht="15" customHeight="1" x14ac:dyDescent="0.25">
      <c r="A14" s="192">
        <v>7</v>
      </c>
      <c r="B14" s="229">
        <f ca="1">INDEX('Dummy Top Scorer'!CN:CN,MATCH(A14,'Dummy Top Scorer'!CO:CO,0),0)</f>
        <v>0</v>
      </c>
      <c r="C14" s="237" t="str">
        <f ca="1">IF(B14=0,"",IF(E14&lt;&gt;"",INDEX(F$8:F$17,MATCH(A14,E$8:E$17,0),0),INDEX('Dummy Top Scorer'!CP:CP,MATCH(A14,'Dummy Top Scorer'!CO:CO,0),0)))</f>
        <v/>
      </c>
      <c r="D14" s="209"/>
      <c r="E14" s="207"/>
      <c r="F14" s="25" t="str">
        <f ca="1">IF(B14&lt;&gt;0,IF(AND(CountMax&gt;1,B14=MaxGoal),INDEX('Dummy Top Scorer'!CP:CP,MATCH(A14,'Dummy Top Scorer'!CO:CO,0),0),""),"")</f>
        <v/>
      </c>
      <c r="G14" s="192">
        <v>7</v>
      </c>
      <c r="BR14" s="181"/>
      <c r="BS14" s="181"/>
      <c r="BT14" s="181"/>
      <c r="BU14" s="181"/>
    </row>
    <row r="15" spans="1:83" s="26" customFormat="1" ht="15" customHeight="1" x14ac:dyDescent="0.25">
      <c r="A15" s="192">
        <v>8</v>
      </c>
      <c r="B15" s="229">
        <f ca="1">INDEX('Dummy Top Scorer'!CN:CN,MATCH(A15,'Dummy Top Scorer'!CO:CO,0),0)</f>
        <v>0</v>
      </c>
      <c r="C15" s="237" t="str">
        <f ca="1">IF(B15=0,"",IF(E15&lt;&gt;"",INDEX(F$8:F$17,MATCH(A15,E$8:E$17,0),0),INDEX('Dummy Top Scorer'!CP:CP,MATCH(A15,'Dummy Top Scorer'!CO:CO,0),0)))</f>
        <v/>
      </c>
      <c r="D15" s="209"/>
      <c r="E15" s="207"/>
      <c r="F15" s="25" t="str">
        <f ca="1">IF(B15&lt;&gt;0,IF(AND(CountMax&gt;1,B15=MaxGoal),INDEX('Dummy Top Scorer'!CP:CP,MATCH(A15,'Dummy Top Scorer'!CO:CO,0),0),""),"")</f>
        <v/>
      </c>
      <c r="G15" s="192">
        <v>8</v>
      </c>
      <c r="BR15" s="181"/>
      <c r="BS15" s="181"/>
      <c r="BT15" s="181"/>
      <c r="BU15" s="181"/>
    </row>
    <row r="16" spans="1:83" s="26" customFormat="1" ht="15" customHeight="1" x14ac:dyDescent="0.25">
      <c r="A16" s="192">
        <v>9</v>
      </c>
      <c r="B16" s="229">
        <f ca="1">INDEX('Dummy Top Scorer'!CN:CN,MATCH(A16,'Dummy Top Scorer'!CO:CO,0),0)</f>
        <v>0</v>
      </c>
      <c r="C16" s="237" t="str">
        <f ca="1">IF(B16=0,"",IF(E16&lt;&gt;"",INDEX(F$8:F$17,MATCH(A16,E$8:E$17,0),0),INDEX('Dummy Top Scorer'!CP:CP,MATCH(A16,'Dummy Top Scorer'!CO:CO,0),0)))</f>
        <v/>
      </c>
      <c r="D16" s="209"/>
      <c r="E16" s="207"/>
      <c r="F16" s="25" t="str">
        <f ca="1">IF(B16&lt;&gt;0,IF(AND(CountMax&gt;1,B16=MaxGoal),INDEX('Dummy Top Scorer'!CP:CP,MATCH(A16,'Dummy Top Scorer'!CO:CO,0),0),""),"")</f>
        <v/>
      </c>
      <c r="G16" s="192">
        <v>9</v>
      </c>
      <c r="BR16" s="181"/>
      <c r="BS16" s="181"/>
      <c r="BT16" s="181"/>
      <c r="BU16" s="181"/>
    </row>
    <row r="17" spans="1:73" s="26" customFormat="1" ht="15" customHeight="1" x14ac:dyDescent="0.25">
      <c r="A17" s="192">
        <v>10</v>
      </c>
      <c r="B17" s="229">
        <f ca="1">INDEX('Dummy Top Scorer'!CN:CN,MATCH(A17,'Dummy Top Scorer'!CO:CO,0),0)</f>
        <v>0</v>
      </c>
      <c r="C17" s="237" t="str">
        <f ca="1">IF(B17=0,"",IF(E17&lt;&gt;"",INDEX(F$8:F$17,MATCH(A17,E$8:E$17,0),0),INDEX('Dummy Top Scorer'!CP:CP,MATCH(A17,'Dummy Top Scorer'!CO:CO,0),0)))</f>
        <v/>
      </c>
      <c r="D17" s="209"/>
      <c r="E17" s="207"/>
      <c r="F17" s="25" t="str">
        <f ca="1">IF(B17&lt;&gt;0,IF(AND(CountMax&gt;1,B17=MaxGoal),INDEX('Dummy Top Scorer'!CP:CP,MATCH(A17,'Dummy Top Scorer'!CO:CO,0),0),""),"")</f>
        <v/>
      </c>
      <c r="G17" s="192">
        <v>10</v>
      </c>
      <c r="BR17" s="181"/>
      <c r="BS17" s="181"/>
      <c r="BT17" s="181"/>
      <c r="BU17" s="181"/>
    </row>
    <row r="18" spans="1:73" s="26" customFormat="1" ht="15" customHeight="1" x14ac:dyDescent="0.25">
      <c r="A18" s="192">
        <v>11</v>
      </c>
      <c r="B18" s="229">
        <f ca="1">INDEX('Dummy Top Scorer'!CN:CN,MATCH(A18,'Dummy Top Scorer'!CO:CO,0),0)</f>
        <v>0</v>
      </c>
      <c r="C18" s="237" t="str">
        <f ca="1">IF(B18=0,"",INDEX('Dummy Top Scorer'!CP:CP,MATCH(A18,'Dummy Top Scorer'!CO:CO,0),0))</f>
        <v/>
      </c>
      <c r="D18" s="209"/>
      <c r="E18" s="209"/>
      <c r="BR18" s="181"/>
      <c r="BS18" s="181"/>
      <c r="BT18" s="181"/>
      <c r="BU18" s="181"/>
    </row>
    <row r="19" spans="1:73" s="26" customFormat="1" ht="15" customHeight="1" x14ac:dyDescent="0.25">
      <c r="A19" s="192">
        <v>12</v>
      </c>
      <c r="B19" s="229">
        <f ca="1">INDEX('Dummy Top Scorer'!CN:CN,MATCH(A19,'Dummy Top Scorer'!CO:CO,0),0)</f>
        <v>0</v>
      </c>
      <c r="C19" s="237" t="str">
        <f ca="1">IF(B19=0,"",INDEX('Dummy Top Scorer'!CP:CP,MATCH(A19,'Dummy Top Scorer'!CO:CO,0),0))</f>
        <v/>
      </c>
      <c r="D19" s="209"/>
      <c r="E19" s="209"/>
      <c r="BR19" s="181"/>
      <c r="BS19" s="181"/>
      <c r="BT19" s="181"/>
      <c r="BU19" s="181"/>
    </row>
    <row r="20" spans="1:73" s="26" customFormat="1" ht="15" customHeight="1" x14ac:dyDescent="0.25">
      <c r="A20" s="192">
        <v>13</v>
      </c>
      <c r="B20" s="229">
        <f ca="1">INDEX('Dummy Top Scorer'!CN:CN,MATCH(A20,'Dummy Top Scorer'!CO:CO,0),0)</f>
        <v>0</v>
      </c>
      <c r="C20" s="237" t="str">
        <f ca="1">IF(B20=0,"",INDEX('Dummy Top Scorer'!CP:CP,MATCH(A20,'Dummy Top Scorer'!CO:CO,0),0))</f>
        <v/>
      </c>
      <c r="BR20" s="181"/>
      <c r="BS20" s="181"/>
      <c r="BT20" s="181"/>
      <c r="BU20" s="181"/>
    </row>
    <row r="21" spans="1:73" s="26" customFormat="1" ht="15" customHeight="1" x14ac:dyDescent="0.25">
      <c r="A21" s="192">
        <v>14</v>
      </c>
      <c r="B21" s="229">
        <f ca="1">INDEX('Dummy Top Scorer'!CN:CN,MATCH(A21,'Dummy Top Scorer'!CO:CO,0),0)</f>
        <v>0</v>
      </c>
      <c r="C21" s="237" t="str">
        <f ca="1">IF(B21=0,"",INDEX('Dummy Top Scorer'!CP:CP,MATCH(A21,'Dummy Top Scorer'!CO:CO,0),0))</f>
        <v/>
      </c>
      <c r="BR21" s="181"/>
      <c r="BS21" s="181"/>
      <c r="BT21" s="181"/>
      <c r="BU21" s="181"/>
    </row>
    <row r="22" spans="1:73" s="26" customFormat="1" ht="15" customHeight="1" x14ac:dyDescent="0.25">
      <c r="A22" s="192">
        <v>15</v>
      </c>
      <c r="B22" s="229">
        <f ca="1">INDEX('Dummy Top Scorer'!CN:CN,MATCH(A22,'Dummy Top Scorer'!CO:CO,0),0)</f>
        <v>0</v>
      </c>
      <c r="C22" s="237" t="str">
        <f ca="1">IF(B22=0,"",INDEX('Dummy Top Scorer'!CP:CP,MATCH(A22,'Dummy Top Scorer'!CO:CO,0),0))</f>
        <v/>
      </c>
      <c r="BR22" s="181"/>
      <c r="BS22" s="181"/>
      <c r="BT22" s="181"/>
      <c r="BU22" s="181"/>
    </row>
    <row r="23" spans="1:73" s="26" customFormat="1" ht="15" customHeight="1" x14ac:dyDescent="0.25">
      <c r="A23" s="192">
        <v>16</v>
      </c>
      <c r="B23" s="229">
        <f ca="1">INDEX('Dummy Top Scorer'!CN:CN,MATCH(A23,'Dummy Top Scorer'!CO:CO,0),0)</f>
        <v>0</v>
      </c>
      <c r="C23" s="237" t="str">
        <f ca="1">IF(B23=0,"",INDEX('Dummy Top Scorer'!CP:CP,MATCH(A23,'Dummy Top Scorer'!CO:CO,0),0))</f>
        <v/>
      </c>
      <c r="BR23" s="181"/>
      <c r="BS23" s="181"/>
      <c r="BT23" s="181"/>
      <c r="BU23" s="181"/>
    </row>
    <row r="24" spans="1:73" s="26" customFormat="1" ht="15" customHeight="1" x14ac:dyDescent="0.25">
      <c r="A24" s="192">
        <v>17</v>
      </c>
      <c r="B24" s="229">
        <f ca="1">INDEX('Dummy Top Scorer'!CN:CN,MATCH(A24,'Dummy Top Scorer'!CO:CO,0),0)</f>
        <v>0</v>
      </c>
      <c r="C24" s="237" t="str">
        <f ca="1">IF(B24=0,"",INDEX('Dummy Top Scorer'!CP:CP,MATCH(A24,'Dummy Top Scorer'!CO:CO,0),0))</f>
        <v/>
      </c>
      <c r="BR24" s="181"/>
      <c r="BS24" s="181"/>
      <c r="BT24" s="181"/>
      <c r="BU24" s="181"/>
    </row>
    <row r="25" spans="1:73" s="26" customFormat="1" ht="15" customHeight="1" x14ac:dyDescent="0.25">
      <c r="A25" s="192">
        <v>18</v>
      </c>
      <c r="B25" s="229">
        <f ca="1">INDEX('Dummy Top Scorer'!CN:CN,MATCH(A25,'Dummy Top Scorer'!CO:CO,0),0)</f>
        <v>0</v>
      </c>
      <c r="C25" s="237" t="str">
        <f ca="1">IF(B25=0,"",INDEX('Dummy Top Scorer'!CP:CP,MATCH(A25,'Dummy Top Scorer'!CO:CO,0),0))</f>
        <v/>
      </c>
      <c r="BR25" s="181"/>
      <c r="BS25" s="181"/>
      <c r="BT25" s="181"/>
      <c r="BU25" s="181"/>
    </row>
    <row r="26" spans="1:73" s="26" customFormat="1" ht="15" customHeight="1" x14ac:dyDescent="0.25">
      <c r="A26" s="192">
        <v>19</v>
      </c>
      <c r="B26" s="229">
        <f ca="1">INDEX('Dummy Top Scorer'!CN:CN,MATCH(A26,'Dummy Top Scorer'!CO:CO,0),0)</f>
        <v>0</v>
      </c>
      <c r="C26" s="237" t="str">
        <f ca="1">IF(B26=0,"",INDEX('Dummy Top Scorer'!CP:CP,MATCH(A26,'Dummy Top Scorer'!CO:CO,0),0))</f>
        <v/>
      </c>
      <c r="BR26" s="181"/>
      <c r="BS26" s="181"/>
      <c r="BT26" s="181"/>
      <c r="BU26" s="181"/>
    </row>
    <row r="27" spans="1:73" s="26" customFormat="1" ht="15" customHeight="1" x14ac:dyDescent="0.25">
      <c r="A27" s="192">
        <v>20</v>
      </c>
      <c r="B27" s="229">
        <f ca="1">INDEX('Dummy Top Scorer'!CN:CN,MATCH(A27,'Dummy Top Scorer'!CO:CO,0),0)</f>
        <v>0</v>
      </c>
      <c r="C27" s="237" t="str">
        <f ca="1">IF(B27=0,"",INDEX('Dummy Top Scorer'!CP:CP,MATCH(A27,'Dummy Top Scorer'!CO:CO,0),0))</f>
        <v/>
      </c>
      <c r="BR27" s="181"/>
      <c r="BS27" s="181"/>
      <c r="BT27" s="181"/>
      <c r="BU27" s="181"/>
    </row>
    <row r="28" spans="1:73" s="26" customFormat="1" ht="15" customHeight="1" x14ac:dyDescent="0.25">
      <c r="A28" s="192">
        <v>21</v>
      </c>
      <c r="B28" s="229">
        <f ca="1">INDEX('Dummy Top Scorer'!CN:CN,MATCH(A28,'Dummy Top Scorer'!CO:CO,0),0)</f>
        <v>0</v>
      </c>
      <c r="C28" s="237" t="str">
        <f ca="1">IF(B28=0,"",INDEX('Dummy Top Scorer'!CP:CP,MATCH(A28,'Dummy Top Scorer'!CO:CO,0),0))</f>
        <v/>
      </c>
      <c r="BR28" s="181"/>
      <c r="BS28" s="181"/>
      <c r="BT28" s="181"/>
      <c r="BU28" s="181"/>
    </row>
    <row r="29" spans="1:73" s="26" customFormat="1" ht="15" customHeight="1" x14ac:dyDescent="0.25">
      <c r="A29" s="192">
        <v>22</v>
      </c>
      <c r="B29" s="229">
        <f ca="1">INDEX('Dummy Top Scorer'!CN:CN,MATCH(A29,'Dummy Top Scorer'!CO:CO,0),0)</f>
        <v>0</v>
      </c>
      <c r="C29" s="237" t="str">
        <f ca="1">IF(B29=0,"",INDEX('Dummy Top Scorer'!CP:CP,MATCH(A29,'Dummy Top Scorer'!CO:CO,0),0))</f>
        <v/>
      </c>
      <c r="BR29" s="181"/>
      <c r="BS29" s="181"/>
      <c r="BT29" s="181"/>
      <c r="BU29" s="181"/>
    </row>
    <row r="30" spans="1:73" s="26" customFormat="1" ht="15" customHeight="1" x14ac:dyDescent="0.25">
      <c r="A30" s="192">
        <v>23</v>
      </c>
      <c r="B30" s="229">
        <f ca="1">INDEX('Dummy Top Scorer'!CN:CN,MATCH(A30,'Dummy Top Scorer'!CO:CO,0),0)</f>
        <v>0</v>
      </c>
      <c r="C30" s="237" t="str">
        <f ca="1">IF(B30=0,"",INDEX('Dummy Top Scorer'!CP:CP,MATCH(A30,'Dummy Top Scorer'!CO:CO,0),0))</f>
        <v/>
      </c>
      <c r="BR30" s="181"/>
      <c r="BS30" s="181"/>
      <c r="BT30" s="181"/>
      <c r="BU30" s="181"/>
    </row>
    <row r="31" spans="1:73" s="26" customFormat="1" ht="15" customHeight="1" x14ac:dyDescent="0.25">
      <c r="A31" s="192">
        <v>24</v>
      </c>
      <c r="B31" s="229">
        <f ca="1">INDEX('Dummy Top Scorer'!CN:CN,MATCH(A31,'Dummy Top Scorer'!CO:CO,0),0)</f>
        <v>0</v>
      </c>
      <c r="C31" s="237" t="str">
        <f ca="1">IF(B31=0,"",INDEX('Dummy Top Scorer'!CP:CP,MATCH(A31,'Dummy Top Scorer'!CO:CO,0),0))</f>
        <v/>
      </c>
      <c r="BR31" s="181"/>
      <c r="BS31" s="181"/>
      <c r="BT31" s="181"/>
      <c r="BU31" s="181"/>
    </row>
    <row r="32" spans="1:73" s="26" customFormat="1" ht="15" customHeight="1" x14ac:dyDescent="0.25">
      <c r="A32" s="192">
        <v>25</v>
      </c>
      <c r="B32" s="229">
        <f ca="1">INDEX('Dummy Top Scorer'!CN:CN,MATCH(A32,'Dummy Top Scorer'!CO:CO,0),0)</f>
        <v>0</v>
      </c>
      <c r="C32" s="237" t="str">
        <f ca="1">IF(B32=0,"",INDEX('Dummy Top Scorer'!CP:CP,MATCH(A32,'Dummy Top Scorer'!CO:CO,0),0))</f>
        <v/>
      </c>
      <c r="BR32" s="181"/>
      <c r="BS32" s="181"/>
      <c r="BT32" s="181"/>
      <c r="BU32" s="181"/>
    </row>
    <row r="33" spans="1:73" s="26" customFormat="1" ht="15" customHeight="1" x14ac:dyDescent="0.25">
      <c r="A33" s="192">
        <v>26</v>
      </c>
      <c r="B33" s="229">
        <f ca="1">INDEX('Dummy Top Scorer'!CN:CN,MATCH(A33,'Dummy Top Scorer'!CO:CO,0),0)</f>
        <v>0</v>
      </c>
      <c r="C33" s="237" t="str">
        <f ca="1">IF(B33=0,"",INDEX('Dummy Top Scorer'!CP:CP,MATCH(A33,'Dummy Top Scorer'!CO:CO,0),0))</f>
        <v/>
      </c>
      <c r="BR33" s="181"/>
      <c r="BS33" s="181"/>
      <c r="BT33" s="181"/>
      <c r="BU33" s="181"/>
    </row>
    <row r="34" spans="1:73" s="26" customFormat="1" ht="15" customHeight="1" x14ac:dyDescent="0.25">
      <c r="A34" s="192">
        <v>27</v>
      </c>
      <c r="B34" s="229">
        <f ca="1">INDEX('Dummy Top Scorer'!CN:CN,MATCH(A34,'Dummy Top Scorer'!CO:CO,0),0)</f>
        <v>0</v>
      </c>
      <c r="C34" s="237" t="str">
        <f ca="1">IF(B34=0,"",INDEX('Dummy Top Scorer'!CP:CP,MATCH(A34,'Dummy Top Scorer'!CO:CO,0),0))</f>
        <v/>
      </c>
      <c r="BR34" s="181"/>
      <c r="BS34" s="181"/>
      <c r="BT34" s="181"/>
      <c r="BU34" s="181"/>
    </row>
    <row r="35" spans="1:73" s="26" customFormat="1" ht="15" customHeight="1" x14ac:dyDescent="0.25">
      <c r="A35" s="192">
        <v>28</v>
      </c>
      <c r="B35" s="229">
        <f ca="1">INDEX('Dummy Top Scorer'!CN:CN,MATCH(A35,'Dummy Top Scorer'!CO:CO,0),0)</f>
        <v>0</v>
      </c>
      <c r="C35" s="237" t="str">
        <f ca="1">IF(B35=0,"",INDEX('Dummy Top Scorer'!CP:CP,MATCH(A35,'Dummy Top Scorer'!CO:CO,0),0))</f>
        <v/>
      </c>
      <c r="BR35" s="181"/>
      <c r="BS35" s="181"/>
      <c r="BT35" s="24"/>
      <c r="BU35" s="181"/>
    </row>
    <row r="36" spans="1:73" ht="14.5" x14ac:dyDescent="0.25">
      <c r="A36" s="192">
        <v>29</v>
      </c>
      <c r="B36" s="229">
        <f ca="1">INDEX('Dummy Top Scorer'!CN:CN,MATCH(A36,'Dummy Top Scorer'!CO:CO,0),0)</f>
        <v>0</v>
      </c>
      <c r="C36" s="237" t="str">
        <f ca="1">IF(B36=0,"",INDEX('Dummy Top Scorer'!CP:CP,MATCH(A36,'Dummy Top Scorer'!CO:CO,0),0))</f>
        <v/>
      </c>
    </row>
    <row r="37" spans="1:73" ht="14.5" x14ac:dyDescent="0.25">
      <c r="A37" s="192">
        <v>30</v>
      </c>
      <c r="B37" s="229">
        <f ca="1">INDEX('Dummy Top Scorer'!CN:CN,MATCH(A37,'Dummy Top Scorer'!CO:CO,0),0)</f>
        <v>0</v>
      </c>
      <c r="C37" s="237" t="str">
        <f ca="1">IF(B37=0,"",INDEX('Dummy Top Scorer'!CP:CP,MATCH(A37,'Dummy Top Scorer'!CO:CO,0),0))</f>
        <v/>
      </c>
    </row>
    <row r="38" spans="1:73" ht="14.5" x14ac:dyDescent="0.25">
      <c r="A38" s="192">
        <v>31</v>
      </c>
      <c r="B38" s="229">
        <f ca="1">INDEX('Dummy Top Scorer'!CN:CN,MATCH(A38,'Dummy Top Scorer'!CO:CO,0),0)</f>
        <v>0</v>
      </c>
      <c r="C38" s="237" t="str">
        <f ca="1">IF(B38=0,"",INDEX('Dummy Top Scorer'!CP:CP,MATCH(A38,'Dummy Top Scorer'!CO:CO,0),0))</f>
        <v/>
      </c>
    </row>
    <row r="39" spans="1:73" ht="14.5" x14ac:dyDescent="0.25">
      <c r="A39" s="192">
        <v>32</v>
      </c>
      <c r="B39" s="229">
        <f ca="1">INDEX('Dummy Top Scorer'!CN:CN,MATCH(A39,'Dummy Top Scorer'!CO:CO,0),0)</f>
        <v>0</v>
      </c>
      <c r="C39" s="237" t="str">
        <f ca="1">IF(B39=0,"",INDEX('Dummy Top Scorer'!CP:CP,MATCH(A39,'Dummy Top Scorer'!CO:CO,0),0))</f>
        <v/>
      </c>
    </row>
    <row r="40" spans="1:73" ht="14.5" x14ac:dyDescent="0.25">
      <c r="A40" s="192">
        <v>33</v>
      </c>
      <c r="B40" s="229">
        <f ca="1">INDEX('Dummy Top Scorer'!CN:CN,MATCH(A40,'Dummy Top Scorer'!CO:CO,0),0)</f>
        <v>0</v>
      </c>
      <c r="C40" s="237" t="str">
        <f ca="1">IF(B40=0,"",INDEX('Dummy Top Scorer'!CP:CP,MATCH(A40,'Dummy Top Scorer'!CO:CO,0),0))</f>
        <v/>
      </c>
    </row>
    <row r="41" spans="1:73" ht="14.5" x14ac:dyDescent="0.25">
      <c r="A41" s="192">
        <v>34</v>
      </c>
      <c r="B41" s="229">
        <f ca="1">INDEX('Dummy Top Scorer'!CN:CN,MATCH(A41,'Dummy Top Scorer'!CO:CO,0),0)</f>
        <v>0</v>
      </c>
      <c r="C41" s="237" t="str">
        <f ca="1">IF(B41=0,"",INDEX('Dummy Top Scorer'!CP:CP,MATCH(A41,'Dummy Top Scorer'!CO:CO,0),0))</f>
        <v/>
      </c>
    </row>
    <row r="42" spans="1:73" ht="14.5" x14ac:dyDescent="0.25">
      <c r="A42" s="192">
        <v>35</v>
      </c>
      <c r="B42" s="229">
        <f ca="1">INDEX('Dummy Top Scorer'!CN:CN,MATCH(A42,'Dummy Top Scorer'!CO:CO,0),0)</f>
        <v>0</v>
      </c>
      <c r="C42" s="237" t="str">
        <f ca="1">IF(B42=0,"",INDEX('Dummy Top Scorer'!CP:CP,MATCH(A42,'Dummy Top Scorer'!CO:CO,0),0))</f>
        <v/>
      </c>
    </row>
    <row r="43" spans="1:73" ht="14.5" x14ac:dyDescent="0.25">
      <c r="A43" s="192">
        <v>36</v>
      </c>
      <c r="B43" s="229">
        <f ca="1">INDEX('Dummy Top Scorer'!CN:CN,MATCH(A43,'Dummy Top Scorer'!CO:CO,0),0)</f>
        <v>0</v>
      </c>
      <c r="C43" s="237" t="str">
        <f ca="1">IF(B43=0,"",INDEX('Dummy Top Scorer'!CP:CP,MATCH(A43,'Dummy Top Scorer'!CO:CO,0),0))</f>
        <v/>
      </c>
    </row>
    <row r="44" spans="1:73" ht="14.5" x14ac:dyDescent="0.25">
      <c r="A44" s="192">
        <v>37</v>
      </c>
      <c r="B44" s="229">
        <f ca="1">INDEX('Dummy Top Scorer'!CN:CN,MATCH(A44,'Dummy Top Scorer'!CO:CO,0),0)</f>
        <v>0</v>
      </c>
      <c r="C44" s="237" t="str">
        <f ca="1">IF(B44=0,"",INDEX('Dummy Top Scorer'!CP:CP,MATCH(A44,'Dummy Top Scorer'!CO:CO,0),0))</f>
        <v/>
      </c>
    </row>
    <row r="45" spans="1:73" ht="14.5" x14ac:dyDescent="0.25">
      <c r="A45" s="192">
        <v>38</v>
      </c>
      <c r="B45" s="229">
        <f ca="1">INDEX('Dummy Top Scorer'!CN:CN,MATCH(A45,'Dummy Top Scorer'!CO:CO,0),0)</f>
        <v>0</v>
      </c>
      <c r="C45" s="237" t="str">
        <f ca="1">IF(B45=0,"",INDEX('Dummy Top Scorer'!CP:CP,MATCH(A45,'Dummy Top Scorer'!CO:CO,0),0))</f>
        <v/>
      </c>
    </row>
    <row r="46" spans="1:73" ht="14.5" x14ac:dyDescent="0.25">
      <c r="A46" s="192">
        <v>39</v>
      </c>
      <c r="B46" s="229">
        <f ca="1">INDEX('Dummy Top Scorer'!CN:CN,MATCH(A46,'Dummy Top Scorer'!CO:CO,0),0)</f>
        <v>0</v>
      </c>
      <c r="C46" s="237" t="str">
        <f ca="1">IF(B46=0,"",INDEX('Dummy Top Scorer'!CP:CP,MATCH(A46,'Dummy Top Scorer'!CO:CO,0),0))</f>
        <v/>
      </c>
    </row>
    <row r="47" spans="1:73" ht="14.5" x14ac:dyDescent="0.25">
      <c r="A47" s="192">
        <v>40</v>
      </c>
      <c r="B47" s="229">
        <f ca="1">INDEX('Dummy Top Scorer'!CN:CN,MATCH(A47,'Dummy Top Scorer'!CO:CO,0),0)</f>
        <v>0</v>
      </c>
      <c r="C47" s="237" t="str">
        <f ca="1">IF(B47=0,"",INDEX('Dummy Top Scorer'!CP:CP,MATCH(A47,'Dummy Top Scorer'!CO:CO,0),0))</f>
        <v/>
      </c>
    </row>
    <row r="48" spans="1:73" ht="14.5" x14ac:dyDescent="0.25">
      <c r="A48" s="192">
        <v>41</v>
      </c>
      <c r="B48" s="229">
        <f ca="1">INDEX('Dummy Top Scorer'!CN:CN,MATCH(A48,'Dummy Top Scorer'!CO:CO,0),0)</f>
        <v>0</v>
      </c>
      <c r="C48" s="237" t="str">
        <f ca="1">IF(B48=0,"",INDEX('Dummy Top Scorer'!CP:CP,MATCH(A48,'Dummy Top Scorer'!CO:CO,0),0))</f>
        <v/>
      </c>
    </row>
    <row r="49" spans="1:3" ht="14.5" x14ac:dyDescent="0.25">
      <c r="A49" s="192">
        <v>42</v>
      </c>
      <c r="B49" s="229">
        <f ca="1">INDEX('Dummy Top Scorer'!CN:CN,MATCH(A49,'Dummy Top Scorer'!CO:CO,0),0)</f>
        <v>0</v>
      </c>
      <c r="C49" s="237" t="str">
        <f ca="1">IF(B49=0,"",INDEX('Dummy Top Scorer'!CP:CP,MATCH(A49,'Dummy Top Scorer'!CO:CO,0),0))</f>
        <v/>
      </c>
    </row>
    <row r="50" spans="1:3" ht="14.5" x14ac:dyDescent="0.25">
      <c r="A50" s="192">
        <v>43</v>
      </c>
      <c r="B50" s="229">
        <f ca="1">INDEX('Dummy Top Scorer'!CN:CN,MATCH(A50,'Dummy Top Scorer'!CO:CO,0),0)</f>
        <v>0</v>
      </c>
      <c r="C50" s="237" t="str">
        <f ca="1">IF(B50=0,"",INDEX('Dummy Top Scorer'!CP:CP,MATCH(A50,'Dummy Top Scorer'!CO:CO,0),0))</f>
        <v/>
      </c>
    </row>
    <row r="51" spans="1:3" ht="14.5" x14ac:dyDescent="0.25">
      <c r="A51" s="192">
        <v>44</v>
      </c>
      <c r="B51" s="229">
        <f ca="1">INDEX('Dummy Top Scorer'!CN:CN,MATCH(A51,'Dummy Top Scorer'!CO:CO,0),0)</f>
        <v>0</v>
      </c>
      <c r="C51" s="237" t="str">
        <f ca="1">IF(B51=0,"",INDEX('Dummy Top Scorer'!CP:CP,MATCH(A51,'Dummy Top Scorer'!CO:CO,0),0))</f>
        <v/>
      </c>
    </row>
    <row r="52" spans="1:3" ht="14.5" x14ac:dyDescent="0.25">
      <c r="A52" s="192">
        <v>45</v>
      </c>
      <c r="B52" s="229">
        <f ca="1">INDEX('Dummy Top Scorer'!CN:CN,MATCH(A52,'Dummy Top Scorer'!CO:CO,0),0)</f>
        <v>0</v>
      </c>
      <c r="C52" s="237" t="str">
        <f ca="1">IF(B52=0,"",INDEX('Dummy Top Scorer'!CP:CP,MATCH(A52,'Dummy Top Scorer'!CO:CO,0),0))</f>
        <v/>
      </c>
    </row>
    <row r="53" spans="1:3" ht="14.5" x14ac:dyDescent="0.25">
      <c r="A53" s="192">
        <v>46</v>
      </c>
      <c r="B53" s="229">
        <f ca="1">INDEX('Dummy Top Scorer'!CN:CN,MATCH(A53,'Dummy Top Scorer'!CO:CO,0),0)</f>
        <v>0</v>
      </c>
      <c r="C53" s="237" t="str">
        <f ca="1">IF(B53=0,"",INDEX('Dummy Top Scorer'!CP:CP,MATCH(A53,'Dummy Top Scorer'!CO:CO,0),0))</f>
        <v/>
      </c>
    </row>
    <row r="54" spans="1:3" ht="14.5" x14ac:dyDescent="0.25">
      <c r="A54" s="192">
        <v>47</v>
      </c>
      <c r="B54" s="229">
        <f ca="1">INDEX('Dummy Top Scorer'!CN:CN,MATCH(A54,'Dummy Top Scorer'!CO:CO,0),0)</f>
        <v>0</v>
      </c>
      <c r="C54" s="237" t="str">
        <f ca="1">IF(B54=0,"",INDEX('Dummy Top Scorer'!CP:CP,MATCH(A54,'Dummy Top Scorer'!CO:CO,0),0))</f>
        <v/>
      </c>
    </row>
    <row r="55" spans="1:3" ht="14.5" x14ac:dyDescent="0.25">
      <c r="A55" s="192">
        <v>48</v>
      </c>
      <c r="B55" s="229">
        <f ca="1">INDEX('Dummy Top Scorer'!CN:CN,MATCH(A55,'Dummy Top Scorer'!CO:CO,0),0)</f>
        <v>0</v>
      </c>
      <c r="C55" s="237" t="str">
        <f ca="1">IF(B55=0,"",INDEX('Dummy Top Scorer'!CP:CP,MATCH(A55,'Dummy Top Scorer'!CO:CO,0),0))</f>
        <v/>
      </c>
    </row>
    <row r="56" spans="1:3" ht="14.5" x14ac:dyDescent="0.25">
      <c r="A56" s="192">
        <v>49</v>
      </c>
      <c r="B56" s="229">
        <f ca="1">INDEX('Dummy Top Scorer'!CN:CN,MATCH(A56,'Dummy Top Scorer'!CO:CO,0),0)</f>
        <v>0</v>
      </c>
      <c r="C56" s="237" t="str">
        <f ca="1">IF(B56=0,"",INDEX('Dummy Top Scorer'!CP:CP,MATCH(A56,'Dummy Top Scorer'!CO:CO,0),0))</f>
        <v/>
      </c>
    </row>
    <row r="57" spans="1:3" ht="14.5" x14ac:dyDescent="0.25">
      <c r="A57" s="192">
        <v>50</v>
      </c>
      <c r="B57" s="229">
        <f ca="1">INDEX('Dummy Top Scorer'!CN:CN,MATCH(A57,'Dummy Top Scorer'!CO:CO,0),0)</f>
        <v>0</v>
      </c>
      <c r="C57" s="237" t="str">
        <f ca="1">IF(B57=0,"",INDEX('Dummy Top Scorer'!CP:CP,MATCH(A57,'Dummy Top Scorer'!CO:CO,0),0))</f>
        <v/>
      </c>
    </row>
  </sheetData>
  <sheetProtection password="CBF1" sheet="1" objects="1" scenarios="1"/>
  <mergeCells count="1">
    <mergeCell ref="H3:M3"/>
  </mergeCells>
  <conditionalFormatting sqref="E8:E17">
    <cfRule type="expression" dxfId="5" priority="3">
      <formula>AND($B8=MaxGoal,CountMax&gt;1,$B8&lt;&gt;0)</formula>
    </cfRule>
  </conditionalFormatting>
  <conditionalFormatting sqref="B8:B57">
    <cfRule type="expression" dxfId="4" priority="1">
      <formula>B8=0</formula>
    </cfRule>
    <cfRule type="expression" dxfId="3" priority="2">
      <formula>$B8=$B7</formula>
    </cfRule>
  </conditionalFormatting>
  <hyperlinks>
    <hyperlink ref="H3:M3" location="About!A1" display="CLICK HERE TO PURCHASE FULLY EDITABLE VERSION"/>
  </hyperlink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42"/>
  <sheetViews>
    <sheetView showGridLines="0" workbookViewId="0">
      <pane xSplit="2" ySplit="5" topLeftCell="C6" activePane="bottomRight" state="frozen"/>
      <selection pane="topRight" activeCell="B1" sqref="B1"/>
      <selection pane="bottomLeft" activeCell="A6" sqref="A6"/>
      <selection pane="bottomRight" activeCell="E17" sqref="E17"/>
    </sheetView>
  </sheetViews>
  <sheetFormatPr defaultColWidth="8.90625" defaultRowHeight="13" x14ac:dyDescent="0.25"/>
  <cols>
    <col min="1" max="1" width="1.6328125" style="219" customWidth="1"/>
    <col min="2" max="2" width="10.6328125" style="218" customWidth="1"/>
    <col min="3" max="34" width="20.6328125" style="219" customWidth="1"/>
    <col min="35" max="35" width="8.90625" style="219" customWidth="1"/>
    <col min="36" max="16384" width="8.90625" style="219"/>
  </cols>
  <sheetData>
    <row r="1" spans="2:34" s="175" customFormat="1" ht="5" customHeight="1" x14ac:dyDescent="0.25">
      <c r="C1" s="175">
        <v>0</v>
      </c>
      <c r="D1" s="175">
        <v>1</v>
      </c>
      <c r="E1" s="176">
        <v>2</v>
      </c>
      <c r="F1" s="175">
        <v>3</v>
      </c>
      <c r="G1" s="176">
        <v>4</v>
      </c>
      <c r="H1" s="175">
        <v>5</v>
      </c>
      <c r="I1" s="176">
        <v>6</v>
      </c>
      <c r="J1" s="175">
        <v>7</v>
      </c>
      <c r="K1" s="176">
        <v>8</v>
      </c>
      <c r="L1" s="175">
        <v>9</v>
      </c>
      <c r="M1" s="176">
        <v>10</v>
      </c>
      <c r="N1" s="175">
        <v>11</v>
      </c>
      <c r="O1" s="176">
        <v>12</v>
      </c>
      <c r="P1" s="175">
        <v>13</v>
      </c>
      <c r="Q1" s="176">
        <v>14</v>
      </c>
      <c r="R1" s="175">
        <v>15</v>
      </c>
      <c r="S1" s="176">
        <v>16</v>
      </c>
      <c r="T1" s="175">
        <v>17</v>
      </c>
      <c r="U1" s="176">
        <v>18</v>
      </c>
      <c r="V1" s="175">
        <v>19</v>
      </c>
      <c r="W1" s="176">
        <v>20</v>
      </c>
      <c r="X1" s="175">
        <v>21</v>
      </c>
      <c r="Y1" s="176">
        <v>22</v>
      </c>
      <c r="Z1" s="175">
        <v>23</v>
      </c>
      <c r="AA1" s="176">
        <v>24</v>
      </c>
      <c r="AB1" s="175">
        <v>25</v>
      </c>
      <c r="AC1" s="176">
        <v>26</v>
      </c>
      <c r="AD1" s="175">
        <v>27</v>
      </c>
      <c r="AE1" s="176">
        <v>28</v>
      </c>
      <c r="AF1" s="175">
        <v>29</v>
      </c>
      <c r="AG1" s="176">
        <v>30</v>
      </c>
      <c r="AH1" s="175">
        <v>31</v>
      </c>
    </row>
    <row r="2" spans="2:34" s="179" customFormat="1" ht="5" customHeight="1" x14ac:dyDescent="0.25">
      <c r="E2" s="180"/>
      <c r="I2" s="180"/>
    </row>
    <row r="3" spans="2:34" s="182" customFormat="1" ht="30" customHeight="1" x14ac:dyDescent="0.25">
      <c r="B3" s="183" t="s">
        <v>897</v>
      </c>
      <c r="E3" s="183"/>
      <c r="F3" s="183"/>
      <c r="G3" s="183"/>
      <c r="H3" s="183"/>
      <c r="I3" s="184"/>
      <c r="J3" s="183"/>
      <c r="K3" s="183"/>
      <c r="L3" s="183"/>
      <c r="M3" s="183"/>
      <c r="N3" s="183"/>
      <c r="O3" s="183"/>
      <c r="P3" s="183"/>
      <c r="Q3" s="183"/>
      <c r="R3" s="183"/>
      <c r="S3" s="183"/>
    </row>
    <row r="4" spans="2:34" ht="5" customHeight="1" x14ac:dyDescent="0.25">
      <c r="B4" s="219"/>
      <c r="C4" s="218"/>
    </row>
    <row r="5" spans="2:34" ht="15" customHeight="1" x14ac:dyDescent="0.25">
      <c r="B5" s="250" t="str">
        <f>'Group Stages'!F4&amp;"&gt;&gt;"</f>
        <v>Country&gt;&gt;</v>
      </c>
      <c r="C5" s="251" t="str">
        <f ca="1">OFFSET(Calculator!$C$4,C1,0)</f>
        <v>Senegal</v>
      </c>
      <c r="D5" s="251" t="str">
        <f ca="1">OFFSET(Calculator!$C$4,D1,0)</f>
        <v>Netherlands</v>
      </c>
      <c r="E5" s="251" t="str">
        <f ca="1">OFFSET(Calculator!$C$4,E1,0)</f>
        <v>Qatar</v>
      </c>
      <c r="F5" s="251" t="str">
        <f ca="1">OFFSET(Calculator!$C$4,F1,0)</f>
        <v>Ecuador</v>
      </c>
      <c r="G5" s="251" t="str">
        <f ca="1">OFFSET(Calculator!$C$4,G1,0)</f>
        <v>England</v>
      </c>
      <c r="H5" s="251" t="str">
        <f ca="1">OFFSET(Calculator!$C$4,H1,0)</f>
        <v>Iran</v>
      </c>
      <c r="I5" s="251" t="str">
        <f ca="1">OFFSET(Calculator!$C$4,I1,0)</f>
        <v>United States</v>
      </c>
      <c r="J5" s="251" t="str">
        <f ca="1">OFFSET(Calculator!$C$4,J1,0)</f>
        <v>Wales</v>
      </c>
      <c r="K5" s="251" t="str">
        <f ca="1">OFFSET(Calculator!$C$4,K1,0)</f>
        <v>Argentina</v>
      </c>
      <c r="L5" s="251" t="str">
        <f ca="1">OFFSET(Calculator!$C$4,L1,0)</f>
        <v>Saudi Arabia</v>
      </c>
      <c r="M5" s="251" t="str">
        <f ca="1">OFFSET(Calculator!$C$4,M1,0)</f>
        <v>Mexico</v>
      </c>
      <c r="N5" s="251" t="str">
        <f ca="1">OFFSET(Calculator!$C$4,N1,0)</f>
        <v>Poland</v>
      </c>
      <c r="O5" s="251" t="str">
        <f ca="1">OFFSET(Calculator!$C$4,O1,0)</f>
        <v>Denmark</v>
      </c>
      <c r="P5" s="251" t="str">
        <f ca="1">OFFSET(Calculator!$C$4,P1,0)</f>
        <v>Tunisia</v>
      </c>
      <c r="Q5" s="251" t="str">
        <f ca="1">OFFSET(Calculator!$C$4,Q1,0)</f>
        <v>France</v>
      </c>
      <c r="R5" s="251" t="str">
        <f ca="1">OFFSET(Calculator!$C$4,R1,0)</f>
        <v>Australia</v>
      </c>
      <c r="S5" s="251" t="str">
        <f ca="1">OFFSET(Calculator!$C$4,S1,0)</f>
        <v>Germany</v>
      </c>
      <c r="T5" s="251" t="str">
        <f ca="1">OFFSET(Calculator!$C$4,T1,0)</f>
        <v>Japan</v>
      </c>
      <c r="U5" s="251" t="str">
        <f ca="1">OFFSET(Calculator!$C$4,U1,0)</f>
        <v>Spain</v>
      </c>
      <c r="V5" s="251" t="str">
        <f ca="1">OFFSET(Calculator!$C$4,V1,0)</f>
        <v>Costa Rica</v>
      </c>
      <c r="W5" s="251" t="str">
        <f ca="1">OFFSET(Calculator!$C$4,W1,0)</f>
        <v>Morocco</v>
      </c>
      <c r="X5" s="251" t="str">
        <f ca="1">OFFSET(Calculator!$C$4,X1,0)</f>
        <v>Croatia</v>
      </c>
      <c r="Y5" s="251" t="str">
        <f ca="1">OFFSET(Calculator!$C$4,Y1,0)</f>
        <v>Belgium</v>
      </c>
      <c r="Z5" s="251" t="str">
        <f ca="1">OFFSET(Calculator!$C$4,Z1,0)</f>
        <v>Canada</v>
      </c>
      <c r="AA5" s="251" t="str">
        <f>Calculator!C30</f>
        <v>Brazil</v>
      </c>
      <c r="AB5" s="251" t="str">
        <f>Calculator!C31</f>
        <v>Serbia</v>
      </c>
      <c r="AC5" s="251" t="str">
        <f>Calculator!C28</f>
        <v>Switzerland</v>
      </c>
      <c r="AD5" s="251" t="str">
        <f>Calculator!C29</f>
        <v>Cameroon</v>
      </c>
      <c r="AE5" s="251" t="str">
        <f>Calculator!C34</f>
        <v>Portugal</v>
      </c>
      <c r="AF5" s="251" t="str">
        <f>Calculator!C35</f>
        <v>Ghana</v>
      </c>
      <c r="AG5" s="251" t="str">
        <f>Calculator!C32</f>
        <v>Uruguay</v>
      </c>
      <c r="AH5" s="251" t="str">
        <f>Calculator!C33</f>
        <v>South Korea</v>
      </c>
    </row>
    <row r="6" spans="2:34" ht="15" customHeight="1" x14ac:dyDescent="0.25">
      <c r="B6" s="252" t="s">
        <v>1046</v>
      </c>
      <c r="C6" s="305" t="s">
        <v>1115</v>
      </c>
      <c r="D6" s="305" t="s">
        <v>1116</v>
      </c>
      <c r="E6" s="305" t="s">
        <v>920</v>
      </c>
      <c r="F6" s="305" t="s">
        <v>942</v>
      </c>
      <c r="G6" s="305" t="s">
        <v>1117</v>
      </c>
      <c r="H6" s="305" t="s">
        <v>1118</v>
      </c>
      <c r="I6" s="305" t="s">
        <v>962</v>
      </c>
      <c r="J6" s="305" t="s">
        <v>983</v>
      </c>
      <c r="K6" s="305" t="s">
        <v>1119</v>
      </c>
      <c r="L6" s="305" t="s">
        <v>1120</v>
      </c>
      <c r="M6" s="305" t="s">
        <v>1121</v>
      </c>
      <c r="N6" s="305" t="s">
        <v>883</v>
      </c>
      <c r="O6" s="305" t="s">
        <v>1122</v>
      </c>
      <c r="P6" s="305" t="s">
        <v>1123</v>
      </c>
      <c r="Q6" s="305" t="s">
        <v>1124</v>
      </c>
      <c r="R6" s="305" t="s">
        <v>827</v>
      </c>
      <c r="S6" s="305" t="s">
        <v>1125</v>
      </c>
      <c r="T6" s="305" t="s">
        <v>1126</v>
      </c>
      <c r="U6" s="305" t="s">
        <v>1127</v>
      </c>
      <c r="V6" s="305" t="s">
        <v>1128</v>
      </c>
      <c r="W6" s="305" t="s">
        <v>1129</v>
      </c>
      <c r="X6" s="305" t="s">
        <v>1130</v>
      </c>
      <c r="Y6" s="305" t="s">
        <v>1131</v>
      </c>
      <c r="Z6" s="305" t="s">
        <v>1001</v>
      </c>
      <c r="AA6" s="305" t="s">
        <v>1132</v>
      </c>
      <c r="AB6" s="305" t="s">
        <v>1133</v>
      </c>
      <c r="AC6" s="305" t="s">
        <v>1134</v>
      </c>
      <c r="AD6" s="305" t="s">
        <v>1019</v>
      </c>
      <c r="AE6" s="305" t="s">
        <v>1135</v>
      </c>
      <c r="AF6" s="305" t="s">
        <v>1036</v>
      </c>
      <c r="AG6" s="305" t="s">
        <v>1136</v>
      </c>
      <c r="AH6" s="305" t="s">
        <v>1137</v>
      </c>
    </row>
    <row r="7" spans="2:34" ht="15" customHeight="1" x14ac:dyDescent="0.25">
      <c r="B7" s="252" t="s">
        <v>1047</v>
      </c>
      <c r="C7" s="305" t="s">
        <v>757</v>
      </c>
      <c r="D7" s="305" t="s">
        <v>902</v>
      </c>
      <c r="E7" s="305" t="s">
        <v>921</v>
      </c>
      <c r="F7" s="305" t="s">
        <v>943</v>
      </c>
      <c r="G7" s="305" t="s">
        <v>1138</v>
      </c>
      <c r="H7" s="305" t="s">
        <v>1139</v>
      </c>
      <c r="I7" s="305" t="s">
        <v>963</v>
      </c>
      <c r="J7" s="305" t="s">
        <v>984</v>
      </c>
      <c r="K7" s="305" t="s">
        <v>1140</v>
      </c>
      <c r="L7" s="305" t="s">
        <v>1141</v>
      </c>
      <c r="M7" s="305" t="s">
        <v>742</v>
      </c>
      <c r="N7" s="305" t="s">
        <v>1142</v>
      </c>
      <c r="O7" s="305" t="s">
        <v>767</v>
      </c>
      <c r="P7" s="305" t="s">
        <v>1143</v>
      </c>
      <c r="Q7" s="305" t="s">
        <v>884</v>
      </c>
      <c r="R7" s="305" t="s">
        <v>1144</v>
      </c>
      <c r="S7" s="305" t="s">
        <v>1145</v>
      </c>
      <c r="T7" s="305" t="s">
        <v>1146</v>
      </c>
      <c r="U7" s="305" t="s">
        <v>1147</v>
      </c>
      <c r="V7" s="305" t="s">
        <v>1148</v>
      </c>
      <c r="W7" s="305" t="s">
        <v>1149</v>
      </c>
      <c r="X7" s="305" t="s">
        <v>1150</v>
      </c>
      <c r="Y7" s="305" t="s">
        <v>1151</v>
      </c>
      <c r="Z7" s="305" t="s">
        <v>1002</v>
      </c>
      <c r="AA7" s="305" t="s">
        <v>1152</v>
      </c>
      <c r="AB7" s="305" t="s">
        <v>1153</v>
      </c>
      <c r="AC7" s="305" t="s">
        <v>873</v>
      </c>
      <c r="AD7" s="305" t="s">
        <v>1020</v>
      </c>
      <c r="AE7" s="305" t="s">
        <v>1154</v>
      </c>
      <c r="AF7" s="305" t="s">
        <v>1037</v>
      </c>
      <c r="AG7" s="305" t="s">
        <v>1155</v>
      </c>
      <c r="AH7" s="305" t="s">
        <v>1156</v>
      </c>
    </row>
    <row r="8" spans="2:34" ht="15" customHeight="1" x14ac:dyDescent="0.25">
      <c r="B8" s="252" t="s">
        <v>1048</v>
      </c>
      <c r="C8" s="305" t="s">
        <v>1157</v>
      </c>
      <c r="D8" s="305" t="s">
        <v>903</v>
      </c>
      <c r="E8" s="305" t="s">
        <v>922</v>
      </c>
      <c r="F8" s="305" t="s">
        <v>944</v>
      </c>
      <c r="G8" s="305" t="s">
        <v>1158</v>
      </c>
      <c r="H8" s="305" t="s">
        <v>1159</v>
      </c>
      <c r="I8" s="305" t="s">
        <v>964</v>
      </c>
      <c r="J8" s="305" t="s">
        <v>1160</v>
      </c>
      <c r="K8" s="305" t="s">
        <v>1161</v>
      </c>
      <c r="L8" s="305" t="s">
        <v>1162</v>
      </c>
      <c r="M8" s="305" t="s">
        <v>1163</v>
      </c>
      <c r="N8" s="305" t="s">
        <v>1164</v>
      </c>
      <c r="O8" s="305" t="s">
        <v>857</v>
      </c>
      <c r="P8" s="305" t="s">
        <v>1165</v>
      </c>
      <c r="Q8" s="305" t="s">
        <v>777</v>
      </c>
      <c r="R8" s="305" t="s">
        <v>1166</v>
      </c>
      <c r="S8" s="305" t="s">
        <v>1167</v>
      </c>
      <c r="T8" s="305" t="s">
        <v>1168</v>
      </c>
      <c r="U8" s="305" t="s">
        <v>1169</v>
      </c>
      <c r="V8" s="305" t="s">
        <v>1170</v>
      </c>
      <c r="W8" s="305" t="s">
        <v>1171</v>
      </c>
      <c r="X8" s="305" t="s">
        <v>1172</v>
      </c>
      <c r="Y8" s="305" t="s">
        <v>840</v>
      </c>
      <c r="Z8" s="305" t="s">
        <v>1003</v>
      </c>
      <c r="AA8" s="305" t="s">
        <v>735</v>
      </c>
      <c r="AB8" s="305" t="s">
        <v>1173</v>
      </c>
      <c r="AC8" s="305" t="s">
        <v>1174</v>
      </c>
      <c r="AD8" s="305" t="s">
        <v>1175</v>
      </c>
      <c r="AE8" s="305" t="s">
        <v>853</v>
      </c>
      <c r="AF8" s="305" t="s">
        <v>1176</v>
      </c>
      <c r="AG8" s="305" t="s">
        <v>1177</v>
      </c>
      <c r="AH8" s="305" t="s">
        <v>809</v>
      </c>
    </row>
    <row r="9" spans="2:34" ht="15" customHeight="1" x14ac:dyDescent="0.25">
      <c r="B9" s="252" t="s">
        <v>1049</v>
      </c>
      <c r="C9" s="305" t="s">
        <v>1178</v>
      </c>
      <c r="D9" s="305" t="s">
        <v>904</v>
      </c>
      <c r="E9" s="305" t="s">
        <v>923</v>
      </c>
      <c r="F9" s="305" t="s">
        <v>945</v>
      </c>
      <c r="G9" s="305" t="s">
        <v>1179</v>
      </c>
      <c r="H9" s="305" t="s">
        <v>1180</v>
      </c>
      <c r="I9" s="305" t="s">
        <v>965</v>
      </c>
      <c r="J9" s="305" t="s">
        <v>985</v>
      </c>
      <c r="K9" s="305" t="s">
        <v>1181</v>
      </c>
      <c r="L9" s="305" t="s">
        <v>819</v>
      </c>
      <c r="M9" s="305" t="s">
        <v>1182</v>
      </c>
      <c r="N9" s="305" t="s">
        <v>1183</v>
      </c>
      <c r="O9" s="305" t="s">
        <v>1184</v>
      </c>
      <c r="P9" s="305" t="s">
        <v>1185</v>
      </c>
      <c r="Q9" s="305" t="s">
        <v>1186</v>
      </c>
      <c r="R9" s="305" t="s">
        <v>1187</v>
      </c>
      <c r="S9" s="305" t="s">
        <v>1188</v>
      </c>
      <c r="T9" s="305" t="s">
        <v>1189</v>
      </c>
      <c r="U9" s="305" t="s">
        <v>1190</v>
      </c>
      <c r="V9" s="305" t="s">
        <v>1191</v>
      </c>
      <c r="W9" s="305" t="s">
        <v>1192</v>
      </c>
      <c r="X9" s="305" t="s">
        <v>1193</v>
      </c>
      <c r="Y9" s="305" t="s">
        <v>1194</v>
      </c>
      <c r="Z9" s="305" t="s">
        <v>1004</v>
      </c>
      <c r="AA9" s="305" t="s">
        <v>1195</v>
      </c>
      <c r="AB9" s="305" t="s">
        <v>1196</v>
      </c>
      <c r="AC9" s="305" t="s">
        <v>859</v>
      </c>
      <c r="AD9" s="305" t="s">
        <v>1197</v>
      </c>
      <c r="AE9" s="305" t="s">
        <v>1198</v>
      </c>
      <c r="AF9" s="305" t="s">
        <v>1038</v>
      </c>
      <c r="AG9" s="305" t="s">
        <v>878</v>
      </c>
      <c r="AH9" s="305" t="s">
        <v>1199</v>
      </c>
    </row>
    <row r="10" spans="2:34" ht="15" customHeight="1" x14ac:dyDescent="0.25">
      <c r="B10" s="252" t="s">
        <v>1050</v>
      </c>
      <c r="C10" s="305" t="s">
        <v>818</v>
      </c>
      <c r="D10" s="305" t="s">
        <v>905</v>
      </c>
      <c r="E10" s="305" t="s">
        <v>924</v>
      </c>
      <c r="F10" s="305" t="s">
        <v>1200</v>
      </c>
      <c r="G10" s="305" t="s">
        <v>1201</v>
      </c>
      <c r="H10" s="305" t="s">
        <v>732</v>
      </c>
      <c r="I10" s="305" t="s">
        <v>966</v>
      </c>
      <c r="J10" s="305" t="s">
        <v>986</v>
      </c>
      <c r="K10" s="305" t="s">
        <v>1202</v>
      </c>
      <c r="L10" s="305" t="s">
        <v>1203</v>
      </c>
      <c r="M10" s="305" t="s">
        <v>1204</v>
      </c>
      <c r="N10" s="305" t="s">
        <v>1205</v>
      </c>
      <c r="O10" s="305" t="s">
        <v>828</v>
      </c>
      <c r="P10" s="305" t="s">
        <v>1206</v>
      </c>
      <c r="Q10" s="305" t="s">
        <v>741</v>
      </c>
      <c r="R10" s="305" t="s">
        <v>760</v>
      </c>
      <c r="S10" s="305" t="s">
        <v>1207</v>
      </c>
      <c r="T10" s="305" t="s">
        <v>1208</v>
      </c>
      <c r="U10" s="305" t="s">
        <v>775</v>
      </c>
      <c r="V10" s="305" t="s">
        <v>779</v>
      </c>
      <c r="W10" s="305" t="s">
        <v>796</v>
      </c>
      <c r="X10" s="305" t="s">
        <v>1209</v>
      </c>
      <c r="Y10" s="305" t="s">
        <v>889</v>
      </c>
      <c r="Z10" s="305" t="s">
        <v>1210</v>
      </c>
      <c r="AA10" s="305" t="s">
        <v>1211</v>
      </c>
      <c r="AB10" s="305" t="s">
        <v>1212</v>
      </c>
      <c r="AC10" s="305" t="s">
        <v>1213</v>
      </c>
      <c r="AD10" s="305" t="s">
        <v>1021</v>
      </c>
      <c r="AE10" s="305" t="s">
        <v>863</v>
      </c>
      <c r="AF10" s="305" t="s">
        <v>1039</v>
      </c>
      <c r="AG10" s="305" t="s">
        <v>1214</v>
      </c>
      <c r="AH10" s="305" t="s">
        <v>1215</v>
      </c>
    </row>
    <row r="11" spans="2:34" ht="15" customHeight="1" x14ac:dyDescent="0.25">
      <c r="B11" s="252" t="s">
        <v>1051</v>
      </c>
      <c r="C11" s="305" t="s">
        <v>1216</v>
      </c>
      <c r="D11" s="305" t="s">
        <v>906</v>
      </c>
      <c r="E11" s="305" t="s">
        <v>925</v>
      </c>
      <c r="F11" s="305" t="s">
        <v>946</v>
      </c>
      <c r="G11" s="305" t="s">
        <v>1217</v>
      </c>
      <c r="H11" s="305" t="s">
        <v>856</v>
      </c>
      <c r="I11" s="305" t="s">
        <v>967</v>
      </c>
      <c r="J11" s="305" t="s">
        <v>987</v>
      </c>
      <c r="K11" s="305" t="s">
        <v>1218</v>
      </c>
      <c r="L11" s="305" t="s">
        <v>789</v>
      </c>
      <c r="M11" s="305" t="s">
        <v>1219</v>
      </c>
      <c r="N11" s="305" t="s">
        <v>826</v>
      </c>
      <c r="O11" s="305" t="s">
        <v>1220</v>
      </c>
      <c r="P11" s="305" t="s">
        <v>755</v>
      </c>
      <c r="Q11" s="305" t="s">
        <v>1221</v>
      </c>
      <c r="R11" s="305" t="s">
        <v>1222</v>
      </c>
      <c r="S11" s="305" t="s">
        <v>1223</v>
      </c>
      <c r="T11" s="305" t="s">
        <v>739</v>
      </c>
      <c r="U11" s="305" t="s">
        <v>785</v>
      </c>
      <c r="V11" s="305" t="s">
        <v>867</v>
      </c>
      <c r="W11" s="305" t="s">
        <v>745</v>
      </c>
      <c r="X11" s="305" t="s">
        <v>778</v>
      </c>
      <c r="Y11" s="305" t="s">
        <v>860</v>
      </c>
      <c r="Z11" s="305" t="s">
        <v>1005</v>
      </c>
      <c r="AA11" s="305" t="s">
        <v>1224</v>
      </c>
      <c r="AB11" s="305" t="s">
        <v>1225</v>
      </c>
      <c r="AC11" s="305" t="s">
        <v>1226</v>
      </c>
      <c r="AD11" s="305" t="s">
        <v>1022</v>
      </c>
      <c r="AE11" s="305" t="s">
        <v>1227</v>
      </c>
      <c r="AF11" s="305" t="s">
        <v>1228</v>
      </c>
      <c r="AG11" s="305" t="s">
        <v>1229</v>
      </c>
      <c r="AH11" s="305" t="s">
        <v>1230</v>
      </c>
    </row>
    <row r="12" spans="2:34" ht="15" customHeight="1" x14ac:dyDescent="0.25">
      <c r="B12" s="252" t="s">
        <v>1052</v>
      </c>
      <c r="C12" s="305" t="s">
        <v>1231</v>
      </c>
      <c r="D12" s="305" t="s">
        <v>1232</v>
      </c>
      <c r="E12" s="305" t="s">
        <v>926</v>
      </c>
      <c r="F12" s="305" t="s">
        <v>947</v>
      </c>
      <c r="G12" s="305" t="s">
        <v>1233</v>
      </c>
      <c r="H12" s="305" t="s">
        <v>746</v>
      </c>
      <c r="I12" s="305" t="s">
        <v>968</v>
      </c>
      <c r="J12" s="305" t="s">
        <v>988</v>
      </c>
      <c r="K12" s="305" t="s">
        <v>1234</v>
      </c>
      <c r="L12" s="305" t="s">
        <v>1235</v>
      </c>
      <c r="M12" s="305" t="s">
        <v>1236</v>
      </c>
      <c r="N12" s="305" t="s">
        <v>1237</v>
      </c>
      <c r="O12" s="305" t="s">
        <v>1238</v>
      </c>
      <c r="P12" s="305" t="s">
        <v>1239</v>
      </c>
      <c r="Q12" s="305" t="s">
        <v>1240</v>
      </c>
      <c r="R12" s="305" t="s">
        <v>1241</v>
      </c>
      <c r="S12" s="305" t="s">
        <v>1242</v>
      </c>
      <c r="T12" s="305" t="s">
        <v>862</v>
      </c>
      <c r="U12" s="305" t="s">
        <v>1243</v>
      </c>
      <c r="V12" s="305" t="s">
        <v>1244</v>
      </c>
      <c r="W12" s="305" t="s">
        <v>864</v>
      </c>
      <c r="X12" s="305" t="s">
        <v>768</v>
      </c>
      <c r="Y12" s="305" t="s">
        <v>1245</v>
      </c>
      <c r="Z12" s="305" t="s">
        <v>1246</v>
      </c>
      <c r="AA12" s="305" t="s">
        <v>815</v>
      </c>
      <c r="AB12" s="305" t="s">
        <v>1247</v>
      </c>
      <c r="AC12" s="305" t="s">
        <v>1248</v>
      </c>
      <c r="AD12" s="305" t="s">
        <v>1023</v>
      </c>
      <c r="AE12" s="305" t="s">
        <v>1249</v>
      </c>
      <c r="AF12" s="305" t="s">
        <v>1040</v>
      </c>
      <c r="AG12" s="305" t="s">
        <v>1250</v>
      </c>
      <c r="AH12" s="305" t="s">
        <v>1251</v>
      </c>
    </row>
    <row r="13" spans="2:34" ht="15" customHeight="1" x14ac:dyDescent="0.25">
      <c r="B13" s="252" t="s">
        <v>1053</v>
      </c>
      <c r="C13" s="305" t="s">
        <v>1252</v>
      </c>
      <c r="D13" s="305" t="s">
        <v>907</v>
      </c>
      <c r="E13" s="305" t="s">
        <v>927</v>
      </c>
      <c r="F13" s="305" t="s">
        <v>948</v>
      </c>
      <c r="G13" s="305" t="s">
        <v>833</v>
      </c>
      <c r="H13" s="305" t="s">
        <v>844</v>
      </c>
      <c r="I13" s="305" t="s">
        <v>969</v>
      </c>
      <c r="J13" s="305" t="s">
        <v>989</v>
      </c>
      <c r="K13" s="305" t="s">
        <v>749</v>
      </c>
      <c r="L13" s="305" t="s">
        <v>870</v>
      </c>
      <c r="M13" s="305" t="s">
        <v>1253</v>
      </c>
      <c r="N13" s="305" t="s">
        <v>1254</v>
      </c>
      <c r="O13" s="305" t="s">
        <v>1255</v>
      </c>
      <c r="P13" s="305" t="s">
        <v>1256</v>
      </c>
      <c r="Q13" s="305" t="s">
        <v>1257</v>
      </c>
      <c r="R13" s="305" t="s">
        <v>1258</v>
      </c>
      <c r="S13" s="305" t="s">
        <v>787</v>
      </c>
      <c r="T13" s="305" t="s">
        <v>1259</v>
      </c>
      <c r="U13" s="305" t="s">
        <v>1260</v>
      </c>
      <c r="V13" s="305" t="s">
        <v>822</v>
      </c>
      <c r="W13" s="305" t="s">
        <v>1261</v>
      </c>
      <c r="X13" s="305" t="s">
        <v>1262</v>
      </c>
      <c r="Y13" s="305" t="s">
        <v>794</v>
      </c>
      <c r="Z13" s="305" t="s">
        <v>1006</v>
      </c>
      <c r="AA13" s="305" t="s">
        <v>1263</v>
      </c>
      <c r="AB13" s="305" t="s">
        <v>1264</v>
      </c>
      <c r="AC13" s="305" t="s">
        <v>1265</v>
      </c>
      <c r="AD13" s="305" t="s">
        <v>1266</v>
      </c>
      <c r="AE13" s="305" t="s">
        <v>1267</v>
      </c>
      <c r="AF13" s="305" t="s">
        <v>1041</v>
      </c>
      <c r="AG13" s="305" t="s">
        <v>730</v>
      </c>
      <c r="AH13" s="305" t="s">
        <v>1268</v>
      </c>
    </row>
    <row r="14" spans="2:34" ht="15" customHeight="1" x14ac:dyDescent="0.25">
      <c r="B14" s="252" t="s">
        <v>1054</v>
      </c>
      <c r="C14" s="305" t="s">
        <v>1269</v>
      </c>
      <c r="D14" s="305" t="s">
        <v>1270</v>
      </c>
      <c r="E14" s="305" t="s">
        <v>928</v>
      </c>
      <c r="F14" s="305" t="s">
        <v>949</v>
      </c>
      <c r="G14" s="305" t="s">
        <v>861</v>
      </c>
      <c r="H14" s="305" t="s">
        <v>1271</v>
      </c>
      <c r="I14" s="305" t="s">
        <v>1272</v>
      </c>
      <c r="J14" s="305" t="s">
        <v>990</v>
      </c>
      <c r="K14" s="305" t="s">
        <v>1273</v>
      </c>
      <c r="L14" s="305" t="s">
        <v>1274</v>
      </c>
      <c r="M14" s="305" t="s">
        <v>753</v>
      </c>
      <c r="N14" s="305" t="s">
        <v>765</v>
      </c>
      <c r="O14" s="305" t="s">
        <v>1275</v>
      </c>
      <c r="P14" s="305" t="s">
        <v>781</v>
      </c>
      <c r="Q14" s="305" t="s">
        <v>1276</v>
      </c>
      <c r="R14" s="305" t="s">
        <v>748</v>
      </c>
      <c r="S14" s="305" t="s">
        <v>816</v>
      </c>
      <c r="T14" s="305" t="s">
        <v>1277</v>
      </c>
      <c r="U14" s="305" t="s">
        <v>1278</v>
      </c>
      <c r="V14" s="305" t="s">
        <v>1279</v>
      </c>
      <c r="W14" s="305" t="s">
        <v>1280</v>
      </c>
      <c r="X14" s="305" t="s">
        <v>1281</v>
      </c>
      <c r="Y14" s="305" t="s">
        <v>1282</v>
      </c>
      <c r="Z14" s="305" t="s">
        <v>1283</v>
      </c>
      <c r="AA14" s="305" t="s">
        <v>761</v>
      </c>
      <c r="AB14" s="305" t="s">
        <v>1284</v>
      </c>
      <c r="AC14" s="305" t="s">
        <v>1285</v>
      </c>
      <c r="AD14" s="305" t="s">
        <v>1024</v>
      </c>
      <c r="AE14" s="305" t="s">
        <v>1286</v>
      </c>
      <c r="AF14" s="305" t="s">
        <v>1042</v>
      </c>
      <c r="AG14" s="305" t="s">
        <v>1287</v>
      </c>
      <c r="AH14" s="305" t="s">
        <v>1288</v>
      </c>
    </row>
    <row r="15" spans="2:34" ht="15" customHeight="1" x14ac:dyDescent="0.25">
      <c r="B15" s="252" t="s">
        <v>1055</v>
      </c>
      <c r="C15" s="305" t="s">
        <v>812</v>
      </c>
      <c r="D15" s="305" t="s">
        <v>1289</v>
      </c>
      <c r="E15" s="305" t="s">
        <v>929</v>
      </c>
      <c r="F15" s="305" t="s">
        <v>950</v>
      </c>
      <c r="G15" s="305" t="s">
        <v>788</v>
      </c>
      <c r="H15" s="305" t="s">
        <v>1290</v>
      </c>
      <c r="I15" s="305" t="s">
        <v>970</v>
      </c>
      <c r="J15" s="305" t="s">
        <v>1291</v>
      </c>
      <c r="K15" s="305" t="s">
        <v>1292</v>
      </c>
      <c r="L15" s="305" t="s">
        <v>1293</v>
      </c>
      <c r="M15" s="305" t="s">
        <v>1294</v>
      </c>
      <c r="N15" s="305" t="s">
        <v>782</v>
      </c>
      <c r="O15" s="305" t="s">
        <v>1295</v>
      </c>
      <c r="P15" s="305" t="s">
        <v>851</v>
      </c>
      <c r="Q15" s="305" t="s">
        <v>733</v>
      </c>
      <c r="R15" s="305" t="s">
        <v>1296</v>
      </c>
      <c r="S15" s="305" t="s">
        <v>1297</v>
      </c>
      <c r="T15" s="305" t="s">
        <v>783</v>
      </c>
      <c r="U15" s="305" t="s">
        <v>1298</v>
      </c>
      <c r="V15" s="305" t="s">
        <v>1299</v>
      </c>
      <c r="W15" s="305" t="s">
        <v>1300</v>
      </c>
      <c r="X15" s="305" t="s">
        <v>1301</v>
      </c>
      <c r="Y15" s="305" t="s">
        <v>810</v>
      </c>
      <c r="Z15" s="305" t="s">
        <v>1302</v>
      </c>
      <c r="AA15" s="305" t="s">
        <v>1303</v>
      </c>
      <c r="AB15" s="305" t="s">
        <v>1304</v>
      </c>
      <c r="AC15" s="305" t="s">
        <v>1305</v>
      </c>
      <c r="AD15" s="305" t="s">
        <v>1025</v>
      </c>
      <c r="AE15" s="305" t="s">
        <v>1306</v>
      </c>
      <c r="AF15" s="305" t="s">
        <v>1307</v>
      </c>
      <c r="AG15" s="305" t="s">
        <v>795</v>
      </c>
      <c r="AH15" s="305" t="s">
        <v>1308</v>
      </c>
    </row>
    <row r="16" spans="2:34" ht="15" customHeight="1" x14ac:dyDescent="0.25">
      <c r="B16" s="252" t="s">
        <v>1056</v>
      </c>
      <c r="C16" s="305" t="s">
        <v>1309</v>
      </c>
      <c r="D16" s="305" t="s">
        <v>1310</v>
      </c>
      <c r="E16" s="305" t="s">
        <v>930</v>
      </c>
      <c r="F16" s="305" t="s">
        <v>951</v>
      </c>
      <c r="G16" s="305" t="s">
        <v>1311</v>
      </c>
      <c r="H16" s="305" t="s">
        <v>865</v>
      </c>
      <c r="I16" s="305" t="s">
        <v>971</v>
      </c>
      <c r="J16" s="305" t="s">
        <v>991</v>
      </c>
      <c r="K16" s="305" t="s">
        <v>1312</v>
      </c>
      <c r="L16" s="305" t="s">
        <v>1313</v>
      </c>
      <c r="M16" s="305" t="s">
        <v>1314</v>
      </c>
      <c r="N16" s="305" t="s">
        <v>1315</v>
      </c>
      <c r="O16" s="305" t="s">
        <v>1316</v>
      </c>
      <c r="P16" s="305" t="s">
        <v>847</v>
      </c>
      <c r="Q16" s="305" t="s">
        <v>1317</v>
      </c>
      <c r="R16" s="305" t="s">
        <v>1318</v>
      </c>
      <c r="S16" s="305" t="s">
        <v>1319</v>
      </c>
      <c r="T16" s="305" t="s">
        <v>1320</v>
      </c>
      <c r="U16" s="305" t="s">
        <v>1321</v>
      </c>
      <c r="V16" s="305" t="s">
        <v>1322</v>
      </c>
      <c r="W16" s="305" t="s">
        <v>836</v>
      </c>
      <c r="X16" s="305" t="s">
        <v>1323</v>
      </c>
      <c r="Y16" s="305" t="s">
        <v>738</v>
      </c>
      <c r="Z16" s="305" t="s">
        <v>1324</v>
      </c>
      <c r="AA16" s="305" t="s">
        <v>750</v>
      </c>
      <c r="AB16" s="305" t="s">
        <v>1325</v>
      </c>
      <c r="AC16" s="305" t="s">
        <v>845</v>
      </c>
      <c r="AD16" s="305" t="s">
        <v>1026</v>
      </c>
      <c r="AE16" s="305" t="s">
        <v>1326</v>
      </c>
      <c r="AF16" s="305" t="s">
        <v>1327</v>
      </c>
      <c r="AG16" s="305" t="s">
        <v>1328</v>
      </c>
      <c r="AH16" s="305" t="s">
        <v>1329</v>
      </c>
    </row>
    <row r="17" spans="2:34" ht="15" customHeight="1" x14ac:dyDescent="0.25">
      <c r="B17" s="252" t="s">
        <v>1057</v>
      </c>
      <c r="C17" s="305" t="s">
        <v>1330</v>
      </c>
      <c r="D17" s="305" t="s">
        <v>1331</v>
      </c>
      <c r="E17" s="305" t="s">
        <v>931</v>
      </c>
      <c r="F17" s="305" t="s">
        <v>952</v>
      </c>
      <c r="G17" s="305" t="s">
        <v>1332</v>
      </c>
      <c r="H17" s="305" t="s">
        <v>1333</v>
      </c>
      <c r="I17" s="305" t="s">
        <v>972</v>
      </c>
      <c r="J17" s="305" t="s">
        <v>992</v>
      </c>
      <c r="K17" s="305" t="s">
        <v>1334</v>
      </c>
      <c r="L17" s="305" t="s">
        <v>1335</v>
      </c>
      <c r="M17" s="305" t="s">
        <v>1336</v>
      </c>
      <c r="N17" s="305" t="s">
        <v>1337</v>
      </c>
      <c r="O17" s="305" t="s">
        <v>1338</v>
      </c>
      <c r="P17" s="305" t="s">
        <v>1339</v>
      </c>
      <c r="Q17" s="305" t="s">
        <v>1340</v>
      </c>
      <c r="R17" s="305" t="s">
        <v>1341</v>
      </c>
      <c r="S17" s="305" t="s">
        <v>752</v>
      </c>
      <c r="T17" s="305" t="s">
        <v>1342</v>
      </c>
      <c r="U17" s="305" t="s">
        <v>1343</v>
      </c>
      <c r="V17" s="305" t="s">
        <v>793</v>
      </c>
      <c r="W17" s="305" t="s">
        <v>1344</v>
      </c>
      <c r="X17" s="305" t="s">
        <v>1345</v>
      </c>
      <c r="Y17" s="305" t="s">
        <v>823</v>
      </c>
      <c r="Z17" s="305" t="s">
        <v>1007</v>
      </c>
      <c r="AA17" s="305" t="s">
        <v>1346</v>
      </c>
      <c r="AB17" s="305" t="s">
        <v>1347</v>
      </c>
      <c r="AC17" s="305" t="s">
        <v>1348</v>
      </c>
      <c r="AD17" s="305" t="s">
        <v>1027</v>
      </c>
      <c r="AE17" s="305" t="s">
        <v>1349</v>
      </c>
      <c r="AF17" s="305" t="s">
        <v>1350</v>
      </c>
      <c r="AG17" s="305" t="s">
        <v>1351</v>
      </c>
      <c r="AH17" s="305" t="s">
        <v>1352</v>
      </c>
    </row>
    <row r="18" spans="2:34" ht="15" customHeight="1" x14ac:dyDescent="0.25">
      <c r="B18" s="252" t="s">
        <v>1058</v>
      </c>
      <c r="C18" s="305" t="s">
        <v>877</v>
      </c>
      <c r="D18" s="305" t="s">
        <v>908</v>
      </c>
      <c r="E18" s="305" t="s">
        <v>1353</v>
      </c>
      <c r="F18" s="305" t="s">
        <v>953</v>
      </c>
      <c r="G18" s="305" t="s">
        <v>802</v>
      </c>
      <c r="H18" s="305" t="s">
        <v>1354</v>
      </c>
      <c r="I18" s="305" t="s">
        <v>973</v>
      </c>
      <c r="J18" s="305" t="s">
        <v>993</v>
      </c>
      <c r="K18" s="305" t="s">
        <v>1355</v>
      </c>
      <c r="L18" s="305" t="s">
        <v>843</v>
      </c>
      <c r="M18" s="305" t="s">
        <v>881</v>
      </c>
      <c r="N18" s="305" t="s">
        <v>1356</v>
      </c>
      <c r="O18" s="305" t="s">
        <v>1357</v>
      </c>
      <c r="P18" s="305" t="s">
        <v>1358</v>
      </c>
      <c r="Q18" s="305" t="s">
        <v>1359</v>
      </c>
      <c r="R18" s="305" t="s">
        <v>798</v>
      </c>
      <c r="S18" s="305" t="s">
        <v>831</v>
      </c>
      <c r="T18" s="305" t="s">
        <v>1360</v>
      </c>
      <c r="U18" s="305" t="s">
        <v>770</v>
      </c>
      <c r="V18" s="305" t="s">
        <v>1361</v>
      </c>
      <c r="W18" s="305" t="s">
        <v>1362</v>
      </c>
      <c r="X18" s="305" t="s">
        <v>1363</v>
      </c>
      <c r="Y18" s="305" t="s">
        <v>1364</v>
      </c>
      <c r="Z18" s="305" t="s">
        <v>1365</v>
      </c>
      <c r="AA18" s="305" t="s">
        <v>1366</v>
      </c>
      <c r="AB18" s="305" t="s">
        <v>1367</v>
      </c>
      <c r="AC18" s="305" t="s">
        <v>887</v>
      </c>
      <c r="AD18" s="305" t="s">
        <v>1368</v>
      </c>
      <c r="AE18" s="305" t="s">
        <v>1369</v>
      </c>
      <c r="AF18" s="305" t="s">
        <v>1370</v>
      </c>
      <c r="AG18" s="305" t="s">
        <v>813</v>
      </c>
      <c r="AH18" s="305" t="s">
        <v>1371</v>
      </c>
    </row>
    <row r="19" spans="2:34" ht="15" customHeight="1" x14ac:dyDescent="0.25">
      <c r="B19" s="252" t="s">
        <v>1059</v>
      </c>
      <c r="C19" s="305" t="s">
        <v>773</v>
      </c>
      <c r="D19" s="305" t="s">
        <v>909</v>
      </c>
      <c r="E19" s="305" t="s">
        <v>932</v>
      </c>
      <c r="F19" s="305" t="s">
        <v>954</v>
      </c>
      <c r="G19" s="305" t="s">
        <v>841</v>
      </c>
      <c r="H19" s="305" t="s">
        <v>825</v>
      </c>
      <c r="I19" s="305" t="s">
        <v>1372</v>
      </c>
      <c r="J19" s="305" t="s">
        <v>994</v>
      </c>
      <c r="K19" s="305" t="s">
        <v>1373</v>
      </c>
      <c r="L19" s="305" t="s">
        <v>1374</v>
      </c>
      <c r="M19" s="305" t="s">
        <v>1375</v>
      </c>
      <c r="N19" s="305" t="s">
        <v>1376</v>
      </c>
      <c r="O19" s="305" t="s">
        <v>886</v>
      </c>
      <c r="P19" s="305" t="s">
        <v>1377</v>
      </c>
      <c r="Q19" s="305" t="s">
        <v>1101</v>
      </c>
      <c r="R19" s="305" t="s">
        <v>885</v>
      </c>
      <c r="S19" s="305" t="s">
        <v>1378</v>
      </c>
      <c r="T19" s="305" t="s">
        <v>774</v>
      </c>
      <c r="U19" s="305" t="s">
        <v>1379</v>
      </c>
      <c r="V19" s="305" t="s">
        <v>1380</v>
      </c>
      <c r="W19" s="305" t="s">
        <v>731</v>
      </c>
      <c r="X19" s="305" t="s">
        <v>1381</v>
      </c>
      <c r="Y19" s="305" t="s">
        <v>1382</v>
      </c>
      <c r="Z19" s="305" t="s">
        <v>1008</v>
      </c>
      <c r="AA19" s="305" t="s">
        <v>829</v>
      </c>
      <c r="AB19" s="305" t="s">
        <v>1383</v>
      </c>
      <c r="AC19" s="305" t="s">
        <v>1384</v>
      </c>
      <c r="AD19" s="305" t="s">
        <v>1385</v>
      </c>
      <c r="AE19" s="305" t="s">
        <v>1386</v>
      </c>
      <c r="AF19" s="305" t="s">
        <v>1387</v>
      </c>
      <c r="AG19" s="305" t="s">
        <v>1388</v>
      </c>
      <c r="AH19" s="305" t="s">
        <v>1389</v>
      </c>
    </row>
    <row r="20" spans="2:34" ht="15" customHeight="1" x14ac:dyDescent="0.25">
      <c r="B20" s="252" t="s">
        <v>1060</v>
      </c>
      <c r="C20" s="305" t="s">
        <v>1390</v>
      </c>
      <c r="D20" s="305" t="s">
        <v>910</v>
      </c>
      <c r="E20" s="305" t="s">
        <v>933</v>
      </c>
      <c r="F20" s="305" t="s">
        <v>955</v>
      </c>
      <c r="G20" s="305" t="s">
        <v>744</v>
      </c>
      <c r="H20" s="305" t="s">
        <v>790</v>
      </c>
      <c r="I20" s="305" t="s">
        <v>974</v>
      </c>
      <c r="J20" s="305" t="s">
        <v>1391</v>
      </c>
      <c r="K20" s="305" t="s">
        <v>1392</v>
      </c>
      <c r="L20" s="305" t="s">
        <v>1393</v>
      </c>
      <c r="M20" s="305" t="s">
        <v>1394</v>
      </c>
      <c r="N20" s="305" t="s">
        <v>1395</v>
      </c>
      <c r="O20" s="305" t="s">
        <v>734</v>
      </c>
      <c r="P20" s="305" t="s">
        <v>1396</v>
      </c>
      <c r="Q20" s="305" t="s">
        <v>1397</v>
      </c>
      <c r="R20" s="305" t="s">
        <v>1398</v>
      </c>
      <c r="S20" s="305" t="s">
        <v>1399</v>
      </c>
      <c r="T20" s="305" t="s">
        <v>1400</v>
      </c>
      <c r="U20" s="305" t="s">
        <v>820</v>
      </c>
      <c r="V20" s="305" t="s">
        <v>874</v>
      </c>
      <c r="W20" s="305" t="s">
        <v>1401</v>
      </c>
      <c r="X20" s="305" t="s">
        <v>1402</v>
      </c>
      <c r="Y20" s="305" t="s">
        <v>846</v>
      </c>
      <c r="Z20" s="305" t="s">
        <v>1009</v>
      </c>
      <c r="AA20" s="305" t="s">
        <v>872</v>
      </c>
      <c r="AB20" s="305" t="s">
        <v>1403</v>
      </c>
      <c r="AC20" s="305" t="s">
        <v>762</v>
      </c>
      <c r="AD20" s="305" t="s">
        <v>1028</v>
      </c>
      <c r="AE20" s="305" t="s">
        <v>1404</v>
      </c>
      <c r="AF20" s="305" t="s">
        <v>1405</v>
      </c>
      <c r="AG20" s="305" t="s">
        <v>1406</v>
      </c>
      <c r="AH20" s="305" t="s">
        <v>1407</v>
      </c>
    </row>
    <row r="21" spans="2:34" ht="15" customHeight="1" x14ac:dyDescent="0.25">
      <c r="B21" s="252" t="s">
        <v>1061</v>
      </c>
      <c r="C21" s="305" t="s">
        <v>1408</v>
      </c>
      <c r="D21" s="305" t="s">
        <v>911</v>
      </c>
      <c r="E21" s="305" t="s">
        <v>934</v>
      </c>
      <c r="F21" s="305" t="s">
        <v>1409</v>
      </c>
      <c r="G21" s="305" t="s">
        <v>1410</v>
      </c>
      <c r="H21" s="305" t="s">
        <v>771</v>
      </c>
      <c r="I21" s="305" t="s">
        <v>975</v>
      </c>
      <c r="J21" s="305" t="s">
        <v>1411</v>
      </c>
      <c r="K21" s="305" t="s">
        <v>1412</v>
      </c>
      <c r="L21" s="305" t="s">
        <v>729</v>
      </c>
      <c r="M21" s="305" t="s">
        <v>1413</v>
      </c>
      <c r="N21" s="305" t="s">
        <v>1414</v>
      </c>
      <c r="O21" s="305" t="s">
        <v>849</v>
      </c>
      <c r="P21" s="305" t="s">
        <v>1415</v>
      </c>
      <c r="Q21" s="305" t="s">
        <v>797</v>
      </c>
      <c r="R21" s="305" t="s">
        <v>1416</v>
      </c>
      <c r="S21" s="305" t="s">
        <v>737</v>
      </c>
      <c r="T21" s="305" t="s">
        <v>1417</v>
      </c>
      <c r="U21" s="305" t="s">
        <v>835</v>
      </c>
      <c r="V21" s="305" t="s">
        <v>888</v>
      </c>
      <c r="W21" s="305" t="s">
        <v>1418</v>
      </c>
      <c r="X21" s="305" t="s">
        <v>1419</v>
      </c>
      <c r="Y21" s="305" t="s">
        <v>882</v>
      </c>
      <c r="Z21" s="305" t="s">
        <v>1420</v>
      </c>
      <c r="AA21" s="305" t="s">
        <v>1421</v>
      </c>
      <c r="AB21" s="305" t="s">
        <v>1422</v>
      </c>
      <c r="AC21" s="305" t="s">
        <v>1423</v>
      </c>
      <c r="AD21" s="305" t="s">
        <v>1424</v>
      </c>
      <c r="AE21" s="305" t="s">
        <v>1425</v>
      </c>
      <c r="AF21" s="305" t="s">
        <v>1043</v>
      </c>
      <c r="AG21" s="305" t="s">
        <v>1426</v>
      </c>
      <c r="AH21" s="305" t="s">
        <v>1427</v>
      </c>
    </row>
    <row r="22" spans="2:34" ht="15" customHeight="1" x14ac:dyDescent="0.25">
      <c r="B22" s="252" t="s">
        <v>1062</v>
      </c>
      <c r="C22" s="305" t="s">
        <v>1428</v>
      </c>
      <c r="D22" s="305" t="s">
        <v>1429</v>
      </c>
      <c r="E22" s="305" t="s">
        <v>935</v>
      </c>
      <c r="F22" s="305" t="s">
        <v>956</v>
      </c>
      <c r="G22" s="305" t="s">
        <v>1430</v>
      </c>
      <c r="H22" s="305" t="s">
        <v>1431</v>
      </c>
      <c r="I22" s="305" t="s">
        <v>976</v>
      </c>
      <c r="J22" s="305" t="s">
        <v>995</v>
      </c>
      <c r="K22" s="305" t="s">
        <v>1432</v>
      </c>
      <c r="L22" s="305" t="s">
        <v>1433</v>
      </c>
      <c r="M22" s="305" t="s">
        <v>1434</v>
      </c>
      <c r="N22" s="305" t="s">
        <v>1435</v>
      </c>
      <c r="O22" s="305" t="s">
        <v>1436</v>
      </c>
      <c r="P22" s="305" t="s">
        <v>1437</v>
      </c>
      <c r="Q22" s="305" t="s">
        <v>1438</v>
      </c>
      <c r="R22" s="305" t="s">
        <v>1439</v>
      </c>
      <c r="S22" s="305" t="s">
        <v>1440</v>
      </c>
      <c r="T22" s="305" t="s">
        <v>1441</v>
      </c>
      <c r="U22" s="305" t="s">
        <v>1442</v>
      </c>
      <c r="V22" s="305" t="s">
        <v>1443</v>
      </c>
      <c r="W22" s="305" t="s">
        <v>776</v>
      </c>
      <c r="X22" s="305" t="s">
        <v>1444</v>
      </c>
      <c r="Y22" s="305" t="s">
        <v>754</v>
      </c>
      <c r="Z22" s="305" t="s">
        <v>1445</v>
      </c>
      <c r="AA22" s="305" t="s">
        <v>1446</v>
      </c>
      <c r="AB22" s="305" t="s">
        <v>1447</v>
      </c>
      <c r="AC22" s="305" t="s">
        <v>772</v>
      </c>
      <c r="AD22" s="305" t="s">
        <v>1029</v>
      </c>
      <c r="AE22" s="305" t="s">
        <v>1448</v>
      </c>
      <c r="AF22" s="305" t="s">
        <v>1449</v>
      </c>
      <c r="AG22" s="305" t="s">
        <v>1450</v>
      </c>
      <c r="AH22" s="305" t="s">
        <v>1451</v>
      </c>
    </row>
    <row r="23" spans="2:34" ht="15" customHeight="1" x14ac:dyDescent="0.25">
      <c r="B23" s="252" t="s">
        <v>1063</v>
      </c>
      <c r="C23" s="305" t="s">
        <v>1452</v>
      </c>
      <c r="D23" s="305" t="s">
        <v>912</v>
      </c>
      <c r="E23" s="305" t="s">
        <v>936</v>
      </c>
      <c r="F23" s="305" t="s">
        <v>957</v>
      </c>
      <c r="G23" s="305" t="s">
        <v>811</v>
      </c>
      <c r="H23" s="305" t="s">
        <v>758</v>
      </c>
      <c r="I23" s="305" t="s">
        <v>977</v>
      </c>
      <c r="J23" s="305" t="s">
        <v>996</v>
      </c>
      <c r="K23" s="305" t="s">
        <v>858</v>
      </c>
      <c r="L23" s="305" t="s">
        <v>1453</v>
      </c>
      <c r="M23" s="305" t="s">
        <v>1454</v>
      </c>
      <c r="N23" s="305" t="s">
        <v>1455</v>
      </c>
      <c r="O23" s="305" t="s">
        <v>1456</v>
      </c>
      <c r="P23" s="305" t="s">
        <v>1457</v>
      </c>
      <c r="Q23" s="305" t="s">
        <v>1458</v>
      </c>
      <c r="R23" s="305" t="s">
        <v>1459</v>
      </c>
      <c r="S23" s="305" t="s">
        <v>1460</v>
      </c>
      <c r="T23" s="305" t="s">
        <v>1461</v>
      </c>
      <c r="U23" s="305" t="s">
        <v>1462</v>
      </c>
      <c r="V23" s="305" t="s">
        <v>800</v>
      </c>
      <c r="W23" s="305" t="s">
        <v>1463</v>
      </c>
      <c r="X23" s="305" t="s">
        <v>1464</v>
      </c>
      <c r="Y23" s="305" t="s">
        <v>743</v>
      </c>
      <c r="Z23" s="305" t="s">
        <v>1010</v>
      </c>
      <c r="AA23" s="305" t="s">
        <v>792</v>
      </c>
      <c r="AB23" s="305" t="s">
        <v>1465</v>
      </c>
      <c r="AC23" s="305" t="s">
        <v>1466</v>
      </c>
      <c r="AD23" s="305" t="s">
        <v>1467</v>
      </c>
      <c r="AE23" s="305" t="s">
        <v>784</v>
      </c>
      <c r="AF23" s="305" t="s">
        <v>1468</v>
      </c>
      <c r="AG23" s="305" t="s">
        <v>1469</v>
      </c>
      <c r="AH23" s="305" t="s">
        <v>1470</v>
      </c>
    </row>
    <row r="24" spans="2:34" ht="15" customHeight="1" x14ac:dyDescent="0.25">
      <c r="B24" s="252" t="s">
        <v>1064</v>
      </c>
      <c r="C24" s="305" t="s">
        <v>1471</v>
      </c>
      <c r="D24" s="305" t="s">
        <v>913</v>
      </c>
      <c r="E24" s="305" t="s">
        <v>1472</v>
      </c>
      <c r="F24" s="305" t="s">
        <v>958</v>
      </c>
      <c r="G24" s="305" t="s">
        <v>817</v>
      </c>
      <c r="H24" s="305" t="s">
        <v>1473</v>
      </c>
      <c r="I24" s="305" t="s">
        <v>1474</v>
      </c>
      <c r="J24" s="305" t="s">
        <v>1475</v>
      </c>
      <c r="K24" s="305" t="s">
        <v>1476</v>
      </c>
      <c r="L24" s="305" t="s">
        <v>1477</v>
      </c>
      <c r="M24" s="305" t="s">
        <v>1478</v>
      </c>
      <c r="N24" s="305" t="s">
        <v>1479</v>
      </c>
      <c r="O24" s="305" t="s">
        <v>1480</v>
      </c>
      <c r="P24" s="305" t="s">
        <v>1481</v>
      </c>
      <c r="Q24" s="305" t="s">
        <v>791</v>
      </c>
      <c r="R24" s="305" t="s">
        <v>1482</v>
      </c>
      <c r="S24" s="305" t="s">
        <v>769</v>
      </c>
      <c r="T24" s="305" t="s">
        <v>1483</v>
      </c>
      <c r="U24" s="305" t="s">
        <v>1484</v>
      </c>
      <c r="V24" s="305" t="s">
        <v>736</v>
      </c>
      <c r="W24" s="305" t="s">
        <v>1485</v>
      </c>
      <c r="X24" s="305" t="s">
        <v>1486</v>
      </c>
      <c r="Y24" s="305" t="s">
        <v>780</v>
      </c>
      <c r="Z24" s="305" t="s">
        <v>1011</v>
      </c>
      <c r="AA24" s="305" t="s">
        <v>725</v>
      </c>
      <c r="AB24" s="305" t="s">
        <v>1487</v>
      </c>
      <c r="AC24" s="305" t="s">
        <v>1488</v>
      </c>
      <c r="AD24" s="305" t="s">
        <v>1030</v>
      </c>
      <c r="AE24" s="305" t="s">
        <v>1489</v>
      </c>
      <c r="AF24" s="305" t="s">
        <v>1490</v>
      </c>
      <c r="AG24" s="305" t="s">
        <v>1491</v>
      </c>
      <c r="AH24" s="305" t="s">
        <v>1492</v>
      </c>
    </row>
    <row r="25" spans="2:34" ht="15" customHeight="1" x14ac:dyDescent="0.25">
      <c r="B25" s="252" t="s">
        <v>1065</v>
      </c>
      <c r="C25" s="305" t="s">
        <v>1493</v>
      </c>
      <c r="D25" s="305" t="s">
        <v>914</v>
      </c>
      <c r="E25" s="305" t="s">
        <v>937</v>
      </c>
      <c r="F25" s="305" t="s">
        <v>959</v>
      </c>
      <c r="G25" s="305" t="s">
        <v>1494</v>
      </c>
      <c r="H25" s="305" t="s">
        <v>1495</v>
      </c>
      <c r="I25" s="305" t="s">
        <v>1496</v>
      </c>
      <c r="J25" s="305" t="s">
        <v>997</v>
      </c>
      <c r="K25" s="305" t="s">
        <v>1497</v>
      </c>
      <c r="L25" s="305" t="s">
        <v>1498</v>
      </c>
      <c r="M25" s="305" t="s">
        <v>1499</v>
      </c>
      <c r="N25" s="305" t="s">
        <v>1500</v>
      </c>
      <c r="O25" s="305" t="s">
        <v>1501</v>
      </c>
      <c r="P25" s="305" t="s">
        <v>1502</v>
      </c>
      <c r="Q25" s="305" t="s">
        <v>806</v>
      </c>
      <c r="R25" s="305" t="s">
        <v>866</v>
      </c>
      <c r="S25" s="305" t="s">
        <v>1503</v>
      </c>
      <c r="T25" s="305" t="s">
        <v>1504</v>
      </c>
      <c r="U25" s="305" t="s">
        <v>1505</v>
      </c>
      <c r="V25" s="305" t="s">
        <v>1506</v>
      </c>
      <c r="W25" s="305" t="s">
        <v>855</v>
      </c>
      <c r="X25" s="305" t="s">
        <v>1507</v>
      </c>
      <c r="Y25" s="305" t="s">
        <v>868</v>
      </c>
      <c r="Z25" s="305" t="s">
        <v>1012</v>
      </c>
      <c r="AA25" s="305" t="s">
        <v>1508</v>
      </c>
      <c r="AB25" s="305" t="s">
        <v>1509</v>
      </c>
      <c r="AC25" s="305" t="s">
        <v>830</v>
      </c>
      <c r="AD25" s="305" t="s">
        <v>1031</v>
      </c>
      <c r="AE25" s="305" t="s">
        <v>1510</v>
      </c>
      <c r="AF25" s="305" t="s">
        <v>1044</v>
      </c>
      <c r="AG25" s="305" t="s">
        <v>1511</v>
      </c>
      <c r="AH25" s="305" t="s">
        <v>1512</v>
      </c>
    </row>
    <row r="26" spans="2:34" ht="15" customHeight="1" x14ac:dyDescent="0.25">
      <c r="B26" s="252" t="s">
        <v>1066</v>
      </c>
      <c r="C26" s="305" t="s">
        <v>1513</v>
      </c>
      <c r="D26" s="305" t="s">
        <v>915</v>
      </c>
      <c r="E26" s="305" t="s">
        <v>1514</v>
      </c>
      <c r="F26" s="305" t="s">
        <v>960</v>
      </c>
      <c r="G26" s="305" t="s">
        <v>869</v>
      </c>
      <c r="H26" s="305" t="s">
        <v>805</v>
      </c>
      <c r="I26" s="305" t="s">
        <v>1515</v>
      </c>
      <c r="J26" s="305" t="s">
        <v>998</v>
      </c>
      <c r="K26" s="305" t="s">
        <v>1516</v>
      </c>
      <c r="L26" s="305" t="s">
        <v>852</v>
      </c>
      <c r="M26" s="305" t="s">
        <v>1517</v>
      </c>
      <c r="N26" s="305" t="s">
        <v>1518</v>
      </c>
      <c r="O26" s="305" t="s">
        <v>1519</v>
      </c>
      <c r="P26" s="305" t="s">
        <v>1520</v>
      </c>
      <c r="Q26" s="305" t="s">
        <v>747</v>
      </c>
      <c r="R26" s="305" t="s">
        <v>1521</v>
      </c>
      <c r="S26" s="305" t="s">
        <v>1522</v>
      </c>
      <c r="T26" s="305" t="s">
        <v>1523</v>
      </c>
      <c r="U26" s="305" t="s">
        <v>1524</v>
      </c>
      <c r="V26" s="305" t="s">
        <v>786</v>
      </c>
      <c r="W26" s="305" t="s">
        <v>1525</v>
      </c>
      <c r="X26" s="305" t="s">
        <v>1526</v>
      </c>
      <c r="Y26" s="305" t="s">
        <v>1527</v>
      </c>
      <c r="Z26" s="305" t="s">
        <v>1013</v>
      </c>
      <c r="AA26" s="305" t="s">
        <v>1528</v>
      </c>
      <c r="AB26" s="305" t="s">
        <v>1529</v>
      </c>
      <c r="AC26" s="305" t="s">
        <v>1530</v>
      </c>
      <c r="AD26" s="305" t="s">
        <v>1032</v>
      </c>
      <c r="AE26" s="305" t="s">
        <v>1531</v>
      </c>
      <c r="AF26" s="305" t="s">
        <v>1045</v>
      </c>
      <c r="AG26" s="305" t="s">
        <v>1532</v>
      </c>
      <c r="AH26" s="305" t="s">
        <v>1533</v>
      </c>
    </row>
    <row r="27" spans="2:34" ht="15" customHeight="1" x14ac:dyDescent="0.25">
      <c r="B27" s="252" t="s">
        <v>1067</v>
      </c>
      <c r="C27" s="305" t="s">
        <v>1534</v>
      </c>
      <c r="D27" s="305" t="s">
        <v>916</v>
      </c>
      <c r="E27" s="305" t="s">
        <v>938</v>
      </c>
      <c r="F27" s="305" t="s">
        <v>961</v>
      </c>
      <c r="G27" s="305" t="s">
        <v>1535</v>
      </c>
      <c r="H27" s="305" t="s">
        <v>821</v>
      </c>
      <c r="I27" s="305" t="s">
        <v>978</v>
      </c>
      <c r="J27" s="305" t="s">
        <v>1536</v>
      </c>
      <c r="K27" s="305" t="s">
        <v>1537</v>
      </c>
      <c r="L27" s="305" t="s">
        <v>834</v>
      </c>
      <c r="M27" s="305" t="s">
        <v>1538</v>
      </c>
      <c r="N27" s="305" t="s">
        <v>1539</v>
      </c>
      <c r="O27" s="305" t="s">
        <v>1540</v>
      </c>
      <c r="P27" s="305" t="s">
        <v>1541</v>
      </c>
      <c r="Q27" s="305" t="s">
        <v>759</v>
      </c>
      <c r="R27" s="305" t="s">
        <v>1542</v>
      </c>
      <c r="S27" s="305" t="s">
        <v>1543</v>
      </c>
      <c r="T27" s="305" t="s">
        <v>1544</v>
      </c>
      <c r="U27" s="305" t="s">
        <v>1545</v>
      </c>
      <c r="V27" s="305" t="s">
        <v>1546</v>
      </c>
      <c r="W27" s="305" t="s">
        <v>1547</v>
      </c>
      <c r="X27" s="305" t="s">
        <v>1548</v>
      </c>
      <c r="Y27" s="305" t="s">
        <v>763</v>
      </c>
      <c r="Z27" s="305" t="s">
        <v>1014</v>
      </c>
      <c r="AA27" s="305" t="s">
        <v>1549</v>
      </c>
      <c r="AB27" s="305" t="s">
        <v>1550</v>
      </c>
      <c r="AC27" s="305" t="s">
        <v>799</v>
      </c>
      <c r="AD27" s="305" t="s">
        <v>1551</v>
      </c>
      <c r="AE27" s="305" t="s">
        <v>1552</v>
      </c>
      <c r="AF27" s="305" t="s">
        <v>1553</v>
      </c>
      <c r="AG27" s="305" t="s">
        <v>824</v>
      </c>
      <c r="AH27" s="305" t="s">
        <v>1554</v>
      </c>
    </row>
    <row r="28" spans="2:34" ht="15" customHeight="1" x14ac:dyDescent="0.25">
      <c r="B28" s="252" t="s">
        <v>1068</v>
      </c>
      <c r="C28" s="305" t="s">
        <v>1555</v>
      </c>
      <c r="D28" s="305" t="s">
        <v>917</v>
      </c>
      <c r="E28" s="305" t="s">
        <v>939</v>
      </c>
      <c r="F28" s="305" t="s">
        <v>1556</v>
      </c>
      <c r="G28" s="305" t="s">
        <v>756</v>
      </c>
      <c r="H28" s="305" t="s">
        <v>879</v>
      </c>
      <c r="I28" s="305" t="s">
        <v>979</v>
      </c>
      <c r="J28" s="305" t="s">
        <v>1557</v>
      </c>
      <c r="K28" s="305" t="s">
        <v>1558</v>
      </c>
      <c r="L28" s="305" t="s">
        <v>1559</v>
      </c>
      <c r="M28" s="305" t="s">
        <v>1560</v>
      </c>
      <c r="N28" s="305" t="s">
        <v>876</v>
      </c>
      <c r="O28" s="305" t="s">
        <v>1561</v>
      </c>
      <c r="P28" s="305" t="s">
        <v>890</v>
      </c>
      <c r="Q28" s="305" t="s">
        <v>837</v>
      </c>
      <c r="R28" s="305" t="s">
        <v>1562</v>
      </c>
      <c r="S28" s="305" t="s">
        <v>1563</v>
      </c>
      <c r="T28" s="305" t="s">
        <v>1564</v>
      </c>
      <c r="U28" s="305" t="s">
        <v>1565</v>
      </c>
      <c r="V28" s="305" t="s">
        <v>1566</v>
      </c>
      <c r="W28" s="305" t="s">
        <v>1567</v>
      </c>
      <c r="X28" s="305" t="s">
        <v>1568</v>
      </c>
      <c r="Y28" s="305" t="s">
        <v>1569</v>
      </c>
      <c r="Z28" s="305" t="s">
        <v>1015</v>
      </c>
      <c r="AA28" s="305" t="s">
        <v>1570</v>
      </c>
      <c r="AB28" s="305" t="s">
        <v>1571</v>
      </c>
      <c r="AC28" s="305" t="s">
        <v>1572</v>
      </c>
      <c r="AD28" s="305" t="s">
        <v>1033</v>
      </c>
      <c r="AE28" s="305" t="s">
        <v>1573</v>
      </c>
      <c r="AF28" s="305" t="s">
        <v>1574</v>
      </c>
      <c r="AG28" s="305" t="s">
        <v>1575</v>
      </c>
      <c r="AH28" s="305" t="s">
        <v>1576</v>
      </c>
    </row>
    <row r="29" spans="2:34" ht="15" customHeight="1" x14ac:dyDescent="0.25">
      <c r="B29" s="252" t="s">
        <v>1069</v>
      </c>
      <c r="C29" s="305" t="s">
        <v>842</v>
      </c>
      <c r="D29" s="305" t="s">
        <v>918</v>
      </c>
      <c r="E29" s="305" t="s">
        <v>1577</v>
      </c>
      <c r="F29" s="305" t="s">
        <v>1578</v>
      </c>
      <c r="G29" s="305" t="s">
        <v>1579</v>
      </c>
      <c r="H29" s="305" t="s">
        <v>1580</v>
      </c>
      <c r="I29" s="305" t="s">
        <v>980</v>
      </c>
      <c r="J29" s="305" t="s">
        <v>999</v>
      </c>
      <c r="K29" s="305" t="s">
        <v>1581</v>
      </c>
      <c r="L29" s="305" t="s">
        <v>1582</v>
      </c>
      <c r="M29" s="305" t="s">
        <v>1583</v>
      </c>
      <c r="N29" s="305" t="s">
        <v>1584</v>
      </c>
      <c r="O29" s="305" t="s">
        <v>814</v>
      </c>
      <c r="P29" s="305" t="s">
        <v>1585</v>
      </c>
      <c r="Q29" s="305" t="s">
        <v>1586</v>
      </c>
      <c r="R29" s="305" t="s">
        <v>1587</v>
      </c>
      <c r="S29" s="305" t="s">
        <v>1588</v>
      </c>
      <c r="T29" s="305" t="s">
        <v>804</v>
      </c>
      <c r="U29" s="305" t="s">
        <v>854</v>
      </c>
      <c r="V29" s="305" t="s">
        <v>808</v>
      </c>
      <c r="W29" s="305" t="s">
        <v>740</v>
      </c>
      <c r="X29" s="305" t="s">
        <v>1589</v>
      </c>
      <c r="Y29" s="305" t="s">
        <v>850</v>
      </c>
      <c r="Z29" s="305" t="s">
        <v>1016</v>
      </c>
      <c r="AA29" s="305" t="s">
        <v>807</v>
      </c>
      <c r="AB29" s="305" t="s">
        <v>1590</v>
      </c>
      <c r="AC29" s="305" t="s">
        <v>1591</v>
      </c>
      <c r="AD29" s="305" t="s">
        <v>1034</v>
      </c>
      <c r="AE29" s="305" t="s">
        <v>1592</v>
      </c>
      <c r="AF29" s="305" t="s">
        <v>1593</v>
      </c>
      <c r="AG29" s="305" t="s">
        <v>1594</v>
      </c>
      <c r="AH29" s="305" t="s">
        <v>1595</v>
      </c>
    </row>
    <row r="30" spans="2:34" ht="15" customHeight="1" x14ac:dyDescent="0.25">
      <c r="B30" s="252" t="s">
        <v>1070</v>
      </c>
      <c r="C30" s="305" t="s">
        <v>1596</v>
      </c>
      <c r="D30" s="305" t="s">
        <v>919</v>
      </c>
      <c r="E30" s="305" t="s">
        <v>940</v>
      </c>
      <c r="F30" s="305" t="s">
        <v>1597</v>
      </c>
      <c r="G30" s="305" t="s">
        <v>875</v>
      </c>
      <c r="H30" s="305" t="s">
        <v>848</v>
      </c>
      <c r="I30" s="305" t="s">
        <v>981</v>
      </c>
      <c r="J30" s="305" t="s">
        <v>1598</v>
      </c>
      <c r="K30" s="305" t="s">
        <v>880</v>
      </c>
      <c r="L30" s="305" t="s">
        <v>1599</v>
      </c>
      <c r="M30" s="305" t="s">
        <v>1600</v>
      </c>
      <c r="N30" s="305" t="s">
        <v>1601</v>
      </c>
      <c r="O30" s="305" t="s">
        <v>1602</v>
      </c>
      <c r="P30" s="305" t="s">
        <v>801</v>
      </c>
      <c r="Q30" s="305" t="s">
        <v>1603</v>
      </c>
      <c r="R30" s="305" t="s">
        <v>1604</v>
      </c>
      <c r="S30" s="305" t="s">
        <v>1605</v>
      </c>
      <c r="T30" s="305" t="s">
        <v>1606</v>
      </c>
      <c r="U30" s="305" t="s">
        <v>1607</v>
      </c>
      <c r="V30" s="305" t="s">
        <v>839</v>
      </c>
      <c r="W30" s="305" t="s">
        <v>1608</v>
      </c>
      <c r="X30" s="305" t="s">
        <v>1609</v>
      </c>
      <c r="Y30" s="305" t="s">
        <v>832</v>
      </c>
      <c r="Z30" s="305" t="s">
        <v>1017</v>
      </c>
      <c r="AA30" s="305" t="s">
        <v>1610</v>
      </c>
      <c r="AB30" s="305" t="s">
        <v>1611</v>
      </c>
      <c r="AC30" s="305" t="s">
        <v>838</v>
      </c>
      <c r="AD30" s="305" t="s">
        <v>1612</v>
      </c>
      <c r="AE30" s="305" t="s">
        <v>1613</v>
      </c>
      <c r="AF30" s="305" t="s">
        <v>1614</v>
      </c>
      <c r="AG30" s="305" t="s">
        <v>1615</v>
      </c>
      <c r="AH30" s="305" t="s">
        <v>1616</v>
      </c>
    </row>
    <row r="31" spans="2:34" ht="15" customHeight="1" x14ac:dyDescent="0.25">
      <c r="B31" s="252" t="s">
        <v>1071</v>
      </c>
      <c r="C31" s="305" t="s">
        <v>803</v>
      </c>
      <c r="D31" s="305" t="s">
        <v>1617</v>
      </c>
      <c r="E31" s="305" t="s">
        <v>941</v>
      </c>
      <c r="F31" s="305" t="s">
        <v>1618</v>
      </c>
      <c r="G31" s="305" t="s">
        <v>764</v>
      </c>
      <c r="H31" s="305"/>
      <c r="I31" s="305" t="s">
        <v>982</v>
      </c>
      <c r="J31" s="305" t="s">
        <v>1000</v>
      </c>
      <c r="K31" s="305" t="s">
        <v>1619</v>
      </c>
      <c r="L31" s="305" t="s">
        <v>766</v>
      </c>
      <c r="M31" s="305" t="s">
        <v>1620</v>
      </c>
      <c r="N31" s="305" t="s">
        <v>1621</v>
      </c>
      <c r="O31" s="305" t="s">
        <v>871</v>
      </c>
      <c r="P31" s="305" t="s">
        <v>1622</v>
      </c>
      <c r="Q31" s="305" t="s">
        <v>1623</v>
      </c>
      <c r="R31" s="305" t="s">
        <v>1624</v>
      </c>
      <c r="S31" s="305" t="s">
        <v>1625</v>
      </c>
      <c r="T31" s="305" t="s">
        <v>1626</v>
      </c>
      <c r="U31" s="305" t="s">
        <v>1627</v>
      </c>
      <c r="V31" s="305" t="s">
        <v>1628</v>
      </c>
      <c r="W31" s="305" t="s">
        <v>1629</v>
      </c>
      <c r="X31" s="305" t="s">
        <v>1630</v>
      </c>
      <c r="Y31" s="305" t="s">
        <v>1631</v>
      </c>
      <c r="Z31" s="305" t="s">
        <v>1018</v>
      </c>
      <c r="AA31" s="305" t="s">
        <v>1632</v>
      </c>
      <c r="AB31" s="305" t="s">
        <v>1633</v>
      </c>
      <c r="AC31" s="305" t="s">
        <v>751</v>
      </c>
      <c r="AD31" s="305" t="s">
        <v>1035</v>
      </c>
      <c r="AE31" s="305" t="s">
        <v>1634</v>
      </c>
      <c r="AF31" s="305" t="s">
        <v>1635</v>
      </c>
      <c r="AG31" s="305" t="s">
        <v>1636</v>
      </c>
      <c r="AH31" s="305" t="s">
        <v>1637</v>
      </c>
    </row>
    <row r="32" spans="2:34"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sheetData>
  <sheetProtection password="CBF1" sheet="1" objects="1" scenarios="1"/>
  <conditionalFormatting sqref="C6:AH31">
    <cfRule type="expression" dxfId="2" priority="1">
      <formula>COUNTIF($C$6:$AH$31,C6)&gt;1</formula>
    </cfRule>
  </conditionalFormatting>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CA152"/>
  <sheetViews>
    <sheetView showGridLines="0" topLeftCell="BQ1" zoomScaleNormal="100" workbookViewId="0">
      <selection activeCell="BQ5" sqref="BQ5"/>
    </sheetView>
  </sheetViews>
  <sheetFormatPr defaultColWidth="9.08984375" defaultRowHeight="14.5" x14ac:dyDescent="0.35"/>
  <cols>
    <col min="1" max="1" width="5.81640625" style="308" bestFit="1" customWidth="1"/>
    <col min="2" max="2" width="2.26953125" style="308" bestFit="1" customWidth="1"/>
    <col min="3" max="3" width="12.7265625" style="308" bestFit="1" customWidth="1"/>
    <col min="4" max="7" width="6" style="308" bestFit="1" customWidth="1"/>
    <col min="8" max="9" width="2.26953125" style="308" bestFit="1" customWidth="1"/>
    <col min="10" max="10" width="3.453125" style="308" customWidth="1"/>
    <col min="11" max="11" width="2.26953125" style="308" bestFit="1" customWidth="1"/>
    <col min="12" max="13" width="5.81640625" style="308" bestFit="1" customWidth="1"/>
    <col min="14" max="20" width="2.26953125" style="308" bestFit="1" customWidth="1"/>
    <col min="21" max="21" width="12.7265625" style="308" bestFit="1" customWidth="1"/>
    <col min="22" max="22" width="2.26953125" style="308" bestFit="1" customWidth="1"/>
    <col min="23" max="23" width="12.7265625" style="308" bestFit="1" customWidth="1"/>
    <col min="24" max="24" width="6.54296875" style="308" customWidth="1"/>
    <col min="25" max="25" width="9.08984375" style="308"/>
    <col min="26" max="31" width="2.26953125" style="308" bestFit="1" customWidth="1"/>
    <col min="32" max="32" width="2.90625" style="308" customWidth="1"/>
    <col min="33" max="48" width="2.26953125" style="308" bestFit="1" customWidth="1"/>
    <col min="49" max="49" width="1.81640625" style="308" bestFit="1" customWidth="1"/>
    <col min="50" max="63" width="2.26953125" style="308" bestFit="1" customWidth="1"/>
    <col min="64" max="64" width="9.08984375" style="308"/>
    <col min="65" max="65" width="9.90625" style="309" customWidth="1"/>
    <col min="66" max="66" width="3.26953125" style="310" customWidth="1"/>
    <col min="67" max="67" width="23" style="309" customWidth="1"/>
    <col min="68" max="68" width="30.90625" style="309" customWidth="1"/>
    <col min="69" max="69" width="40.81640625" style="309" customWidth="1"/>
    <col min="70" max="70" width="4.7265625" style="309" bestFit="1" customWidth="1"/>
    <col min="71" max="71" width="9.26953125" style="309" bestFit="1" customWidth="1"/>
    <col min="72" max="72" width="13.54296875" style="311" customWidth="1"/>
    <col min="73" max="74" width="9.453125" style="311" bestFit="1" customWidth="1"/>
    <col min="75" max="76" width="13.54296875" style="311" bestFit="1" customWidth="1"/>
    <col min="77" max="77" width="9.453125" style="309" bestFit="1" customWidth="1"/>
    <col min="78" max="79" width="9.08984375" style="309"/>
    <col min="80" max="16384" width="9.08984375" style="308"/>
  </cols>
  <sheetData>
    <row r="4" spans="1:78" x14ac:dyDescent="0.35">
      <c r="A4" s="308">
        <f ca="1">INDEX(M4:M35,MATCH(U4,C4:C35,0),0)</f>
        <v>1584</v>
      </c>
      <c r="B4" s="308">
        <v>1</v>
      </c>
      <c r="C4" s="308" t="str">
        <f>BZ7</f>
        <v>Senegal</v>
      </c>
      <c r="D4" s="308">
        <f ca="1">SUM(E4:G4)</f>
        <v>0</v>
      </c>
      <c r="E4" s="308">
        <f ca="1">SUMPRODUCT((Tournament!H5:H52&lt;&gt;"")*(Tournament!F5:F52=C4)*(Tournament!H5:H52&gt;Tournament!I5:I52)*1)+SUMPRODUCT((Tournament!H5:H52&lt;&gt;"")*(Tournament!K5:K52=C4)*(Tournament!I5:I52&gt;Tournament!H5:H52)*1)</f>
        <v>0</v>
      </c>
      <c r="F4" s="308">
        <f ca="1">SUMPRODUCT((Tournament!H5:H52&lt;&gt;"")*(Tournament!F5:F52=C4)*(Tournament!H5:H52=Tournament!I5:I52)*1)+SUMPRODUCT((Tournament!H5:H52&lt;&gt;"")*(Tournament!K5:K52=C4)*(Tournament!H5:H52=Tournament!I5:I52)*1)</f>
        <v>0</v>
      </c>
      <c r="G4" s="308">
        <f ca="1">SUMPRODUCT((Tournament!H5:H52&lt;&gt;"")*(Tournament!F5:F52=C4)*(Tournament!H5:H52&lt;Tournament!I5:I52)*1)+SUMPRODUCT((Tournament!H5:H52&lt;&gt;"")*(Tournament!K5:K52=C4)*(Tournament!I5:I52&lt;Tournament!H5:H52)*1)</f>
        <v>0</v>
      </c>
      <c r="H4" s="308">
        <f ca="1">SUMIF(Tournament!F5:F52,C4,Tournament!H5:H52)+SUMIF(Tournament!K5:K52,C4,Tournament!I5:I52)</f>
        <v>0</v>
      </c>
      <c r="I4" s="308">
        <f ca="1">SUMIF(Tournament!F5:F52,C4,Tournament!I5:I52)+SUMIF(Tournament!K5:K52,C4,Tournament!H5:H52)</f>
        <v>0</v>
      </c>
      <c r="J4" s="308">
        <f ca="1">H4-I4</f>
        <v>0</v>
      </c>
      <c r="K4" s="308">
        <f ca="1">F4*1+E4*3</f>
        <v>0</v>
      </c>
      <c r="L4" s="308">
        <f>Setup!E8</f>
        <v>1584</v>
      </c>
      <c r="M4" s="308">
        <f>IF(Setup!F8&lt;&gt;"",Setup!F8,Setup!E8)</f>
        <v>1584</v>
      </c>
      <c r="N4" s="308">
        <f ca="1">RANK(K4,K4:K7)</f>
        <v>1</v>
      </c>
      <c r="O4" s="308">
        <f ca="1">SUMPRODUCT((N4:N7=N4)*(J4:J7&gt;J4)*1)</f>
        <v>0</v>
      </c>
      <c r="P4" s="308">
        <f ca="1">N4+O4</f>
        <v>1</v>
      </c>
      <c r="Q4" s="308">
        <f ca="1">SUMPRODUCT((N4:N7=N4)*(J4:J7=J4)*(H4:H7&gt;H4)*1)</f>
        <v>0</v>
      </c>
      <c r="R4" s="308">
        <f ca="1">P4+Q4</f>
        <v>1</v>
      </c>
      <c r="S4" s="308">
        <f ca="1">RANK(R4,R4:R7,1)+COUNTIF(R4:R4,R4)-1</f>
        <v>1</v>
      </c>
      <c r="T4" s="308">
        <v>1</v>
      </c>
      <c r="U4" s="308" t="str">
        <f ca="1">INDEX(C4:C7,MATCH(T4,S4:S7,0),0)</f>
        <v>Senegal</v>
      </c>
      <c r="V4" s="308">
        <f ca="1">INDEX(R4:R7,MATCH(U4,C4:C7,0),0)</f>
        <v>1</v>
      </c>
      <c r="W4" s="308" t="str">
        <f ca="1">IF(V5=1,U4,"")</f>
        <v>Senegal</v>
      </c>
      <c r="Z4" s="308">
        <f ca="1">SUMPRODUCT((Tournament!F5:F52=W4)*(Tournament!K5:K52=W5)*(Tournament!H5:H52&gt;Tournament!I5:I52)*1)+SUMPRODUCT((Tournament!K5:K52=W4)*(Tournament!F5:F52=W5)*(Tournament!I5:I52&gt;Tournament!H5:H52)*1)+SUMPRODUCT((Tournament!F5:F52=W4)*(Tournament!K5:K52=W6)*(Tournament!H5:H52&gt;Tournament!I5:I52)*1)+SUMPRODUCT((Tournament!K5:K52=W4)*(Tournament!F5:F52=W6)*(Tournament!I5:I52&gt;Tournament!H5:H52)*1)+SUMPRODUCT((Tournament!F5:F52=W4)*(Tournament!K5:K52=W7)*(Tournament!H5:H52&gt;Tournament!I5:I52)*1)+SUMPRODUCT((Tournament!K5:K52=W4)*(Tournament!F5:F52=W7)*(Tournament!I5:I52&gt;Tournament!H5:H52)*1)</f>
        <v>0</v>
      </c>
      <c r="AA4" s="308">
        <f ca="1">SUMPRODUCT((Tournament!F5:F52=W4)*(Tournament!K5:K52=W5)*(Tournament!H5:H52=Tournament!I5:I52)*1)+SUMPRODUCT((Tournament!K5:K52=W4)*(Tournament!F5:F52=W5)*(Tournament!H5:H52=Tournament!I5:I52)*1)+SUMPRODUCT((Tournament!F5:F52=W4)*(Tournament!K5:K52=W6)*(Tournament!H5:H52=Tournament!I5:I52)*1)+SUMPRODUCT((Tournament!K5:K52=W4)*(Tournament!F5:F52=W6)*(Tournament!H5:H52=Tournament!I5:I52)*1)+SUMPRODUCT((Tournament!F5:F52=W4)*(Tournament!K5:K52=W7)*(Tournament!H5:H52=Tournament!I5:I52)*1)+SUMPRODUCT((Tournament!K5:K52=W4)*(Tournament!F5:F52=W7)*(Tournament!H5:H52=Tournament!I5:I52)*1)</f>
        <v>3</v>
      </c>
      <c r="AB4" s="308">
        <f ca="1">SUMPRODUCT((Tournament!F5:F52=W4)*(Tournament!K5:K52=W5)*(Tournament!H5:H52&lt;Tournament!I5:I52)*1)+SUMPRODUCT((Tournament!K5:K52=W4)*(Tournament!F5:F52=W5)*(Tournament!I5:I52&lt;Tournament!H5:H52)*1)+SUMPRODUCT((Tournament!F5:F52=W4)*(Tournament!K5:K52=W6)*(Tournament!H5:H52&lt;Tournament!I5:I52)*1)+SUMPRODUCT((Tournament!K5:K52=W4)*(Tournament!F5:F52=W6)*(Tournament!I5:I52&lt;Tournament!H5:H52)*1)+SUMPRODUCT((Tournament!F5:F52=W4)*(Tournament!K5:K52=W7)*(Tournament!H5:H52&lt;Tournament!I5:I52)*1)+SUMPRODUCT((Tournament!K5:K52=W4)*(Tournament!F5:F52=W7)*(Tournament!I5:I52&lt;Tournament!H5:H52)*1)</f>
        <v>0</v>
      </c>
      <c r="AC4" s="308">
        <f ca="1">SUMIFS(Tournament!H5:H52,Tournament!F5:F52,W4,Tournament!K5:K52,W5)+SUMIFS(Tournament!H5:H52,Tournament!F5:F52,W4,Tournament!K5:K52,W6)+SUMIFS(Tournament!H5:H52,Tournament!F5:F52,W4,Tournament!K5:K52,W7)+SUMIFS(Tournament!I5:I52,Tournament!K5:K52,W4,Tournament!F5:F52,W5)+SUMIFS(Tournament!I5:I52,Tournament!K5:K52,W4,Tournament!F5:F52,W6)+SUMIFS(Tournament!I5:I52,Tournament!K5:K52,W4,Tournament!F5:F52,W7)</f>
        <v>0</v>
      </c>
      <c r="AD4" s="308">
        <f ca="1">SUMIFS(Tournament!I5:I52,Tournament!F5:F52,W4,Tournament!K5:K52,W5)+SUMIFS(Tournament!I5:I52,Tournament!F5:F52,W4,Tournament!K5:K52,W6)+SUMIFS(Tournament!I5:I52,Tournament!F5:F52,W4,Tournament!K5:K52,W7)+SUMIFS(Tournament!H5:H52,Tournament!K5:K52,W4,Tournament!F5:F52,W5)+SUMIFS(Tournament!H5:H52,Tournament!K5:K52,W4,Tournament!F5:F52,W6)+SUMIFS(Tournament!H5:H52,Tournament!K5:K52,W4,Tournament!F5:F52,W7)</f>
        <v>0</v>
      </c>
      <c r="AE4" s="308">
        <f ca="1">AC4-AD4</f>
        <v>0</v>
      </c>
      <c r="AF4" s="308">
        <f ca="1">AA4*1+Z4*3</f>
        <v>3</v>
      </c>
      <c r="AG4" s="308">
        <f ca="1">IF(W4&lt;&gt;"",SUMPRODUCT((V4:V7=V4)*(AF4:AF7&gt;AF4)*1),0)</f>
        <v>0</v>
      </c>
      <c r="AH4" s="308">
        <f ca="1">IF(W4&lt;&gt;"",SUMPRODUCT((AG4:AG7=AG4)*(AE4:AE7&gt;AE4)*1),0)</f>
        <v>0</v>
      </c>
      <c r="AI4" s="308">
        <f t="shared" ref="AI4:AI35" ca="1" si="0">AG4+AH4</f>
        <v>0</v>
      </c>
      <c r="AJ4" s="308">
        <f ca="1">IF(W4&lt;&gt;"",SUMPRODUCT((AI4:AI7=AI4)*(AG4:AG7=AG4)*(AC4:AC7&gt;AC4)*1),0)</f>
        <v>0</v>
      </c>
      <c r="AK4" s="308">
        <f ca="1">V4+AI4+AJ4</f>
        <v>1</v>
      </c>
      <c r="AL4" s="308">
        <v>0</v>
      </c>
      <c r="AM4" s="308">
        <v>0</v>
      </c>
      <c r="AN4" s="308">
        <v>0</v>
      </c>
      <c r="AO4" s="308">
        <v>0</v>
      </c>
      <c r="AP4" s="308">
        <v>0</v>
      </c>
      <c r="AQ4" s="308">
        <v>0</v>
      </c>
      <c r="AR4" s="308">
        <v>0</v>
      </c>
      <c r="AS4" s="308">
        <v>0</v>
      </c>
      <c r="AT4" s="308">
        <v>0</v>
      </c>
      <c r="AU4" s="308">
        <v>0</v>
      </c>
      <c r="AV4" s="308">
        <v>0</v>
      </c>
      <c r="AW4" s="308">
        <f ca="1">AK4+AU4+AV4</f>
        <v>1</v>
      </c>
      <c r="AX4" s="308">
        <v>0</v>
      </c>
      <c r="AY4" s="308">
        <v>0</v>
      </c>
      <c r="AZ4" s="308">
        <v>0</v>
      </c>
      <c r="BA4" s="308">
        <v>0</v>
      </c>
      <c r="BB4" s="308">
        <v>0</v>
      </c>
      <c r="BC4" s="308">
        <v>0</v>
      </c>
      <c r="BD4" s="308">
        <v>0</v>
      </c>
      <c r="BE4" s="308">
        <v>0</v>
      </c>
      <c r="BF4" s="308">
        <v>0</v>
      </c>
      <c r="BG4" s="308">
        <v>0</v>
      </c>
      <c r="BH4" s="308">
        <v>0</v>
      </c>
      <c r="BI4" s="308">
        <f ca="1">AW4+BG4+BH4</f>
        <v>1</v>
      </c>
      <c r="BJ4" s="308">
        <f ca="1">SUMPRODUCT((BI4:BI7=BI4)*(A4:A7&gt;A4)*1)</f>
        <v>1</v>
      </c>
      <c r="BK4" s="308">
        <f ca="1">BJ4+BI4</f>
        <v>2</v>
      </c>
    </row>
    <row r="5" spans="1:78" x14ac:dyDescent="0.35">
      <c r="A5" s="308">
        <f ca="1">INDEX(M4:M35,MATCH(U5,C4:C35,0),0)</f>
        <v>1658</v>
      </c>
      <c r="B5" s="308">
        <v>2</v>
      </c>
      <c r="C5" s="308" t="str">
        <f t="shared" ref="C5:C35" si="1">BZ8</f>
        <v>Netherlands</v>
      </c>
      <c r="D5" s="308">
        <f t="shared" ref="D5:D35" ca="1" si="2">SUM(E5:G5)</f>
        <v>0</v>
      </c>
      <c r="E5" s="308">
        <f ca="1">SUMPRODUCT((Tournament!H5:H52&lt;&gt;"")*(Tournament!F5:F52=C5)*(Tournament!H5:H52&gt;Tournament!I5:I52)*1)+SUMPRODUCT((Tournament!H5:H52&lt;&gt;"")*(Tournament!K5:K52=C5)*(Tournament!I5:I52&gt;Tournament!H5:H52)*1)</f>
        <v>0</v>
      </c>
      <c r="F5" s="308">
        <f ca="1">SUMPRODUCT((Tournament!H5:H52&lt;&gt;"")*(Tournament!F5:F52=C5)*(Tournament!H5:H52=Tournament!I5:I52)*1)+SUMPRODUCT((Tournament!H5:H52&lt;&gt;"")*(Tournament!K5:K52=C5)*(Tournament!H5:H52=Tournament!I5:I52)*1)</f>
        <v>0</v>
      </c>
      <c r="G5" s="308">
        <f ca="1">SUMPRODUCT((Tournament!H5:H52&lt;&gt;"")*(Tournament!F5:F52=C5)*(Tournament!H5:H52&lt;Tournament!I5:I52)*1)+SUMPRODUCT((Tournament!H5:H52&lt;&gt;"")*(Tournament!K5:K52=C5)*(Tournament!I5:I52&lt;Tournament!H5:H52)*1)</f>
        <v>0</v>
      </c>
      <c r="H5" s="308">
        <f ca="1">SUMIF(Tournament!F5:F52,C5,Tournament!H5:H52)+SUMIF(Tournament!K5:K52,C5,Tournament!I5:I52)</f>
        <v>0</v>
      </c>
      <c r="I5" s="308">
        <f ca="1">SUMIF(Tournament!F5:F52,C5,Tournament!I5:I52)+SUMIF(Tournament!K5:K52,C5,Tournament!H5:H52)</f>
        <v>0</v>
      </c>
      <c r="J5" s="308">
        <f t="shared" ref="J5:J35" ca="1" si="3">H5-I5</f>
        <v>0</v>
      </c>
      <c r="K5" s="308">
        <f t="shared" ref="K5:K35" ca="1" si="4">F5*1+E5*3</f>
        <v>0</v>
      </c>
      <c r="L5" s="308">
        <f>Setup!E9</f>
        <v>1658</v>
      </c>
      <c r="M5" s="308">
        <f>IF(Setup!F9&lt;&gt;"",Setup!F9,Setup!E9)</f>
        <v>1658</v>
      </c>
      <c r="N5" s="308">
        <f ca="1">RANK(K5,K4:K7)</f>
        <v>1</v>
      </c>
      <c r="O5" s="308">
        <f ca="1">SUMPRODUCT((N4:N7=N5)*(J4:J7&gt;J5)*1)</f>
        <v>0</v>
      </c>
      <c r="P5" s="308">
        <f t="shared" ref="P5:P35" ca="1" si="5">N5+O5</f>
        <v>1</v>
      </c>
      <c r="Q5" s="308">
        <f ca="1">SUMPRODUCT((N4:N7=N5)*(J4:J7=J5)*(H4:H7&gt;H5)*1)</f>
        <v>0</v>
      </c>
      <c r="R5" s="308">
        <f t="shared" ref="R5:R35" ca="1" si="6">P5+Q5</f>
        <v>1</v>
      </c>
      <c r="S5" s="308">
        <f ca="1">RANK(R5,R4:R7,1)+COUNTIF(R4:R5,R5)-1</f>
        <v>2</v>
      </c>
      <c r="T5" s="308">
        <v>2</v>
      </c>
      <c r="U5" s="308" t="str">
        <f ca="1">INDEX(C4:C7,MATCH(T5,S4:S7,0),0)</f>
        <v>Netherlands</v>
      </c>
      <c r="V5" s="308">
        <f ca="1">INDEX(R4:R7,MATCH(U5,C4:C7,0),0)</f>
        <v>1</v>
      </c>
      <c r="W5" s="308" t="str">
        <f ca="1">IF(W4&lt;&gt;"",U5,"")</f>
        <v>Netherlands</v>
      </c>
      <c r="X5" s="308" t="str">
        <f ca="1">IF(V6=2,U5,"")</f>
        <v/>
      </c>
      <c r="Z5" s="308">
        <f ca="1">SUMPRODUCT((Tournament!F5:F52=W5)*(Tournament!K5:K52=W4)*(Tournament!H5:H52&gt;Tournament!I5:I52)*1)+SUMPRODUCT((Tournament!K5:K52=W5)*(Tournament!F5:F52=W4)*(Tournament!I5:I52&gt;Tournament!H5:H52)*1)+SUMPRODUCT((Tournament!F5:F52=W5)*(Tournament!K5:K52=W6)*(Tournament!H5:H52&gt;Tournament!I5:I52)*1)+SUMPRODUCT((Tournament!K5:K52=W5)*(Tournament!F5:F52=W6)*(Tournament!I5:I52&gt;Tournament!H5:H52)*1)+SUMPRODUCT((Tournament!F5:F52=W5)*(Tournament!K5:K52=W7)*(Tournament!H5:H52&gt;Tournament!I5:I52)*1)+SUMPRODUCT((Tournament!K5:K52=W5)*(Tournament!F5:F52=W7)*(Tournament!I5:I52&gt;Tournament!H5:H52)*1)</f>
        <v>0</v>
      </c>
      <c r="AA5" s="308">
        <f ca="1">SUMPRODUCT((Tournament!F5:F52=W5)*(Tournament!K5:K52=W4)*(Tournament!H5:H52=Tournament!I5:I52)*1)+SUMPRODUCT((Tournament!K5:K52=W5)*(Tournament!F5:F52=W4)*(Tournament!H5:H52=Tournament!I5:I52)*1)+SUMPRODUCT((Tournament!F5:F52=W5)*(Tournament!K5:K52=W6)*(Tournament!H5:H52=Tournament!I5:I52)*1)+SUMPRODUCT((Tournament!K5:K52=W5)*(Tournament!F5:F52=W6)*(Tournament!H5:H52=Tournament!I5:I52)*1)+SUMPRODUCT((Tournament!F5:F52=W5)*(Tournament!K5:K52=W7)*(Tournament!H5:H52=Tournament!I5:I52)*1)+SUMPRODUCT((Tournament!K5:K52=W5)*(Tournament!F5:F52=W7)*(Tournament!H5:H52=Tournament!I5:I52)*1)</f>
        <v>3</v>
      </c>
      <c r="AB5" s="308">
        <f ca="1">SUMPRODUCT((Tournament!F5:F52=W5)*(Tournament!K5:K52=W4)*(Tournament!H5:H52&lt;Tournament!I5:I52)*1)+SUMPRODUCT((Tournament!K5:K52=W5)*(Tournament!F5:F52=W4)*(Tournament!I5:I52&lt;Tournament!H5:H52)*1)+SUMPRODUCT((Tournament!F5:F52=W5)*(Tournament!K5:K52=W6)*(Tournament!H5:H52&lt;Tournament!I5:I52)*1)+SUMPRODUCT((Tournament!K5:K52=W5)*(Tournament!F5:F52=W6)*(Tournament!I5:I52&lt;Tournament!H5:H52)*1)+SUMPRODUCT((Tournament!F5:F52=W5)*(Tournament!K5:K52=W7)*(Tournament!H5:H52&lt;Tournament!I5:I52)*1)+SUMPRODUCT((Tournament!K5:K52=W5)*(Tournament!F5:F52=W7)*(Tournament!I5:I52&lt;Tournament!H5:H52)*1)</f>
        <v>0</v>
      </c>
      <c r="AC5" s="308">
        <f ca="1">SUMIFS(Tournament!H5:H52,Tournament!F5:F52,W5,Tournament!K5:K52,W4)+SUMIFS(Tournament!H5:H52,Tournament!F5:F52,W5,Tournament!K5:K52,W6)+SUMIFS(Tournament!H5:H52,Tournament!F5:F52,W5,Tournament!K5:K52,W7)+SUMIFS(Tournament!I5:I52,Tournament!K5:K52,W5,Tournament!F5:F52,W4)+SUMIFS(Tournament!I5:I52,Tournament!K5:K52,W5,Tournament!F5:F52,W6)+SUMIFS(Tournament!I5:I52,Tournament!K5:K52,W5,Tournament!F5:F52,W7)</f>
        <v>0</v>
      </c>
      <c r="AD5" s="308">
        <f ca="1">SUMIFS(Tournament!I5:I52,Tournament!F5:F52,W5,Tournament!K5:K52,W4)+SUMIFS(Tournament!I5:I52,Tournament!F5:F52,W5,Tournament!K5:K52,W6)+SUMIFS(Tournament!I5:I52,Tournament!F5:F52,W5,Tournament!K5:K52,W7)+SUMIFS(Tournament!H5:H52,Tournament!K5:K52,W5,Tournament!F5:F52,W4)+SUMIFS(Tournament!H5:H52,Tournament!K5:K52,W5,Tournament!F5:F52,W6)+SUMIFS(Tournament!H5:H52,Tournament!K5:K52,W5,Tournament!F5:F52,W7)</f>
        <v>0</v>
      </c>
      <c r="AE5" s="308">
        <f t="shared" ref="AE5:AE35" ca="1" si="7">AC5-AD5</f>
        <v>0</v>
      </c>
      <c r="AF5" s="308">
        <f t="shared" ref="AF5:AF35" ca="1" si="8">AA5*1+Z5*3</f>
        <v>3</v>
      </c>
      <c r="AG5" s="308">
        <f ca="1">IF(W5&lt;&gt;"",SUMPRODUCT((V4:V7=V5)*(AF4:AF7&gt;AF5)*1),0)</f>
        <v>0</v>
      </c>
      <c r="AH5" s="308">
        <f ca="1">IF(W5&lt;&gt;"",SUMPRODUCT((AG4:AG7=AG5)*(AE4:AE7&gt;AE5)*1),0)</f>
        <v>0</v>
      </c>
      <c r="AI5" s="308">
        <f t="shared" ca="1" si="0"/>
        <v>0</v>
      </c>
      <c r="AJ5" s="308">
        <f ca="1">IF(W5&lt;&gt;"",SUMPRODUCT((AI4:AI7=AI5)*(AG4:AG7=AG5)*(AC4:AC7&gt;AC5)*1),0)</f>
        <v>0</v>
      </c>
      <c r="AK5" s="308">
        <f t="shared" ref="AK5:AK35" ca="1" si="9">V5+AI5+AJ5</f>
        <v>1</v>
      </c>
      <c r="AL5" s="308">
        <f ca="1">SUMPRODUCT((Tournament!F5:F52=X5)*(Tournament!K5:K52=X6)*(Tournament!H5:H52&gt;Tournament!I5:I52)*1)+SUMPRODUCT((Tournament!K5:K52=X5)*(Tournament!F5:F52=X6)*(Tournament!I5:I52&gt;Tournament!H5:H52)*1)+SUMPRODUCT((Tournament!F5:F52=X5)*(Tournament!K5:K52=X7)*(Tournament!H5:H52&gt;Tournament!I5:I52)*1)+SUMPRODUCT((Tournament!K5:K52=X5)*(Tournament!F5:F52=X7)*(Tournament!I5:I52&gt;Tournament!H5:H52)*1)</f>
        <v>0</v>
      </c>
      <c r="AM5" s="308">
        <f ca="1">SUMPRODUCT((Tournament!F5:F52=X5)*(Tournament!K5:K52=X6)*(Tournament!H5:H52=Tournament!I5:I52)*1)+SUMPRODUCT((Tournament!K5:K52=X5)*(Tournament!F5:F52=X6)*(Tournament!H5:H52=Tournament!I5:I52)*1)+SUMPRODUCT((Tournament!F5:F52=X5)*(Tournament!K5:K52=X7)*(Tournament!H5:H52=Tournament!I5:I52)*1)+SUMPRODUCT((Tournament!K5:K52=X5)*(Tournament!F5:F52=X7)*(Tournament!H5:H52=Tournament!I5:I52)*1)</f>
        <v>0</v>
      </c>
      <c r="AN5" s="308">
        <f ca="1">SUMPRODUCT((Tournament!F5:F52=X5)*(Tournament!K5:K52=X6)*(Tournament!H5:H52&lt;Tournament!I5:I52)*1)+SUMPRODUCT((Tournament!K5:K52=X5)*(Tournament!F5:F52=X6)*(Tournament!I5:I52&lt;Tournament!H5:H52)*1)+SUMPRODUCT((Tournament!F5:F52=X5)*(Tournament!K5:K52=X7)*(Tournament!H5:H52&lt;Tournament!I5:I52)*1)+SUMPRODUCT((Tournament!K5:K52=X5)*(Tournament!F5:F52=X7)*(Tournament!I5:I52&lt;Tournament!H5:H52)*1)</f>
        <v>0</v>
      </c>
      <c r="AO5" s="308">
        <f ca="1">SUMIFS(Tournament!H5:H52,Tournament!F5:F52,X5,Tournament!K5:K52,X6)+SUMIFS(Tournament!H5:H52,Tournament!F5:F52,X5,Tournament!K5:K52,X7)+SUMIFS(Tournament!I5:I52,Tournament!K5:K52,X5,Tournament!F5:F52,X6)+SUMIFS(Tournament!I5:I52,Tournament!K5:K52,X5,Tournament!F5:F52,X7)</f>
        <v>0</v>
      </c>
      <c r="AP5" s="308">
        <f ca="1">SUMIFS(Tournament!I5:I52,Tournament!F5:F52,X5,Tournament!K5:K52,X6)+SUMIFS(Tournament!I5:I52,Tournament!F5:F52,X5,Tournament!K5:K52,X7)+SUMIFS(Tournament!H5:H52,Tournament!K5:K52,X5,Tournament!F5:F52,X6)+SUMIFS(Tournament!H5:H52,Tournament!K5:K52,X5,Tournament!F5:F52,X7)</f>
        <v>0</v>
      </c>
      <c r="AQ5" s="308">
        <f t="shared" ref="AQ5:AQ35" ca="1" si="10">AO5-AP5</f>
        <v>0</v>
      </c>
      <c r="AR5" s="308">
        <f t="shared" ref="AR5:AR35" ca="1" si="11">AM5*1+AL5*3</f>
        <v>0</v>
      </c>
      <c r="AS5" s="308">
        <f ca="1">IF(X5&lt;&gt;"",SUMPRODUCT((V4:V7=V5)*(AR4:AR7&gt;AR5)*1),0)</f>
        <v>0</v>
      </c>
      <c r="AT5" s="308">
        <f ca="1">IF(X5&lt;&gt;"",SUMPRODUCT((AS4:AS7=AS5)*(AQ4:AQ7&gt;AQ5)*1),0)</f>
        <v>0</v>
      </c>
      <c r="AU5" s="308">
        <f t="shared" ref="AU5:AU35" ca="1" si="12">AS5+AT5</f>
        <v>0</v>
      </c>
      <c r="AV5" s="308">
        <f ca="1">IF(X5&lt;&gt;"",SUMPRODUCT((AU4:AU7=AU5)*(AS4:AS7=AS5)*(AO4:AO7&gt;AO5)*1),0)</f>
        <v>0</v>
      </c>
      <c r="AW5" s="308">
        <f t="shared" ref="AW5:AW35" ca="1" si="13">AK5+AU5+AV5</f>
        <v>1</v>
      </c>
      <c r="AX5" s="308">
        <v>0</v>
      </c>
      <c r="AY5" s="308">
        <v>0</v>
      </c>
      <c r="AZ5" s="308">
        <v>0</v>
      </c>
      <c r="BA5" s="308">
        <v>0</v>
      </c>
      <c r="BB5" s="308">
        <v>0</v>
      </c>
      <c r="BC5" s="308">
        <v>0</v>
      </c>
      <c r="BD5" s="308">
        <v>0</v>
      </c>
      <c r="BE5" s="308">
        <v>0</v>
      </c>
      <c r="BF5" s="308">
        <v>0</v>
      </c>
      <c r="BG5" s="308">
        <v>0</v>
      </c>
      <c r="BH5" s="308">
        <v>0</v>
      </c>
      <c r="BI5" s="308">
        <f ca="1">AW5+BG5+BH5</f>
        <v>1</v>
      </c>
      <c r="BJ5" s="308">
        <f ca="1">SUMPRODUCT((BI4:BI7=BI5)*(A4:A7&gt;A5)*1)</f>
        <v>0</v>
      </c>
      <c r="BK5" s="308">
        <f t="shared" ref="BK5:BK35" ca="1" si="14">BJ5+BI5</f>
        <v>1</v>
      </c>
    </row>
    <row r="6" spans="1:78" x14ac:dyDescent="0.35">
      <c r="A6" s="308">
        <f ca="1">INDEX(M4:M35,MATCH(U6,C4:C35,0),0)</f>
        <v>1441</v>
      </c>
      <c r="B6" s="308">
        <v>3</v>
      </c>
      <c r="C6" s="308" t="str">
        <f t="shared" si="1"/>
        <v>Qatar</v>
      </c>
      <c r="D6" s="308">
        <f t="shared" ca="1" si="2"/>
        <v>0</v>
      </c>
      <c r="E6" s="308">
        <f ca="1">SUMPRODUCT((Tournament!H5:H52&lt;&gt;"")*(Tournament!F5:F52=C6)*(Tournament!H5:H52&gt;Tournament!I5:I52)*1)+SUMPRODUCT((Tournament!H5:H52&lt;&gt;"")*(Tournament!K5:K52=C6)*(Tournament!I5:I52&gt;Tournament!H5:H52)*1)</f>
        <v>0</v>
      </c>
      <c r="F6" s="308">
        <f ca="1">SUMPRODUCT((Tournament!H5:H52&lt;&gt;"")*(Tournament!F5:F52=C6)*(Tournament!H5:H52=Tournament!I5:I52)*1)+SUMPRODUCT((Tournament!H5:H52&lt;&gt;"")*(Tournament!K5:K52=C6)*(Tournament!H5:H52=Tournament!I5:I52)*1)</f>
        <v>0</v>
      </c>
      <c r="G6" s="308">
        <f ca="1">SUMPRODUCT((Tournament!H5:H52&lt;&gt;"")*(Tournament!F5:F52=C6)*(Tournament!H5:H52&lt;Tournament!I5:I52)*1)+SUMPRODUCT((Tournament!H5:H52&lt;&gt;"")*(Tournament!K5:K52=C6)*(Tournament!I5:I52&lt;Tournament!H5:H52)*1)</f>
        <v>0</v>
      </c>
      <c r="H6" s="308">
        <f ca="1">SUMIF(Tournament!F5:F52,C6,Tournament!H5:H52)+SUMIF(Tournament!K5:K52,C6,Tournament!I5:I52)</f>
        <v>0</v>
      </c>
      <c r="I6" s="308">
        <f ca="1">SUMIF(Tournament!F5:F52,C6,Tournament!I5:I52)+SUMIF(Tournament!K5:K52,C6,Tournament!H5:H52)</f>
        <v>0</v>
      </c>
      <c r="J6" s="308">
        <f t="shared" ca="1" si="3"/>
        <v>0</v>
      </c>
      <c r="K6" s="308">
        <f t="shared" ca="1" si="4"/>
        <v>0</v>
      </c>
      <c r="L6" s="308">
        <f>Setup!E10</f>
        <v>1441</v>
      </c>
      <c r="M6" s="308">
        <f>IF(Setup!F10&lt;&gt;"",Setup!F10,Setup!E10)</f>
        <v>1441</v>
      </c>
      <c r="N6" s="308">
        <f ca="1">RANK(K6,K4:K7)</f>
        <v>1</v>
      </c>
      <c r="O6" s="308">
        <f ca="1">SUMPRODUCT((N4:N7=N6)*(J4:J7&gt;J6)*1)</f>
        <v>0</v>
      </c>
      <c r="P6" s="308">
        <f t="shared" ca="1" si="5"/>
        <v>1</v>
      </c>
      <c r="Q6" s="308">
        <f ca="1">SUMPRODUCT((N4:N7=N6)*(J4:J7=J6)*(H4:H7&gt;H6)*1)</f>
        <v>0</v>
      </c>
      <c r="R6" s="308">
        <f t="shared" ca="1" si="6"/>
        <v>1</v>
      </c>
      <c r="S6" s="308">
        <f ca="1">RANK(R6,R4:R7,1)+COUNTIF(R4:R6,R6)-1</f>
        <v>3</v>
      </c>
      <c r="T6" s="308">
        <v>3</v>
      </c>
      <c r="U6" s="308" t="str">
        <f ca="1">INDEX(C4:C7,MATCH(T6,S4:S7,0),0)</f>
        <v>Qatar</v>
      </c>
      <c r="V6" s="308">
        <f ca="1">INDEX(R4:R7,MATCH(U6,C4:C7,0),0)</f>
        <v>1</v>
      </c>
      <c r="W6" s="308" t="str">
        <f ca="1">IF(AND(W5&lt;&gt;"",V6=1),U6,"")</f>
        <v>Qatar</v>
      </c>
      <c r="X6" s="308" t="str">
        <f ca="1">IF(X5&lt;&gt;"",U6,"")</f>
        <v/>
      </c>
      <c r="Y6" s="308" t="str">
        <f ca="1">IF(V7=3,U6,"")</f>
        <v/>
      </c>
      <c r="Z6" s="308">
        <f ca="1">SUMPRODUCT((Tournament!F5:F52=W6)*(Tournament!K5:K52=W4)*(Tournament!H5:H52&gt;Tournament!I5:I52)*1)+SUMPRODUCT((Tournament!K5:K52=W6)*(Tournament!F5:F52=W4)*(Tournament!I5:I52&gt;Tournament!H5:H52)*1)+SUMPRODUCT((Tournament!F5:F52=W6)*(Tournament!K5:K52=W5)*(Tournament!H5:H52&gt;Tournament!I5:I52)*1)+SUMPRODUCT((Tournament!K5:K52=W6)*(Tournament!F5:F52=W5)*(Tournament!I5:I52&gt;Tournament!H5:H52)*1)+SUMPRODUCT((Tournament!F5:F52=W6)*(Tournament!K5:K52=W7)*(Tournament!H5:H52&gt;Tournament!I5:I52)*1)+SUMPRODUCT((Tournament!K5:K52=W6)*(Tournament!F5:F52=W7)*(Tournament!I5:I52&gt;Tournament!H5:H52)*1)</f>
        <v>0</v>
      </c>
      <c r="AA6" s="308">
        <f ca="1">SUMPRODUCT((Tournament!F5:F52=W6)*(Tournament!K5:K52=W4)*(Tournament!H5:H52=Tournament!I5:I52)*1)+SUMPRODUCT((Tournament!K5:K52=W6)*(Tournament!F5:F52=W4)*(Tournament!H5:H52=Tournament!I5:I52)*1)+SUMPRODUCT((Tournament!F5:F52=W6)*(Tournament!K5:K52=W5)*(Tournament!H5:H52=Tournament!I5:I52)*1)+SUMPRODUCT((Tournament!K5:K52=W6)*(Tournament!F5:F52=W5)*(Tournament!H5:H52=Tournament!I5:I52)*1)+SUMPRODUCT((Tournament!F5:F52=W6)*(Tournament!K5:K52=W7)*(Tournament!H5:H52=Tournament!I5:I52)*1)+SUMPRODUCT((Tournament!K5:K52=W6)*(Tournament!F5:F52=W7)*(Tournament!H5:H52=Tournament!I5:I52)*1)</f>
        <v>3</v>
      </c>
      <c r="AB6" s="308">
        <f ca="1">SUMPRODUCT((Tournament!F5:F52=W6)*(Tournament!K5:K52=W4)*(Tournament!H5:H52&lt;Tournament!I5:I52)*1)+SUMPRODUCT((Tournament!K5:K52=W6)*(Tournament!F5:F52=W4)*(Tournament!I5:I52&lt;Tournament!H5:H52)*1)+SUMPRODUCT((Tournament!F5:F52=W6)*(Tournament!K5:K52=W5)*(Tournament!H5:H52&lt;Tournament!I5:I52)*1)+SUMPRODUCT((Tournament!K5:K52=W6)*(Tournament!F5:F52=W5)*(Tournament!I5:I52&lt;Tournament!H5:H52)*1)+SUMPRODUCT((Tournament!F5:F52=W6)*(Tournament!K5:K52=W7)*(Tournament!H5:H52&lt;Tournament!I5:I52)*1)+SUMPRODUCT((Tournament!K5:K52=W6)*(Tournament!F5:F52=W7)*(Tournament!I5:I52&lt;Tournament!H5:H52)*1)</f>
        <v>0</v>
      </c>
      <c r="AC6" s="308">
        <f ca="1">SUMIFS(Tournament!H5:H52,Tournament!F5:F52,W6,Tournament!K5:K52,W4)+SUMIFS(Tournament!H5:H52,Tournament!F5:F52,W6,Tournament!K5:K52,W5)+SUMIFS(Tournament!H5:H52,Tournament!F5:F52,W6,Tournament!K5:K52,W7)+SUMIFS(Tournament!I5:I52,Tournament!K5:K52,W6,Tournament!F5:F52,W4)+SUMIFS(Tournament!I5:I52,Tournament!K5:K52,W6,Tournament!F5:F52,W5)+SUMIFS(Tournament!I5:I52,Tournament!K5:K52,W6,Tournament!F5:F52,W7)</f>
        <v>0</v>
      </c>
      <c r="AD6" s="308">
        <f ca="1">SUMIFS(Tournament!I5:I52,Tournament!F5:F52,W6,Tournament!K5:K52,W4)+SUMIFS(Tournament!I5:I52,Tournament!F5:F52,W6,Tournament!K5:K52,W5)+SUMIFS(Tournament!I5:I52,Tournament!F5:F52,W6,Tournament!K5:K52,W7)+SUMIFS(Tournament!H5:H52,Tournament!K5:K52,W6,Tournament!F5:F52,W4)+SUMIFS(Tournament!H5:H52,Tournament!K5:K52,W6,Tournament!F5:F52,W5)+SUMIFS(Tournament!H5:H52,Tournament!K5:K52,W6,Tournament!F5:F52,W7)</f>
        <v>0</v>
      </c>
      <c r="AE6" s="308">
        <f t="shared" ca="1" si="7"/>
        <v>0</v>
      </c>
      <c r="AF6" s="308">
        <f t="shared" ca="1" si="8"/>
        <v>3</v>
      </c>
      <c r="AG6" s="308">
        <f ca="1">IF(W6&lt;&gt;"",SUMPRODUCT((V4:V7=V6)*(AF4:AF7&gt;AF6)*1),0)</f>
        <v>0</v>
      </c>
      <c r="AH6" s="308">
        <f ca="1">IF(W6&lt;&gt;"",SUMPRODUCT((AG4:AG7=AG6)*(AE4:AE7&gt;AE6)*1),0)</f>
        <v>0</v>
      </c>
      <c r="AI6" s="308">
        <f t="shared" ca="1" si="0"/>
        <v>0</v>
      </c>
      <c r="AJ6" s="308">
        <f ca="1">IF(W6&lt;&gt;"",SUMPRODUCT((AI4:AI7=AI6)*(AG4:AG7=AG6)*(AC4:AC7&gt;AC6)*1),0)</f>
        <v>0</v>
      </c>
      <c r="AK6" s="308">
        <f t="shared" ca="1" si="9"/>
        <v>1</v>
      </c>
      <c r="AL6" s="308">
        <f ca="1">SUMPRODUCT((Tournament!F5:F52=X6)*(Tournament!K5:K52=X5)*(Tournament!H5:H52&gt;Tournament!I5:I52)*1)+SUMPRODUCT((Tournament!K5:K52=X6)*(Tournament!F5:F52=X5)*(Tournament!I5:I52&gt;Tournament!H5:H52)*1)+SUMPRODUCT((Tournament!F5:F52=X6)*(Tournament!K5:K52=X7)*(Tournament!H5:H52&gt;Tournament!I5:I52)*1)+SUMPRODUCT((Tournament!K5:K52=X6)*(Tournament!F5:F52=X7)*(Tournament!I5:I52&gt;Tournament!H5:H52)*1)</f>
        <v>0</v>
      </c>
      <c r="AM6" s="308">
        <f ca="1">SUMPRODUCT((Tournament!F5:F52=X6)*(Tournament!K5:K52=X5)*(Tournament!H5:H52=Tournament!I5:I52)*1)+SUMPRODUCT((Tournament!K5:K52=X6)*(Tournament!F5:F52=X5)*(Tournament!H5:H52=Tournament!I5:I52)*1)+SUMPRODUCT((Tournament!F5:F52=X6)*(Tournament!K5:K52=X7)*(Tournament!H5:H52=Tournament!I5:I52)*1)+SUMPRODUCT((Tournament!K5:K52=X6)*(Tournament!F5:F52=X7)*(Tournament!H5:H52=Tournament!I5:I52)*1)</f>
        <v>0</v>
      </c>
      <c r="AN6" s="308">
        <f ca="1">SUMPRODUCT((Tournament!F5:F52=X6)*(Tournament!K5:K52=X5)*(Tournament!H5:H52&lt;Tournament!I5:I52)*1)+SUMPRODUCT((Tournament!K5:K52=X6)*(Tournament!F5:F52=X5)*(Tournament!I5:I52&lt;Tournament!H5:H52)*1)+SUMPRODUCT((Tournament!F5:F52=X6)*(Tournament!K5:K52=X7)*(Tournament!H5:H52&lt;Tournament!I5:I52)*1)+SUMPRODUCT((Tournament!K5:K52=X6)*(Tournament!F5:F52=X7)*(Tournament!I5:I52&lt;Tournament!H5:H52)*1)</f>
        <v>0</v>
      </c>
      <c r="AO6" s="308">
        <f ca="1">SUMIFS(Tournament!H5:H52,Tournament!F5:F52,X6,Tournament!K5:K52,X5)+SUMIFS(Tournament!H5:H52,Tournament!F5:F52,X6,Tournament!K5:K52,X7)+SUMIFS(Tournament!I5:I52,Tournament!K5:K52,X6,Tournament!F5:F52,X5)+SUMIFS(Tournament!I5:I52,Tournament!K5:K52,X6,Tournament!F5:F52,X7)</f>
        <v>0</v>
      </c>
      <c r="AP6" s="308">
        <f ca="1">SUMIFS(Tournament!I5:I52,Tournament!F5:F52,X6,Tournament!K5:K52,X5)+SUMIFS(Tournament!I5:I52,Tournament!F5:F52,X6,Tournament!K5:K52,X7)+SUMIFS(Tournament!H5:H52,Tournament!K5:K52,X6,Tournament!F5:F52,X5)+SUMIFS(Tournament!H5:H52,Tournament!K5:K52,X6,Tournament!F5:F52,X7)</f>
        <v>0</v>
      </c>
      <c r="AQ6" s="308">
        <f t="shared" ca="1" si="10"/>
        <v>0</v>
      </c>
      <c r="AR6" s="308">
        <f t="shared" ca="1" si="11"/>
        <v>0</v>
      </c>
      <c r="AS6" s="308">
        <f ca="1">IF(X6&lt;&gt;"",SUMPRODUCT((V4:V7=V6)*(AR4:AR7&gt;AR6)*1),0)</f>
        <v>0</v>
      </c>
      <c r="AT6" s="308">
        <f ca="1">IF(X6&lt;&gt;"",SUMPRODUCT((AS4:AS7=AS6)*(AQ4:AQ7&gt;AQ6)*1),0)</f>
        <v>0</v>
      </c>
      <c r="AU6" s="308">
        <f t="shared" ca="1" si="12"/>
        <v>0</v>
      </c>
      <c r="AV6" s="308">
        <f ca="1">IF(X6&lt;&gt;"",SUMPRODUCT((AU4:AU7=AU6)*(AS4:AS7=AS6)*(AO4:AO7&gt;AO6)*1),0)</f>
        <v>0</v>
      </c>
      <c r="AW6" s="308">
        <f t="shared" ca="1" si="13"/>
        <v>1</v>
      </c>
      <c r="AX6" s="308">
        <f ca="1">SUMPRODUCT((Tournament!F5:F52=Y6)*(Tournament!K5:K52=Y7)*(Tournament!H5:H52&gt;Tournament!I5:I52)*1)+SUMPRODUCT((Tournament!K5:K52=Y6)*(Tournament!F5:F52=Y7)*(Tournament!I5:I52&gt;Tournament!H5:H52)*1)</f>
        <v>0</v>
      </c>
      <c r="AY6" s="308">
        <f ca="1">SUMPRODUCT((Tournament!F5:F52=Y6)*(Tournament!K5:K52=Y7)*(Tournament!H5:H52=Tournament!I5:I52)*1)+SUMPRODUCT((Tournament!K5:K52=Y6)*(Tournament!F5:F52=Y7)*(Tournament!I5:I52=Tournament!H5:H52)*1)</f>
        <v>0</v>
      </c>
      <c r="AZ6" s="308">
        <f ca="1">SUMPRODUCT((Tournament!F5:F52=Y6)*(Tournament!K5:K52=Y7)*(Tournament!H5:H52&lt;Tournament!I5:I52)*1)+SUMPRODUCT((Tournament!K5:K52=Y6)*(Tournament!F5:F52=Y7)*(Tournament!I5:I52&lt;Tournament!H5:H52)*1)</f>
        <v>0</v>
      </c>
      <c r="BA6" s="308">
        <f ca="1">SUMIFS(Tournament!H5:H52,Tournament!F5:F52,Y6,Tournament!K5:K52,Y7)+SUMIFS(Tournament!I5:I52,Tournament!K5:K52,Y6,Tournament!F5:F52,Y7)</f>
        <v>0</v>
      </c>
      <c r="BB6" s="308">
        <f ca="1">SUMIFS(Tournament!I5:I52,Tournament!F5:F52,Y6,Tournament!K5:K52,Y7)+SUMIFS(Tournament!H5:H52,Tournament!K5:K52,Y6,Tournament!F5:F52,Y7)</f>
        <v>0</v>
      </c>
      <c r="BC6" s="308">
        <f t="shared" ref="BC6:BC7" ca="1" si="15">BA6-BB6</f>
        <v>0</v>
      </c>
      <c r="BD6" s="308">
        <f t="shared" ref="BD6:BD7" ca="1" si="16">AY6*1+AX6*3</f>
        <v>0</v>
      </c>
      <c r="BE6" s="308">
        <f ca="1">IF(Y6&lt;&gt;"",SUMPRODUCT((AH4:AH7=AH6)*(BD4:BD7&gt;BD6)*1),0)</f>
        <v>0</v>
      </c>
      <c r="BF6" s="308">
        <f ca="1">IF(Y6&lt;&gt;"",SUMPRODUCT((BE4:BE7=BE6)*(BC4:BC7&gt;BC6)*1),0)</f>
        <v>0</v>
      </c>
      <c r="BG6" s="308">
        <f ca="1">BE6+BF6</f>
        <v>0</v>
      </c>
      <c r="BH6" s="308">
        <f ca="1">IF(Y6&lt;&gt;"",SUMPRODUCT((BG4:BG7=BG6)*(BE4:BE7=BE6)*(BA4:BA7&gt;BA6)*1),0)</f>
        <v>0</v>
      </c>
      <c r="BI6" s="308">
        <f t="shared" ref="BI6:BI35" ca="1" si="17">AW6+BG6+BH6</f>
        <v>1</v>
      </c>
      <c r="BJ6" s="308">
        <f ca="1">SUMPRODUCT((BI4:BI7=BI6)*(A4:A7&gt;A6)*1)</f>
        <v>3</v>
      </c>
      <c r="BK6" s="308">
        <f t="shared" ca="1" si="14"/>
        <v>4</v>
      </c>
      <c r="BM6" s="312"/>
      <c r="BN6" s="312"/>
      <c r="BO6" s="312"/>
      <c r="BP6" s="312"/>
      <c r="BQ6" s="312"/>
      <c r="BT6" s="174"/>
      <c r="BU6" s="174"/>
      <c r="BV6" s="174"/>
      <c r="BW6" s="313"/>
      <c r="BX6" s="174"/>
    </row>
    <row r="7" spans="1:78" ht="15.5" x14ac:dyDescent="0.35">
      <c r="A7" s="308">
        <f ca="1">INDEX(M4:M35,MATCH(U7,C4:C35,0),0)</f>
        <v>1453</v>
      </c>
      <c r="B7" s="308">
        <v>4</v>
      </c>
      <c r="C7" s="308" t="str">
        <f t="shared" si="1"/>
        <v>Ecuador</v>
      </c>
      <c r="D7" s="308">
        <f t="shared" ca="1" si="2"/>
        <v>0</v>
      </c>
      <c r="E7" s="308">
        <f ca="1">SUMPRODUCT((Tournament!H5:H52&lt;&gt;"")*(Tournament!F5:F52=C7)*(Tournament!H5:H52&gt;Tournament!I5:I52)*1)+SUMPRODUCT((Tournament!H5:H52&lt;&gt;"")*(Tournament!K5:K52=C7)*(Tournament!I5:I52&gt;Tournament!H5:H52)*1)</f>
        <v>0</v>
      </c>
      <c r="F7" s="308">
        <f ca="1">SUMPRODUCT((Tournament!H5:H52&lt;&gt;"")*(Tournament!F5:F52=C7)*(Tournament!H5:H52=Tournament!I5:I52)*1)+SUMPRODUCT((Tournament!H5:H52&lt;&gt;"")*(Tournament!K5:K52=C7)*(Tournament!H5:H52=Tournament!I5:I52)*1)</f>
        <v>0</v>
      </c>
      <c r="G7" s="308">
        <f ca="1">SUMPRODUCT((Tournament!H5:H52&lt;&gt;"")*(Tournament!F5:F52=C7)*(Tournament!H5:H52&lt;Tournament!I5:I52)*1)+SUMPRODUCT((Tournament!H5:H52&lt;&gt;"")*(Tournament!K5:K52=C7)*(Tournament!I5:I52&lt;Tournament!H5:H52)*1)</f>
        <v>0</v>
      </c>
      <c r="H7" s="308">
        <f ca="1">SUMIF(Tournament!F5:F52,C7,Tournament!H5:H52)+SUMIF(Tournament!K5:K52,C7,Tournament!I5:I52)</f>
        <v>0</v>
      </c>
      <c r="I7" s="308">
        <f ca="1">SUMIF(Tournament!F5:F52,C7,Tournament!I5:I52)+SUMIF(Tournament!K5:K52,C7,Tournament!H5:H52)</f>
        <v>0</v>
      </c>
      <c r="J7" s="308">
        <f t="shared" ca="1" si="3"/>
        <v>0</v>
      </c>
      <c r="K7" s="308">
        <f t="shared" ca="1" si="4"/>
        <v>0</v>
      </c>
      <c r="L7" s="308">
        <f>Setup!E11</f>
        <v>1453</v>
      </c>
      <c r="M7" s="308">
        <f>IF(Setup!F11&lt;&gt;"",Setup!F11,Setup!E11)</f>
        <v>1453</v>
      </c>
      <c r="N7" s="308">
        <f ca="1">RANK(K7,K4:K7)</f>
        <v>1</v>
      </c>
      <c r="O7" s="308">
        <f ca="1">SUMPRODUCT((N4:N7=N7)*(J4:J7&gt;J7)*1)</f>
        <v>0</v>
      </c>
      <c r="P7" s="308">
        <f t="shared" ca="1" si="5"/>
        <v>1</v>
      </c>
      <c r="Q7" s="308">
        <f ca="1">SUMPRODUCT((N4:N7=N7)*(J4:J7=J7)*(H4:H7&gt;H7)*1)</f>
        <v>0</v>
      </c>
      <c r="R7" s="308">
        <f t="shared" ca="1" si="6"/>
        <v>1</v>
      </c>
      <c r="S7" s="308">
        <f ca="1">RANK(R7,R4:R7,1)+COUNTIF(R4:R7,R7)-1</f>
        <v>4</v>
      </c>
      <c r="T7" s="308">
        <v>4</v>
      </c>
      <c r="U7" s="308" t="str">
        <f ca="1">INDEX(C4:C7,MATCH(T7,S4:S7,0),0)</f>
        <v>Ecuador</v>
      </c>
      <c r="V7" s="308">
        <f ca="1">INDEX(R4:R7,MATCH(U7,C4:C7,0),0)</f>
        <v>1</v>
      </c>
      <c r="W7" s="308" t="str">
        <f ca="1">IF(AND(W6&lt;&gt;"",V7=1),U7,"")</f>
        <v>Ecuador</v>
      </c>
      <c r="X7" s="308" t="str">
        <f ca="1">IF(AND(X6&lt;&gt;"",V7=2),U7,"")</f>
        <v/>
      </c>
      <c r="Y7" s="308" t="str">
        <f ca="1">IF(AND(Y6&lt;&gt;"",V7=3),U7,"")</f>
        <v/>
      </c>
      <c r="Z7" s="308">
        <f ca="1">SUMPRODUCT((Tournament!F5:F52=W7)*(Tournament!K5:K52=W4)*(Tournament!H5:H52&gt;Tournament!I5:I52)*1)+SUMPRODUCT((Tournament!K5:K52=W7)*(Tournament!F5:F52=W4)*(Tournament!I5:I52&gt;Tournament!H5:H52)*1)+SUMPRODUCT((Tournament!F5:F52=W7)*(Tournament!K5:K52=W5)*(Tournament!H5:H52&gt;Tournament!I5:I52)*1)+SUMPRODUCT((Tournament!K5:K52=W7)*(Tournament!F5:F52=W5)*(Tournament!I5:I52&gt;Tournament!H5:H52)*1)+SUMPRODUCT((Tournament!F5:F52=W7)*(Tournament!K5:K52=W6)*(Tournament!H5:H52&gt;Tournament!I5:I52)*1)+SUMPRODUCT((Tournament!K5:K52=W7)*(Tournament!F5:F52=W6)*(Tournament!I5:I52&gt;Tournament!H5:H52)*1)</f>
        <v>0</v>
      </c>
      <c r="AA7" s="308">
        <f ca="1">SUMPRODUCT((Tournament!F5:F52=W7)*(Tournament!K5:K52=W4)*(Tournament!H5:H52=Tournament!I5:I52)*1)+SUMPRODUCT((Tournament!K5:K52=W7)*(Tournament!F5:F52=W4)*(Tournament!H5:H52=Tournament!I5:I52)*1)+SUMPRODUCT((Tournament!F5:F52=W7)*(Tournament!K5:K52=W5)*(Tournament!H5:H52=Tournament!I5:I52)*1)+SUMPRODUCT((Tournament!K5:K52=W7)*(Tournament!F5:F52=W5)*(Tournament!H5:H52=Tournament!I5:I52)*1)+SUMPRODUCT((Tournament!F5:F52=W7)*(Tournament!K5:K52=W6)*(Tournament!H5:H52=Tournament!I5:I52)*1)+SUMPRODUCT((Tournament!K5:K52=W7)*(Tournament!F5:F52=W6)*(Tournament!H5:H52=Tournament!I5:I52)*1)</f>
        <v>3</v>
      </c>
      <c r="AB7" s="308">
        <f ca="1">SUMPRODUCT((Tournament!F5:F52=W7)*(Tournament!K5:K52=W4)*(Tournament!H5:H52&lt;Tournament!I5:I52)*1)+SUMPRODUCT((Tournament!K5:K52=W7)*(Tournament!F5:F52=W4)*(Tournament!I5:I52&lt;Tournament!H5:H52)*1)+SUMPRODUCT((Tournament!F5:F52=W7)*(Tournament!K5:K52=W5)*(Tournament!H5:H52&lt;Tournament!I5:I52)*1)+SUMPRODUCT((Tournament!K5:K52=W7)*(Tournament!F5:F52=W5)*(Tournament!I5:I52&lt;Tournament!H5:H52)*1)+SUMPRODUCT((Tournament!F5:F52=W7)*(Tournament!K5:K52=W6)*(Tournament!H5:H52&lt;Tournament!I5:I52)*1)+SUMPRODUCT((Tournament!K5:K52=W7)*(Tournament!F5:F52=W6)*(Tournament!I5:I52&lt;Tournament!H5:H52)*1)</f>
        <v>0</v>
      </c>
      <c r="AC7" s="308">
        <f ca="1">SUMIFS(Tournament!H5:H52,Tournament!F5:F52,W7,Tournament!K5:K52,W4)+SUMIFS(Tournament!H5:H52,Tournament!F5:F52,W7,Tournament!K5:K52,W5)+SUMIFS(Tournament!H5:H52,Tournament!F5:F52,W7,Tournament!K5:K52,W6)+SUMIFS(Tournament!I5:I52,Tournament!K5:K52,W7,Tournament!F5:F52,W4)+SUMIFS(Tournament!I5:I52,Tournament!K5:K52,W7,Tournament!F5:F52,W5)+SUMIFS(Tournament!I5:I52,Tournament!K5:K52,W7,Tournament!F5:F52,W6)</f>
        <v>0</v>
      </c>
      <c r="AD7" s="308">
        <f ca="1">SUMIFS(Tournament!I5:I52,Tournament!F5:F52,W7,Tournament!K5:K52,W4)+SUMIFS(Tournament!I5:I52,Tournament!F5:F52,W7,Tournament!K5:K52,W5)+SUMIFS(Tournament!I5:I52,Tournament!F5:F52,W7,Tournament!K5:K52,W6)+SUMIFS(Tournament!H5:H52,Tournament!K5:K52,W7,Tournament!F5:F52,W4)+SUMIFS(Tournament!H5:H52,Tournament!K5:K52,W7,Tournament!F5:F52,W5)+SUMIFS(Tournament!H5:H52,Tournament!K5:K52,W7,Tournament!F5:F52,W6)</f>
        <v>0</v>
      </c>
      <c r="AE7" s="308">
        <f t="shared" ca="1" si="7"/>
        <v>0</v>
      </c>
      <c r="AF7" s="308">
        <f t="shared" ca="1" si="8"/>
        <v>3</v>
      </c>
      <c r="AG7" s="308">
        <f ca="1">IF(W7&lt;&gt;"",SUMPRODUCT((V4:V7=V7)*(AF4:AF7&gt;AF7)*1),0)</f>
        <v>0</v>
      </c>
      <c r="AH7" s="308">
        <f ca="1">IF(W7&lt;&gt;"",SUMPRODUCT((AG4:AG7=AG7)*(AE4:AE7&gt;AE7)*1),0)</f>
        <v>0</v>
      </c>
      <c r="AI7" s="308">
        <f t="shared" ca="1" si="0"/>
        <v>0</v>
      </c>
      <c r="AJ7" s="308">
        <f ca="1">IF(W7&lt;&gt;"",SUMPRODUCT((AI4:AI7=AI7)*(AG4:AG7=AG7)*(AC4:AC7&gt;AC7)*1),0)</f>
        <v>0</v>
      </c>
      <c r="AK7" s="308">
        <f t="shared" ca="1" si="9"/>
        <v>1</v>
      </c>
      <c r="AL7" s="308">
        <f ca="1">SUMPRODUCT((Tournament!F5:F52=X7)*(Tournament!K5:K52=X5)*(Tournament!H5:H52&gt;Tournament!I5:I52)*1)+SUMPRODUCT((Tournament!K5:K52=X7)*(Tournament!F5:F52=X5)*(Tournament!I5:I52&gt;Tournament!H5:H52)*1)+SUMPRODUCT((Tournament!F5:F52=X7)*(Tournament!K5:K52=X6)*(Tournament!H5:H52&gt;Tournament!I5:I52)*1)+SUMPRODUCT((Tournament!K5:K52=X7)*(Tournament!F5:F52=X6)*(Tournament!I5:I52&gt;Tournament!H5:H52)*1)</f>
        <v>0</v>
      </c>
      <c r="AM7" s="308">
        <f ca="1">SUMPRODUCT((Tournament!F5:F52=X7)*(Tournament!K5:K52=X5)*(Tournament!H5:H52=Tournament!I5:I52)*1)+SUMPRODUCT((Tournament!K5:K52=X7)*(Tournament!F5:F52=X5)*(Tournament!H5:H52=Tournament!I5:I52)*1)+SUMPRODUCT((Tournament!F5:F52=X7)*(Tournament!K5:K52=X6)*(Tournament!H5:H52=Tournament!I5:I52)*1)+SUMPRODUCT((Tournament!K5:K52=X7)*(Tournament!F5:F52=X6)*(Tournament!H5:H52=Tournament!I5:I52)*1)</f>
        <v>0</v>
      </c>
      <c r="AN7" s="308">
        <f ca="1">SUMPRODUCT((Tournament!F5:F52=X7)*(Tournament!K5:K52=X5)*(Tournament!H5:H52&lt;Tournament!I5:I52)*1)+SUMPRODUCT((Tournament!K5:K52=X7)*(Tournament!F5:F52=X5)*(Tournament!I5:I52&lt;Tournament!H5:H52)*1)+SUMPRODUCT((Tournament!F5:F52=X7)*(Tournament!K5:K52=X6)*(Tournament!H5:H52&lt;Tournament!I5:I52)*1)+SUMPRODUCT((Tournament!K5:K52=X7)*(Tournament!F5:F52=X6)*(Tournament!I5:I52&lt;Tournament!H5:H52)*1)</f>
        <v>0</v>
      </c>
      <c r="AO7" s="308">
        <f ca="1">SUMIFS(Tournament!H5:H52,Tournament!F5:F52,X7,Tournament!K5:K52,X5)+SUMIFS(Tournament!H5:H52,Tournament!F5:F52,X7,Tournament!K5:K52,X6)+SUMIFS(Tournament!I5:I52,Tournament!K5:K52,X7,Tournament!F5:F52,X5)+SUMIFS(Tournament!I5:I52,Tournament!K5:K52,X7,Tournament!F5:F52,X6)</f>
        <v>0</v>
      </c>
      <c r="AP7" s="308">
        <f ca="1">SUMIFS(Tournament!H5:H52,Tournament!F5:F52,X7,Tournament!K5:K52,X5)+SUMIFS(Tournament!H5:H52,Tournament!F5:F52,X7,Tournament!K5:K52,X6)+SUMIFS(Tournament!I5:I52,Tournament!K5:K52,X7,Tournament!F5:F52,X5)+SUMIFS(Tournament!I5:I52,Tournament!K5:K52,X7,Tournament!F5:F52,X6)</f>
        <v>0</v>
      </c>
      <c r="AQ7" s="308">
        <f t="shared" ca="1" si="10"/>
        <v>0</v>
      </c>
      <c r="AR7" s="308">
        <f t="shared" ca="1" si="11"/>
        <v>0</v>
      </c>
      <c r="AS7" s="308">
        <f ca="1">IF(X7&lt;&gt;"",SUMPRODUCT((V4:V7=V7)*(AR4:AR7&gt;AR7)*1),0)</f>
        <v>0</v>
      </c>
      <c r="AT7" s="308">
        <f ca="1">IF(X7&lt;&gt;"",SUMPRODUCT((AS4:AS7=AS7)*(AQ4:AQ7&gt;AQ7)*1),0)</f>
        <v>0</v>
      </c>
      <c r="AU7" s="308">
        <f t="shared" ca="1" si="12"/>
        <v>0</v>
      </c>
      <c r="AV7" s="308">
        <f ca="1">IF(X7&lt;&gt;"",SUMPRODUCT((AU4:AU7=AU7)*(AS4:AS7=AS7)*(AO4:AO7&gt;AO7)*1),0)</f>
        <v>0</v>
      </c>
      <c r="AW7" s="308">
        <f t="shared" ca="1" si="13"/>
        <v>1</v>
      </c>
      <c r="AX7" s="308">
        <f ca="1">SUMPRODUCT((Tournament!F5:F52=Y7)*(Tournament!K5:K52=Y6)*(Tournament!H5:H52&gt;Tournament!I5:I52)*1)+SUMPRODUCT((Tournament!K5:K52=Y7)*(Tournament!F5:F52=Y6)*(Tournament!I5:I52&gt;Tournament!H5:H52)*1)</f>
        <v>0</v>
      </c>
      <c r="AY7" s="308">
        <f ca="1">SUMPRODUCT((Tournament!F5:F52=Y7)*(Tournament!K5:K52=Y6)*(Tournament!H5:H52=Tournament!I5:I52)*1)+SUMPRODUCT((Tournament!K5:K52=Y7)*(Tournament!F5:F52=Y6)*(Tournament!I5:I52=Tournament!H5:H52)*1)</f>
        <v>0</v>
      </c>
      <c r="AZ7" s="308">
        <f ca="1">SUMPRODUCT((Tournament!F5:F52=Y7)*(Tournament!K5:K52=Y6)*(Tournament!H5:H52&lt;Tournament!I5:I52)*1)+SUMPRODUCT((Tournament!K5:K52=Y7)*(Tournament!F5:F52=Y6)*(Tournament!I5:I52&lt;Tournament!H5:H52)*1)</f>
        <v>0</v>
      </c>
      <c r="BA7" s="308">
        <f ca="1">SUMIFS(Tournament!H5:H52,Tournament!F5:F52,Y7,Tournament!K5:K52,Y6)+SUMIFS(Tournament!I5:I52,Tournament!K5:K52,Y7,Tournament!F5:F52,Y6)</f>
        <v>0</v>
      </c>
      <c r="BB7" s="308">
        <f ca="1">SUMIFS(Tournament!H5:H52,Tournament!F5:F52,Y7,Tournament!K5:K52,Y6)+SUMIFS(Tournament!I5:I52,Tournament!K5:K52,Y7,Tournament!F5:F52,Y6)</f>
        <v>0</v>
      </c>
      <c r="BC7" s="308">
        <f t="shared" ca="1" si="15"/>
        <v>0</v>
      </c>
      <c r="BD7" s="308">
        <f t="shared" ca="1" si="16"/>
        <v>0</v>
      </c>
      <c r="BE7" s="308">
        <f ca="1">IF(Y7&lt;&gt;"",SUMPRODUCT((AH4:AH7=AH7)*(BD4:BD7&gt;BD7)*1),0)</f>
        <v>0</v>
      </c>
      <c r="BF7" s="308">
        <f ca="1">IF(Y7&lt;&gt;"",SUMPRODUCT((BE4:BE7=BE7)*(BC4:BC7&gt;BC7)*1),0)</f>
        <v>0</v>
      </c>
      <c r="BG7" s="308">
        <f ca="1">BE7+BF7</f>
        <v>0</v>
      </c>
      <c r="BH7" s="308">
        <f ca="1">IF(Y7&lt;&gt;"",SUMPRODUCT((BG4:BG7=BG7)*(BE4:BE7=BE7)*(BA4:BA7&gt;BA7)*1),0)</f>
        <v>0</v>
      </c>
      <c r="BI7" s="308">
        <f t="shared" ca="1" si="17"/>
        <v>1</v>
      </c>
      <c r="BJ7" s="308">
        <f ca="1">SUMPRODUCT((BI4:BI7=BI7)*(A4:A7&gt;A7)*1)</f>
        <v>2</v>
      </c>
      <c r="BK7" s="308">
        <f t="shared" ca="1" si="14"/>
        <v>3</v>
      </c>
      <c r="BM7" s="314" t="s">
        <v>123</v>
      </c>
      <c r="BN7" s="315"/>
      <c r="BO7" s="316" t="str">
        <f>Calculator!C4</f>
        <v>Senegal</v>
      </c>
      <c r="BP7" s="317" t="s">
        <v>654</v>
      </c>
      <c r="BQ7" s="316"/>
      <c r="BR7" s="309">
        <v>1</v>
      </c>
      <c r="BS7" s="318">
        <v>-12</v>
      </c>
      <c r="BT7" s="319">
        <f>TimeZoneData</f>
        <v>0</v>
      </c>
      <c r="BU7" s="22">
        <v>1</v>
      </c>
      <c r="BV7" s="320">
        <f t="shared" ref="BV7:BV70" si="18">BW7</f>
        <v>44885.791666666664</v>
      </c>
      <c r="BW7" s="321">
        <v>44885.791666666664</v>
      </c>
      <c r="BX7" s="322">
        <f t="shared" ref="BX7:BX38" si="19">BW7+TimeZoneData/24</f>
        <v>44885.791666666664</v>
      </c>
      <c r="BY7" s="309">
        <f ca="1">SUM(Tournament!R5:R8)</f>
        <v>0</v>
      </c>
      <c r="BZ7" s="309" t="str">
        <f>INDEX(Language!A1:K117,MATCH(Setup!B8,Language!B1:B117,0),MATCH(Setup!C5,Language!A1:J1,0))</f>
        <v>Senegal</v>
      </c>
    </row>
    <row r="8" spans="1:78" x14ac:dyDescent="0.35">
      <c r="A8" s="308">
        <f ca="1">INDEX(M4:M35,MATCH(U8,C4:C35,0),0)</f>
        <v>1762</v>
      </c>
      <c r="B8" s="308">
        <f>B4</f>
        <v>1</v>
      </c>
      <c r="C8" s="308" t="str">
        <f t="shared" si="1"/>
        <v>England</v>
      </c>
      <c r="D8" s="308">
        <f t="shared" ca="1" si="2"/>
        <v>0</v>
      </c>
      <c r="E8" s="308">
        <f ca="1">SUMPRODUCT((Tournament!H5:H52&lt;&gt;"")*(Tournament!F5:F52=C8)*(Tournament!H5:H52&gt;Tournament!I5:I52)*1)+SUMPRODUCT((Tournament!H5:H52&lt;&gt;"")*(Tournament!K5:K52=C8)*(Tournament!I5:I52&gt;Tournament!H5:H52)*1)</f>
        <v>0</v>
      </c>
      <c r="F8" s="308">
        <f ca="1">SUMPRODUCT((Tournament!H5:H52&lt;&gt;"")*(Tournament!F5:F52=C8)*(Tournament!H5:H52=Tournament!I5:I52)*1)+SUMPRODUCT((Tournament!H5:H52&lt;&gt;"")*(Tournament!K5:K52=C8)*(Tournament!H5:H52=Tournament!I5:I52)*1)</f>
        <v>0</v>
      </c>
      <c r="G8" s="308">
        <f ca="1">SUMPRODUCT((Tournament!H5:H52&lt;&gt;"")*(Tournament!F5:F52=C8)*(Tournament!H5:H52&lt;Tournament!I5:I52)*1)+SUMPRODUCT((Tournament!H5:H52&lt;&gt;"")*(Tournament!K5:K52=C8)*(Tournament!I5:I52&lt;Tournament!H5:H52)*1)</f>
        <v>0</v>
      </c>
      <c r="H8" s="308">
        <f ca="1">SUMIF(Tournament!F5:F52,C8,Tournament!H5:H52)+SUMIF(Tournament!K5:K52,C8,Tournament!I5:I52)</f>
        <v>0</v>
      </c>
      <c r="I8" s="308">
        <f ca="1">SUMIF(Tournament!F5:F52,C8,Tournament!I5:I52)+SUMIF(Tournament!K5:K52,C8,Tournament!H5:H52)</f>
        <v>0</v>
      </c>
      <c r="J8" s="308">
        <f t="shared" ca="1" si="3"/>
        <v>0</v>
      </c>
      <c r="K8" s="308">
        <f t="shared" ca="1" si="4"/>
        <v>0</v>
      </c>
      <c r="L8" s="308">
        <f>Setup!E12</f>
        <v>1762</v>
      </c>
      <c r="M8" s="308">
        <f>IF(Setup!F12&lt;&gt;"",Setup!F12,Setup!E12)</f>
        <v>1762</v>
      </c>
      <c r="N8" s="308">
        <f ca="1">RANK(K8,K8:K11)</f>
        <v>1</v>
      </c>
      <c r="O8" s="308">
        <f ca="1">SUMPRODUCT((N8:N11=N8)*(J8:J11&gt;J8)*1)</f>
        <v>0</v>
      </c>
      <c r="P8" s="308">
        <f t="shared" ca="1" si="5"/>
        <v>1</v>
      </c>
      <c r="Q8" s="308">
        <f ca="1">SUMPRODUCT((N8:N11=N8)*(J8:J11=J8)*(H8:H11&gt;H8)*1)</f>
        <v>0</v>
      </c>
      <c r="R8" s="308">
        <f t="shared" ca="1" si="6"/>
        <v>1</v>
      </c>
      <c r="S8" s="308">
        <f ca="1">RANK(R8,R8:R11,1)+COUNTIF(R8:R8,R8)-1</f>
        <v>1</v>
      </c>
      <c r="T8" s="308">
        <v>1</v>
      </c>
      <c r="U8" s="308" t="str">
        <f t="shared" ref="U8" ca="1" si="20">INDEX(C8:C11,MATCH(T8,S8:S11,0),0)</f>
        <v>England</v>
      </c>
      <c r="V8" s="308">
        <f ca="1">INDEX(R8:R11,MATCH(U8,C8:C11,0),0)</f>
        <v>1</v>
      </c>
      <c r="W8" s="308" t="str">
        <f t="shared" ref="W8" ca="1" si="21">IF(V9=1,U8,"")</f>
        <v>England</v>
      </c>
      <c r="Z8" s="308">
        <f ca="1">SUMPRODUCT((Tournament!F5:F52=W8)*(Tournament!K5:K52=W9)*(Tournament!H5:H52&gt;Tournament!I5:I52)*1)+SUMPRODUCT((Tournament!K5:K52=W8)*(Tournament!F5:F52=W9)*(Tournament!I5:I52&gt;Tournament!H5:H52)*1)+SUMPRODUCT((Tournament!F5:F52=W8)*(Tournament!K5:K52=W10)*(Tournament!H5:H52&gt;Tournament!I5:I52)*1)+SUMPRODUCT((Tournament!K5:K52=W8)*(Tournament!F5:F52=W10)*(Tournament!I5:I52&gt;Tournament!H5:H52)*1)+SUMPRODUCT((Tournament!F5:F52=W8)*(Tournament!K5:K52=W11)*(Tournament!H5:H52&gt;Tournament!I5:I52)*1)+SUMPRODUCT((Tournament!K5:K52=W8)*(Tournament!F5:F52=W11)*(Tournament!I5:I52&gt;Tournament!H5:H52)*1)</f>
        <v>0</v>
      </c>
      <c r="AA8" s="308">
        <f ca="1">SUMPRODUCT((Tournament!F5:F52=W8)*(Tournament!K5:K52=W9)*(Tournament!H5:H52=Tournament!I5:I52)*1)+SUMPRODUCT((Tournament!K5:K52=W8)*(Tournament!F5:F52=W9)*(Tournament!H5:H52=Tournament!I5:I52)*1)+SUMPRODUCT((Tournament!F5:F52=W8)*(Tournament!K5:K52=W10)*(Tournament!H5:H52=Tournament!I5:I52)*1)+SUMPRODUCT((Tournament!K5:K52=W8)*(Tournament!F5:F52=W10)*(Tournament!H5:H52=Tournament!I5:I52)*1)+SUMPRODUCT((Tournament!F5:F52=W8)*(Tournament!K5:K52=W11)*(Tournament!H5:H52=Tournament!I5:I52)*1)+SUMPRODUCT((Tournament!K5:K52=W8)*(Tournament!F5:F52=W11)*(Tournament!H5:H52=Tournament!I5:I52)*1)</f>
        <v>3</v>
      </c>
      <c r="AB8" s="308">
        <f ca="1">SUMPRODUCT((Tournament!F5:F52=W8)*(Tournament!K5:K52=W9)*(Tournament!H5:H52&lt;Tournament!I5:I52)*1)+SUMPRODUCT((Tournament!K5:K52=W8)*(Tournament!F5:F52=W9)*(Tournament!I5:I52&lt;Tournament!H5:H52)*1)+SUMPRODUCT((Tournament!F5:F52=W8)*(Tournament!K5:K52=W10)*(Tournament!H5:H52&lt;Tournament!I5:I52)*1)+SUMPRODUCT((Tournament!K5:K52=W8)*(Tournament!F5:F52=W10)*(Tournament!I5:I52&lt;Tournament!H5:H52)*1)+SUMPRODUCT((Tournament!F5:F52=W8)*(Tournament!K5:K52=W11)*(Tournament!H5:H52&lt;Tournament!I5:I52)*1)+SUMPRODUCT((Tournament!K5:K52=W8)*(Tournament!F5:F52=W11)*(Tournament!I5:I52&lt;Tournament!H5:H52)*1)</f>
        <v>0</v>
      </c>
      <c r="AC8" s="308">
        <f ca="1">SUMIFS(Tournament!H5:H52,Tournament!F5:F52,W8,Tournament!K5:K52,W9)+SUMIFS(Tournament!H5:H52,Tournament!F5:F52,W8,Tournament!K5:K52,W10)+SUMIFS(Tournament!H5:H52,Tournament!F5:F52,W8,Tournament!K5:K52,W11)+SUMIFS(Tournament!I5:I52,Tournament!K5:K52,W8,Tournament!F5:F52,W9)+SUMIFS(Tournament!I5:I52,Tournament!K5:K52,W8,Tournament!F5:F52,W10)+SUMIFS(Tournament!I5:I52,Tournament!K5:K52,W8,Tournament!F5:F52,W11)</f>
        <v>0</v>
      </c>
      <c r="AD8" s="308">
        <f ca="1">SUMIFS(Tournament!I5:I52,Tournament!F5:F52,W8,Tournament!K5:K52,W9)+SUMIFS(Tournament!I5:I52,Tournament!F5:F52,W8,Tournament!K5:K52,W10)+SUMIFS(Tournament!I5:I52,Tournament!F5:F52,W8,Tournament!K5:K52,W11)+SUMIFS(Tournament!H5:H52,Tournament!K5:K52,W8,Tournament!F5:F52,W9)+SUMIFS(Tournament!H5:H52,Tournament!K5:K52,W8,Tournament!F5:F52,W10)+SUMIFS(Tournament!H5:H52,Tournament!K5:K52,W8,Tournament!F5:F52,W11)</f>
        <v>0</v>
      </c>
      <c r="AE8" s="308">
        <f t="shared" ca="1" si="7"/>
        <v>0</v>
      </c>
      <c r="AF8" s="308">
        <f t="shared" ca="1" si="8"/>
        <v>3</v>
      </c>
      <c r="AG8" s="308">
        <f t="shared" ref="AG8" ca="1" si="22">IF(W8&lt;&gt;"",SUMPRODUCT((V8:V11=V8)*(AF8:AF11&gt;AF8)*1),0)</f>
        <v>0</v>
      </c>
      <c r="AH8" s="308">
        <f t="shared" ref="AH8" ca="1" si="23">IF(W8&lt;&gt;"",SUMPRODUCT((AG8:AG11=AG8)*(AE8:AE11&gt;AE8)*1),0)</f>
        <v>0</v>
      </c>
      <c r="AI8" s="308">
        <f t="shared" ca="1" si="0"/>
        <v>0</v>
      </c>
      <c r="AJ8" s="308">
        <f t="shared" ref="AJ8" ca="1" si="24">IF(W8&lt;&gt;"",SUMPRODUCT((AI8:AI11=AI8)*(AG8:AG11=AG8)*(AC8:AC11&gt;AC8)*1),0)</f>
        <v>0</v>
      </c>
      <c r="AK8" s="308">
        <f t="shared" ca="1" si="9"/>
        <v>1</v>
      </c>
      <c r="AL8" s="308">
        <v>0</v>
      </c>
      <c r="AM8" s="308">
        <v>0</v>
      </c>
      <c r="AN8" s="308">
        <v>0</v>
      </c>
      <c r="AO8" s="308">
        <v>0</v>
      </c>
      <c r="AP8" s="308">
        <v>0</v>
      </c>
      <c r="AQ8" s="308">
        <f t="shared" si="10"/>
        <v>0</v>
      </c>
      <c r="AR8" s="308">
        <f t="shared" si="11"/>
        <v>0</v>
      </c>
      <c r="AS8" s="308">
        <v>0</v>
      </c>
      <c r="AT8" s="308">
        <v>0</v>
      </c>
      <c r="AU8" s="308">
        <f t="shared" si="12"/>
        <v>0</v>
      </c>
      <c r="AV8" s="308">
        <v>0</v>
      </c>
      <c r="AW8" s="308">
        <f t="shared" ca="1" si="13"/>
        <v>1</v>
      </c>
      <c r="AX8" s="308">
        <v>0</v>
      </c>
      <c r="AY8" s="308">
        <v>0</v>
      </c>
      <c r="AZ8" s="308">
        <v>0</v>
      </c>
      <c r="BA8" s="308">
        <v>0</v>
      </c>
      <c r="BB8" s="308">
        <v>0</v>
      </c>
      <c r="BC8" s="308">
        <v>0</v>
      </c>
      <c r="BD8" s="308">
        <v>0</v>
      </c>
      <c r="BE8" s="308">
        <v>0</v>
      </c>
      <c r="BF8" s="308">
        <v>0</v>
      </c>
      <c r="BG8" s="308">
        <v>0</v>
      </c>
      <c r="BH8" s="308">
        <v>0</v>
      </c>
      <c r="BI8" s="308">
        <f t="shared" ca="1" si="17"/>
        <v>1</v>
      </c>
      <c r="BJ8" s="308">
        <f ca="1">SUMPRODUCT((BI8:BI11=BI8)*(A8:A11&gt;A8)*1)</f>
        <v>0</v>
      </c>
      <c r="BK8" s="308">
        <f t="shared" ca="1" si="14"/>
        <v>1</v>
      </c>
      <c r="BM8" s="314"/>
      <c r="BN8" s="315"/>
      <c r="BO8" s="316" t="str">
        <f>Calculator!C5</f>
        <v>Netherlands</v>
      </c>
      <c r="BP8" s="317" t="s">
        <v>655</v>
      </c>
      <c r="BQ8" s="316"/>
      <c r="BR8" s="309">
        <v>2</v>
      </c>
      <c r="BS8" s="318">
        <v>-11.5</v>
      </c>
      <c r="BT8" s="174"/>
      <c r="BU8" s="22">
        <v>2</v>
      </c>
      <c r="BV8" s="320">
        <f t="shared" si="18"/>
        <v>44886.666666666664</v>
      </c>
      <c r="BW8" s="321">
        <v>44886.666666666664</v>
      </c>
      <c r="BX8" s="322">
        <f t="shared" si="19"/>
        <v>44886.666666666664</v>
      </c>
      <c r="BZ8" s="309" t="str">
        <f>INDEX(Language!A1:K117,MATCH(Setup!B9,Language!B1:B117,0),MATCH(Setup!C5,Language!A1:J1,0))</f>
        <v>Netherlands</v>
      </c>
    </row>
    <row r="9" spans="1:78" x14ac:dyDescent="0.35">
      <c r="A9" s="308">
        <f ca="1">INDEX(M4:M35,MATCH(U9,C4:C35,0),0)</f>
        <v>1564</v>
      </c>
      <c r="B9" s="308">
        <f t="shared" ref="B9:B33" si="25">B5</f>
        <v>2</v>
      </c>
      <c r="C9" s="308" t="str">
        <f t="shared" si="1"/>
        <v>Iran</v>
      </c>
      <c r="D9" s="308">
        <f t="shared" ca="1" si="2"/>
        <v>0</v>
      </c>
      <c r="E9" s="308">
        <f ca="1">SUMPRODUCT((Tournament!H5:H52&lt;&gt;"")*(Tournament!F5:F52=C9)*(Tournament!H5:H52&gt;Tournament!I5:I52)*1)+SUMPRODUCT((Tournament!H5:H52&lt;&gt;"")*(Tournament!K5:K52=C9)*(Tournament!I5:I52&gt;Tournament!H5:H52)*1)</f>
        <v>0</v>
      </c>
      <c r="F9" s="308">
        <f ca="1">SUMPRODUCT((Tournament!H5:H52&lt;&gt;"")*(Tournament!F5:F52=C9)*(Tournament!H5:H52=Tournament!I5:I52)*1)+SUMPRODUCT((Tournament!H5:H52&lt;&gt;"")*(Tournament!K5:K52=C9)*(Tournament!H5:H52=Tournament!I5:I52)*1)</f>
        <v>0</v>
      </c>
      <c r="G9" s="308">
        <f ca="1">SUMPRODUCT((Tournament!H5:H52&lt;&gt;"")*(Tournament!F5:F52=C9)*(Tournament!H5:H52&lt;Tournament!I5:I52)*1)+SUMPRODUCT((Tournament!H5:H52&lt;&gt;"")*(Tournament!K5:K52=C9)*(Tournament!I5:I52&lt;Tournament!H5:H52)*1)</f>
        <v>0</v>
      </c>
      <c r="H9" s="308">
        <f ca="1">SUMIF(Tournament!F5:F52,C9,Tournament!H5:H52)+SUMIF(Tournament!K5:K52,C9,Tournament!I5:I52)</f>
        <v>0</v>
      </c>
      <c r="I9" s="308">
        <f ca="1">SUMIF(Tournament!F5:F52,C9,Tournament!I5:I52)+SUMIF(Tournament!K5:K52,C9,Tournament!H5:H52)</f>
        <v>0</v>
      </c>
      <c r="J9" s="308">
        <f t="shared" ca="1" si="3"/>
        <v>0</v>
      </c>
      <c r="K9" s="308">
        <f t="shared" ca="1" si="4"/>
        <v>0</v>
      </c>
      <c r="L9" s="308">
        <f>Setup!E13</f>
        <v>1564</v>
      </c>
      <c r="M9" s="308">
        <f>IF(Setup!F13&lt;&gt;"",Setup!F13,Setup!E13)</f>
        <v>1564</v>
      </c>
      <c r="N9" s="308">
        <f ca="1">RANK(K9,K8:K11)</f>
        <v>1</v>
      </c>
      <c r="O9" s="308">
        <f ca="1">SUMPRODUCT((N8:N11=N9)*(J8:J11&gt;J9)*1)</f>
        <v>0</v>
      </c>
      <c r="P9" s="308">
        <f t="shared" ca="1" si="5"/>
        <v>1</v>
      </c>
      <c r="Q9" s="308">
        <f ca="1">SUMPRODUCT((N8:N11=N9)*(J8:J11=J9)*(H8:H11&gt;H9)*1)</f>
        <v>0</v>
      </c>
      <c r="R9" s="308">
        <f t="shared" ca="1" si="6"/>
        <v>1</v>
      </c>
      <c r="S9" s="308">
        <f ca="1">RANK(R9,R8:R11,1)+COUNTIF(R8:R9,R9)-1</f>
        <v>2</v>
      </c>
      <c r="T9" s="308">
        <v>2</v>
      </c>
      <c r="U9" s="308" t="str">
        <f t="shared" ref="U9" ca="1" si="26">INDEX(C8:C11,MATCH(T9,S8:S11,0),0)</f>
        <v>Iran</v>
      </c>
      <c r="V9" s="308">
        <f ca="1">INDEX(R8:R11,MATCH(U9,C8:C11,0),0)</f>
        <v>1</v>
      </c>
      <c r="W9" s="308" t="str">
        <f t="shared" ref="W9" ca="1" si="27">IF(W8&lt;&gt;"",U9,"")</f>
        <v>Iran</v>
      </c>
      <c r="X9" s="308" t="str">
        <f t="shared" ref="X9" ca="1" si="28">IF(V10=2,U9,"")</f>
        <v/>
      </c>
      <c r="Z9" s="308">
        <f ca="1">SUMPRODUCT((Tournament!F5:F52=W9)*(Tournament!K5:K52=W8)*(Tournament!H5:H52&gt;Tournament!I5:I52)*1)+SUMPRODUCT((Tournament!K5:K52=W9)*(Tournament!F5:F52=W8)*(Tournament!I5:I52&gt;Tournament!H5:H52)*1)+SUMPRODUCT((Tournament!F5:F52=W9)*(Tournament!K5:K52=W10)*(Tournament!H5:H52&gt;Tournament!I5:I52)*1)+SUMPRODUCT((Tournament!K5:K52=W9)*(Tournament!F5:F52=W10)*(Tournament!I5:I52&gt;Tournament!H5:H52)*1)+SUMPRODUCT((Tournament!F5:F52=W9)*(Tournament!K5:K52=W11)*(Tournament!H5:H52&gt;Tournament!I5:I52)*1)+SUMPRODUCT((Tournament!K5:K52=W9)*(Tournament!F5:F52=W11)*(Tournament!I5:I52&gt;Tournament!H5:H52)*1)</f>
        <v>0</v>
      </c>
      <c r="AA9" s="308">
        <f ca="1">SUMPRODUCT((Tournament!F5:F52=W9)*(Tournament!K5:K52=W8)*(Tournament!H5:H52=Tournament!I5:I52)*1)+SUMPRODUCT((Tournament!K5:K52=W9)*(Tournament!F5:F52=W8)*(Tournament!H5:H52=Tournament!I5:I52)*1)+SUMPRODUCT((Tournament!F5:F52=W9)*(Tournament!K5:K52=W10)*(Tournament!H5:H52=Tournament!I5:I52)*1)+SUMPRODUCT((Tournament!K5:K52=W9)*(Tournament!F5:F52=W10)*(Tournament!H5:H52=Tournament!I5:I52)*1)+SUMPRODUCT((Tournament!F5:F52=W9)*(Tournament!K5:K52=W11)*(Tournament!H5:H52=Tournament!I5:I52)*1)+SUMPRODUCT((Tournament!K5:K52=W9)*(Tournament!F5:F52=W11)*(Tournament!H5:H52=Tournament!I5:I52)*1)</f>
        <v>3</v>
      </c>
      <c r="AB9" s="308">
        <f ca="1">SUMPRODUCT((Tournament!F5:F52=W9)*(Tournament!K5:K52=W8)*(Tournament!H5:H52&lt;Tournament!I5:I52)*1)+SUMPRODUCT((Tournament!K5:K52=W9)*(Tournament!F5:F52=W8)*(Tournament!I5:I52&lt;Tournament!H5:H52)*1)+SUMPRODUCT((Tournament!F5:F52=W9)*(Tournament!K5:K52=W10)*(Tournament!H5:H52&lt;Tournament!I5:I52)*1)+SUMPRODUCT((Tournament!K5:K52=W9)*(Tournament!F5:F52=W10)*(Tournament!I5:I52&lt;Tournament!H5:H52)*1)+SUMPRODUCT((Tournament!F5:F52=W9)*(Tournament!K5:K52=W11)*(Tournament!H5:H52&lt;Tournament!I5:I52)*1)+SUMPRODUCT((Tournament!K5:K52=W9)*(Tournament!F5:F52=W11)*(Tournament!I5:I52&lt;Tournament!H5:H52)*1)</f>
        <v>0</v>
      </c>
      <c r="AC9" s="308">
        <f ca="1">SUMIFS(Tournament!H5:H52,Tournament!F5:F52,W9,Tournament!K5:K52,W8)+SUMIFS(Tournament!H5:H52,Tournament!F5:F52,W9,Tournament!K5:K52,W10)+SUMIFS(Tournament!H5:H52,Tournament!F5:F52,W9,Tournament!K5:K52,W11)+SUMIFS(Tournament!I5:I52,Tournament!K5:K52,W9,Tournament!F5:F52,W8)+SUMIFS(Tournament!I5:I52,Tournament!K5:K52,W9,Tournament!F5:F52,W10)+SUMIFS(Tournament!I5:I52,Tournament!K5:K52,W9,Tournament!F5:F52,W11)</f>
        <v>0</v>
      </c>
      <c r="AD9" s="308">
        <f ca="1">SUMIFS(Tournament!I5:I52,Tournament!F5:F52,W9,Tournament!K5:K52,W8)+SUMIFS(Tournament!I5:I52,Tournament!F5:F52,W9,Tournament!K5:K52,W10)+SUMIFS(Tournament!I5:I52,Tournament!F5:F52,W9,Tournament!K5:K52,W11)+SUMIFS(Tournament!H5:H52,Tournament!K5:K52,W9,Tournament!F5:F52,W8)+SUMIFS(Tournament!H5:H52,Tournament!K5:K52,W9,Tournament!F5:F52,W10)+SUMIFS(Tournament!H5:H52,Tournament!K5:K52,W9,Tournament!F5:F52,W11)</f>
        <v>0</v>
      </c>
      <c r="AE9" s="308">
        <f t="shared" ca="1" si="7"/>
        <v>0</v>
      </c>
      <c r="AF9" s="308">
        <f t="shared" ca="1" si="8"/>
        <v>3</v>
      </c>
      <c r="AG9" s="308">
        <f t="shared" ref="AG9" ca="1" si="29">IF(W9&lt;&gt;"",SUMPRODUCT((V8:V11=V9)*(AF8:AF11&gt;AF9)*1),0)</f>
        <v>0</v>
      </c>
      <c r="AH9" s="308">
        <f t="shared" ref="AH9" ca="1" si="30">IF(W9&lt;&gt;"",SUMPRODUCT((AG8:AG11=AG9)*(AE8:AE11&gt;AE9)*1),0)</f>
        <v>0</v>
      </c>
      <c r="AI9" s="308">
        <f t="shared" ca="1" si="0"/>
        <v>0</v>
      </c>
      <c r="AJ9" s="308">
        <f t="shared" ref="AJ9" ca="1" si="31">IF(W9&lt;&gt;"",SUMPRODUCT((AI8:AI11=AI9)*(AG8:AG11=AG9)*(AC8:AC11&gt;AC9)*1),0)</f>
        <v>0</v>
      </c>
      <c r="AK9" s="308">
        <f t="shared" ca="1" si="9"/>
        <v>1</v>
      </c>
      <c r="AL9" s="308">
        <f ca="1">SUMPRODUCT((Tournament!F5:F52=X9)*(Tournament!K5:K52=X10)*(Tournament!H5:H52&gt;Tournament!I5:I52)*1)+SUMPRODUCT((Tournament!K5:K52=X9)*(Tournament!F5:F52=X10)*(Tournament!I5:I52&gt;Tournament!H5:H52)*1)+SUMPRODUCT((Tournament!F5:F52=X9)*(Tournament!K5:K52=X11)*(Tournament!H5:H52&gt;Tournament!I5:I52)*1)+SUMPRODUCT((Tournament!K5:K52=X9)*(Tournament!F5:F52=X11)*(Tournament!I5:I52&gt;Tournament!H5:H52)*1)</f>
        <v>0</v>
      </c>
      <c r="AM9" s="308">
        <f ca="1">SUMPRODUCT((Tournament!F5:F52=X9)*(Tournament!K5:K52=X10)*(Tournament!H5:H52=Tournament!I5:I52)*1)+SUMPRODUCT((Tournament!K5:K52=X9)*(Tournament!F5:F52=X10)*(Tournament!H5:H52=Tournament!I5:I52)*1)+SUMPRODUCT((Tournament!F5:F52=X9)*(Tournament!K5:K52=X11)*(Tournament!H5:H52=Tournament!I5:I52)*1)+SUMPRODUCT((Tournament!K5:K52=X9)*(Tournament!F5:F52=X11)*(Tournament!H5:H52=Tournament!I5:I52)*1)</f>
        <v>0</v>
      </c>
      <c r="AN9" s="308">
        <f ca="1">SUMPRODUCT((Tournament!F5:F52=X9)*(Tournament!K5:K52=X10)*(Tournament!H5:H52&lt;Tournament!I5:I52)*1)+SUMPRODUCT((Tournament!K5:K52=X9)*(Tournament!F5:F52=X10)*(Tournament!I5:I52&lt;Tournament!H5:H52)*1)+SUMPRODUCT((Tournament!F5:F52=X9)*(Tournament!K5:K52=X11)*(Tournament!H5:H52&lt;Tournament!I5:I52)*1)+SUMPRODUCT((Tournament!K5:K52=X9)*(Tournament!F5:F52=X11)*(Tournament!I5:I52&lt;Tournament!H5:H52)*1)</f>
        <v>0</v>
      </c>
      <c r="AO9" s="308">
        <f ca="1">SUMIFS(Tournament!H5:H52,Tournament!F5:F52,X9,Tournament!K5:K52,X10)+SUMIFS(Tournament!H5:H52,Tournament!F5:F52,X9,Tournament!K5:K52,X11)+SUMIFS(Tournament!I5:I52,Tournament!K5:K52,X9,Tournament!F5:F52,X10)+SUMIFS(Tournament!I5:I52,Tournament!K5:K52,X9,Tournament!F5:F52,X11)</f>
        <v>0</v>
      </c>
      <c r="AP9" s="308">
        <f ca="1">SUMIFS(Tournament!I5:I52,Tournament!F5:F52,X9,Tournament!K5:K52,X10)+SUMIFS(Tournament!I5:I52,Tournament!F5:F52,X9,Tournament!K5:K52,X11)+SUMIFS(Tournament!H5:H52,Tournament!K5:K52,X9,Tournament!F5:F52,X10)+SUMIFS(Tournament!H5:H52,Tournament!K5:K52,X9,Tournament!F5:F52,X11)</f>
        <v>0</v>
      </c>
      <c r="AQ9" s="308">
        <f t="shared" ca="1" si="10"/>
        <v>0</v>
      </c>
      <c r="AR9" s="308">
        <f t="shared" ca="1" si="11"/>
        <v>0</v>
      </c>
      <c r="AS9" s="308">
        <f t="shared" ref="AS9" ca="1" si="32">IF(X9&lt;&gt;"",SUMPRODUCT((V8:V11=V9)*(AR8:AR11&gt;AR9)*1),0)</f>
        <v>0</v>
      </c>
      <c r="AT9" s="308">
        <f t="shared" ref="AT9" ca="1" si="33">IF(X9&lt;&gt;"",SUMPRODUCT((AS8:AS11=AS9)*(AQ8:AQ11&gt;AQ9)*1),0)</f>
        <v>0</v>
      </c>
      <c r="AU9" s="308">
        <f t="shared" ca="1" si="12"/>
        <v>0</v>
      </c>
      <c r="AV9" s="308">
        <f t="shared" ref="AV9" ca="1" si="34">IF(X9&lt;&gt;"",SUMPRODUCT((AU8:AU11=AU9)*(AS8:AS11=AS9)*(AO8:AO11&gt;AO9)*1),0)</f>
        <v>0</v>
      </c>
      <c r="AW9" s="308">
        <f t="shared" ca="1" si="13"/>
        <v>1</v>
      </c>
      <c r="AX9" s="308">
        <v>0</v>
      </c>
      <c r="AY9" s="308">
        <v>0</v>
      </c>
      <c r="AZ9" s="308">
        <v>0</v>
      </c>
      <c r="BA9" s="308">
        <v>0</v>
      </c>
      <c r="BB9" s="308">
        <v>0</v>
      </c>
      <c r="BC9" s="308">
        <v>0</v>
      </c>
      <c r="BD9" s="308">
        <v>0</v>
      </c>
      <c r="BE9" s="308">
        <v>0</v>
      </c>
      <c r="BF9" s="308">
        <v>0</v>
      </c>
      <c r="BG9" s="308">
        <v>0</v>
      </c>
      <c r="BH9" s="308">
        <v>0</v>
      </c>
      <c r="BI9" s="308">
        <f t="shared" ca="1" si="17"/>
        <v>1</v>
      </c>
      <c r="BJ9" s="308">
        <f ca="1">SUMPRODUCT((BI8:BI11=BI9)*(A8:A11&gt;A9)*1)</f>
        <v>3</v>
      </c>
      <c r="BK9" s="308">
        <f t="shared" ca="1" si="14"/>
        <v>4</v>
      </c>
      <c r="BM9" s="314"/>
      <c r="BN9" s="315"/>
      <c r="BO9" s="316" t="str">
        <f>Calculator!C6</f>
        <v>Qatar</v>
      </c>
      <c r="BP9" s="317" t="s">
        <v>656</v>
      </c>
      <c r="BQ9" s="316"/>
      <c r="BR9" s="309">
        <v>3</v>
      </c>
      <c r="BS9" s="318">
        <v>-11</v>
      </c>
      <c r="BT9" s="174"/>
      <c r="BU9" s="22">
        <v>3</v>
      </c>
      <c r="BV9" s="320">
        <f t="shared" si="18"/>
        <v>44886.791666666664</v>
      </c>
      <c r="BW9" s="321">
        <v>44886.791666666664</v>
      </c>
      <c r="BX9" s="322">
        <f t="shared" si="19"/>
        <v>44886.791666666664</v>
      </c>
      <c r="BZ9" s="309" t="str">
        <f>INDEX(Language!A1:K117,MATCH(Setup!B10,Language!B1:B117,0),MATCH(Setup!C5,Language!A1:J1,0))</f>
        <v>Qatar</v>
      </c>
    </row>
    <row r="10" spans="1:78" x14ac:dyDescent="0.35">
      <c r="A10" s="308">
        <f ca="1">INDEX(M4:M35,MATCH(U10,C4:C35,0),0)</f>
        <v>1634</v>
      </c>
      <c r="B10" s="308">
        <f t="shared" si="25"/>
        <v>3</v>
      </c>
      <c r="C10" s="308" t="str">
        <f t="shared" si="1"/>
        <v>United States</v>
      </c>
      <c r="D10" s="308">
        <f t="shared" ca="1" si="2"/>
        <v>0</v>
      </c>
      <c r="E10" s="308">
        <f ca="1">SUMPRODUCT((Tournament!H5:H52&lt;&gt;"")*(Tournament!F5:F52=C10)*(Tournament!H5:H52&gt;Tournament!I5:I52)*1)+SUMPRODUCT((Tournament!H5:H52&lt;&gt;"")*(Tournament!K5:K52=C10)*(Tournament!I5:I52&gt;Tournament!H5:H52)*1)</f>
        <v>0</v>
      </c>
      <c r="F10" s="308">
        <f ca="1">SUMPRODUCT((Tournament!H5:H52&lt;&gt;"")*(Tournament!F5:F52=C10)*(Tournament!H5:H52=Tournament!I5:I52)*1)+SUMPRODUCT((Tournament!H5:H52&lt;&gt;"")*(Tournament!K5:K52=C10)*(Tournament!H5:H52=Tournament!I5:I52)*1)</f>
        <v>0</v>
      </c>
      <c r="G10" s="308">
        <f ca="1">SUMPRODUCT((Tournament!H5:H52&lt;&gt;"")*(Tournament!F5:F52=C10)*(Tournament!H5:H52&lt;Tournament!I5:I52)*1)+SUMPRODUCT((Tournament!H5:H52&lt;&gt;"")*(Tournament!K5:K52=C10)*(Tournament!I5:I52&lt;Tournament!H5:H52)*1)</f>
        <v>0</v>
      </c>
      <c r="H10" s="308">
        <f ca="1">SUMIF(Tournament!F5:F52,C10,Tournament!H5:H52)+SUMIF(Tournament!K5:K52,C10,Tournament!I5:I52)</f>
        <v>0</v>
      </c>
      <c r="I10" s="308">
        <f ca="1">SUMIF(Tournament!F5:F52,C10,Tournament!I5:I52)+SUMIF(Tournament!K5:K52,C10,Tournament!H5:H52)</f>
        <v>0</v>
      </c>
      <c r="J10" s="308">
        <f t="shared" ca="1" si="3"/>
        <v>0</v>
      </c>
      <c r="K10" s="308">
        <f t="shared" ca="1" si="4"/>
        <v>0</v>
      </c>
      <c r="L10" s="308">
        <f>Setup!E14</f>
        <v>1634</v>
      </c>
      <c r="M10" s="308">
        <f>IF(Setup!F14&lt;&gt;"",Setup!F14,Setup!E14)</f>
        <v>1634</v>
      </c>
      <c r="N10" s="308">
        <f ca="1">RANK(K10,K8:K11)</f>
        <v>1</v>
      </c>
      <c r="O10" s="308">
        <f ca="1">SUMPRODUCT((N8:N11=N10)*(J8:J11&gt;J10)*1)</f>
        <v>0</v>
      </c>
      <c r="P10" s="308">
        <f t="shared" ca="1" si="5"/>
        <v>1</v>
      </c>
      <c r="Q10" s="308">
        <f ca="1">SUMPRODUCT((N8:N11=N10)*(J8:J11=J10)*(H8:H11&gt;H10)*1)</f>
        <v>0</v>
      </c>
      <c r="R10" s="308">
        <f t="shared" ca="1" si="6"/>
        <v>1</v>
      </c>
      <c r="S10" s="308">
        <f ca="1">RANK(R10,R8:R11,1)+COUNTIF(R8:R10,R10)-1</f>
        <v>3</v>
      </c>
      <c r="T10" s="308">
        <v>3</v>
      </c>
      <c r="U10" s="308" t="str">
        <f ca="1">INDEX(C8:C11,MATCH(T10,S8:S11,0),0)</f>
        <v>United States</v>
      </c>
      <c r="V10" s="308">
        <f ca="1">INDEX(R8:R11,MATCH(U10,C8:C11,0),0)</f>
        <v>1</v>
      </c>
      <c r="W10" s="308" t="str">
        <f t="shared" ref="W10:W11" ca="1" si="35">IF(AND(W9&lt;&gt;"",V10=1),U10,"")</f>
        <v>United States</v>
      </c>
      <c r="X10" s="308" t="str">
        <f t="shared" ref="X10" ca="1" si="36">IF(X9&lt;&gt;"",U10,"")</f>
        <v/>
      </c>
      <c r="Y10" s="308" t="str">
        <f t="shared" ref="Y10" ca="1" si="37">IF(V11=3,U10,"")</f>
        <v/>
      </c>
      <c r="Z10" s="308">
        <f ca="1">SUMPRODUCT((Tournament!F5:F52=W10)*(Tournament!K5:K52=W8)*(Tournament!H5:H52&gt;Tournament!I5:I52)*1)+SUMPRODUCT((Tournament!K5:K52=W10)*(Tournament!F5:F52=W8)*(Tournament!I5:I52&gt;Tournament!H5:H52)*1)+SUMPRODUCT((Tournament!F5:F52=W10)*(Tournament!K5:K52=W9)*(Tournament!H5:H52&gt;Tournament!I5:I52)*1)+SUMPRODUCT((Tournament!K5:K52=W10)*(Tournament!F5:F52=W9)*(Tournament!I5:I52&gt;Tournament!H5:H52)*1)+SUMPRODUCT((Tournament!F5:F52=W10)*(Tournament!K5:K52=W11)*(Tournament!H5:H52&gt;Tournament!I5:I52)*1)+SUMPRODUCT((Tournament!K5:K52=W10)*(Tournament!F5:F52=W11)*(Tournament!I5:I52&gt;Tournament!H5:H52)*1)</f>
        <v>0</v>
      </c>
      <c r="AA10" s="308">
        <f ca="1">SUMPRODUCT((Tournament!F5:F52=W10)*(Tournament!K5:K52=W8)*(Tournament!H5:H52=Tournament!I5:I52)*1)+SUMPRODUCT((Tournament!K5:K52=W10)*(Tournament!F5:F52=W8)*(Tournament!H5:H52=Tournament!I5:I52)*1)+SUMPRODUCT((Tournament!F5:F52=W10)*(Tournament!K5:K52=W9)*(Tournament!H5:H52=Tournament!I5:I52)*1)+SUMPRODUCT((Tournament!K5:K52=W10)*(Tournament!F5:F52=W9)*(Tournament!H5:H52=Tournament!I5:I52)*1)+SUMPRODUCT((Tournament!F5:F52=W10)*(Tournament!K5:K52=W11)*(Tournament!H5:H52=Tournament!I5:I52)*1)+SUMPRODUCT((Tournament!K5:K52=W10)*(Tournament!F5:F52=W11)*(Tournament!H5:H52=Tournament!I5:I52)*1)</f>
        <v>3</v>
      </c>
      <c r="AB10" s="308">
        <f ca="1">SUMPRODUCT((Tournament!F5:F52=W10)*(Tournament!K5:K52=W8)*(Tournament!H5:H52&lt;Tournament!I5:I52)*1)+SUMPRODUCT((Tournament!K5:K52=W10)*(Tournament!F5:F52=W8)*(Tournament!I5:I52&lt;Tournament!H5:H52)*1)+SUMPRODUCT((Tournament!F5:F52=W10)*(Tournament!K5:K52=W9)*(Tournament!H5:H52&lt;Tournament!I5:I52)*1)+SUMPRODUCT((Tournament!K5:K52=W10)*(Tournament!F5:F52=W9)*(Tournament!I5:I52&lt;Tournament!H5:H52)*1)+SUMPRODUCT((Tournament!F5:F52=W10)*(Tournament!K5:K52=W11)*(Tournament!H5:H52&lt;Tournament!I5:I52)*1)+SUMPRODUCT((Tournament!K5:K52=W10)*(Tournament!F5:F52=W11)*(Tournament!I5:I52&lt;Tournament!H5:H52)*1)</f>
        <v>0</v>
      </c>
      <c r="AC10" s="308">
        <f ca="1">SUMIFS(Tournament!H5:H52,Tournament!F5:F52,W10,Tournament!K5:K52,W8)+SUMIFS(Tournament!H5:H52,Tournament!F5:F52,W10,Tournament!K5:K52,W9)+SUMIFS(Tournament!H5:H52,Tournament!F5:F52,W10,Tournament!K5:K52,W11)+SUMIFS(Tournament!I5:I52,Tournament!K5:K52,W10,Tournament!F5:F52,W8)+SUMIFS(Tournament!I5:I52,Tournament!K5:K52,W10,Tournament!F5:F52,W9)+SUMIFS(Tournament!I5:I52,Tournament!K5:K52,W10,Tournament!F5:F52,W11)</f>
        <v>0</v>
      </c>
      <c r="AD10" s="308">
        <f ca="1">SUMIFS(Tournament!I5:I52,Tournament!F5:F52,W10,Tournament!K5:K52,W8)+SUMIFS(Tournament!I5:I52,Tournament!F5:F52,W10,Tournament!K5:K52,W9)+SUMIFS(Tournament!I5:I52,Tournament!F5:F52,W10,Tournament!K5:K52,W11)+SUMIFS(Tournament!H5:H52,Tournament!K5:K52,W10,Tournament!F5:F52,W8)+SUMIFS(Tournament!H5:H52,Tournament!K5:K52,W10,Tournament!F5:F52,W9)+SUMIFS(Tournament!H5:H52,Tournament!K5:K52,W10,Tournament!F5:F52,W11)</f>
        <v>0</v>
      </c>
      <c r="AE10" s="308">
        <f t="shared" ca="1" si="7"/>
        <v>0</v>
      </c>
      <c r="AF10" s="308">
        <f t="shared" ca="1" si="8"/>
        <v>3</v>
      </c>
      <c r="AG10" s="308">
        <f t="shared" ref="AG10" ca="1" si="38">IF(W10&lt;&gt;"",SUMPRODUCT((V8:V11=V10)*(AF8:AF11&gt;AF10)*1),0)</f>
        <v>0</v>
      </c>
      <c r="AH10" s="308">
        <f t="shared" ref="AH10" ca="1" si="39">IF(W10&lt;&gt;"",SUMPRODUCT((AG8:AG11=AG10)*(AE8:AE11&gt;AE10)*1),0)</f>
        <v>0</v>
      </c>
      <c r="AI10" s="308">
        <f t="shared" ca="1" si="0"/>
        <v>0</v>
      </c>
      <c r="AJ10" s="308">
        <f t="shared" ref="AJ10" ca="1" si="40">IF(W10&lt;&gt;"",SUMPRODUCT((AI8:AI11=AI10)*(AG8:AG11=AG10)*(AC8:AC11&gt;AC10)*1),0)</f>
        <v>0</v>
      </c>
      <c r="AK10" s="308">
        <f t="shared" ca="1" si="9"/>
        <v>1</v>
      </c>
      <c r="AL10" s="308">
        <f ca="1">SUMPRODUCT((Tournament!F5:F52=X10)*(Tournament!K5:K52=X9)*(Tournament!H5:H52&gt;Tournament!I5:I52)*1)+SUMPRODUCT((Tournament!K5:K52=X10)*(Tournament!F5:F52=X9)*(Tournament!I5:I52&gt;Tournament!H5:H52)*1)+SUMPRODUCT((Tournament!F5:F52=X10)*(Tournament!K5:K52=X11)*(Tournament!H5:H52&gt;Tournament!I5:I52)*1)+SUMPRODUCT((Tournament!K5:K52=X10)*(Tournament!F5:F52=X11)*(Tournament!I5:I52&gt;Tournament!H5:H52)*1)</f>
        <v>0</v>
      </c>
      <c r="AM10" s="308">
        <f ca="1">SUMPRODUCT((Tournament!F5:F52=X10)*(Tournament!K5:K52=X9)*(Tournament!H5:H52=Tournament!I5:I52)*1)+SUMPRODUCT((Tournament!K5:K52=X10)*(Tournament!F5:F52=X9)*(Tournament!H5:H52=Tournament!I5:I52)*1)+SUMPRODUCT((Tournament!F5:F52=X10)*(Tournament!K5:K52=X11)*(Tournament!H5:H52=Tournament!I5:I52)*1)+SUMPRODUCT((Tournament!K5:K52=X10)*(Tournament!F5:F52=X11)*(Tournament!H5:H52=Tournament!I5:I52)*1)</f>
        <v>0</v>
      </c>
      <c r="AN10" s="308">
        <f ca="1">SUMPRODUCT((Tournament!F5:F52=X10)*(Tournament!K5:K52=X9)*(Tournament!H5:H52&lt;Tournament!I5:I52)*1)+SUMPRODUCT((Tournament!K5:K52=X10)*(Tournament!F5:F52=X9)*(Tournament!I5:I52&lt;Tournament!H5:H52)*1)+SUMPRODUCT((Tournament!F5:F52=X10)*(Tournament!K5:K52=X11)*(Tournament!H5:H52&lt;Tournament!I5:I52)*1)+SUMPRODUCT((Tournament!K5:K52=X10)*(Tournament!F5:F52=X11)*(Tournament!I5:I52&lt;Tournament!H5:H52)*1)</f>
        <v>0</v>
      </c>
      <c r="AO10" s="308">
        <f ca="1">SUMIFS(Tournament!H5:H52,Tournament!F5:F52,X10,Tournament!K5:K52,X9)+SUMIFS(Tournament!H5:H52,Tournament!F5:F52,X10,Tournament!K5:K52,X11)+SUMIFS(Tournament!I5:I52,Tournament!K5:K52,X10,Tournament!F5:F52,X9)+SUMIFS(Tournament!I5:I52,Tournament!K5:K52,X10,Tournament!F5:F52,X11)</f>
        <v>0</v>
      </c>
      <c r="AP10" s="308">
        <f ca="1">SUMIFS(Tournament!I5:I52,Tournament!F5:F52,X10,Tournament!K5:K52,X9)+SUMIFS(Tournament!I5:I52,Tournament!F5:F52,X10,Tournament!K5:K52,X11)+SUMIFS(Tournament!H5:H52,Tournament!K5:K52,X10,Tournament!F5:F52,X9)+SUMIFS(Tournament!H5:H52,Tournament!K5:K52,X10,Tournament!F5:F52,X11)</f>
        <v>0</v>
      </c>
      <c r="AQ10" s="308">
        <f t="shared" ca="1" si="10"/>
        <v>0</v>
      </c>
      <c r="AR10" s="308">
        <f t="shared" ca="1" si="11"/>
        <v>0</v>
      </c>
      <c r="AS10" s="308">
        <f t="shared" ref="AS10" ca="1" si="41">IF(X10&lt;&gt;"",SUMPRODUCT((V8:V11=V10)*(AR8:AR11&gt;AR10)*1),0)</f>
        <v>0</v>
      </c>
      <c r="AT10" s="308">
        <f t="shared" ref="AT10" ca="1" si="42">IF(X10&lt;&gt;"",SUMPRODUCT((AS8:AS11=AS10)*(AQ8:AQ11&gt;AQ10)*1),0)</f>
        <v>0</v>
      </c>
      <c r="AU10" s="308">
        <f t="shared" ca="1" si="12"/>
        <v>0</v>
      </c>
      <c r="AV10" s="308">
        <f t="shared" ref="AV10" ca="1" si="43">IF(X10&lt;&gt;"",SUMPRODUCT((AU8:AU11=AU10)*(AS8:AS11=AS10)*(AO8:AO11&gt;AO10)*1),0)</f>
        <v>0</v>
      </c>
      <c r="AW10" s="308">
        <f t="shared" ca="1" si="13"/>
        <v>1</v>
      </c>
      <c r="AX10" s="308">
        <f ca="1">SUMPRODUCT((Tournament!F5:F52=Y10)*(Tournament!K5:K52=Y11)*(Tournament!H5:H52&gt;Tournament!I5:I52)*1)+SUMPRODUCT((Tournament!K5:K52=Y10)*(Tournament!F5:F52=Y11)*(Tournament!I5:I52&gt;Tournament!H5:H52)*1)</f>
        <v>0</v>
      </c>
      <c r="AY10" s="308">
        <f ca="1">SUMPRODUCT((Tournament!F5:F52=Y10)*(Tournament!K5:K52=Y11)*(Tournament!H5:H52=Tournament!I5:I52)*1)+SUMPRODUCT((Tournament!K5:K52=Y10)*(Tournament!F5:F52=Y11)*(Tournament!I5:I52=Tournament!H5:H52)*1)</f>
        <v>0</v>
      </c>
      <c r="AZ10" s="308">
        <f ca="1">SUMPRODUCT((Tournament!F5:F52=Y10)*(Tournament!K5:K52=Y11)*(Tournament!H5:H52&lt;Tournament!I5:I52)*1)+SUMPRODUCT((Tournament!K5:K52=Y10)*(Tournament!F5:F52=Y11)*(Tournament!I5:I52&lt;Tournament!H5:H52)*1)</f>
        <v>0</v>
      </c>
      <c r="BA10" s="308">
        <f ca="1">SUMIFS(Tournament!H5:H52,Tournament!F5:F52,Y10,Tournament!K5:K52,Y11)+SUMIFS(Tournament!I5:I52,Tournament!K5:K52,Y10,Tournament!F5:F52,Y11)</f>
        <v>0</v>
      </c>
      <c r="BB10" s="308">
        <f ca="1">SUMIFS(Tournament!I5:I52,Tournament!F5:F52,Y10,Tournament!K5:K52,Y11)+SUMIFS(Tournament!H5:H52,Tournament!K5:K52,Y10,Tournament!F5:F52,Y11)</f>
        <v>0</v>
      </c>
      <c r="BC10" s="308">
        <f t="shared" ref="BC10:BC11" ca="1" si="44">BA10-BB10</f>
        <v>0</v>
      </c>
      <c r="BD10" s="308">
        <f t="shared" ref="BD10:BD11" ca="1" si="45">AY10*1+AX10*3</f>
        <v>0</v>
      </c>
      <c r="BE10" s="308">
        <f t="shared" ref="BE10" ca="1" si="46">IF(Y10&lt;&gt;"",SUMPRODUCT((AH8:AH11=AH10)*(BD8:BD11&gt;BD10)*1),0)</f>
        <v>0</v>
      </c>
      <c r="BF10" s="308">
        <f t="shared" ref="BF10" ca="1" si="47">IF(Y10&lt;&gt;"",SUMPRODUCT((BE8:BE11=BE10)*(BC8:BC11&gt;BC10)*1),0)</f>
        <v>0</v>
      </c>
      <c r="BG10" s="308">
        <f t="shared" ref="BG10:BG11" ca="1" si="48">BE10+BF10</f>
        <v>0</v>
      </c>
      <c r="BH10" s="308">
        <f t="shared" ref="BH10" ca="1" si="49">IF(Y10&lt;&gt;"",SUMPRODUCT((BG8:BG11=BG10)*(BE8:BE11=BE10)*(BA8:BA11&gt;BA10)*1),0)</f>
        <v>0</v>
      </c>
      <c r="BI10" s="308">
        <f t="shared" ca="1" si="17"/>
        <v>1</v>
      </c>
      <c r="BJ10" s="308">
        <f ca="1">SUMPRODUCT((BI8:BI11=BI10)*(A8:A11&gt;A10)*1)</f>
        <v>1</v>
      </c>
      <c r="BK10" s="308">
        <f t="shared" ca="1" si="14"/>
        <v>2</v>
      </c>
      <c r="BM10" s="314"/>
      <c r="BN10" s="315"/>
      <c r="BO10" s="316" t="str">
        <f>Calculator!C7</f>
        <v>Ecuador</v>
      </c>
      <c r="BP10" s="317" t="s">
        <v>657</v>
      </c>
      <c r="BQ10" s="316"/>
      <c r="BR10" s="309">
        <v>4</v>
      </c>
      <c r="BS10" s="318">
        <v>-10.5</v>
      </c>
      <c r="BT10" s="174"/>
      <c r="BU10" s="22">
        <v>4</v>
      </c>
      <c r="BV10" s="320">
        <f t="shared" si="18"/>
        <v>44886.916666666664</v>
      </c>
      <c r="BW10" s="321">
        <v>44886.916666666664</v>
      </c>
      <c r="BX10" s="322">
        <f t="shared" si="19"/>
        <v>44886.916666666664</v>
      </c>
      <c r="BZ10" s="309" t="str">
        <f>INDEX(Language!A1:K117,MATCH(Setup!B11,Language!B1:B117,0),MATCH(Setup!C5,Language!A1:J1,0))</f>
        <v>Ecuador</v>
      </c>
    </row>
    <row r="11" spans="1:78" ht="15.5" x14ac:dyDescent="0.35">
      <c r="A11" s="308">
        <f ca="1">INDEX(M4:M35,MATCH(U11,C4:C35,0),0)</f>
        <v>1588</v>
      </c>
      <c r="B11" s="308">
        <f t="shared" si="25"/>
        <v>4</v>
      </c>
      <c r="C11" s="308" t="str">
        <f t="shared" si="1"/>
        <v>Wales</v>
      </c>
      <c r="D11" s="308">
        <f t="shared" ca="1" si="2"/>
        <v>0</v>
      </c>
      <c r="E11" s="308">
        <f ca="1">SUMPRODUCT((Tournament!H5:H52&lt;&gt;"")*(Tournament!F5:F52=C11)*(Tournament!H5:H52&gt;Tournament!I5:I52)*1)+SUMPRODUCT((Tournament!H5:H52&lt;&gt;"")*(Tournament!K5:K52=C11)*(Tournament!I5:I52&gt;Tournament!H5:H52)*1)</f>
        <v>0</v>
      </c>
      <c r="F11" s="308">
        <f ca="1">SUMPRODUCT((Tournament!H5:H52&lt;&gt;"")*(Tournament!F5:F52=C11)*(Tournament!H5:H52=Tournament!I5:I52)*1)+SUMPRODUCT((Tournament!H5:H52&lt;&gt;"")*(Tournament!K5:K52=C11)*(Tournament!H5:H52=Tournament!I5:I52)*1)</f>
        <v>0</v>
      </c>
      <c r="G11" s="308">
        <f ca="1">SUMPRODUCT((Tournament!H5:H52&lt;&gt;"")*(Tournament!F5:F52=C11)*(Tournament!H5:H52&lt;Tournament!I5:I52)*1)+SUMPRODUCT((Tournament!H5:H52&lt;&gt;"")*(Tournament!K5:K52=C11)*(Tournament!I5:I52&lt;Tournament!H5:H52)*1)</f>
        <v>0</v>
      </c>
      <c r="H11" s="308">
        <f ca="1">SUMIF(Tournament!F5:F52,C11,Tournament!H5:H52)+SUMIF(Tournament!K5:K52,C11,Tournament!I5:I52)</f>
        <v>0</v>
      </c>
      <c r="I11" s="308">
        <f ca="1">SUMIF(Tournament!F5:F52,C11,Tournament!I5:I52)+SUMIF(Tournament!K5:K52,C11,Tournament!H5:H52)</f>
        <v>0</v>
      </c>
      <c r="J11" s="308">
        <f t="shared" ca="1" si="3"/>
        <v>0</v>
      </c>
      <c r="K11" s="308">
        <f t="shared" ca="1" si="4"/>
        <v>0</v>
      </c>
      <c r="L11" s="308">
        <f>Setup!E15</f>
        <v>1588</v>
      </c>
      <c r="M11" s="308">
        <f>IF(Setup!F15&lt;&gt;"",Setup!F15,Setup!E15)</f>
        <v>1588</v>
      </c>
      <c r="N11" s="308">
        <f ca="1">RANK(K11,K8:K11)</f>
        <v>1</v>
      </c>
      <c r="O11" s="308">
        <f ca="1">SUMPRODUCT((N8:N11=N11)*(J8:J11&gt;J11)*1)</f>
        <v>0</v>
      </c>
      <c r="P11" s="308">
        <f t="shared" ca="1" si="5"/>
        <v>1</v>
      </c>
      <c r="Q11" s="308">
        <f ca="1">SUMPRODUCT((N8:N11=N11)*(J8:J11=J11)*(H8:H11&gt;H11)*1)</f>
        <v>0</v>
      </c>
      <c r="R11" s="308">
        <f t="shared" ca="1" si="6"/>
        <v>1</v>
      </c>
      <c r="S11" s="308">
        <f ca="1">RANK(R11,R8:R11,1)+COUNTIF(R8:R11,R11)-1</f>
        <v>4</v>
      </c>
      <c r="T11" s="308">
        <v>4</v>
      </c>
      <c r="U11" s="308" t="str">
        <f t="shared" ref="U11" ca="1" si="50">INDEX(C8:C11,MATCH(T11,S8:S11,0),0)</f>
        <v>Wales</v>
      </c>
      <c r="V11" s="308">
        <f ca="1">INDEX(R8:R11,MATCH(U11,C8:C11,0),0)</f>
        <v>1</v>
      </c>
      <c r="W11" s="308" t="str">
        <f t="shared" ca="1" si="35"/>
        <v>Wales</v>
      </c>
      <c r="X11" s="308" t="str">
        <f t="shared" ref="X11" ca="1" si="51">IF(AND(X10&lt;&gt;"",V11=2),U11,"")</f>
        <v/>
      </c>
      <c r="Y11" s="308" t="str">
        <f t="shared" ref="Y11" ca="1" si="52">IF(AND(Y10&lt;&gt;"",V11=3),U11,"")</f>
        <v/>
      </c>
      <c r="Z11" s="308">
        <f ca="1">SUMPRODUCT((Tournament!F5:F52=W11)*(Tournament!K5:K52=W8)*(Tournament!H5:H52&gt;Tournament!I5:I52)*1)+SUMPRODUCT((Tournament!K5:K52=W11)*(Tournament!F5:F52=W8)*(Tournament!I5:I52&gt;Tournament!H5:H52)*1)+SUMPRODUCT((Tournament!F5:F52=W11)*(Tournament!K5:K52=W9)*(Tournament!H5:H52&gt;Tournament!I5:I52)*1)+SUMPRODUCT((Tournament!K5:K52=W11)*(Tournament!F5:F52=W9)*(Tournament!I5:I52&gt;Tournament!H5:H52)*1)+SUMPRODUCT((Tournament!F5:F52=W11)*(Tournament!K5:K52=W10)*(Tournament!H5:H52&gt;Tournament!I5:I52)*1)+SUMPRODUCT((Tournament!K5:K52=W11)*(Tournament!F5:F52=W10)*(Tournament!I5:I52&gt;Tournament!H5:H52)*1)</f>
        <v>0</v>
      </c>
      <c r="AA11" s="308">
        <f ca="1">SUMPRODUCT((Tournament!F5:F52=W11)*(Tournament!K5:K52=W8)*(Tournament!H5:H52&gt;=Tournament!I5:I52)*1)+SUMPRODUCT((Tournament!K5:K52=W11)*(Tournament!F5:F52=W8)*(Tournament!H5:H52=Tournament!I5:I52)*1)+SUMPRODUCT((Tournament!F5:F52=W11)*(Tournament!K5:K52=W9)*(Tournament!H5:H52=Tournament!I5:I52)*1)+SUMPRODUCT((Tournament!K5:K52=W11)*(Tournament!F5:F52=W9)*(Tournament!H5:H52=Tournament!I5:I52)*1)+SUMPRODUCT((Tournament!F5:F52=W11)*(Tournament!K5:K52=W10)*(Tournament!H5:H52=Tournament!I5:I52)*1)+SUMPRODUCT((Tournament!K5:K52=W11)*(Tournament!F5:F52=W10)*(Tournament!H5:H52=Tournament!I5:I52)*1)</f>
        <v>3</v>
      </c>
      <c r="AB11" s="308">
        <f ca="1">SUMPRODUCT((Tournament!F5:F52=W11)*(Tournament!K5:K52=W8)*(Tournament!H5:H52&lt;Tournament!I5:I52)*1)+SUMPRODUCT((Tournament!K5:K52=W11)*(Tournament!F5:F52=W8)*(Tournament!I5:I52&lt;Tournament!H5:H52)*1)+SUMPRODUCT((Tournament!F5:F52=W11)*(Tournament!K5:K52=W9)*(Tournament!H5:H52&lt;Tournament!I5:I52)*1)+SUMPRODUCT((Tournament!K5:K52=W11)*(Tournament!F5:F52=W9)*(Tournament!I5:I52&lt;Tournament!H5:H52)*1)+SUMPRODUCT((Tournament!F5:F52=W11)*(Tournament!K5:K52=W10)*(Tournament!H5:H52&lt;Tournament!I5:I52)*1)+SUMPRODUCT((Tournament!K5:K52=W11)*(Tournament!F5:F52=W10)*(Tournament!I5:I52&lt;Tournament!H5:H52)*1)</f>
        <v>0</v>
      </c>
      <c r="AC11" s="308">
        <f ca="1">SUMIFS(Tournament!H5:H52,Tournament!F5:F52,W11,Tournament!K5:K52,W8)+SUMIFS(Tournament!H5:H52,Tournament!F5:F52,W11,Tournament!K5:K52,W9)+SUMIFS(Tournament!H5:H52,Tournament!F5:F52,W11,Tournament!K5:K52,W10)+SUMIFS(Tournament!I5:I52,Tournament!K5:K52,W11,Tournament!F5:F52,W8)+SUMIFS(Tournament!I5:I52,Tournament!K5:K52,W11,Tournament!F5:F52,W9)+SUMIFS(Tournament!I5:I52,Tournament!K5:K52,W11,Tournament!F5:F52,W10)</f>
        <v>0</v>
      </c>
      <c r="AD11" s="308">
        <f ca="1">SUMIFS(Tournament!I5:I52,Tournament!F5:F52,W11,Tournament!K5:K52,W8)+SUMIFS(Tournament!I5:I52,Tournament!F5:F52,W11,Tournament!K5:K52,W9)+SUMIFS(Tournament!I5:I52,Tournament!F5:F52,W11,Tournament!K5:K52,W10)+SUMIFS(Tournament!H5:H52,Tournament!K5:K52,W11,Tournament!F5:F52,W8)+SUMIFS(Tournament!H5:H52,Tournament!K5:K52,W11,Tournament!F5:F52,W9)+SUMIFS(Tournament!H5:H52,Tournament!K5:K52,W11,Tournament!F5:F52,W10)</f>
        <v>0</v>
      </c>
      <c r="AE11" s="308">
        <f t="shared" ca="1" si="7"/>
        <v>0</v>
      </c>
      <c r="AF11" s="308">
        <f t="shared" ca="1" si="8"/>
        <v>3</v>
      </c>
      <c r="AG11" s="308">
        <f t="shared" ref="AG11" ca="1" si="53">IF(W11&lt;&gt;"",SUMPRODUCT((V8:V11=V11)*(AF8:AF11&gt;AF11)*1),0)</f>
        <v>0</v>
      </c>
      <c r="AH11" s="308">
        <f t="shared" ref="AH11" ca="1" si="54">IF(W11&lt;&gt;"",SUMPRODUCT((AG8:AG11=AG11)*(AE8:AE11&gt;AE11)*1),0)</f>
        <v>0</v>
      </c>
      <c r="AI11" s="308">
        <f t="shared" ca="1" si="0"/>
        <v>0</v>
      </c>
      <c r="AJ11" s="308">
        <f t="shared" ref="AJ11" ca="1" si="55">IF(W11&lt;&gt;"",SUMPRODUCT((AI8:AI11=AI11)*(AG8:AG11=AG11)*(AC8:AC11&gt;AC11)*1),0)</f>
        <v>0</v>
      </c>
      <c r="AK11" s="308">
        <f t="shared" ca="1" si="9"/>
        <v>1</v>
      </c>
      <c r="AL11" s="308">
        <f ca="1">SUMPRODUCT((Tournament!F5:F52=X11)*(Tournament!K5:K52=X9)*(Tournament!H5:H52&gt;Tournament!I5:I52)*1)+SUMPRODUCT((Tournament!K5:K52=X11)*(Tournament!F5:F52=X9)*(Tournament!I5:I52&gt;Tournament!H5:H52)*1)+SUMPRODUCT((Tournament!F5:F52=X11)*(Tournament!K5:K52=X10)*(Tournament!H5:H52&gt;Tournament!I5:I52)*1)+SUMPRODUCT((Tournament!K5:K52=X11)*(Tournament!F5:F52=X10)*(Tournament!I5:I52&gt;Tournament!H5:H52)*1)</f>
        <v>0</v>
      </c>
      <c r="AM11" s="308">
        <f ca="1">SUMPRODUCT((Tournament!F5:F52=X11)*(Tournament!K5:K52=X9)*(Tournament!H5:H52=Tournament!I5:I52)*1)+SUMPRODUCT((Tournament!K5:K52=X11)*(Tournament!F5:F52=X9)*(Tournament!H5:H52=Tournament!I5:I52)*1)+SUMPRODUCT((Tournament!F5:F52=X11)*(Tournament!K5:K52=X10)*(Tournament!H5:H52=Tournament!I5:I52)*1)+SUMPRODUCT((Tournament!K5:K52=X11)*(Tournament!F5:F52=X10)*(Tournament!H5:H52=Tournament!I5:I52)*1)</f>
        <v>0</v>
      </c>
      <c r="AN11" s="308">
        <f ca="1">SUMPRODUCT((Tournament!F5:F52=X11)*(Tournament!K5:K52=X9)*(Tournament!H5:H52&lt;Tournament!I5:I52)*1)+SUMPRODUCT((Tournament!K5:K52=X11)*(Tournament!F5:F52=X9)*(Tournament!I5:I52&lt;Tournament!H5:H52)*1)+SUMPRODUCT((Tournament!F5:F52=X11)*(Tournament!K5:K52=X10)*(Tournament!H5:H52&lt;Tournament!I5:I52)*1)+SUMPRODUCT((Tournament!K5:K52=X11)*(Tournament!F5:F52=X10)*(Tournament!I5:I52&lt;Tournament!H5:H52)*1)</f>
        <v>0</v>
      </c>
      <c r="AO11" s="308">
        <f ca="1">SUMIFS(Tournament!H5:H52,Tournament!F5:F52,X11,Tournament!K5:K52,X9)+SUMIFS(Tournament!H5:H52,Tournament!F5:F52,X11,Tournament!K5:K52,X10)+SUMIFS(Tournament!I5:I52,Tournament!K5:K52,X11,Tournament!F5:F52,X9)+SUMIFS(Tournament!I5:I52,Tournament!K5:K52,X11,Tournament!F5:F52,X10)</f>
        <v>0</v>
      </c>
      <c r="AP11" s="308">
        <f ca="1">SUMIFS(Tournament!H5:H52,Tournament!F5:F52,X11,Tournament!K5:K52,X9)+SUMIFS(Tournament!H5:H52,Tournament!F5:F52,X11,Tournament!K5:K52,X10)+SUMIFS(Tournament!I5:I52,Tournament!K5:K52,X11,Tournament!F5:F52,X9)+SUMIFS(Tournament!I5:I52,Tournament!K5:K52,X11,Tournament!F5:F52,X10)</f>
        <v>0</v>
      </c>
      <c r="AQ11" s="308">
        <f t="shared" ca="1" si="10"/>
        <v>0</v>
      </c>
      <c r="AR11" s="308">
        <f t="shared" ca="1" si="11"/>
        <v>0</v>
      </c>
      <c r="AS11" s="308">
        <f t="shared" ref="AS11" ca="1" si="56">IF(X11&lt;&gt;"",SUMPRODUCT((V8:V11=V11)*(AR8:AR11&gt;AR11)*1),0)</f>
        <v>0</v>
      </c>
      <c r="AT11" s="308">
        <f t="shared" ref="AT11" ca="1" si="57">IF(X11&lt;&gt;"",SUMPRODUCT((AS8:AS11=AS11)*(AQ8:AQ11&gt;AQ11)*1),0)</f>
        <v>0</v>
      </c>
      <c r="AU11" s="308">
        <f t="shared" ca="1" si="12"/>
        <v>0</v>
      </c>
      <c r="AV11" s="308">
        <f t="shared" ref="AV11" ca="1" si="58">IF(X11&lt;&gt;"",SUMPRODUCT((AU8:AU11=AU11)*(AS8:AS11=AS11)*(AO8:AO11&gt;AO11)*1),0)</f>
        <v>0</v>
      </c>
      <c r="AW11" s="308">
        <f t="shared" ca="1" si="13"/>
        <v>1</v>
      </c>
      <c r="AX11" s="308">
        <f ca="1">SUMPRODUCT((Tournament!F5:F52=Y11)*(Tournament!K5:K52=Y10)*(Tournament!H5:H52&gt;Tournament!I5:I52)*1)+SUMPRODUCT((Tournament!K5:K52=Y11)*(Tournament!F5:F52=Y10)*(Tournament!I5:I52&gt;Tournament!H5:H52)*1)</f>
        <v>0</v>
      </c>
      <c r="AY11" s="308">
        <f ca="1">SUMPRODUCT((Tournament!F5:F52=Y11)*(Tournament!K5:K52=Y10)*(Tournament!H5:H52=Tournament!I5:I52)*1)+SUMPRODUCT((Tournament!K5:K52=Y11)*(Tournament!F5:F52=Y10)*(Tournament!I5:I52=Tournament!H5:H52)*1)</f>
        <v>0</v>
      </c>
      <c r="AZ11" s="308">
        <f ca="1">SUMPRODUCT((Tournament!F5:F52=Y11)*(Tournament!K5:K52=Y10)*(Tournament!H5:H52&lt;Tournament!I5:I52)*1)+SUMPRODUCT((Tournament!K5:K52=Y11)*(Tournament!F5:F52=Y10)*(Tournament!I5:I52&lt;Tournament!H5:H52)*1)</f>
        <v>0</v>
      </c>
      <c r="BA11" s="308">
        <f ca="1">SUMIFS(Tournament!H5:H52,Tournament!F5:F52,Y11,Tournament!K5:K52,Y10)+SUMIFS(Tournament!I5:I52,Tournament!K5:K52,Y11,Tournament!F5:F52,Y10)</f>
        <v>0</v>
      </c>
      <c r="BB11" s="308">
        <f ca="1">SUMIFS(Tournament!H5:H52,Tournament!F5:F52,Y11,Tournament!K5:K52,Y10)+SUMIFS(Tournament!I5:I52,Tournament!K5:K52,Y11,Tournament!F5:F52,Y10)</f>
        <v>0</v>
      </c>
      <c r="BC11" s="308">
        <f t="shared" ca="1" si="44"/>
        <v>0</v>
      </c>
      <c r="BD11" s="308">
        <f t="shared" ca="1" si="45"/>
        <v>0</v>
      </c>
      <c r="BE11" s="308">
        <f t="shared" ref="BE11" ca="1" si="59">IF(Y11&lt;&gt;"",SUMPRODUCT((AH8:AH11=AH11)*(BD8:BD11&gt;BD11)*1),0)</f>
        <v>0</v>
      </c>
      <c r="BF11" s="308">
        <f t="shared" ref="BF11" ca="1" si="60">IF(Y11&lt;&gt;"",SUMPRODUCT((BE8:BE11=BE11)*(BC8:BC11&gt;BC11)*1),0)</f>
        <v>0</v>
      </c>
      <c r="BG11" s="308">
        <f t="shared" ca="1" si="48"/>
        <v>0</v>
      </c>
      <c r="BH11" s="308">
        <f t="shared" ref="BH11" ca="1" si="61">IF(Y11&lt;&gt;"",SUMPRODUCT((BG8:BG11=BG11)*(BE8:BE11=BE11)*(BA8:BA11&gt;BA11)*1),0)</f>
        <v>0</v>
      </c>
      <c r="BI11" s="308">
        <f t="shared" ca="1" si="17"/>
        <v>1</v>
      </c>
      <c r="BJ11" s="308">
        <f ca="1">SUMPRODUCT((BI8:BI11=BI11)*(A8:A11&gt;A11)*1)</f>
        <v>2</v>
      </c>
      <c r="BK11" s="308">
        <f t="shared" ca="1" si="14"/>
        <v>3</v>
      </c>
      <c r="BM11" s="314" t="s">
        <v>124</v>
      </c>
      <c r="BN11" s="315"/>
      <c r="BO11" s="316" t="str">
        <f>Calculator!C8</f>
        <v>England</v>
      </c>
      <c r="BP11" s="317" t="s">
        <v>658</v>
      </c>
      <c r="BQ11" s="316"/>
      <c r="BR11" s="309">
        <v>5</v>
      </c>
      <c r="BS11" s="318">
        <v>-10</v>
      </c>
      <c r="BT11" s="174"/>
      <c r="BU11" s="22">
        <v>5</v>
      </c>
      <c r="BV11" s="320">
        <f t="shared" si="18"/>
        <v>44887.541666666664</v>
      </c>
      <c r="BW11" s="321">
        <v>44887.541666666664</v>
      </c>
      <c r="BX11" s="322">
        <f t="shared" si="19"/>
        <v>44887.541666666664</v>
      </c>
      <c r="BZ11" s="309" t="str">
        <f>INDEX(Language!A1:K117,MATCH(Setup!B12,Language!B1:B117,0),MATCH(Setup!C5,Language!A1:J1,0))</f>
        <v>England</v>
      </c>
    </row>
    <row r="12" spans="1:78" x14ac:dyDescent="0.35">
      <c r="A12" s="308">
        <f ca="1">INDEX(M4:M35,MATCH(U12,C4:C35,0),0)</f>
        <v>1765</v>
      </c>
      <c r="B12" s="308">
        <f t="shared" si="25"/>
        <v>1</v>
      </c>
      <c r="C12" s="308" t="str">
        <f t="shared" si="1"/>
        <v>Argentina</v>
      </c>
      <c r="D12" s="308">
        <f t="shared" ca="1" si="2"/>
        <v>0</v>
      </c>
      <c r="E12" s="308">
        <f ca="1">SUMPRODUCT((Tournament!H5:H52&lt;&gt;"")*(Tournament!F5:F52=C12)*(Tournament!H5:H52&gt;Tournament!I5:I52)*1)+SUMPRODUCT((Tournament!H5:H52&lt;&gt;"")*(Tournament!K5:K52=C12)*(Tournament!I5:I52&gt;Tournament!H5:H52)*1)</f>
        <v>0</v>
      </c>
      <c r="F12" s="308">
        <f ca="1">SUMPRODUCT((Tournament!H5:H52&lt;&gt;"")*(Tournament!F5:F52=C12)*(Tournament!H5:H52=Tournament!I5:I52)*1)+SUMPRODUCT((Tournament!H5:H52&lt;&gt;"")*(Tournament!K5:K52=C12)*(Tournament!H5:H52=Tournament!I5:I52)*1)</f>
        <v>0</v>
      </c>
      <c r="G12" s="308">
        <f ca="1">SUMPRODUCT((Tournament!H5:H52&lt;&gt;"")*(Tournament!F5:F52=C12)*(Tournament!H5:H52&lt;Tournament!I5:I52)*1)+SUMPRODUCT((Tournament!H5:H52&lt;&gt;"")*(Tournament!K5:K52=C12)*(Tournament!I5:I52&lt;Tournament!H5:H52)*1)</f>
        <v>0</v>
      </c>
      <c r="H12" s="308">
        <f ca="1">SUMIF(Tournament!F5:F52,C12,Tournament!H5:H52)+SUMIF(Tournament!K5:K52,C12,Tournament!I5:I52)</f>
        <v>0</v>
      </c>
      <c r="I12" s="308">
        <f ca="1">SUMIF(Tournament!F5:F52,C12,Tournament!I5:I52)+SUMIF(Tournament!K5:K52,C12,Tournament!H5:H52)</f>
        <v>0</v>
      </c>
      <c r="J12" s="308">
        <f t="shared" ca="1" si="3"/>
        <v>0</v>
      </c>
      <c r="K12" s="308">
        <f t="shared" ca="1" si="4"/>
        <v>0</v>
      </c>
      <c r="L12" s="308">
        <f>Setup!E16</f>
        <v>1765</v>
      </c>
      <c r="M12" s="308">
        <f>IF(Setup!F16&lt;&gt;"",Setup!F16,Setup!E16)</f>
        <v>1765</v>
      </c>
      <c r="N12" s="308">
        <f ca="1">RANK(K12,K12:K15)</f>
        <v>1</v>
      </c>
      <c r="O12" s="308">
        <f ca="1">SUMPRODUCT((N12:N15=N12)*(J12:J15&gt;J12)*1)</f>
        <v>0</v>
      </c>
      <c r="P12" s="308">
        <f t="shared" ca="1" si="5"/>
        <v>1</v>
      </c>
      <c r="Q12" s="308">
        <f ca="1">SUMPRODUCT((N12:N15=N12)*(J12:J15=J12)*(H12:H15&gt;H12)*1)</f>
        <v>0</v>
      </c>
      <c r="R12" s="308">
        <f t="shared" ca="1" si="6"/>
        <v>1</v>
      </c>
      <c r="S12" s="308">
        <f ca="1">RANK(R12,R12:R15,1)+COUNTIF(R12:R12,R12)-1</f>
        <v>1</v>
      </c>
      <c r="T12" s="308">
        <v>1</v>
      </c>
      <c r="U12" s="308" t="str">
        <f t="shared" ref="U12" ca="1" si="62">INDEX(C12:C15,MATCH(T12,S12:S15,0),0)</f>
        <v>Argentina</v>
      </c>
      <c r="V12" s="308">
        <f ca="1">INDEX(R12:R15,MATCH(U12,C12:C15,0),0)</f>
        <v>1</v>
      </c>
      <c r="W12" s="308" t="str">
        <f t="shared" ref="W12" ca="1" si="63">IF(V13=1,U12,"")</f>
        <v>Argentina</v>
      </c>
      <c r="Z12" s="308">
        <f ca="1">SUMPRODUCT((Tournament!F5:F52=W12)*(Tournament!K5:K52=W13)*(Tournament!H5:H52&gt;Tournament!I5:I52)*1)+SUMPRODUCT((Tournament!K5:K52=W12)*(Tournament!F5:F52=W13)*(Tournament!I5:I52&gt;Tournament!H5:H52)*1)+SUMPRODUCT((Tournament!F5:F52=W12)*(Tournament!K5:K52=W14)*(Tournament!H5:H52&gt;Tournament!I5:I52)*1)+SUMPRODUCT((Tournament!K5:K52=W12)*(Tournament!F5:F52=W14)*(Tournament!I5:I52&gt;Tournament!H5:H52)*1)+SUMPRODUCT((Tournament!F5:F52=W12)*(Tournament!K5:K52=W15)*(Tournament!H5:H52&gt;Tournament!I5:I52)*1)+SUMPRODUCT((Tournament!K5:K52=W12)*(Tournament!F5:F52=W15)*(Tournament!I5:I52&gt;Tournament!H5:H52)*1)</f>
        <v>0</v>
      </c>
      <c r="AA12" s="308">
        <f ca="1">SUMPRODUCT((Tournament!F5:F52=W12)*(Tournament!K5:K52=W13)*(Tournament!H5:H52=Tournament!I5:I52)*1)+SUMPRODUCT((Tournament!K5:K52=W12)*(Tournament!F5:F52=W13)*(Tournament!H5:H52=Tournament!I5:I52)*1)+SUMPRODUCT((Tournament!F5:F52=W12)*(Tournament!K5:K52=W14)*(Tournament!H5:H52=Tournament!I5:I52)*1)+SUMPRODUCT((Tournament!K5:K52=W12)*(Tournament!F5:F52=W14)*(Tournament!H5:H52=Tournament!I5:I52)*1)+SUMPRODUCT((Tournament!F5:F52=W12)*(Tournament!K5:K52=W15)*(Tournament!H5:H52=Tournament!I5:I52)*1)+SUMPRODUCT((Tournament!K5:K52=W12)*(Tournament!F5:F52=W15)*(Tournament!H5:H52=Tournament!I5:I52)*1)</f>
        <v>3</v>
      </c>
      <c r="AB12" s="308">
        <f ca="1">SUMPRODUCT((Tournament!F5:F52=W12)*(Tournament!K5:K52=W13)*(Tournament!H5:H52&lt;Tournament!I5:I52)*1)+SUMPRODUCT((Tournament!K5:K52=W12)*(Tournament!F5:F52=W13)*(Tournament!I5:I52&lt;Tournament!H5:H52)*1)+SUMPRODUCT((Tournament!F5:F52=W12)*(Tournament!K5:K52=W14)*(Tournament!H5:H52&lt;Tournament!I5:I52)*1)+SUMPRODUCT((Tournament!K5:K52=W12)*(Tournament!F5:F52=W14)*(Tournament!I5:I52&lt;Tournament!H5:H52)*1)+SUMPRODUCT((Tournament!F5:F52=W12)*(Tournament!K5:K52=W15)*(Tournament!H5:H52&lt;Tournament!I5:I52)*1)+SUMPRODUCT((Tournament!K5:K52=W12)*(Tournament!F5:F52=W15)*(Tournament!I5:I52&lt;Tournament!H5:H52)*1)</f>
        <v>0</v>
      </c>
      <c r="AC12" s="308">
        <f ca="1">SUMIFS(Tournament!H5:H52,Tournament!F5:F52,W12,Tournament!K5:K52,W13)+SUMIFS(Tournament!H5:H52,Tournament!F5:F52,W12,Tournament!K5:K52,W14)+SUMIFS(Tournament!H5:H52,Tournament!F5:F52,W12,Tournament!K5:K52,W15)+SUMIFS(Tournament!I5:I52,Tournament!K5:K52,W12,Tournament!F5:F52,W13)+SUMIFS(Tournament!I5:I52,Tournament!K5:K52,W12,Tournament!F5:F52,W14)+SUMIFS(Tournament!I5:I52,Tournament!K5:K52,W12,Tournament!F5:F52,W15)</f>
        <v>0</v>
      </c>
      <c r="AD12" s="308">
        <f ca="1">SUMIFS(Tournament!I5:I52,Tournament!F5:F52,W12,Tournament!K5:K52,W13)+SUMIFS(Tournament!I5:I52,Tournament!F5:F52,W12,Tournament!K5:K52,W14)+SUMIFS(Tournament!I5:I52,Tournament!F5:F52,W12,Tournament!K5:K52,W15)+SUMIFS(Tournament!H5:H52,Tournament!K5:K52,W12,Tournament!F5:F52,W13)+SUMIFS(Tournament!H5:H52,Tournament!K5:K52,W12,Tournament!F5:F52,W14)+SUMIFS(Tournament!H5:H52,Tournament!K5:K52,W12,Tournament!F5:F52,W15)</f>
        <v>0</v>
      </c>
      <c r="AE12" s="308">
        <f t="shared" ca="1" si="7"/>
        <v>0</v>
      </c>
      <c r="AF12" s="308">
        <f t="shared" ca="1" si="8"/>
        <v>3</v>
      </c>
      <c r="AG12" s="308">
        <f t="shared" ref="AG12" ca="1" si="64">IF(W12&lt;&gt;"",SUMPRODUCT((V12:V15=V12)*(AF12:AF15&gt;AF12)*1),0)</f>
        <v>0</v>
      </c>
      <c r="AH12" s="308">
        <f t="shared" ref="AH12" ca="1" si="65">IF(W12&lt;&gt;"",SUMPRODUCT((AG12:AG15=AG12)*(AE12:AE15&gt;AE12)*1),0)</f>
        <v>0</v>
      </c>
      <c r="AI12" s="308">
        <f t="shared" ca="1" si="0"/>
        <v>0</v>
      </c>
      <c r="AJ12" s="308">
        <f t="shared" ref="AJ12" ca="1" si="66">IF(W12&lt;&gt;"",SUMPRODUCT((AI12:AI15=AI12)*(AG12:AG15=AG12)*(AC12:AC15&gt;AC12)*1),0)</f>
        <v>0</v>
      </c>
      <c r="AK12" s="308">
        <f t="shared" ca="1" si="9"/>
        <v>1</v>
      </c>
      <c r="AL12" s="308">
        <v>0</v>
      </c>
      <c r="AM12" s="308">
        <v>0</v>
      </c>
      <c r="AN12" s="308">
        <v>0</v>
      </c>
      <c r="AO12" s="308">
        <v>0</v>
      </c>
      <c r="AP12" s="308">
        <v>0</v>
      </c>
      <c r="AQ12" s="308">
        <f t="shared" si="10"/>
        <v>0</v>
      </c>
      <c r="AR12" s="308">
        <f t="shared" si="11"/>
        <v>0</v>
      </c>
      <c r="AS12" s="308">
        <v>0</v>
      </c>
      <c r="AT12" s="308">
        <v>0</v>
      </c>
      <c r="AU12" s="308">
        <f t="shared" si="12"/>
        <v>0</v>
      </c>
      <c r="AV12" s="308">
        <v>0</v>
      </c>
      <c r="AW12" s="308">
        <f ca="1">AK12+AU12+AV12</f>
        <v>1</v>
      </c>
      <c r="AX12" s="308">
        <v>0</v>
      </c>
      <c r="AY12" s="308">
        <v>0</v>
      </c>
      <c r="AZ12" s="308">
        <v>0</v>
      </c>
      <c r="BA12" s="308">
        <v>0</v>
      </c>
      <c r="BB12" s="308">
        <v>0</v>
      </c>
      <c r="BC12" s="308">
        <v>0</v>
      </c>
      <c r="BD12" s="308">
        <v>0</v>
      </c>
      <c r="BE12" s="308">
        <v>0</v>
      </c>
      <c r="BF12" s="308">
        <v>0</v>
      </c>
      <c r="BG12" s="308">
        <v>0</v>
      </c>
      <c r="BH12" s="308">
        <v>0</v>
      </c>
      <c r="BI12" s="308">
        <f t="shared" ca="1" si="17"/>
        <v>1</v>
      </c>
      <c r="BJ12" s="308">
        <f ca="1">SUMPRODUCT((BI12:BI15=BI12)*(A12:A15&gt;A12)*1)</f>
        <v>0</v>
      </c>
      <c r="BK12" s="308">
        <f t="shared" ca="1" si="14"/>
        <v>1</v>
      </c>
      <c r="BM12" s="314"/>
      <c r="BN12" s="315"/>
      <c r="BO12" s="316" t="str">
        <f>Calculator!C9</f>
        <v>Iran</v>
      </c>
      <c r="BP12" s="317" t="s">
        <v>659</v>
      </c>
      <c r="BQ12" s="316"/>
      <c r="BR12" s="309">
        <v>6</v>
      </c>
      <c r="BS12" s="318">
        <v>-9.5</v>
      </c>
      <c r="BT12" s="174"/>
      <c r="BU12" s="22">
        <v>6</v>
      </c>
      <c r="BV12" s="320">
        <f t="shared" si="18"/>
        <v>44887.666666666664</v>
      </c>
      <c r="BW12" s="321">
        <v>44887.666666666664</v>
      </c>
      <c r="BX12" s="322">
        <f t="shared" si="19"/>
        <v>44887.666666666664</v>
      </c>
      <c r="BZ12" s="309" t="str">
        <f>INDEX(Language!A1:K117,MATCH(Setup!B13,Language!B1:B117,0),MATCH(Setup!C5,Language!A1:J1,0))</f>
        <v>Iran</v>
      </c>
    </row>
    <row r="13" spans="1:78" x14ac:dyDescent="0.35">
      <c r="A13" s="308">
        <f ca="1">INDEX(M4:M35,MATCH(U13,C4:C35,0),0)</f>
        <v>1445</v>
      </c>
      <c r="B13" s="308">
        <f t="shared" si="25"/>
        <v>2</v>
      </c>
      <c r="C13" s="308" t="str">
        <f t="shared" si="1"/>
        <v>Saudi Arabia</v>
      </c>
      <c r="D13" s="308">
        <f t="shared" ca="1" si="2"/>
        <v>0</v>
      </c>
      <c r="E13" s="308">
        <f ca="1">SUMPRODUCT((Tournament!H5:H52&lt;&gt;"")*(Tournament!F5:F52=C13)*(Tournament!H5:H52&gt;Tournament!I5:I52)*1)+SUMPRODUCT((Tournament!H5:H52&lt;&gt;"")*(Tournament!K5:K52=C13)*(Tournament!I5:I52&gt;Tournament!H5:H52)*1)</f>
        <v>0</v>
      </c>
      <c r="F13" s="308">
        <f ca="1">SUMPRODUCT((Tournament!H5:H52&lt;&gt;"")*(Tournament!F5:F52=C13)*(Tournament!H5:H52=Tournament!I5:I52)*1)+SUMPRODUCT((Tournament!H5:H52&lt;&gt;"")*(Tournament!K5:K52=C13)*(Tournament!H5:H52=Tournament!I5:I52)*1)</f>
        <v>0</v>
      </c>
      <c r="G13" s="308">
        <f ca="1">SUMPRODUCT((Tournament!H5:H52&lt;&gt;"")*(Tournament!F5:F52=C13)*(Tournament!H5:H52&lt;Tournament!I5:I52)*1)+SUMPRODUCT((Tournament!H5:H52&lt;&gt;"")*(Tournament!K5:K52=C13)*(Tournament!I5:I52&lt;Tournament!H5:H52)*1)</f>
        <v>0</v>
      </c>
      <c r="H13" s="308">
        <f ca="1">SUMIF(Tournament!F5:F52,C13,Tournament!H5:H52)+SUMIF(Tournament!K5:K52,C13,Tournament!I5:I52)</f>
        <v>0</v>
      </c>
      <c r="I13" s="308">
        <f ca="1">SUMIF(Tournament!F5:F52,C13,Tournament!I5:I52)+SUMIF(Tournament!K5:K52,C13,Tournament!H5:H52)</f>
        <v>0</v>
      </c>
      <c r="J13" s="308">
        <f t="shared" ca="1" si="3"/>
        <v>0</v>
      </c>
      <c r="K13" s="308">
        <f t="shared" ca="1" si="4"/>
        <v>0</v>
      </c>
      <c r="L13" s="308">
        <f>Setup!E17</f>
        <v>1445</v>
      </c>
      <c r="M13" s="308">
        <f>IF(Setup!F17&lt;&gt;"",Setup!F17,Setup!E17)</f>
        <v>1445</v>
      </c>
      <c r="N13" s="308">
        <f ca="1">RANK(K13,K12:K15)</f>
        <v>1</v>
      </c>
      <c r="O13" s="308">
        <f ca="1">SUMPRODUCT((N12:N15=N13)*(J12:J15&gt;J13)*1)</f>
        <v>0</v>
      </c>
      <c r="P13" s="308">
        <f t="shared" ca="1" si="5"/>
        <v>1</v>
      </c>
      <c r="Q13" s="308">
        <f ca="1">SUMPRODUCT((N12:N15=N13)*(J12:J15=J13)*(H12:H15&gt;H13)*1)</f>
        <v>0</v>
      </c>
      <c r="R13" s="308">
        <f t="shared" ca="1" si="6"/>
        <v>1</v>
      </c>
      <c r="S13" s="308">
        <f ca="1">RANK(R13,R12:R15,1)+COUNTIF(R12:R13,R13)-1</f>
        <v>2</v>
      </c>
      <c r="T13" s="308">
        <v>2</v>
      </c>
      <c r="U13" s="308" t="str">
        <f t="shared" ref="U13" ca="1" si="67">INDEX(C12:C15,MATCH(T13,S12:S15,0),0)</f>
        <v>Saudi Arabia</v>
      </c>
      <c r="V13" s="308">
        <f ca="1">INDEX(R12:R15,MATCH(U13,C12:C15,0),0)</f>
        <v>1</v>
      </c>
      <c r="W13" s="308" t="str">
        <f t="shared" ref="W13" ca="1" si="68">IF(W12&lt;&gt;"",U13,"")</f>
        <v>Saudi Arabia</v>
      </c>
      <c r="X13" s="308" t="str">
        <f t="shared" ref="X13" ca="1" si="69">IF(V14=2,U13,"")</f>
        <v/>
      </c>
      <c r="Z13" s="308">
        <f ca="1">SUMPRODUCT((Tournament!F5:F52=W13)*(Tournament!K5:K52=W12)*(Tournament!H5:H52&gt;Tournament!I5:I52)*1)+SUMPRODUCT((Tournament!K5:K52=W13)*(Tournament!F5:F52=W12)*(Tournament!I5:I52&gt;Tournament!H5:H52)*1)+SUMPRODUCT((Tournament!F5:F52=W13)*(Tournament!K5:K52=W14)*(Tournament!H5:H52&gt;Tournament!I5:I52)*1)+SUMPRODUCT((Tournament!K5:K52=W13)*(Tournament!F5:F52=W14)*(Tournament!I5:I52&gt;Tournament!H5:H52)*1)+SUMPRODUCT((Tournament!F5:F52=W13)*(Tournament!K5:K52=W15)*(Tournament!H5:H52&gt;Tournament!I5:I52)*1)+SUMPRODUCT((Tournament!K5:K52=W13)*(Tournament!F5:F52=W15)*(Tournament!I5:I52&gt;Tournament!H5:H52)*1)</f>
        <v>0</v>
      </c>
      <c r="AA13" s="308">
        <f ca="1">SUMPRODUCT((Tournament!F5:F52=W13)*(Tournament!K5:K52=W12)*(Tournament!H5:H52=Tournament!I5:I52)*1)+SUMPRODUCT((Tournament!K5:K52=W13)*(Tournament!F5:F52=W12)*(Tournament!H5:H52=Tournament!I5:I52)*1)+SUMPRODUCT((Tournament!F5:F52=W13)*(Tournament!K5:K52=W14)*(Tournament!H5:H52=Tournament!I5:I52)*1)+SUMPRODUCT((Tournament!K5:K52=W13)*(Tournament!F5:F52=W14)*(Tournament!H5:H52=Tournament!I5:I52)*1)+SUMPRODUCT((Tournament!F5:F52=W13)*(Tournament!K5:K52=W15)*(Tournament!H5:H52=Tournament!I5:I52)*1)+SUMPRODUCT((Tournament!K5:K52=W13)*(Tournament!F5:F52=W15)*(Tournament!H5:H52=Tournament!I5:I52)*1)</f>
        <v>3</v>
      </c>
      <c r="AB13" s="308">
        <f ca="1">SUMPRODUCT((Tournament!F5:F52=W13)*(Tournament!K5:K52=W12)*(Tournament!H5:H52&lt;Tournament!I5:I52)*1)+SUMPRODUCT((Tournament!K5:K52=W13)*(Tournament!F5:F52=W12)*(Tournament!I5:I52&lt;Tournament!H5:H52)*1)+SUMPRODUCT((Tournament!F5:F52=W13)*(Tournament!K5:K52=W14)*(Tournament!H5:H52&lt;Tournament!I5:I52)*1)+SUMPRODUCT((Tournament!K5:K52=W13)*(Tournament!F5:F52=W14)*(Tournament!I5:I52&lt;Tournament!H5:H52)*1)+SUMPRODUCT((Tournament!F5:F52=W13)*(Tournament!K5:K52=W15)*(Tournament!H5:H52&lt;Tournament!I5:I52)*1)+SUMPRODUCT((Tournament!K5:K52=W13)*(Tournament!F5:F52=W15)*(Tournament!I5:I52&lt;Tournament!H5:H52)*1)</f>
        <v>0</v>
      </c>
      <c r="AC13" s="308">
        <f ca="1">SUMIFS(Tournament!H5:H52,Tournament!F5:F52,W13,Tournament!K5:K52,W12)+SUMIFS(Tournament!H5:H52,Tournament!F5:F52,W13,Tournament!K5:K52,W14)+SUMIFS(Tournament!H5:H52,Tournament!F5:F52,W13,Tournament!K5:K52,W15)+SUMIFS(Tournament!I5:I52,Tournament!K5:K52,W13,Tournament!F5:F52,W12)+SUMIFS(Tournament!I5:I52,Tournament!K5:K52,W13,Tournament!F5:F52,W14)+SUMIFS(Tournament!I5:I52,Tournament!K5:K52,W13,Tournament!F5:F52,W15)</f>
        <v>0</v>
      </c>
      <c r="AD13" s="308">
        <f ca="1">SUMIFS(Tournament!I5:I52,Tournament!F5:F52,W13,Tournament!K5:K52,W12)+SUMIFS(Tournament!I5:I52,Tournament!F5:F52,W13,Tournament!K5:K52,W14)+SUMIFS(Tournament!I5:I52,Tournament!F5:F52,W13,Tournament!K5:K52,W15)+SUMIFS(Tournament!H5:H52,Tournament!K5:K52,W13,Tournament!F5:F52,W12)+SUMIFS(Tournament!H5:H52,Tournament!K5:K52,W13,Tournament!F5:F52,W14)+SUMIFS(Tournament!H5:H52,Tournament!K5:K52,W13,Tournament!F5:F52,W15)</f>
        <v>0</v>
      </c>
      <c r="AE13" s="308">
        <f t="shared" ca="1" si="7"/>
        <v>0</v>
      </c>
      <c r="AF13" s="308">
        <f t="shared" ca="1" si="8"/>
        <v>3</v>
      </c>
      <c r="AG13" s="308">
        <f t="shared" ref="AG13" ca="1" si="70">IF(W13&lt;&gt;"",SUMPRODUCT((V12:V15=V13)*(AF12:AF15&gt;AF13)*1),0)</f>
        <v>0</v>
      </c>
      <c r="AH13" s="308">
        <f t="shared" ref="AH13" ca="1" si="71">IF(W13&lt;&gt;"",SUMPRODUCT((AG12:AG15=AG13)*(AE12:AE15&gt;AE13)*1),0)</f>
        <v>0</v>
      </c>
      <c r="AI13" s="308">
        <f t="shared" ca="1" si="0"/>
        <v>0</v>
      </c>
      <c r="AJ13" s="308">
        <f t="shared" ref="AJ13" ca="1" si="72">IF(W13&lt;&gt;"",SUMPRODUCT((AI12:AI15=AI13)*(AG12:AG15=AG13)*(AC12:AC15&gt;AC13)*1),0)</f>
        <v>0</v>
      </c>
      <c r="AK13" s="308">
        <f t="shared" ca="1" si="9"/>
        <v>1</v>
      </c>
      <c r="AL13" s="308">
        <f ca="1">SUMPRODUCT((Tournament!F5:F52=X13)*(Tournament!K5:K52=X14)*(Tournament!H5:H52&gt;Tournament!I5:I52)*1)+SUMPRODUCT((Tournament!K5:K52=X13)*(Tournament!F5:F52=X14)*(Tournament!I5:I52&gt;Tournament!H5:H52)*1)+SUMPRODUCT((Tournament!F5:F52=X13)*(Tournament!K5:K52=X15)*(Tournament!H5:H52&gt;Tournament!I5:I52)*1)+SUMPRODUCT((Tournament!K5:K52=X13)*(Tournament!F5:F52=X15)*(Tournament!I5:I52&gt;Tournament!H5:H52)*1)</f>
        <v>0</v>
      </c>
      <c r="AM13" s="308">
        <f ca="1">SUMPRODUCT((Tournament!F5:F52=X13)*(Tournament!K5:K52=X14)*(Tournament!H5:H52=Tournament!I5:I52)*1)+SUMPRODUCT((Tournament!K5:K52=X13)*(Tournament!F5:F52=X14)*(Tournament!H5:H52=Tournament!I5:I52)*1)+SUMPRODUCT((Tournament!F5:F52=X13)*(Tournament!K5:K52=X15)*(Tournament!H5:H52=Tournament!I5:I52)*1)+SUMPRODUCT((Tournament!K5:K52=X13)*(Tournament!F5:F52=X15)*(Tournament!H5:H52=Tournament!I5:I52)*1)</f>
        <v>0</v>
      </c>
      <c r="AN13" s="308">
        <f ca="1">SUMPRODUCT((Tournament!F5:F52=X13)*(Tournament!K5:K52=X14)*(Tournament!H5:H52&lt;Tournament!I5:I52)*1)+SUMPRODUCT((Tournament!K5:K52=X13)*(Tournament!F5:F52=X14)*(Tournament!I5:I52&lt;Tournament!H5:H52)*1)+SUMPRODUCT((Tournament!F5:F52=X13)*(Tournament!K5:K52=X15)*(Tournament!H5:H52&lt;Tournament!I5:I52)*1)+SUMPRODUCT((Tournament!K5:K52=X13)*(Tournament!F5:F52=X15)*(Tournament!I5:I52&lt;Tournament!H5:H52)*1)</f>
        <v>0</v>
      </c>
      <c r="AO13" s="308">
        <f ca="1">SUMIFS(Tournament!H5:H52,Tournament!F5:F52,X13,Tournament!K5:K52,X14)+SUMIFS(Tournament!H5:H52,Tournament!F5:F52,X13,Tournament!K5:K52,X15)+SUMIFS(Tournament!I5:I52,Tournament!K5:K52,X13,Tournament!F5:F52,X14)+SUMIFS(Tournament!I5:I52,Tournament!K5:K52,X13,Tournament!F5:F52,X15)</f>
        <v>0</v>
      </c>
      <c r="AP13" s="308">
        <f ca="1">SUMIFS(Tournament!I5:I52,Tournament!F5:F52,X13,Tournament!K5:K52,X14)+SUMIFS(Tournament!I5:I52,Tournament!F5:F52,X13,Tournament!K5:K52,X15)+SUMIFS(Tournament!H5:H52,Tournament!K5:K52,X13,Tournament!F5:F52,X14)+SUMIFS(Tournament!H5:H52,Tournament!K5:K52,X13,Tournament!F5:F52,X15)</f>
        <v>0</v>
      </c>
      <c r="AQ13" s="308">
        <f t="shared" ca="1" si="10"/>
        <v>0</v>
      </c>
      <c r="AR13" s="308">
        <f t="shared" ca="1" si="11"/>
        <v>0</v>
      </c>
      <c r="AS13" s="308">
        <f t="shared" ref="AS13" ca="1" si="73">IF(X13&lt;&gt;"",SUMPRODUCT((V12:V15=V13)*(AR12:AR15&gt;AR13)*1),0)</f>
        <v>0</v>
      </c>
      <c r="AT13" s="308">
        <f t="shared" ref="AT13" ca="1" si="74">IF(X13&lt;&gt;"",SUMPRODUCT((AS12:AS15=AS13)*(AQ12:AQ15&gt;AQ13)*1),0)</f>
        <v>0</v>
      </c>
      <c r="AU13" s="308">
        <f t="shared" ca="1" si="12"/>
        <v>0</v>
      </c>
      <c r="AV13" s="308">
        <f t="shared" ref="AV13" ca="1" si="75">IF(X13&lt;&gt;"",SUMPRODUCT((AU12:AU15=AU13)*(AS12:AS15=AS13)*(AO12:AO15&gt;AO13)*1),0)</f>
        <v>0</v>
      </c>
      <c r="AW13" s="308">
        <f t="shared" ca="1" si="13"/>
        <v>1</v>
      </c>
      <c r="AX13" s="308">
        <v>0</v>
      </c>
      <c r="AY13" s="308">
        <v>0</v>
      </c>
      <c r="AZ13" s="308">
        <v>0</v>
      </c>
      <c r="BA13" s="308">
        <v>0</v>
      </c>
      <c r="BB13" s="308">
        <v>0</v>
      </c>
      <c r="BC13" s="308">
        <v>0</v>
      </c>
      <c r="BD13" s="308">
        <v>0</v>
      </c>
      <c r="BE13" s="308">
        <v>0</v>
      </c>
      <c r="BF13" s="308">
        <v>0</v>
      </c>
      <c r="BG13" s="308">
        <v>0</v>
      </c>
      <c r="BH13" s="308">
        <v>0</v>
      </c>
      <c r="BI13" s="308">
        <f t="shared" ca="1" si="17"/>
        <v>1</v>
      </c>
      <c r="BJ13" s="308">
        <f ca="1">SUMPRODUCT((BI12:BI15=BI13)*(A12:A15&gt;A13)*1)</f>
        <v>3</v>
      </c>
      <c r="BK13" s="308">
        <f t="shared" ca="1" si="14"/>
        <v>4</v>
      </c>
      <c r="BM13" s="314"/>
      <c r="BN13" s="315"/>
      <c r="BO13" s="316" t="str">
        <f>Calculator!C10</f>
        <v>United States</v>
      </c>
      <c r="BP13" s="317" t="s">
        <v>660</v>
      </c>
      <c r="BQ13" s="316"/>
      <c r="BR13" s="309">
        <v>7</v>
      </c>
      <c r="BS13" s="318">
        <v>-9</v>
      </c>
      <c r="BT13" s="174"/>
      <c r="BU13" s="22">
        <v>7</v>
      </c>
      <c r="BV13" s="320">
        <f t="shared" si="18"/>
        <v>44887.791666666664</v>
      </c>
      <c r="BW13" s="321">
        <v>44887.791666666664</v>
      </c>
      <c r="BX13" s="322">
        <f t="shared" si="19"/>
        <v>44887.791666666664</v>
      </c>
      <c r="BY13" s="309">
        <f ca="1">SUM(Tournament!R11:R14)</f>
        <v>0</v>
      </c>
      <c r="BZ13" s="309" t="str">
        <f>INDEX(Language!A1:K117,MATCH(Setup!B14,Language!B1:B117,0),MATCH(Setup!C5,Language!A1:J1,0))</f>
        <v>United States</v>
      </c>
    </row>
    <row r="14" spans="1:78" x14ac:dyDescent="0.35">
      <c r="A14" s="308">
        <f ca="1">INDEX(M4:M35,MATCH(U14,C4:C35,0),0)</f>
        <v>1659</v>
      </c>
      <c r="B14" s="308">
        <f t="shared" si="25"/>
        <v>3</v>
      </c>
      <c r="C14" s="308" t="str">
        <f t="shared" si="1"/>
        <v>Mexico</v>
      </c>
      <c r="D14" s="308">
        <f t="shared" ca="1" si="2"/>
        <v>0</v>
      </c>
      <c r="E14" s="308">
        <f ca="1">SUMPRODUCT((Tournament!H5:H52&lt;&gt;"")*(Tournament!F5:F52=C14)*(Tournament!H5:H52&gt;Tournament!I5:I52)*1)+SUMPRODUCT((Tournament!H5:H52&lt;&gt;"")*(Tournament!K5:K52=C14)*(Tournament!I5:I52&gt;Tournament!H5:H52)*1)</f>
        <v>0</v>
      </c>
      <c r="F14" s="308">
        <f ca="1">SUMPRODUCT((Tournament!H5:H52&lt;&gt;"")*(Tournament!F5:F52=C14)*(Tournament!H5:H52=Tournament!I5:I52)*1)+SUMPRODUCT((Tournament!H5:H52&lt;&gt;"")*(Tournament!K5:K52=C14)*(Tournament!H5:H52=Tournament!I5:I52)*1)</f>
        <v>0</v>
      </c>
      <c r="G14" s="308">
        <f ca="1">SUMPRODUCT((Tournament!H5:H52&lt;&gt;"")*(Tournament!F5:F52=C14)*(Tournament!H5:H52&lt;Tournament!I5:I52)*1)+SUMPRODUCT((Tournament!H5:H52&lt;&gt;"")*(Tournament!K5:K52=C14)*(Tournament!I5:I52&lt;Tournament!H5:H52)*1)</f>
        <v>0</v>
      </c>
      <c r="H14" s="308">
        <f ca="1">SUMIF(Tournament!F5:F52,C14,Tournament!H5:H52)+SUMIF(Tournament!K5:K52,C14,Tournament!I5:I52)</f>
        <v>0</v>
      </c>
      <c r="I14" s="308">
        <f ca="1">SUMIF(Tournament!F5:F52,C14,Tournament!I5:I52)+SUMIF(Tournament!K5:K52,C14,Tournament!H5:H52)</f>
        <v>0</v>
      </c>
      <c r="J14" s="308">
        <f t="shared" ca="1" si="3"/>
        <v>0</v>
      </c>
      <c r="K14" s="308">
        <f t="shared" ca="1" si="4"/>
        <v>0</v>
      </c>
      <c r="L14" s="308">
        <f>Setup!E18</f>
        <v>1659</v>
      </c>
      <c r="M14" s="308">
        <f>IF(Setup!F18&lt;&gt;"",Setup!F18,Setup!E18)</f>
        <v>1659</v>
      </c>
      <c r="N14" s="308">
        <f ca="1">RANK(K14,K12:K15)</f>
        <v>1</v>
      </c>
      <c r="O14" s="308">
        <f ca="1">SUMPRODUCT((N12:N15=N14)*(J12:J15&gt;J14)*1)</f>
        <v>0</v>
      </c>
      <c r="P14" s="308">
        <f t="shared" ca="1" si="5"/>
        <v>1</v>
      </c>
      <c r="Q14" s="308">
        <f ca="1">SUMPRODUCT((N12:N15=N14)*(J12:J15=J14)*(H12:H15&gt;H14)*1)</f>
        <v>0</v>
      </c>
      <c r="R14" s="308">
        <f t="shared" ca="1" si="6"/>
        <v>1</v>
      </c>
      <c r="S14" s="308">
        <f ca="1">RANK(R14,R12:R15,1)+COUNTIF(R12:R14,R14)-1</f>
        <v>3</v>
      </c>
      <c r="T14" s="308">
        <v>3</v>
      </c>
      <c r="U14" s="308" t="str">
        <f t="shared" ref="U14" ca="1" si="76">INDEX(C12:C15,MATCH(T14,S12:S15,0),0)</f>
        <v>Mexico</v>
      </c>
      <c r="V14" s="308">
        <f ca="1">INDEX(R12:R15,MATCH(U14,C12:C15,0),0)</f>
        <v>1</v>
      </c>
      <c r="W14" s="308" t="str">
        <f t="shared" ref="W14:W15" ca="1" si="77">IF(AND(W13&lt;&gt;"",V14=1),U14,"")</f>
        <v>Mexico</v>
      </c>
      <c r="X14" s="308" t="str">
        <f t="shared" ref="X14" ca="1" si="78">IF(X13&lt;&gt;"",U14,"")</f>
        <v/>
      </c>
      <c r="Y14" s="308" t="str">
        <f t="shared" ref="Y14" ca="1" si="79">IF(V15=3,U14,"")</f>
        <v/>
      </c>
      <c r="Z14" s="308">
        <f ca="1">SUMPRODUCT((Tournament!F5:F52=W14)*(Tournament!K5:K52=W12)*(Tournament!H5:H52&gt;Tournament!I5:I52)*1)+SUMPRODUCT((Tournament!K5:K52=W14)*(Tournament!F5:F52=W12)*(Tournament!I5:I52&gt;Tournament!H5:H52)*1)+SUMPRODUCT((Tournament!F5:F52=W14)*(Tournament!K5:K52=W13)*(Tournament!H5:H52&gt;Tournament!I5:I52)*1)+SUMPRODUCT((Tournament!K5:K52=W14)*(Tournament!F5:F52=W13)*(Tournament!I5:I52&gt;Tournament!H5:H52)*1)+SUMPRODUCT((Tournament!F5:F52=W14)*(Tournament!K5:K52=W15)*(Tournament!H5:H52&gt;Tournament!I5:I52)*1)+SUMPRODUCT((Tournament!K5:K52=W14)*(Tournament!F5:F52=W15)*(Tournament!I5:I52&gt;Tournament!H5:H52)*1)</f>
        <v>0</v>
      </c>
      <c r="AA14" s="308">
        <f ca="1">SUMPRODUCT((Tournament!F5:F52=W14)*(Tournament!K5:K52=W12)*(Tournament!H5:H52=Tournament!I5:I52)*1)+SUMPRODUCT((Tournament!K5:K52=W14)*(Tournament!F5:F52=W12)*(Tournament!H5:H52=Tournament!I5:I52)*1)+SUMPRODUCT((Tournament!F5:F52=W14)*(Tournament!K5:K52=W13)*(Tournament!H5:H52=Tournament!I5:I52)*1)+SUMPRODUCT((Tournament!K5:K52=W14)*(Tournament!F5:F52=W13)*(Tournament!H5:H52=Tournament!I5:I52)*1)+SUMPRODUCT((Tournament!F5:F52=W14)*(Tournament!K5:K52=W15)*(Tournament!H5:H52=Tournament!I5:I52)*1)+SUMPRODUCT((Tournament!K5:K52=W14)*(Tournament!F5:F52=W15)*(Tournament!H5:H52=Tournament!I5:I52)*1)</f>
        <v>3</v>
      </c>
      <c r="AB14" s="308">
        <f ca="1">SUMPRODUCT((Tournament!F5:F52=W14)*(Tournament!K5:K52=W12)*(Tournament!H5:H52&lt;Tournament!I5:I52)*1)+SUMPRODUCT((Tournament!K5:K52=W14)*(Tournament!F5:F52=W12)*(Tournament!I5:I52&lt;Tournament!H5:H52)*1)+SUMPRODUCT((Tournament!F5:F52=W14)*(Tournament!K5:K52=W13)*(Tournament!H5:H52&lt;Tournament!I5:I52)*1)+SUMPRODUCT((Tournament!K5:K52=W14)*(Tournament!F5:F52=W13)*(Tournament!I5:I52&lt;Tournament!H5:H52)*1)+SUMPRODUCT((Tournament!F5:F52=W14)*(Tournament!K5:K52=W15)*(Tournament!H5:H52&lt;Tournament!I5:I52)*1)+SUMPRODUCT((Tournament!K5:K52=W14)*(Tournament!F5:F52=W15)*(Tournament!I5:I52&lt;Tournament!H5:H52)*1)</f>
        <v>0</v>
      </c>
      <c r="AC14" s="308">
        <f ca="1">SUMIFS(Tournament!H5:H52,Tournament!F5:F52,W14,Tournament!K5:K52,W12)+SUMIFS(Tournament!H5:H52,Tournament!F5:F52,W14,Tournament!K5:K52,W13)+SUMIFS(Tournament!H5:H52,Tournament!F5:F52,W14,Tournament!K5:K52,W15)+SUMIFS(Tournament!I5:I52,Tournament!K5:K52,W14,Tournament!F5:F52,W12)+SUMIFS(Tournament!I5:I52,Tournament!K5:K52,W14,Tournament!F5:F52,W13)+SUMIFS(Tournament!I5:I52,Tournament!K5:K52,W14,Tournament!F5:F52,W15)</f>
        <v>0</v>
      </c>
      <c r="AD14" s="308">
        <f ca="1">SUMIFS(Tournament!I5:I52,Tournament!F5:F52,W14,Tournament!K5:K52,W12)+SUMIFS(Tournament!I5:I52,Tournament!F5:F52,W14,Tournament!K5:K52,W13)+SUMIFS(Tournament!I5:I52,Tournament!F5:F52,W14,Tournament!K5:K52,W15)+SUMIFS(Tournament!H5:H52,Tournament!K5:K52,W14,Tournament!F5:F52,W12)+SUMIFS(Tournament!H5:H52,Tournament!K5:K52,W14,Tournament!F5:F52,W13)+SUMIFS(Tournament!H5:H52,Tournament!K5:K52,W14,Tournament!F5:F52,W15)</f>
        <v>0</v>
      </c>
      <c r="AE14" s="308">
        <f t="shared" ca="1" si="7"/>
        <v>0</v>
      </c>
      <c r="AF14" s="308">
        <f t="shared" ca="1" si="8"/>
        <v>3</v>
      </c>
      <c r="AG14" s="308">
        <f t="shared" ref="AG14" ca="1" si="80">IF(W14&lt;&gt;"",SUMPRODUCT((V12:V15=V14)*(AF12:AF15&gt;AF14)*1),0)</f>
        <v>0</v>
      </c>
      <c r="AH14" s="308">
        <f t="shared" ref="AH14" ca="1" si="81">IF(W14&lt;&gt;"",SUMPRODUCT((AG12:AG15=AG14)*(AE12:AE15&gt;AE14)*1),0)</f>
        <v>0</v>
      </c>
      <c r="AI14" s="308">
        <f t="shared" ca="1" si="0"/>
        <v>0</v>
      </c>
      <c r="AJ14" s="308">
        <f t="shared" ref="AJ14" ca="1" si="82">IF(W14&lt;&gt;"",SUMPRODUCT((AI12:AI15=AI14)*(AG12:AG15=AG14)*(AC12:AC15&gt;AC14)*1),0)</f>
        <v>0</v>
      </c>
      <c r="AK14" s="308">
        <f t="shared" ca="1" si="9"/>
        <v>1</v>
      </c>
      <c r="AL14" s="308">
        <f ca="1">SUMPRODUCT((Tournament!F5:F52=X14)*(Tournament!K5:K52=X13)*(Tournament!H5:H52&gt;Tournament!I5:I52)*1)+SUMPRODUCT((Tournament!K5:K52=X14)*(Tournament!F5:F52=X13)*(Tournament!I5:I52&gt;Tournament!H5:H52)*1)+SUMPRODUCT((Tournament!F5:F52=X14)*(Tournament!K5:K52=X15)*(Tournament!H5:H52&gt;Tournament!I5:I52)*1)+SUMPRODUCT((Tournament!K5:K52=X14)*(Tournament!F5:F52=X15)*(Tournament!I5:I52&gt;Tournament!H5:H52)*1)</f>
        <v>0</v>
      </c>
      <c r="AM14" s="308">
        <f ca="1">SUMPRODUCT((Tournament!F5:F52=X14)*(Tournament!K5:K52=X13)*(Tournament!H5:H52=Tournament!I5:I52)*1)+SUMPRODUCT((Tournament!K5:K52=X14)*(Tournament!F5:F52=X13)*(Tournament!H5:H52=Tournament!I5:I52)*1)+SUMPRODUCT((Tournament!F5:F52=X14)*(Tournament!K5:K52=X15)*(Tournament!H5:H52=Tournament!I5:I52)*1)+SUMPRODUCT((Tournament!K5:K52=X14)*(Tournament!F5:F52=X15)*(Tournament!H5:H52=Tournament!I5:I52)*1)</f>
        <v>0</v>
      </c>
      <c r="AN14" s="308">
        <f ca="1">SUMPRODUCT((Tournament!F5:F52=X14)*(Tournament!K5:K52=X13)*(Tournament!H5:H52&lt;Tournament!I5:I52)*1)+SUMPRODUCT((Tournament!K5:K52=X14)*(Tournament!F5:F52=X13)*(Tournament!I5:I52&lt;Tournament!H5:H52)*1)+SUMPRODUCT((Tournament!F5:F52=X14)*(Tournament!K5:K52=X15)*(Tournament!H5:H52&lt;Tournament!I5:I52)*1)+SUMPRODUCT((Tournament!K5:K52=X14)*(Tournament!F5:F52=X15)*(Tournament!I5:I52&lt;Tournament!H5:H52)*1)</f>
        <v>0</v>
      </c>
      <c r="AO14" s="308">
        <f ca="1">SUMIFS(Tournament!H5:H52,Tournament!F5:F52,X14,Tournament!K5:K52,X13)+SUMIFS(Tournament!H5:H52,Tournament!F5:F52,X14,Tournament!K5:K52,X15)+SUMIFS(Tournament!I5:I52,Tournament!K5:K52,X14,Tournament!F5:F52,X13)+SUMIFS(Tournament!I5:I52,Tournament!K5:K52,X14,Tournament!F5:F52,X15)</f>
        <v>0</v>
      </c>
      <c r="AP14" s="308">
        <f ca="1">SUMIFS(Tournament!I5:I52,Tournament!F5:F52,X14,Tournament!K5:K52,X13)+SUMIFS(Tournament!I5:I52,Tournament!F5:F52,X14,Tournament!K5:K52,X15)+SUMIFS(Tournament!H5:H52,Tournament!K5:K52,X14,Tournament!F5:F52,X13)+SUMIFS(Tournament!H5:H52,Tournament!K5:K52,X14,Tournament!F5:F52,X15)</f>
        <v>0</v>
      </c>
      <c r="AQ14" s="308">
        <f t="shared" ca="1" si="10"/>
        <v>0</v>
      </c>
      <c r="AR14" s="308">
        <f t="shared" ca="1" si="11"/>
        <v>0</v>
      </c>
      <c r="AS14" s="308">
        <f t="shared" ref="AS14" ca="1" si="83">IF(X14&lt;&gt;"",SUMPRODUCT((V12:V15=V14)*(AR12:AR15&gt;AR14)*1),0)</f>
        <v>0</v>
      </c>
      <c r="AT14" s="308">
        <f t="shared" ref="AT14" ca="1" si="84">IF(X14&lt;&gt;"",SUMPRODUCT((AS12:AS15=AS14)*(AQ12:AQ15&gt;AQ14)*1),0)</f>
        <v>0</v>
      </c>
      <c r="AU14" s="308">
        <f t="shared" ca="1" si="12"/>
        <v>0</v>
      </c>
      <c r="AV14" s="308">
        <f t="shared" ref="AV14" ca="1" si="85">IF(X14&lt;&gt;"",SUMPRODUCT((AU12:AU15=AU14)*(AS12:AS15=AS14)*(AO12:AO15&gt;AO14)*1),0)</f>
        <v>0</v>
      </c>
      <c r="AW14" s="308">
        <f t="shared" ca="1" si="13"/>
        <v>1</v>
      </c>
      <c r="AX14" s="308">
        <f ca="1">SUMPRODUCT((Tournament!F5:F52=Y14)*(Tournament!K5:K52=Y15)*(Tournament!H5:H52&gt;Tournament!I5:I52)*1)+SUMPRODUCT((Tournament!K5:K52=Y14)*(Tournament!F5:F52=Y15)*(Tournament!I5:I52&gt;Tournament!H5:H52)*1)</f>
        <v>0</v>
      </c>
      <c r="AY14" s="308">
        <f ca="1">SUMPRODUCT((Tournament!F5:F52=Y14)*(Tournament!K5:K52=Y15)*(Tournament!H5:H52=Tournament!I5:I52)*1)+SUMPRODUCT((Tournament!K5:K52=Y14)*(Tournament!F5:F52=Y15)*(Tournament!I5:I52=Tournament!H5:H52)*1)</f>
        <v>0</v>
      </c>
      <c r="AZ14" s="308">
        <f ca="1">SUMPRODUCT((Tournament!F5:F52=Y14)*(Tournament!K5:K52=Y15)*(Tournament!H5:H52&lt;Tournament!I5:I52)*1)+SUMPRODUCT((Tournament!K5:K52=Y14)*(Tournament!F5:F52=Y15)*(Tournament!I5:I52&lt;Tournament!H5:H52)*1)</f>
        <v>0</v>
      </c>
      <c r="BA14" s="308">
        <f ca="1">SUMIFS(Tournament!H5:H52,Tournament!F5:F52,Y14,Tournament!K5:K52,Y15)+SUMIFS(Tournament!I5:I52,Tournament!K5:K52,Y14,Tournament!F5:F52,Y15)</f>
        <v>0</v>
      </c>
      <c r="BB14" s="308">
        <f ca="1">SUMIFS(Tournament!I5:I52,Tournament!F5:F52,Y14,Tournament!K5:K52,Y15)+SUMIFS(Tournament!H5:H52,Tournament!K5:K52,Y14,Tournament!F5:F52,Y15)</f>
        <v>0</v>
      </c>
      <c r="BC14" s="308">
        <f t="shared" ref="BC14:BC15" ca="1" si="86">BA14-BB14</f>
        <v>0</v>
      </c>
      <c r="BD14" s="308">
        <f t="shared" ref="BD14:BD15" ca="1" si="87">AY14*1+AX14*3</f>
        <v>0</v>
      </c>
      <c r="BE14" s="308">
        <f t="shared" ref="BE14" ca="1" si="88">IF(Y14&lt;&gt;"",SUMPRODUCT((AH12:AH15=AH14)*(BD12:BD15&gt;BD14)*1),0)</f>
        <v>0</v>
      </c>
      <c r="BF14" s="308">
        <f t="shared" ref="BF14" ca="1" si="89">IF(Y14&lt;&gt;"",SUMPRODUCT((BE12:BE15=BE14)*(BC12:BC15&gt;BC14)*1),0)</f>
        <v>0</v>
      </c>
      <c r="BG14" s="308">
        <f t="shared" ref="BG14:BG15" ca="1" si="90">BE14+BF14</f>
        <v>0</v>
      </c>
      <c r="BH14" s="308">
        <f t="shared" ref="BH14" ca="1" si="91">IF(Y14&lt;&gt;"",SUMPRODUCT((BG12:BG15=BG14)*(BE12:BE15=BE14)*(BA12:BA15&gt;BA14)*1),0)</f>
        <v>0</v>
      </c>
      <c r="BI14" s="308">
        <f t="shared" ca="1" si="17"/>
        <v>1</v>
      </c>
      <c r="BJ14" s="308">
        <f ca="1">SUMPRODUCT((BI12:BI15=BI14)*(A12:A15&gt;A14)*1)</f>
        <v>1</v>
      </c>
      <c r="BK14" s="308">
        <f t="shared" ca="1" si="14"/>
        <v>2</v>
      </c>
      <c r="BM14" s="314"/>
      <c r="BN14" s="315"/>
      <c r="BO14" s="316" t="str">
        <f>Calculator!C11</f>
        <v>Wales</v>
      </c>
      <c r="BP14" s="317" t="s">
        <v>661</v>
      </c>
      <c r="BQ14" s="316"/>
      <c r="BR14" s="309">
        <v>8</v>
      </c>
      <c r="BS14" s="318">
        <v>-8.5</v>
      </c>
      <c r="BT14" s="174"/>
      <c r="BU14" s="22">
        <v>8</v>
      </c>
      <c r="BV14" s="320">
        <f t="shared" si="18"/>
        <v>44887.916666666664</v>
      </c>
      <c r="BW14" s="321">
        <v>44887.916666666664</v>
      </c>
      <c r="BX14" s="322">
        <f t="shared" si="19"/>
        <v>44887.916666666664</v>
      </c>
      <c r="BZ14" s="309" t="str">
        <f>INDEX(Language!A1:K117,MATCH(Setup!B15,Language!B1:B117,0),MATCH(Setup!C5,Language!A1:J1,0))</f>
        <v>Wales</v>
      </c>
    </row>
    <row r="15" spans="1:78" ht="15.5" x14ac:dyDescent="0.35">
      <c r="A15" s="308">
        <f ca="1">INDEX(M4:M35,MATCH(U15,C4:C35,0),0)</f>
        <v>1544</v>
      </c>
      <c r="B15" s="308">
        <f t="shared" si="25"/>
        <v>4</v>
      </c>
      <c r="C15" s="308" t="str">
        <f t="shared" si="1"/>
        <v>Poland</v>
      </c>
      <c r="D15" s="308">
        <f t="shared" ca="1" si="2"/>
        <v>0</v>
      </c>
      <c r="E15" s="308">
        <f ca="1">SUMPRODUCT((Tournament!H5:H52&lt;&gt;"")*(Tournament!F5:F52=C15)*(Tournament!H5:H52&gt;Tournament!I5:I52)*1)+SUMPRODUCT((Tournament!H5:H52&lt;&gt;"")*(Tournament!K5:K52=C15)*(Tournament!I5:I52&gt;Tournament!H5:H52)*1)</f>
        <v>0</v>
      </c>
      <c r="F15" s="308">
        <f ca="1">SUMPRODUCT((Tournament!H5:H52&lt;&gt;"")*(Tournament!F5:F52=C15)*(Tournament!H5:H52=Tournament!I5:I52)*1)+SUMPRODUCT((Tournament!H5:H52&lt;&gt;"")*(Tournament!K5:K52=C15)*(Tournament!H5:H52=Tournament!I5:I52)*1)</f>
        <v>0</v>
      </c>
      <c r="G15" s="308">
        <f ca="1">SUMPRODUCT((Tournament!H5:H52&lt;&gt;"")*(Tournament!F5:F52=C15)*(Tournament!H5:H52&lt;Tournament!I5:I52)*1)+SUMPRODUCT((Tournament!H5:H52&lt;&gt;"")*(Tournament!K5:K52=C15)*(Tournament!I5:I52&lt;Tournament!H5:H52)*1)</f>
        <v>0</v>
      </c>
      <c r="H15" s="308">
        <f ca="1">SUMIF(Tournament!F5:F52,C15,Tournament!H5:H52)+SUMIF(Tournament!K5:K52,C15,Tournament!I5:I52)</f>
        <v>0</v>
      </c>
      <c r="I15" s="308">
        <f ca="1">SUMIF(Tournament!F5:F52,C15,Tournament!I5:I52)+SUMIF(Tournament!K5:K52,C15,Tournament!H5:H52)</f>
        <v>0</v>
      </c>
      <c r="J15" s="308">
        <f t="shared" ca="1" si="3"/>
        <v>0</v>
      </c>
      <c r="K15" s="308">
        <f t="shared" ca="1" si="4"/>
        <v>0</v>
      </c>
      <c r="L15" s="308">
        <f>Setup!E19</f>
        <v>1544</v>
      </c>
      <c r="M15" s="308">
        <f>IF(Setup!F19&lt;&gt;"",Setup!F19,Setup!E19)</f>
        <v>1544</v>
      </c>
      <c r="N15" s="308">
        <f ca="1">RANK(K15,K12:K15)</f>
        <v>1</v>
      </c>
      <c r="O15" s="308">
        <f ca="1">SUMPRODUCT((N12:N15=N15)*(J12:J15&gt;J15)*1)</f>
        <v>0</v>
      </c>
      <c r="P15" s="308">
        <f t="shared" ca="1" si="5"/>
        <v>1</v>
      </c>
      <c r="Q15" s="308">
        <f ca="1">SUMPRODUCT((N12:N15=N15)*(J12:J15=J15)*(H12:H15&gt;H15)*1)</f>
        <v>0</v>
      </c>
      <c r="R15" s="308">
        <f t="shared" ca="1" si="6"/>
        <v>1</v>
      </c>
      <c r="S15" s="308">
        <f ca="1">RANK(R15,R12:R15,1)+COUNTIF(R12:R15,R15)-1</f>
        <v>4</v>
      </c>
      <c r="T15" s="308">
        <v>4</v>
      </c>
      <c r="U15" s="308" t="str">
        <f t="shared" ref="U15" ca="1" si="92">INDEX(C12:C15,MATCH(T15,S12:S15,0),0)</f>
        <v>Poland</v>
      </c>
      <c r="V15" s="308">
        <f ca="1">INDEX(R12:R15,MATCH(U15,C12:C15,0),0)</f>
        <v>1</v>
      </c>
      <c r="W15" s="308" t="str">
        <f t="shared" ca="1" si="77"/>
        <v>Poland</v>
      </c>
      <c r="X15" s="308" t="str">
        <f t="shared" ref="X15" ca="1" si="93">IF(AND(X14&lt;&gt;"",V15=2),U15,"")</f>
        <v/>
      </c>
      <c r="Y15" s="308" t="str">
        <f t="shared" ref="Y15" ca="1" si="94">IF(AND(Y14&lt;&gt;"",V15=3),U15,"")</f>
        <v/>
      </c>
      <c r="Z15" s="308">
        <f ca="1">SUMPRODUCT((Tournament!F5:F52=W15)*(Tournament!K5:K52=W12)*(Tournament!H5:H52&gt;Tournament!I5:I52)*1)+SUMPRODUCT((Tournament!K5:K52=W15)*(Tournament!F5:F52=W12)*(Tournament!I5:I52&gt;Tournament!H5:H52)*1)+SUMPRODUCT((Tournament!F5:F52=W15)*(Tournament!K5:K52=W13)*(Tournament!H5:H52&gt;Tournament!I5:I52)*1)+SUMPRODUCT((Tournament!K5:K52=W15)*(Tournament!F5:F52=W13)*(Tournament!I5:I52&gt;Tournament!H5:H52)*1)+SUMPRODUCT((Tournament!F5:F52=W15)*(Tournament!K5:K52=W14)*(Tournament!H5:H52&gt;Tournament!I5:I52)*1)+SUMPRODUCT((Tournament!K5:K52=W15)*(Tournament!F5:F52=W14)*(Tournament!I5:I52&gt;Tournament!H5:H52)*1)</f>
        <v>0</v>
      </c>
      <c r="AA15" s="308">
        <f ca="1">SUMPRODUCT((Tournament!F5:F52=W15)*(Tournament!K5:K52=W12)*(Tournament!H5:H52&gt;=Tournament!I5:I52)*1)+SUMPRODUCT((Tournament!K5:K52=W15)*(Tournament!F5:F52=W12)*(Tournament!H5:H52=Tournament!I5:I52)*1)+SUMPRODUCT((Tournament!F5:F52=W15)*(Tournament!K5:K52=W13)*(Tournament!H5:H52=Tournament!I5:I52)*1)+SUMPRODUCT((Tournament!K5:K52=W15)*(Tournament!F5:F52=W13)*(Tournament!H5:H52=Tournament!I5:I52)*1)+SUMPRODUCT((Tournament!F5:F52=W15)*(Tournament!K5:K52=W14)*(Tournament!H5:H52=Tournament!I5:I52)*1)+SUMPRODUCT((Tournament!K5:K52=W15)*(Tournament!F5:F52=W14)*(Tournament!H5:H52=Tournament!I5:I52)*1)</f>
        <v>3</v>
      </c>
      <c r="AB15" s="308">
        <f ca="1">SUMPRODUCT((Tournament!F5:F52=W15)*(Tournament!K5:K52=W12)*(Tournament!H5:H52&lt;Tournament!I5:I52)*1)+SUMPRODUCT((Tournament!K5:K52=W15)*(Tournament!F5:F52=W12)*(Tournament!I5:I52&lt;Tournament!H5:H52)*1)+SUMPRODUCT((Tournament!F5:F52=W15)*(Tournament!K5:K52=W13)*(Tournament!H5:H52&lt;Tournament!I5:I52)*1)+SUMPRODUCT((Tournament!K5:K52=W15)*(Tournament!F5:F52=W13)*(Tournament!I5:I52&lt;Tournament!H5:H52)*1)+SUMPRODUCT((Tournament!F5:F52=W15)*(Tournament!K5:K52=W14)*(Tournament!H5:H52&lt;Tournament!I5:I52)*1)+SUMPRODUCT((Tournament!K5:K52=W15)*(Tournament!F5:F52=W14)*(Tournament!I5:I52&lt;Tournament!H5:H52)*1)</f>
        <v>0</v>
      </c>
      <c r="AC15" s="308">
        <f ca="1">SUMIFS(Tournament!H5:H52,Tournament!F5:F52,W15,Tournament!K5:K52,W12)+SUMIFS(Tournament!H5:H52,Tournament!F5:F52,W15,Tournament!K5:K52,W13)+SUMIFS(Tournament!H5:H52,Tournament!F5:F52,W15,Tournament!K5:K52,W14)+SUMIFS(Tournament!I5:I52,Tournament!K5:K52,W15,Tournament!F5:F52,W12)+SUMIFS(Tournament!I5:I52,Tournament!K5:K52,W15,Tournament!F5:F52,W13)+SUMIFS(Tournament!I5:I52,Tournament!K5:K52,W15,Tournament!F5:F52,W14)</f>
        <v>0</v>
      </c>
      <c r="AD15" s="308">
        <f ca="1">SUMIFS(Tournament!I5:I52,Tournament!F5:F52,W15,Tournament!K5:K52,W12)+SUMIFS(Tournament!I5:I52,Tournament!F5:F52,W15,Tournament!K5:K52,W13)+SUMIFS(Tournament!I5:I52,Tournament!F5:F52,W15,Tournament!K5:K52,W14)+SUMIFS(Tournament!H5:H52,Tournament!K5:K52,W15,Tournament!F5:F52,W12)+SUMIFS(Tournament!H5:H52,Tournament!K5:K52,W15,Tournament!F5:F52,W13)+SUMIFS(Tournament!H5:H52,Tournament!K5:K52,W15,Tournament!F5:F52,W14)</f>
        <v>0</v>
      </c>
      <c r="AE15" s="308">
        <f t="shared" ca="1" si="7"/>
        <v>0</v>
      </c>
      <c r="AF15" s="308">
        <f t="shared" ca="1" si="8"/>
        <v>3</v>
      </c>
      <c r="AG15" s="308">
        <f t="shared" ref="AG15" ca="1" si="95">IF(W15&lt;&gt;"",SUMPRODUCT((V12:V15=V15)*(AF12:AF15&gt;AF15)*1),0)</f>
        <v>0</v>
      </c>
      <c r="AH15" s="308">
        <f t="shared" ref="AH15" ca="1" si="96">IF(W15&lt;&gt;"",SUMPRODUCT((AG12:AG15=AG15)*(AE12:AE15&gt;AE15)*1),0)</f>
        <v>0</v>
      </c>
      <c r="AI15" s="308">
        <f t="shared" ca="1" si="0"/>
        <v>0</v>
      </c>
      <c r="AJ15" s="308">
        <f t="shared" ref="AJ15" ca="1" si="97">IF(W15&lt;&gt;"",SUMPRODUCT((AI12:AI15=AI15)*(AG12:AG15=AG15)*(AC12:AC15&gt;AC15)*1),0)</f>
        <v>0</v>
      </c>
      <c r="AK15" s="308">
        <f t="shared" ca="1" si="9"/>
        <v>1</v>
      </c>
      <c r="AL15" s="308">
        <f ca="1">SUMPRODUCT((Tournament!F5:F52=X15)*(Tournament!K5:K52=X13)*(Tournament!H5:H52&gt;Tournament!I5:I52)*1)+SUMPRODUCT((Tournament!K5:K52=X15)*(Tournament!F5:F52=X13)*(Tournament!I5:I52&gt;Tournament!H5:H52)*1)+SUMPRODUCT((Tournament!F5:F52=X15)*(Tournament!K5:K52=X14)*(Tournament!H5:H52&gt;Tournament!I5:I52)*1)+SUMPRODUCT((Tournament!K5:K52=X15)*(Tournament!F5:F52=X14)*(Tournament!I5:I52&gt;Tournament!H5:H52)*1)</f>
        <v>0</v>
      </c>
      <c r="AM15" s="308">
        <f ca="1">SUMPRODUCT((Tournament!F5:F52=X15)*(Tournament!K5:K52=X13)*(Tournament!H5:H52=Tournament!I5:I52)*1)+SUMPRODUCT((Tournament!K5:K52=X15)*(Tournament!F5:F52=X13)*(Tournament!H5:H52=Tournament!I5:I52)*1)+SUMPRODUCT((Tournament!F5:F52=X15)*(Tournament!K5:K52=X14)*(Tournament!H5:H52=Tournament!I5:I52)*1)+SUMPRODUCT((Tournament!K5:K52=X15)*(Tournament!F5:F52=X14)*(Tournament!H5:H52=Tournament!I5:I52)*1)</f>
        <v>0</v>
      </c>
      <c r="AN15" s="308">
        <f ca="1">SUMPRODUCT((Tournament!F5:F52=X15)*(Tournament!K5:K52=X13)*(Tournament!H5:H52&lt;Tournament!I5:I52)*1)+SUMPRODUCT((Tournament!K5:K52=X15)*(Tournament!F5:F52=X13)*(Tournament!I5:I52&lt;Tournament!H5:H52)*1)+SUMPRODUCT((Tournament!F5:F52=X15)*(Tournament!K5:K52=X14)*(Tournament!H5:H52&lt;Tournament!I5:I52)*1)+SUMPRODUCT((Tournament!K5:K52=X15)*(Tournament!F5:F52=X14)*(Tournament!I5:I52&lt;Tournament!H5:H52)*1)</f>
        <v>0</v>
      </c>
      <c r="AO15" s="308">
        <f ca="1">SUMIFS(Tournament!H5:H52,Tournament!F5:F52,X15,Tournament!K5:K52,X13)+SUMIFS(Tournament!H5:H52,Tournament!F5:F52,X15,Tournament!K5:K52,X14)+SUMIFS(Tournament!I5:I52,Tournament!K5:K52,X15,Tournament!F5:F52,X13)+SUMIFS(Tournament!I5:I52,Tournament!K5:K52,X15,Tournament!F5:F52,X14)</f>
        <v>0</v>
      </c>
      <c r="AP15" s="308">
        <f ca="1">SUMIFS(Tournament!H5:H52,Tournament!F5:F52,X15,Tournament!K5:K52,X13)+SUMIFS(Tournament!H5:H52,Tournament!F5:F52,X15,Tournament!K5:K52,X14)+SUMIFS(Tournament!I5:I52,Tournament!K5:K52,X15,Tournament!F5:F52,X13)+SUMIFS(Tournament!I5:I52,Tournament!K5:K52,X15,Tournament!F5:F52,X14)</f>
        <v>0</v>
      </c>
      <c r="AQ15" s="308">
        <f t="shared" ca="1" si="10"/>
        <v>0</v>
      </c>
      <c r="AR15" s="308">
        <f t="shared" ca="1" si="11"/>
        <v>0</v>
      </c>
      <c r="AS15" s="308">
        <f t="shared" ref="AS15" ca="1" si="98">IF(X15&lt;&gt;"",SUMPRODUCT((V12:V15=V15)*(AR12:AR15&gt;AR15)*1),0)</f>
        <v>0</v>
      </c>
      <c r="AT15" s="308">
        <f t="shared" ref="AT15" ca="1" si="99">IF(X15&lt;&gt;"",SUMPRODUCT((AS12:AS15=AS15)*(AQ12:AQ15&gt;AQ15)*1),0)</f>
        <v>0</v>
      </c>
      <c r="AU15" s="308">
        <f t="shared" ca="1" si="12"/>
        <v>0</v>
      </c>
      <c r="AV15" s="308">
        <f t="shared" ref="AV15" ca="1" si="100">IF(X15&lt;&gt;"",SUMPRODUCT((AU12:AU15=AU15)*(AS12:AS15=AS15)*(AO12:AO15&gt;AO15)*1),0)</f>
        <v>0</v>
      </c>
      <c r="AW15" s="308">
        <f t="shared" ca="1" si="13"/>
        <v>1</v>
      </c>
      <c r="AX15" s="308">
        <f ca="1">SUMPRODUCT((Tournament!F5:F52=Y15)*(Tournament!K5:K52=Y14)*(Tournament!H5:H52&gt;Tournament!I5:I52)*1)+SUMPRODUCT((Tournament!K5:K52=Y15)*(Tournament!F5:F52=Y14)*(Tournament!I5:I52&gt;Tournament!H5:H52)*1)</f>
        <v>0</v>
      </c>
      <c r="AY15" s="308">
        <f ca="1">SUMPRODUCT((Tournament!F5:F52=Y15)*(Tournament!K5:K52=Y14)*(Tournament!H5:H52=Tournament!I5:I52)*1)+SUMPRODUCT((Tournament!K5:K52=Y15)*(Tournament!F5:F52=Y14)*(Tournament!I5:I52=Tournament!H5:H52)*1)</f>
        <v>0</v>
      </c>
      <c r="AZ15" s="308">
        <f ca="1">SUMPRODUCT((Tournament!F5:F52=Y15)*(Tournament!K5:K52=Y14)*(Tournament!H5:H52&lt;Tournament!I5:I52)*1)+SUMPRODUCT((Tournament!K5:K52=Y15)*(Tournament!F5:F52=Y14)*(Tournament!I5:I52&lt;Tournament!H5:H52)*1)</f>
        <v>0</v>
      </c>
      <c r="BA15" s="308">
        <f ca="1">SUMIFS(Tournament!H5:H52,Tournament!F5:F52,Y15,Tournament!K5:K52,Y14)+SUMIFS(Tournament!I5:I52,Tournament!K5:K52,Y15,Tournament!F5:F52,Y14)</f>
        <v>0</v>
      </c>
      <c r="BB15" s="308">
        <f ca="1">SUMIFS(Tournament!H5:H52,Tournament!F5:F52,Y15,Tournament!K5:K52,Y14)+SUMIFS(Tournament!I5:I52,Tournament!K5:K52,Y15,Tournament!F5:F52,Y14)</f>
        <v>0</v>
      </c>
      <c r="BC15" s="308">
        <f t="shared" ca="1" si="86"/>
        <v>0</v>
      </c>
      <c r="BD15" s="308">
        <f t="shared" ca="1" si="87"/>
        <v>0</v>
      </c>
      <c r="BE15" s="308">
        <f t="shared" ref="BE15" ca="1" si="101">IF(Y15&lt;&gt;"",SUMPRODUCT((AH12:AH15=AH15)*(BD12:BD15&gt;BD15)*1),0)</f>
        <v>0</v>
      </c>
      <c r="BF15" s="308">
        <f t="shared" ref="BF15" ca="1" si="102">IF(Y15&lt;&gt;"",SUMPRODUCT((BE12:BE15=BE15)*(BC12:BC15&gt;BC15)*1),0)</f>
        <v>0</v>
      </c>
      <c r="BG15" s="308">
        <f t="shared" ca="1" si="90"/>
        <v>0</v>
      </c>
      <c r="BH15" s="308">
        <f t="shared" ref="BH15" ca="1" si="103">IF(Y15&lt;&gt;"",SUMPRODUCT((BG12:BG15=BG15)*(BE12:BE15=BE15)*(BA12:BA15&gt;BA15)*1),0)</f>
        <v>0</v>
      </c>
      <c r="BI15" s="308">
        <f t="shared" ca="1" si="17"/>
        <v>1</v>
      </c>
      <c r="BJ15" s="308">
        <f ca="1">SUMPRODUCT((BI12:BI15=BI15)*(A12:A15&gt;A15)*1)</f>
        <v>2</v>
      </c>
      <c r="BK15" s="308">
        <f t="shared" ca="1" si="14"/>
        <v>3</v>
      </c>
      <c r="BM15" s="314" t="s">
        <v>125</v>
      </c>
      <c r="BN15" s="315"/>
      <c r="BO15" s="316" t="str">
        <f>Calculator!C12</f>
        <v>Argentina</v>
      </c>
      <c r="BP15" s="317" t="s">
        <v>662</v>
      </c>
      <c r="BQ15" s="316"/>
      <c r="BR15" s="309">
        <v>9</v>
      </c>
      <c r="BS15" s="318">
        <v>-8</v>
      </c>
      <c r="BT15" s="174"/>
      <c r="BU15" s="22">
        <v>9</v>
      </c>
      <c r="BV15" s="320">
        <f t="shared" si="18"/>
        <v>44888.541666666664</v>
      </c>
      <c r="BW15" s="321">
        <v>44888.541666666664</v>
      </c>
      <c r="BX15" s="322">
        <f t="shared" si="19"/>
        <v>44888.541666666664</v>
      </c>
      <c r="BZ15" s="309" t="str">
        <f>INDEX(Language!A1:K117,MATCH(Setup!B16,Language!B1:B117,0),MATCH(Setup!C5,Language!A1:J1,0))</f>
        <v>Argentina</v>
      </c>
    </row>
    <row r="16" spans="1:78" x14ac:dyDescent="0.35">
      <c r="A16" s="308">
        <f ca="1">INDEX(M4:M35,MATCH(U16,C4:C35,0),0)</f>
        <v>1654</v>
      </c>
      <c r="B16" s="308">
        <f t="shared" si="25"/>
        <v>1</v>
      </c>
      <c r="C16" s="308" t="str">
        <f t="shared" si="1"/>
        <v>Denmark</v>
      </c>
      <c r="D16" s="308">
        <f t="shared" ca="1" si="2"/>
        <v>0</v>
      </c>
      <c r="E16" s="308">
        <f ca="1">SUMPRODUCT((Tournament!H5:H52&lt;&gt;"")*(Tournament!F5:F52=C16)*(Tournament!H5:H52&gt;Tournament!I5:I52)*1)+SUMPRODUCT((Tournament!H5:H52&lt;&gt;"")*(Tournament!K5:K52=C16)*(Tournament!I5:I52&gt;Tournament!H5:H52)*1)</f>
        <v>0</v>
      </c>
      <c r="F16" s="308">
        <f ca="1">SUMPRODUCT((Tournament!H5:H52&lt;&gt;"")*(Tournament!F5:F52=C16)*(Tournament!H5:H52=Tournament!I5:I52)*1)+SUMPRODUCT((Tournament!H5:H52&lt;&gt;"")*(Tournament!K5:K52=C16)*(Tournament!H5:H52=Tournament!I5:I52)*1)</f>
        <v>0</v>
      </c>
      <c r="G16" s="308">
        <f ca="1">SUMPRODUCT((Tournament!H5:H52&lt;&gt;"")*(Tournament!F5:F52=C16)*(Tournament!H5:H52&lt;Tournament!I5:I52)*1)+SUMPRODUCT((Tournament!H5:H52&lt;&gt;"")*(Tournament!K5:K52=C16)*(Tournament!I5:I52&lt;Tournament!H5:H52)*1)</f>
        <v>0</v>
      </c>
      <c r="H16" s="308">
        <f ca="1">SUMIF(Tournament!F5:F52,C16,Tournament!H5:H52)+SUMIF(Tournament!K5:K52,C16,Tournament!I5:I52)</f>
        <v>0</v>
      </c>
      <c r="I16" s="308">
        <f ca="1">SUMIF(Tournament!F5:F52,C16,Tournament!I5:I52)+SUMIF(Tournament!K5:K52,C16,Tournament!H5:H52)</f>
        <v>0</v>
      </c>
      <c r="J16" s="308">
        <f t="shared" ca="1" si="3"/>
        <v>0</v>
      </c>
      <c r="K16" s="308">
        <f t="shared" ca="1" si="4"/>
        <v>0</v>
      </c>
      <c r="L16" s="308">
        <f>Setup!E20</f>
        <v>1654</v>
      </c>
      <c r="M16" s="308">
        <f>IF(Setup!F20&lt;&gt;"",Setup!F20,Setup!E20)</f>
        <v>1654</v>
      </c>
      <c r="N16" s="308">
        <f ca="1">RANK(K16,K16:K19)</f>
        <v>1</v>
      </c>
      <c r="O16" s="308">
        <f ca="1">SUMPRODUCT((N16:N19=N16)*(J16:J19&gt;J16)*1)</f>
        <v>0</v>
      </c>
      <c r="P16" s="308">
        <f t="shared" ca="1" si="5"/>
        <v>1</v>
      </c>
      <c r="Q16" s="308">
        <f ca="1">SUMPRODUCT((N16:N19=N16)*(J16:J19=J16)*(H16:H19&gt;H16)*1)</f>
        <v>0</v>
      </c>
      <c r="R16" s="308">
        <f t="shared" ca="1" si="6"/>
        <v>1</v>
      </c>
      <c r="S16" s="308">
        <f ca="1">RANK(R16,R16:R19,1)+COUNTIF(R16:R16,R16)-1</f>
        <v>1</v>
      </c>
      <c r="T16" s="308">
        <v>1</v>
      </c>
      <c r="U16" s="308" t="str">
        <f t="shared" ref="U16" ca="1" si="104">INDEX(C16:C19,MATCH(T16,S16:S19,0),0)</f>
        <v>Denmark</v>
      </c>
      <c r="V16" s="308">
        <f ca="1">INDEX(R16:R19,MATCH(U16,C16:C19,0),0)</f>
        <v>1</v>
      </c>
      <c r="W16" s="308" t="str">
        <f t="shared" ref="W16" ca="1" si="105">IF(V17=1,U16,"")</f>
        <v>Denmark</v>
      </c>
      <c r="Z16" s="308">
        <f ca="1">SUMPRODUCT((Tournament!F5:F52=W16)*(Tournament!K5:K52=W17)*(Tournament!H5:H52&gt;Tournament!I5:I52)*1)+SUMPRODUCT((Tournament!K5:K52=W16)*(Tournament!F5:F52=W17)*(Tournament!I5:I52&gt;Tournament!H5:H52)*1)+SUMPRODUCT((Tournament!F5:F52=W16)*(Tournament!K5:K52=W18)*(Tournament!H5:H52&gt;Tournament!I5:I52)*1)+SUMPRODUCT((Tournament!K5:K52=W16)*(Tournament!F5:F52=W18)*(Tournament!I5:I52&gt;Tournament!H5:H52)*1)+SUMPRODUCT((Tournament!F5:F52=W16)*(Tournament!K5:K52=W19)*(Tournament!H5:H52&gt;Tournament!I5:I52)*1)+SUMPRODUCT((Tournament!K5:K52=W16)*(Tournament!F5:F52=W19)*(Tournament!I5:I52&gt;Tournament!H5:H52)*1)</f>
        <v>0</v>
      </c>
      <c r="AA16" s="308">
        <f ca="1">SUMPRODUCT((Tournament!F5:F52=W16)*(Tournament!K5:K52=W17)*(Tournament!H5:H52=Tournament!I5:I52)*1)+SUMPRODUCT((Tournament!K5:K52=W16)*(Tournament!F5:F52=W17)*(Tournament!H5:H52=Tournament!I5:I52)*1)+SUMPRODUCT((Tournament!F5:F52=W16)*(Tournament!K5:K52=W18)*(Tournament!H5:H52=Tournament!I5:I52)*1)+SUMPRODUCT((Tournament!K5:K52=W16)*(Tournament!F5:F52=W18)*(Tournament!H5:H52=Tournament!I5:I52)*1)+SUMPRODUCT((Tournament!F5:F52=W16)*(Tournament!K5:K52=W19)*(Tournament!H5:H52=Tournament!I5:I52)*1)+SUMPRODUCT((Tournament!K5:K52=W16)*(Tournament!F5:F52=W19)*(Tournament!H5:H52=Tournament!I5:I52)*1)</f>
        <v>3</v>
      </c>
      <c r="AB16" s="308">
        <f ca="1">SUMPRODUCT((Tournament!F5:F52=W16)*(Tournament!K5:K52=W17)*(Tournament!H5:H52&lt;Tournament!I5:I52)*1)+SUMPRODUCT((Tournament!K5:K52=W16)*(Tournament!F5:F52=W17)*(Tournament!I5:I52&lt;Tournament!H5:H52)*1)+SUMPRODUCT((Tournament!F5:F52=W16)*(Tournament!K5:K52=W18)*(Tournament!H5:H52&lt;Tournament!I5:I52)*1)+SUMPRODUCT((Tournament!K5:K52=W16)*(Tournament!F5:F52=W18)*(Tournament!I5:I52&lt;Tournament!H5:H52)*1)+SUMPRODUCT((Tournament!F5:F52=W16)*(Tournament!K5:K52=W19)*(Tournament!H5:H52&lt;Tournament!I5:I52)*1)+SUMPRODUCT((Tournament!K5:K52=W16)*(Tournament!F5:F52=W19)*(Tournament!I5:I52&lt;Tournament!H5:H52)*1)</f>
        <v>0</v>
      </c>
      <c r="AC16" s="308">
        <f ca="1">SUMIFS(Tournament!H5:H52,Tournament!F5:F52,W16,Tournament!K5:K52,W17)+SUMIFS(Tournament!H5:H52,Tournament!F5:F52,W16,Tournament!K5:K52,W18)+SUMIFS(Tournament!H5:H52,Tournament!F5:F52,W16,Tournament!K5:K52,W19)+SUMIFS(Tournament!I5:I52,Tournament!K5:K52,W16,Tournament!F5:F52,W17)+SUMIFS(Tournament!I5:I52,Tournament!K5:K52,W16,Tournament!F5:F52,W18)+SUMIFS(Tournament!I5:I52,Tournament!K5:K52,W16,Tournament!F5:F52,W19)</f>
        <v>0</v>
      </c>
      <c r="AD16" s="308">
        <f ca="1">SUMIFS(Tournament!I5:I52,Tournament!F5:F52,W16,Tournament!K5:K52,W17)+SUMIFS(Tournament!I5:I52,Tournament!F5:F52,W16,Tournament!K5:K52,W18)+SUMIFS(Tournament!I5:I52,Tournament!F5:F52,W16,Tournament!K5:K52,W19)+SUMIFS(Tournament!H5:H52,Tournament!K5:K52,W16,Tournament!F5:F52,W17)+SUMIFS(Tournament!H5:H52,Tournament!K5:K52,W16,Tournament!F5:F52,W18)+SUMIFS(Tournament!H5:H52,Tournament!K5:K52,W16,Tournament!F5:F52,W19)</f>
        <v>0</v>
      </c>
      <c r="AE16" s="308">
        <f t="shared" ca="1" si="7"/>
        <v>0</v>
      </c>
      <c r="AF16" s="308">
        <f t="shared" ca="1" si="8"/>
        <v>3</v>
      </c>
      <c r="AG16" s="308">
        <f t="shared" ref="AG16" ca="1" si="106">IF(W16&lt;&gt;"",SUMPRODUCT((V16:V19=V16)*(AF16:AF19&gt;AF16)*1),0)</f>
        <v>0</v>
      </c>
      <c r="AH16" s="308">
        <f t="shared" ref="AH16" ca="1" si="107">IF(W16&lt;&gt;"",SUMPRODUCT((AG16:AG19=AG16)*(AE16:AE19&gt;AE16)*1),0)</f>
        <v>0</v>
      </c>
      <c r="AI16" s="308">
        <f t="shared" ca="1" si="0"/>
        <v>0</v>
      </c>
      <c r="AJ16" s="308">
        <f t="shared" ref="AJ16" ca="1" si="108">IF(W16&lt;&gt;"",SUMPRODUCT((AI16:AI19=AI16)*(AG16:AG19=AG16)*(AC16:AC19&gt;AC16)*1),0)</f>
        <v>0</v>
      </c>
      <c r="AK16" s="308">
        <f t="shared" ca="1" si="9"/>
        <v>1</v>
      </c>
      <c r="AL16" s="308">
        <v>0</v>
      </c>
      <c r="AM16" s="308">
        <v>0</v>
      </c>
      <c r="AN16" s="308">
        <v>0</v>
      </c>
      <c r="AO16" s="308">
        <v>0</v>
      </c>
      <c r="AP16" s="308">
        <v>0</v>
      </c>
      <c r="AQ16" s="308">
        <f t="shared" si="10"/>
        <v>0</v>
      </c>
      <c r="AR16" s="308">
        <f t="shared" si="11"/>
        <v>0</v>
      </c>
      <c r="AS16" s="308">
        <v>0</v>
      </c>
      <c r="AT16" s="308">
        <v>0</v>
      </c>
      <c r="AU16" s="308">
        <f t="shared" si="12"/>
        <v>0</v>
      </c>
      <c r="AV16" s="308">
        <v>0</v>
      </c>
      <c r="AW16" s="308">
        <f t="shared" ca="1" si="13"/>
        <v>1</v>
      </c>
      <c r="AX16" s="308">
        <v>0</v>
      </c>
      <c r="AY16" s="308">
        <v>0</v>
      </c>
      <c r="AZ16" s="308">
        <v>0</v>
      </c>
      <c r="BA16" s="308">
        <v>0</v>
      </c>
      <c r="BB16" s="308">
        <v>0</v>
      </c>
      <c r="BC16" s="308">
        <v>0</v>
      </c>
      <c r="BD16" s="308">
        <v>0</v>
      </c>
      <c r="BE16" s="308">
        <v>0</v>
      </c>
      <c r="BF16" s="308">
        <v>0</v>
      </c>
      <c r="BG16" s="308">
        <v>0</v>
      </c>
      <c r="BH16" s="308">
        <v>0</v>
      </c>
      <c r="BI16" s="308">
        <f t="shared" ca="1" si="17"/>
        <v>1</v>
      </c>
      <c r="BJ16" s="308">
        <f ca="1">SUMPRODUCT((BI16:BI19=BI16)*(A16:A19&gt;A16)*1)</f>
        <v>1</v>
      </c>
      <c r="BK16" s="308">
        <f t="shared" ca="1" si="14"/>
        <v>2</v>
      </c>
      <c r="BM16" s="314"/>
      <c r="BN16" s="315"/>
      <c r="BO16" s="316" t="str">
        <f>Calculator!C13</f>
        <v>Saudi Arabia</v>
      </c>
      <c r="BP16" s="317" t="s">
        <v>663</v>
      </c>
      <c r="BQ16" s="316"/>
      <c r="BR16" s="309">
        <v>10</v>
      </c>
      <c r="BS16" s="318">
        <v>-7.5</v>
      </c>
      <c r="BT16" s="174"/>
      <c r="BU16" s="22">
        <v>10</v>
      </c>
      <c r="BV16" s="320">
        <f t="shared" si="18"/>
        <v>44888.666666666664</v>
      </c>
      <c r="BW16" s="321">
        <v>44888.666666666664</v>
      </c>
      <c r="BX16" s="322">
        <f t="shared" si="19"/>
        <v>44888.666666666664</v>
      </c>
      <c r="BZ16" s="309" t="str">
        <f>INDEX(Language!A1:K117,MATCH(Setup!B17,Language!B1:B117,0),MATCH(Setup!C5,Language!A1:J1,0))</f>
        <v>Saudi Arabia</v>
      </c>
    </row>
    <row r="17" spans="1:78" x14ac:dyDescent="0.35">
      <c r="A17" s="308">
        <f ca="1">INDEX(M4:M35,MATCH(U17,C4:C35,0),0)</f>
        <v>1500</v>
      </c>
      <c r="B17" s="308">
        <f t="shared" si="25"/>
        <v>2</v>
      </c>
      <c r="C17" s="308" t="str">
        <f t="shared" si="1"/>
        <v>Tunisia</v>
      </c>
      <c r="D17" s="308">
        <f t="shared" ca="1" si="2"/>
        <v>0</v>
      </c>
      <c r="E17" s="308">
        <f ca="1">SUMPRODUCT((Tournament!H5:H52&lt;&gt;"")*(Tournament!F5:F52=C17)*(Tournament!H5:H52&gt;Tournament!I5:I52)*1)+SUMPRODUCT((Tournament!H5:H52&lt;&gt;"")*(Tournament!K5:K52=C17)*(Tournament!I5:I52&gt;Tournament!H5:H52)*1)</f>
        <v>0</v>
      </c>
      <c r="F17" s="308">
        <f ca="1">SUMPRODUCT((Tournament!H5:H52&lt;&gt;"")*(Tournament!F5:F52=C17)*(Tournament!H5:H52=Tournament!I5:I52)*1)+SUMPRODUCT((Tournament!H5:H52&lt;&gt;"")*(Tournament!K5:K52=C17)*(Tournament!H5:H52=Tournament!I5:I52)*1)</f>
        <v>0</v>
      </c>
      <c r="G17" s="308">
        <f ca="1">SUMPRODUCT((Tournament!H5:H52&lt;&gt;"")*(Tournament!F5:F52=C17)*(Tournament!H5:H52&lt;Tournament!I5:I52)*1)+SUMPRODUCT((Tournament!H5:H52&lt;&gt;"")*(Tournament!K5:K52=C17)*(Tournament!I5:I52&lt;Tournament!H5:H52)*1)</f>
        <v>0</v>
      </c>
      <c r="H17" s="308">
        <f ca="1">SUMIF(Tournament!F5:F52,C17,Tournament!H5:H52)+SUMIF(Tournament!K5:K52,C17,Tournament!I5:I52)</f>
        <v>0</v>
      </c>
      <c r="I17" s="308">
        <f ca="1">SUMIF(Tournament!F5:F52,C17,Tournament!I5:I52)+SUMIF(Tournament!K5:K52,C17,Tournament!H5:H52)</f>
        <v>0</v>
      </c>
      <c r="J17" s="308">
        <f t="shared" ca="1" si="3"/>
        <v>0</v>
      </c>
      <c r="K17" s="308">
        <f t="shared" ca="1" si="4"/>
        <v>0</v>
      </c>
      <c r="L17" s="308">
        <f>Setup!E21</f>
        <v>1500</v>
      </c>
      <c r="M17" s="308">
        <f>IF(Setup!F21&lt;&gt;"",Setup!F21,Setup!E21)</f>
        <v>1500</v>
      </c>
      <c r="N17" s="308">
        <f ca="1">RANK(K17,K16:K19)</f>
        <v>1</v>
      </c>
      <c r="O17" s="308">
        <f ca="1">SUMPRODUCT((N16:N19=N17)*(J16:J19&gt;J17)*1)</f>
        <v>0</v>
      </c>
      <c r="P17" s="308">
        <f t="shared" ca="1" si="5"/>
        <v>1</v>
      </c>
      <c r="Q17" s="308">
        <f ca="1">SUMPRODUCT((N16:N19=N17)*(J16:J19=J17)*(H16:H19&gt;H17)*1)</f>
        <v>0</v>
      </c>
      <c r="R17" s="308">
        <f t="shared" ca="1" si="6"/>
        <v>1</v>
      </c>
      <c r="S17" s="308">
        <f ca="1">RANK(R17,R16:R19,1)+COUNTIF(R16:R17,R17)-1</f>
        <v>2</v>
      </c>
      <c r="T17" s="308">
        <v>2</v>
      </c>
      <c r="U17" s="308" t="str">
        <f t="shared" ref="U17" ca="1" si="109">INDEX(C16:C19,MATCH(T17,S16:S19,0),0)</f>
        <v>Tunisia</v>
      </c>
      <c r="V17" s="308">
        <f ca="1">INDEX(R16:R19,MATCH(U17,C16:C19,0),0)</f>
        <v>1</v>
      </c>
      <c r="W17" s="308" t="str">
        <f t="shared" ref="W17" ca="1" si="110">IF(W16&lt;&gt;"",U17,"")</f>
        <v>Tunisia</v>
      </c>
      <c r="X17" s="308" t="str">
        <f t="shared" ref="X17" ca="1" si="111">IF(V18=2,U17,"")</f>
        <v/>
      </c>
      <c r="Z17" s="308">
        <f ca="1">SUMPRODUCT((Tournament!F5:F52=W17)*(Tournament!K5:K52=W16)*(Tournament!H5:H52&gt;Tournament!I5:I52)*1)+SUMPRODUCT((Tournament!K5:K52=W17)*(Tournament!F5:F52=W16)*(Tournament!I5:I52&gt;Tournament!H5:H52)*1)+SUMPRODUCT((Tournament!F5:F52=W17)*(Tournament!K5:K52=W18)*(Tournament!H5:H52&gt;Tournament!I5:I52)*1)+SUMPRODUCT((Tournament!K5:K52=W17)*(Tournament!F5:F52=W18)*(Tournament!I5:I52&gt;Tournament!H5:H52)*1)+SUMPRODUCT((Tournament!F5:F52=W17)*(Tournament!K5:K52=W19)*(Tournament!H5:H52&gt;Tournament!I5:I52)*1)+SUMPRODUCT((Tournament!K5:K52=W17)*(Tournament!F5:F52=W19)*(Tournament!I5:I52&gt;Tournament!H5:H52)*1)</f>
        <v>0</v>
      </c>
      <c r="AA17" s="308">
        <f ca="1">SUMPRODUCT((Tournament!F5:F52=W17)*(Tournament!K5:K52=W16)*(Tournament!H5:H52=Tournament!I5:I52)*1)+SUMPRODUCT((Tournament!K5:K52=W17)*(Tournament!F5:F52=W16)*(Tournament!H5:H52=Tournament!I5:I52)*1)+SUMPRODUCT((Tournament!F5:F52=W17)*(Tournament!K5:K52=W18)*(Tournament!H5:H52=Tournament!I5:I52)*1)+SUMPRODUCT((Tournament!K5:K52=W17)*(Tournament!F5:F52=W18)*(Tournament!H5:H52=Tournament!I5:I52)*1)+SUMPRODUCT((Tournament!F5:F52=W17)*(Tournament!K5:K52=W19)*(Tournament!H5:H52=Tournament!I5:I52)*1)+SUMPRODUCT((Tournament!K5:K52=W17)*(Tournament!F5:F52=W19)*(Tournament!H5:H52=Tournament!I5:I52)*1)</f>
        <v>3</v>
      </c>
      <c r="AB17" s="308">
        <f ca="1">SUMPRODUCT((Tournament!F5:F52=W17)*(Tournament!K5:K52=W16)*(Tournament!H5:H52&lt;Tournament!I5:I52)*1)+SUMPRODUCT((Tournament!K5:K52=W17)*(Tournament!F5:F52=W16)*(Tournament!I5:I52&lt;Tournament!H5:H52)*1)+SUMPRODUCT((Tournament!F5:F52=W17)*(Tournament!K5:K52=W18)*(Tournament!H5:H52&lt;Tournament!I5:I52)*1)+SUMPRODUCT((Tournament!K5:K52=W17)*(Tournament!F5:F52=W18)*(Tournament!I5:I52&lt;Tournament!H5:H52)*1)+SUMPRODUCT((Tournament!F5:F52=W17)*(Tournament!K5:K52=W19)*(Tournament!H5:H52&lt;Tournament!I5:I52)*1)+SUMPRODUCT((Tournament!K5:K52=W17)*(Tournament!F5:F52=W19)*(Tournament!I5:I52&lt;Tournament!H5:H52)*1)</f>
        <v>0</v>
      </c>
      <c r="AC17" s="308">
        <f ca="1">SUMIFS(Tournament!H5:H52,Tournament!F5:F52,W17,Tournament!K5:K52,W16)+SUMIFS(Tournament!H5:H52,Tournament!F5:F52,W17,Tournament!K5:K52,W18)+SUMIFS(Tournament!H5:H52,Tournament!F5:F52,W17,Tournament!K5:K52,W19)+SUMIFS(Tournament!I5:I52,Tournament!K5:K52,W17,Tournament!F5:F52,W16)+SUMIFS(Tournament!I5:I52,Tournament!K5:K52,W17,Tournament!F5:F52,W18)+SUMIFS(Tournament!I5:I52,Tournament!K5:K52,W17,Tournament!F5:F52,W19)</f>
        <v>0</v>
      </c>
      <c r="AD17" s="308">
        <f ca="1">SUMIFS(Tournament!I5:I52,Tournament!F5:F52,W17,Tournament!K5:K52,W16)+SUMIFS(Tournament!I5:I52,Tournament!F5:F52,W17,Tournament!K5:K52,W18)+SUMIFS(Tournament!I5:I52,Tournament!F5:F52,W17,Tournament!K5:K52,W19)+SUMIFS(Tournament!H5:H52,Tournament!K5:K52,W17,Tournament!F5:F52,W16)+SUMIFS(Tournament!H5:H52,Tournament!K5:K52,W17,Tournament!F5:F52,W18)+SUMIFS(Tournament!H5:H52,Tournament!K5:K52,W17,Tournament!F5:F52,W19)</f>
        <v>0</v>
      </c>
      <c r="AE17" s="308">
        <f t="shared" ca="1" si="7"/>
        <v>0</v>
      </c>
      <c r="AF17" s="308">
        <f t="shared" ca="1" si="8"/>
        <v>3</v>
      </c>
      <c r="AG17" s="308">
        <f t="shared" ref="AG17" ca="1" si="112">IF(W17&lt;&gt;"",SUMPRODUCT((V16:V19=V17)*(AF16:AF19&gt;AF17)*1),0)</f>
        <v>0</v>
      </c>
      <c r="AH17" s="308">
        <f t="shared" ref="AH17" ca="1" si="113">IF(W17&lt;&gt;"",SUMPRODUCT((AG16:AG19=AG17)*(AE16:AE19&gt;AE17)*1),0)</f>
        <v>0</v>
      </c>
      <c r="AI17" s="308">
        <f t="shared" ca="1" si="0"/>
        <v>0</v>
      </c>
      <c r="AJ17" s="308">
        <f t="shared" ref="AJ17" ca="1" si="114">IF(W17&lt;&gt;"",SUMPRODUCT((AI16:AI19=AI17)*(AG16:AG19=AG17)*(AC16:AC19&gt;AC17)*1),0)</f>
        <v>0</v>
      </c>
      <c r="AK17" s="308">
        <f t="shared" ca="1" si="9"/>
        <v>1</v>
      </c>
      <c r="AL17" s="308">
        <f ca="1">SUMPRODUCT((Tournament!F5:F52=X17)*(Tournament!K5:K52=X18)*(Tournament!H5:H52&gt;Tournament!I5:I52)*1)+SUMPRODUCT((Tournament!K5:K52=X17)*(Tournament!F5:F52=X18)*(Tournament!I5:I52&gt;Tournament!H5:H52)*1)+SUMPRODUCT((Tournament!F5:F52=X17)*(Tournament!K5:K52=X19)*(Tournament!H5:H52&gt;Tournament!I5:I52)*1)+SUMPRODUCT((Tournament!K5:K52=X17)*(Tournament!F5:F52=X19)*(Tournament!I5:I52&gt;Tournament!H5:H52)*1)</f>
        <v>0</v>
      </c>
      <c r="AM17" s="308">
        <f ca="1">SUMPRODUCT((Tournament!F5:F52=X17)*(Tournament!K5:K52=X18)*(Tournament!H5:H52=Tournament!I5:I52)*1)+SUMPRODUCT((Tournament!K5:K52=X17)*(Tournament!F5:F52=X18)*(Tournament!H5:H52=Tournament!I5:I52)*1)+SUMPRODUCT((Tournament!F5:F52=X17)*(Tournament!K5:K52=X19)*(Tournament!H5:H52=Tournament!I5:I52)*1)+SUMPRODUCT((Tournament!K5:K52=X17)*(Tournament!F5:F52=X19)*(Tournament!H5:H52=Tournament!I5:I52)*1)</f>
        <v>0</v>
      </c>
      <c r="AN17" s="308">
        <f ca="1">SUMPRODUCT((Tournament!F5:F52=X17)*(Tournament!K5:K52=X18)*(Tournament!H5:H52&lt;Tournament!I5:I52)*1)+SUMPRODUCT((Tournament!K5:K52=X17)*(Tournament!F5:F52=X18)*(Tournament!I5:I52&lt;Tournament!H5:H52)*1)+SUMPRODUCT((Tournament!F5:F52=X17)*(Tournament!K5:K52=X19)*(Tournament!H5:H52&lt;Tournament!I5:I52)*1)+SUMPRODUCT((Tournament!K5:K52=X17)*(Tournament!F5:F52=X19)*(Tournament!I5:I52&lt;Tournament!H5:H52)*1)</f>
        <v>0</v>
      </c>
      <c r="AO17" s="308">
        <f ca="1">SUMIFS(Tournament!H5:H52,Tournament!F5:F52,X17,Tournament!K5:K52,X18)+SUMIFS(Tournament!H5:H52,Tournament!F5:F52,X17,Tournament!K5:K52,X19)+SUMIFS(Tournament!I5:I52,Tournament!K5:K52,X17,Tournament!F5:F52,X18)+SUMIFS(Tournament!I5:I52,Tournament!K5:K52,X17,Tournament!F5:F52,X19)</f>
        <v>0</v>
      </c>
      <c r="AP17" s="308">
        <f ca="1">SUMIFS(Tournament!I5:I52,Tournament!F5:F52,X17,Tournament!K5:K52,X18)+SUMIFS(Tournament!I5:I52,Tournament!F5:F52,X17,Tournament!K5:K52,X19)+SUMIFS(Tournament!H5:H52,Tournament!K5:K52,X17,Tournament!F5:F52,X18)+SUMIFS(Tournament!H5:H52,Tournament!K5:K52,X17,Tournament!F5:F52,X19)</f>
        <v>0</v>
      </c>
      <c r="AQ17" s="308">
        <f t="shared" ca="1" si="10"/>
        <v>0</v>
      </c>
      <c r="AR17" s="308">
        <f t="shared" ca="1" si="11"/>
        <v>0</v>
      </c>
      <c r="AS17" s="308">
        <f t="shared" ref="AS17" ca="1" si="115">IF(X17&lt;&gt;"",SUMPRODUCT((V16:V19=V17)*(AR16:AR19&gt;AR17)*1),0)</f>
        <v>0</v>
      </c>
      <c r="AT17" s="308">
        <f t="shared" ref="AT17" ca="1" si="116">IF(X17&lt;&gt;"",SUMPRODUCT((AS16:AS19=AS17)*(AQ16:AQ19&gt;AQ17)*1),0)</f>
        <v>0</v>
      </c>
      <c r="AU17" s="308">
        <f t="shared" ca="1" si="12"/>
        <v>0</v>
      </c>
      <c r="AV17" s="308">
        <f t="shared" ref="AV17" ca="1" si="117">IF(X17&lt;&gt;"",SUMPRODUCT((AU16:AU19=AU17)*(AS16:AS19=AS17)*(AO16:AO19&gt;AO17)*1),0)</f>
        <v>0</v>
      </c>
      <c r="AW17" s="308">
        <f t="shared" ca="1" si="13"/>
        <v>1</v>
      </c>
      <c r="AX17" s="308">
        <v>0</v>
      </c>
      <c r="AY17" s="308">
        <v>0</v>
      </c>
      <c r="AZ17" s="308">
        <v>0</v>
      </c>
      <c r="BA17" s="308">
        <v>0</v>
      </c>
      <c r="BB17" s="308">
        <v>0</v>
      </c>
      <c r="BC17" s="308">
        <v>0</v>
      </c>
      <c r="BD17" s="308">
        <v>0</v>
      </c>
      <c r="BE17" s="308">
        <v>0</v>
      </c>
      <c r="BF17" s="308">
        <v>0</v>
      </c>
      <c r="BG17" s="308">
        <v>0</v>
      </c>
      <c r="BH17" s="308">
        <v>0</v>
      </c>
      <c r="BI17" s="308">
        <f t="shared" ca="1" si="17"/>
        <v>1</v>
      </c>
      <c r="BJ17" s="308">
        <f ca="1">SUMPRODUCT((BI16:BI19=BI17)*(A16:A19&gt;A17)*1)</f>
        <v>2</v>
      </c>
      <c r="BK17" s="308">
        <f t="shared" ca="1" si="14"/>
        <v>3</v>
      </c>
      <c r="BM17" s="314"/>
      <c r="BN17" s="315"/>
      <c r="BO17" s="316" t="str">
        <f>Calculator!C14</f>
        <v>Mexico</v>
      </c>
      <c r="BP17" s="317" t="s">
        <v>664</v>
      </c>
      <c r="BQ17" s="316"/>
      <c r="BR17" s="309">
        <v>11</v>
      </c>
      <c r="BS17" s="318">
        <v>-7</v>
      </c>
      <c r="BT17" s="174"/>
      <c r="BU17" s="22">
        <v>11</v>
      </c>
      <c r="BV17" s="320">
        <f t="shared" si="18"/>
        <v>44888.791666666664</v>
      </c>
      <c r="BW17" s="321">
        <v>44888.791666666664</v>
      </c>
      <c r="BX17" s="322">
        <f t="shared" si="19"/>
        <v>44888.791666666664</v>
      </c>
      <c r="BZ17" s="309" t="str">
        <f>INDEX(Language!A1:K117,MATCH(Setup!B18,Language!B1:B117,0),MATCH(Setup!C5,Language!A1:J1,0))</f>
        <v>Mexico</v>
      </c>
    </row>
    <row r="18" spans="1:78" x14ac:dyDescent="0.35">
      <c r="A18" s="308">
        <f ca="1">INDEX(M4:M35,MATCH(U18,C4:C35,0),0)</f>
        <v>1790</v>
      </c>
      <c r="B18" s="308">
        <f t="shared" si="25"/>
        <v>3</v>
      </c>
      <c r="C18" s="308" t="str">
        <f t="shared" si="1"/>
        <v>France</v>
      </c>
      <c r="D18" s="308">
        <f t="shared" ca="1" si="2"/>
        <v>0</v>
      </c>
      <c r="E18" s="308">
        <f ca="1">SUMPRODUCT((Tournament!H5:H52&lt;&gt;"")*(Tournament!F5:F52=C18)*(Tournament!H5:H52&gt;Tournament!I5:I52)*1)+SUMPRODUCT((Tournament!H5:H52&lt;&gt;"")*(Tournament!K5:K52=C18)*(Tournament!I5:I52&gt;Tournament!H5:H52)*1)</f>
        <v>0</v>
      </c>
      <c r="F18" s="308">
        <f ca="1">SUMPRODUCT((Tournament!H5:H52&lt;&gt;"")*(Tournament!F5:F52=C18)*(Tournament!H5:H52=Tournament!I5:I52)*1)+SUMPRODUCT((Tournament!H5:H52&lt;&gt;"")*(Tournament!K5:K52=C18)*(Tournament!H5:H52=Tournament!I5:I52)*1)</f>
        <v>0</v>
      </c>
      <c r="G18" s="308">
        <f ca="1">SUMPRODUCT((Tournament!H5:H52&lt;&gt;"")*(Tournament!F5:F52=C18)*(Tournament!H5:H52&lt;Tournament!I5:I52)*1)+SUMPRODUCT((Tournament!H5:H52&lt;&gt;"")*(Tournament!K5:K52=C18)*(Tournament!I5:I52&lt;Tournament!H5:H52)*1)</f>
        <v>0</v>
      </c>
      <c r="H18" s="308">
        <f ca="1">SUMIF(Tournament!F5:F52,C18,Tournament!H5:H52)+SUMIF(Tournament!K5:K52,C18,Tournament!I5:I52)</f>
        <v>0</v>
      </c>
      <c r="I18" s="308">
        <f ca="1">SUMIF(Tournament!F5:F52,C18,Tournament!I5:I52)+SUMIF(Tournament!K5:K52,C18,Tournament!H5:H52)</f>
        <v>0</v>
      </c>
      <c r="J18" s="308">
        <f t="shared" ca="1" si="3"/>
        <v>0</v>
      </c>
      <c r="K18" s="308">
        <f t="shared" ca="1" si="4"/>
        <v>0</v>
      </c>
      <c r="L18" s="308">
        <f>Setup!E22</f>
        <v>1790</v>
      </c>
      <c r="M18" s="308">
        <f>IF(Setup!F22&lt;&gt;"",Setup!F22,Setup!E22)</f>
        <v>1790</v>
      </c>
      <c r="N18" s="308">
        <f ca="1">RANK(K18,K16:K19)</f>
        <v>1</v>
      </c>
      <c r="O18" s="308">
        <f ca="1">SUMPRODUCT((N16:N19=N18)*(J16:J19&gt;J18)*1)</f>
        <v>0</v>
      </c>
      <c r="P18" s="308">
        <f t="shared" ca="1" si="5"/>
        <v>1</v>
      </c>
      <c r="Q18" s="308">
        <f ca="1">SUMPRODUCT((N16:N19=N18)*(J16:J19=J18)*(H16:H19&gt;H18)*1)</f>
        <v>0</v>
      </c>
      <c r="R18" s="308">
        <f t="shared" ca="1" si="6"/>
        <v>1</v>
      </c>
      <c r="S18" s="308">
        <f ca="1">RANK(R18,R16:R19,1)+COUNTIF(R16:R18,R18)-1</f>
        <v>3</v>
      </c>
      <c r="T18" s="308">
        <v>3</v>
      </c>
      <c r="U18" s="308" t="str">
        <f t="shared" ref="U18" ca="1" si="118">INDEX(C16:C19,MATCH(T18,S16:S19,0),0)</f>
        <v>France</v>
      </c>
      <c r="V18" s="308">
        <f ca="1">INDEX(R16:R19,MATCH(U18,C16:C19,0),0)</f>
        <v>1</v>
      </c>
      <c r="W18" s="308" t="str">
        <f t="shared" ref="W18:W19" ca="1" si="119">IF(AND(W17&lt;&gt;"",V18=1),U18,"")</f>
        <v>France</v>
      </c>
      <c r="X18" s="308" t="str">
        <f t="shared" ref="X18" ca="1" si="120">IF(X17&lt;&gt;"",U18,"")</f>
        <v/>
      </c>
      <c r="Y18" s="308" t="str">
        <f t="shared" ref="Y18" ca="1" si="121">IF(V19=3,U18,"")</f>
        <v/>
      </c>
      <c r="Z18" s="308">
        <f ca="1">SUMPRODUCT((Tournament!F5:F52=W18)*(Tournament!K5:K52=W16)*(Tournament!H5:H52&gt;Tournament!I5:I52)*1)+SUMPRODUCT((Tournament!K5:K52=W18)*(Tournament!F5:F52=W16)*(Tournament!I5:I52&gt;Tournament!H5:H52)*1)+SUMPRODUCT((Tournament!F5:F52=W18)*(Tournament!K5:K52=W17)*(Tournament!H5:H52&gt;Tournament!I5:I52)*1)+SUMPRODUCT((Tournament!K5:K52=W18)*(Tournament!F5:F52=W17)*(Tournament!I5:I52&gt;Tournament!H5:H52)*1)+SUMPRODUCT((Tournament!F5:F52=W18)*(Tournament!K5:K52=W19)*(Tournament!H5:H52&gt;Tournament!I5:I52)*1)+SUMPRODUCT((Tournament!K5:K52=W18)*(Tournament!F5:F52=W19)*(Tournament!I5:I52&gt;Tournament!H5:H52)*1)</f>
        <v>0</v>
      </c>
      <c r="AA18" s="308">
        <f ca="1">SUMPRODUCT((Tournament!F5:F52=W18)*(Tournament!K5:K52=W16)*(Tournament!H5:H52=Tournament!I5:I52)*1)+SUMPRODUCT((Tournament!K5:K52=W18)*(Tournament!F5:F52=W16)*(Tournament!H5:H52=Tournament!I5:I52)*1)+SUMPRODUCT((Tournament!F5:F52=W18)*(Tournament!K5:K52=W17)*(Tournament!H5:H52=Tournament!I5:I52)*1)+SUMPRODUCT((Tournament!K5:K52=W18)*(Tournament!F5:F52=W17)*(Tournament!H5:H52=Tournament!I5:I52)*1)+SUMPRODUCT((Tournament!F5:F52=W18)*(Tournament!K5:K52=W19)*(Tournament!H5:H52=Tournament!I5:I52)*1)+SUMPRODUCT((Tournament!K5:K52=W18)*(Tournament!F5:F52=W19)*(Tournament!H5:H52=Tournament!I5:I52)*1)</f>
        <v>3</v>
      </c>
      <c r="AB18" s="308">
        <f ca="1">SUMPRODUCT((Tournament!F5:F52=W18)*(Tournament!K5:K52=W16)*(Tournament!H5:H52&lt;Tournament!I5:I52)*1)+SUMPRODUCT((Tournament!K5:K52=W18)*(Tournament!F5:F52=W16)*(Tournament!I5:I52&lt;Tournament!H5:H52)*1)+SUMPRODUCT((Tournament!F5:F52=W18)*(Tournament!K5:K52=W17)*(Tournament!H5:H52&lt;Tournament!I5:I52)*1)+SUMPRODUCT((Tournament!K5:K52=W18)*(Tournament!F5:F52=W17)*(Tournament!I5:I52&lt;Tournament!H5:H52)*1)+SUMPRODUCT((Tournament!F5:F52=W18)*(Tournament!K5:K52=W19)*(Tournament!H5:H52&lt;Tournament!I5:I52)*1)+SUMPRODUCT((Tournament!K5:K52=W18)*(Tournament!F5:F52=W19)*(Tournament!I5:I52&lt;Tournament!H5:H52)*1)</f>
        <v>0</v>
      </c>
      <c r="AC18" s="308">
        <f ca="1">SUMIFS(Tournament!H5:H52,Tournament!F5:F52,W18,Tournament!K5:K52,W16)+SUMIFS(Tournament!H5:H52,Tournament!F5:F52,W18,Tournament!K5:K52,W17)+SUMIFS(Tournament!H5:H52,Tournament!F5:F52,W18,Tournament!K5:K52,W19)+SUMIFS(Tournament!I5:I52,Tournament!K5:K52,W18,Tournament!F5:F52,W16)+SUMIFS(Tournament!I5:I52,Tournament!K5:K52,W18,Tournament!F5:F52,W17)+SUMIFS(Tournament!I5:I52,Tournament!K5:K52,W18,Tournament!F5:F52,W19)</f>
        <v>0</v>
      </c>
      <c r="AD18" s="308">
        <f ca="1">SUMIFS(Tournament!I5:I52,Tournament!F5:F52,W18,Tournament!K5:K52,W16)+SUMIFS(Tournament!I5:I52,Tournament!F5:F52,W18,Tournament!K5:K52,W17)+SUMIFS(Tournament!I5:I52,Tournament!F5:F52,W18,Tournament!K5:K52,W19)+SUMIFS(Tournament!H5:H52,Tournament!K5:K52,W18,Tournament!F5:F52,W16)+SUMIFS(Tournament!H5:H52,Tournament!K5:K52,W18,Tournament!F5:F52,W17)+SUMIFS(Tournament!H5:H52,Tournament!K5:K52,W18,Tournament!F5:F52,W19)</f>
        <v>0</v>
      </c>
      <c r="AE18" s="308">
        <f t="shared" ca="1" si="7"/>
        <v>0</v>
      </c>
      <c r="AF18" s="308">
        <f t="shared" ca="1" si="8"/>
        <v>3</v>
      </c>
      <c r="AG18" s="308">
        <f t="shared" ref="AG18" ca="1" si="122">IF(W18&lt;&gt;"",SUMPRODUCT((V16:V19=V18)*(AF16:AF19&gt;AF18)*1),0)</f>
        <v>0</v>
      </c>
      <c r="AH18" s="308">
        <f t="shared" ref="AH18" ca="1" si="123">IF(W18&lt;&gt;"",SUMPRODUCT((AG16:AG19=AG18)*(AE16:AE19&gt;AE18)*1),0)</f>
        <v>0</v>
      </c>
      <c r="AI18" s="308">
        <f t="shared" ca="1" si="0"/>
        <v>0</v>
      </c>
      <c r="AJ18" s="308">
        <f t="shared" ref="AJ18" ca="1" si="124">IF(W18&lt;&gt;"",SUMPRODUCT((AI16:AI19=AI18)*(AG16:AG19=AG18)*(AC16:AC19&gt;AC18)*1),0)</f>
        <v>0</v>
      </c>
      <c r="AK18" s="308">
        <f t="shared" ca="1" si="9"/>
        <v>1</v>
      </c>
      <c r="AL18" s="308">
        <f ca="1">SUMPRODUCT((Tournament!F5:F52=X18)*(Tournament!K5:K52=X17)*(Tournament!H5:H52&gt;Tournament!I5:I52)*1)+SUMPRODUCT((Tournament!K5:K52=X18)*(Tournament!F5:F52=X17)*(Tournament!I5:I52&gt;Tournament!H5:H52)*1)+SUMPRODUCT((Tournament!F5:F52=X18)*(Tournament!K5:K52=X19)*(Tournament!H5:H52&gt;Tournament!I5:I52)*1)+SUMPRODUCT((Tournament!K5:K52=X18)*(Tournament!F5:F52=X19)*(Tournament!I5:I52&gt;Tournament!H5:H52)*1)</f>
        <v>0</v>
      </c>
      <c r="AM18" s="308">
        <f ca="1">SUMPRODUCT((Tournament!F5:F52=X18)*(Tournament!K5:K52=X17)*(Tournament!H5:H52=Tournament!I5:I52)*1)+SUMPRODUCT((Tournament!K5:K52=X18)*(Tournament!F5:F52=X17)*(Tournament!H5:H52=Tournament!I5:I52)*1)+SUMPRODUCT((Tournament!F5:F52=X18)*(Tournament!K5:K52=X19)*(Tournament!H5:H52=Tournament!I5:I52)*1)+SUMPRODUCT((Tournament!K5:K52=X18)*(Tournament!F5:F52=X19)*(Tournament!H5:H52=Tournament!I5:I52)*1)</f>
        <v>0</v>
      </c>
      <c r="AN18" s="308">
        <f ca="1">SUMPRODUCT((Tournament!F5:F52=X18)*(Tournament!K5:K52=X17)*(Tournament!H5:H52&lt;Tournament!I5:I52)*1)+SUMPRODUCT((Tournament!K5:K52=X18)*(Tournament!F5:F52=X17)*(Tournament!I5:I52&lt;Tournament!H5:H52)*1)+SUMPRODUCT((Tournament!F5:F52=X18)*(Tournament!K5:K52=X19)*(Tournament!H5:H52&lt;Tournament!I5:I52)*1)+SUMPRODUCT((Tournament!K5:K52=X18)*(Tournament!F5:F52=X19)*(Tournament!I5:I52&lt;Tournament!H5:H52)*1)</f>
        <v>0</v>
      </c>
      <c r="AO18" s="308">
        <f ca="1">SUMIFS(Tournament!H5:H52,Tournament!F5:F52,X18,Tournament!K5:K52,X17)+SUMIFS(Tournament!H5:H52,Tournament!F5:F52,X18,Tournament!K5:K52,X19)+SUMIFS(Tournament!I5:I52,Tournament!K5:K52,X18,Tournament!F5:F52,X17)+SUMIFS(Tournament!I5:I52,Tournament!K5:K52,X18,Tournament!F5:F52,X19)</f>
        <v>0</v>
      </c>
      <c r="AP18" s="308">
        <f ca="1">SUMIFS(Tournament!I5:I52,Tournament!F5:F52,X18,Tournament!K5:K52,X17)+SUMIFS(Tournament!I5:I52,Tournament!F5:F52,X18,Tournament!K5:K52,X19)+SUMIFS(Tournament!H5:H52,Tournament!K5:K52,X18,Tournament!F5:F52,X17)+SUMIFS(Tournament!H5:H52,Tournament!K5:K52,X18,Tournament!F5:F52,X19)</f>
        <v>0</v>
      </c>
      <c r="AQ18" s="308">
        <f t="shared" ca="1" si="10"/>
        <v>0</v>
      </c>
      <c r="AR18" s="308">
        <f t="shared" ca="1" si="11"/>
        <v>0</v>
      </c>
      <c r="AS18" s="308">
        <f t="shared" ref="AS18" ca="1" si="125">IF(X18&lt;&gt;"",SUMPRODUCT((V16:V19=V18)*(AR16:AR19&gt;AR18)*1),0)</f>
        <v>0</v>
      </c>
      <c r="AT18" s="308">
        <f t="shared" ref="AT18" ca="1" si="126">IF(X18&lt;&gt;"",SUMPRODUCT((AS16:AS19=AS18)*(AQ16:AQ19&gt;AQ18)*1),0)</f>
        <v>0</v>
      </c>
      <c r="AU18" s="308">
        <f t="shared" ca="1" si="12"/>
        <v>0</v>
      </c>
      <c r="AV18" s="308">
        <f t="shared" ref="AV18" ca="1" si="127">IF(X18&lt;&gt;"",SUMPRODUCT((AU16:AU19=AU18)*(AS16:AS19=AS18)*(AO16:AO19&gt;AO18)*1),0)</f>
        <v>0</v>
      </c>
      <c r="AW18" s="308">
        <f t="shared" ca="1" si="13"/>
        <v>1</v>
      </c>
      <c r="AX18" s="308">
        <f ca="1">SUMPRODUCT((Tournament!F5:F52=Y18)*(Tournament!K5:K52=Y19)*(Tournament!H5:H52&gt;Tournament!I5:I52)*1)+SUMPRODUCT((Tournament!K5:K52=Y18)*(Tournament!F5:F52=Y19)*(Tournament!I5:I52&gt;Tournament!H5:H52)*1)</f>
        <v>0</v>
      </c>
      <c r="AY18" s="308">
        <f ca="1">SUMPRODUCT((Tournament!F5:F52=Y18)*(Tournament!K5:K52=Y19)*(Tournament!H5:H52=Tournament!I5:I52)*1)+SUMPRODUCT((Tournament!K5:K52=Y18)*(Tournament!F5:F52=Y19)*(Tournament!I5:I52=Tournament!H5:H52)*1)</f>
        <v>0</v>
      </c>
      <c r="AZ18" s="308">
        <f ca="1">SUMPRODUCT((Tournament!F5:F52=Y18)*(Tournament!K5:K52=Y19)*(Tournament!H5:H52&lt;Tournament!I5:I52)*1)+SUMPRODUCT((Tournament!K5:K52=Y18)*(Tournament!F5:F52=Y19)*(Tournament!I5:I52&lt;Tournament!H5:H52)*1)</f>
        <v>0</v>
      </c>
      <c r="BA18" s="308">
        <f ca="1">SUMIFS(Tournament!H5:H52,Tournament!F5:F52,Y18,Tournament!K5:K52,Y19)+SUMIFS(Tournament!I5:I52,Tournament!K5:K52,Y18,Tournament!F5:F52,Y19)</f>
        <v>0</v>
      </c>
      <c r="BB18" s="308">
        <f ca="1">SUMIFS(Tournament!I5:I52,Tournament!F5:F52,Y18,Tournament!K5:K52,Y19)+SUMIFS(Tournament!H5:H52,Tournament!K5:K52,Y18,Tournament!F5:F52,Y19)</f>
        <v>0</v>
      </c>
      <c r="BC18" s="308">
        <f t="shared" ref="BC18:BC19" ca="1" si="128">BA18-BB18</f>
        <v>0</v>
      </c>
      <c r="BD18" s="308">
        <f t="shared" ref="BD18:BD19" ca="1" si="129">AY18*1+AX18*3</f>
        <v>0</v>
      </c>
      <c r="BE18" s="308">
        <f t="shared" ref="BE18" ca="1" si="130">IF(Y18&lt;&gt;"",SUMPRODUCT((AH16:AH19=AH18)*(BD16:BD19&gt;BD18)*1),0)</f>
        <v>0</v>
      </c>
      <c r="BF18" s="308">
        <f t="shared" ref="BF18" ca="1" si="131">IF(Y18&lt;&gt;"",SUMPRODUCT((BE16:BE19=BE18)*(BC16:BC19&gt;BC18)*1),0)</f>
        <v>0</v>
      </c>
      <c r="BG18" s="308">
        <f t="shared" ref="BG18:BG19" ca="1" si="132">BE18+BF18</f>
        <v>0</v>
      </c>
      <c r="BH18" s="308">
        <f t="shared" ref="BH18" ca="1" si="133">IF(Y18&lt;&gt;"",SUMPRODUCT((BG16:BG19=BG18)*(BE16:BE19=BE18)*(BA16:BA19&gt;BA18)*1),0)</f>
        <v>0</v>
      </c>
      <c r="BI18" s="308">
        <f t="shared" ca="1" si="17"/>
        <v>1</v>
      </c>
      <c r="BJ18" s="308">
        <f ca="1">SUMPRODUCT((BI16:BI19=BI18)*(A16:A19&gt;A18)*1)</f>
        <v>0</v>
      </c>
      <c r="BK18" s="308">
        <f t="shared" ca="1" si="14"/>
        <v>1</v>
      </c>
      <c r="BM18" s="314"/>
      <c r="BN18" s="315"/>
      <c r="BO18" s="316" t="str">
        <f>Calculator!C15</f>
        <v>Poland</v>
      </c>
      <c r="BP18" s="317" t="s">
        <v>665</v>
      </c>
      <c r="BQ18" s="316"/>
      <c r="BR18" s="309">
        <v>12</v>
      </c>
      <c r="BS18" s="318">
        <v>-6.5</v>
      </c>
      <c r="BT18" s="174"/>
      <c r="BU18" s="22">
        <v>12</v>
      </c>
      <c r="BV18" s="320">
        <f t="shared" si="18"/>
        <v>44888.916666666664</v>
      </c>
      <c r="BW18" s="321">
        <v>44888.916666666664</v>
      </c>
      <c r="BX18" s="322">
        <f t="shared" si="19"/>
        <v>44888.916666666664</v>
      </c>
      <c r="BZ18" s="309" t="str">
        <f>INDEX(Language!A1:K117,MATCH(Setup!B19,Language!B1:B117,0),MATCH(Setup!C5,Language!A1:J1,0))</f>
        <v>Poland</v>
      </c>
    </row>
    <row r="19" spans="1:78" ht="15.5" x14ac:dyDescent="0.35">
      <c r="A19" s="308">
        <f ca="1">INDEX(M4:M35,MATCH(U19,C4:C35,0),0)</f>
        <v>1462</v>
      </c>
      <c r="B19" s="308">
        <f t="shared" si="25"/>
        <v>4</v>
      </c>
      <c r="C19" s="308" t="str">
        <f t="shared" si="1"/>
        <v>Australia</v>
      </c>
      <c r="D19" s="308">
        <f t="shared" ca="1" si="2"/>
        <v>0</v>
      </c>
      <c r="E19" s="308">
        <f ca="1">SUMPRODUCT((Tournament!H5:H52&lt;&gt;"")*(Tournament!F5:F52=C19)*(Tournament!H5:H52&gt;Tournament!I5:I52)*1)+SUMPRODUCT((Tournament!H5:H52&lt;&gt;"")*(Tournament!K5:K52=C19)*(Tournament!I5:I52&gt;Tournament!H5:H52)*1)</f>
        <v>0</v>
      </c>
      <c r="F19" s="308">
        <f ca="1">SUMPRODUCT((Tournament!H5:H52&lt;&gt;"")*(Tournament!F5:F52=C19)*(Tournament!H5:H52=Tournament!I5:I52)*1)+SUMPRODUCT((Tournament!H5:H52&lt;&gt;"")*(Tournament!K5:K52=C19)*(Tournament!H5:H52=Tournament!I5:I52)*1)</f>
        <v>0</v>
      </c>
      <c r="G19" s="308">
        <f ca="1">SUMPRODUCT((Tournament!H5:H52&lt;&gt;"")*(Tournament!F5:F52=C19)*(Tournament!H5:H52&lt;Tournament!I5:I52)*1)+SUMPRODUCT((Tournament!H5:H52&lt;&gt;"")*(Tournament!K5:K52=C19)*(Tournament!I5:I52&lt;Tournament!H5:H52)*1)</f>
        <v>0</v>
      </c>
      <c r="H19" s="308">
        <f ca="1">SUMIF(Tournament!F5:F52,C19,Tournament!H5:H52)+SUMIF(Tournament!K5:K52,C19,Tournament!I5:I52)</f>
        <v>0</v>
      </c>
      <c r="I19" s="308">
        <f ca="1">SUMIF(Tournament!F5:F52,C19,Tournament!I5:I52)+SUMIF(Tournament!K5:K52,C19,Tournament!H5:H52)</f>
        <v>0</v>
      </c>
      <c r="J19" s="308">
        <f t="shared" ca="1" si="3"/>
        <v>0</v>
      </c>
      <c r="K19" s="308">
        <f t="shared" ca="1" si="4"/>
        <v>0</v>
      </c>
      <c r="L19" s="308">
        <f>Setup!E23</f>
        <v>1462</v>
      </c>
      <c r="M19" s="308">
        <f>IF(Setup!F23&lt;&gt;"",Setup!F23,Setup!E23)</f>
        <v>1462</v>
      </c>
      <c r="N19" s="308">
        <f ca="1">RANK(K19,K16:K19)</f>
        <v>1</v>
      </c>
      <c r="O19" s="308">
        <f ca="1">SUMPRODUCT((N16:N19=N19)*(J16:J19&gt;J19)*1)</f>
        <v>0</v>
      </c>
      <c r="P19" s="308">
        <f t="shared" ca="1" si="5"/>
        <v>1</v>
      </c>
      <c r="Q19" s="308">
        <f ca="1">SUMPRODUCT((N16:N19=N19)*(J16:J19=J19)*(H16:H19&gt;H19)*1)</f>
        <v>0</v>
      </c>
      <c r="R19" s="308">
        <f t="shared" ca="1" si="6"/>
        <v>1</v>
      </c>
      <c r="S19" s="308">
        <f ca="1">RANK(R19,R16:R19,1)+COUNTIF(R16:R19,R19)-1</f>
        <v>4</v>
      </c>
      <c r="T19" s="308">
        <v>4</v>
      </c>
      <c r="U19" s="308" t="str">
        <f t="shared" ref="U19" ca="1" si="134">INDEX(C16:C19,MATCH(T19,S16:S19,0),0)</f>
        <v>Australia</v>
      </c>
      <c r="V19" s="308">
        <f ca="1">INDEX(R16:R19,MATCH(U19,C16:C19,0),0)</f>
        <v>1</v>
      </c>
      <c r="W19" s="308" t="str">
        <f t="shared" ca="1" si="119"/>
        <v>Australia</v>
      </c>
      <c r="X19" s="308" t="str">
        <f t="shared" ref="X19" ca="1" si="135">IF(AND(X18&lt;&gt;"",V19=2),U19,"")</f>
        <v/>
      </c>
      <c r="Y19" s="308" t="str">
        <f t="shared" ref="Y19" ca="1" si="136">IF(AND(Y18&lt;&gt;"",V19=3),U19,"")</f>
        <v/>
      </c>
      <c r="Z19" s="308">
        <f ca="1">SUMPRODUCT((Tournament!F5:F52=W19)*(Tournament!K5:K52=W16)*(Tournament!H5:H52&gt;Tournament!I5:I52)*1)+SUMPRODUCT((Tournament!K5:K52=W19)*(Tournament!F5:F52=W16)*(Tournament!I5:I52&gt;Tournament!H5:H52)*1)+SUMPRODUCT((Tournament!F5:F52=W19)*(Tournament!K5:K52=W17)*(Tournament!H5:H52&gt;Tournament!I5:I52)*1)+SUMPRODUCT((Tournament!K5:K52=W19)*(Tournament!F5:F52=W17)*(Tournament!I5:I52&gt;Tournament!H5:H52)*1)+SUMPRODUCT((Tournament!F5:F52=W19)*(Tournament!K5:K52=W18)*(Tournament!H5:H52&gt;Tournament!I5:I52)*1)+SUMPRODUCT((Tournament!K5:K52=W19)*(Tournament!F5:F52=W18)*(Tournament!I5:I52&gt;Tournament!H5:H52)*1)</f>
        <v>0</v>
      </c>
      <c r="AA19" s="308">
        <f ca="1">SUMPRODUCT((Tournament!F5:F52=W19)*(Tournament!K5:K52=W16)*(Tournament!H5:H52&gt;=Tournament!I5:I52)*1)+SUMPRODUCT((Tournament!K5:K52=W19)*(Tournament!F5:F52=W16)*(Tournament!H5:H52=Tournament!I5:I52)*1)+SUMPRODUCT((Tournament!F5:F52=W19)*(Tournament!K5:K52=W17)*(Tournament!H5:H52=Tournament!I5:I52)*1)+SUMPRODUCT((Tournament!K5:K52=W19)*(Tournament!F5:F52=W17)*(Tournament!H5:H52=Tournament!I5:I52)*1)+SUMPRODUCT((Tournament!F5:F52=W19)*(Tournament!K5:K52=W18)*(Tournament!H5:H52=Tournament!I5:I52)*1)+SUMPRODUCT((Tournament!K5:K52=W19)*(Tournament!F5:F52=W18)*(Tournament!H5:H52=Tournament!I5:I52)*1)</f>
        <v>3</v>
      </c>
      <c r="AB19" s="308">
        <f ca="1">SUMPRODUCT((Tournament!F5:F52=W19)*(Tournament!K5:K52=W16)*(Tournament!H5:H52&lt;Tournament!I5:I52)*1)+SUMPRODUCT((Tournament!K5:K52=W19)*(Tournament!F5:F52=W16)*(Tournament!I5:I52&lt;Tournament!H5:H52)*1)+SUMPRODUCT((Tournament!F5:F52=W19)*(Tournament!K5:K52=W17)*(Tournament!H5:H52&lt;Tournament!I5:I52)*1)+SUMPRODUCT((Tournament!K5:K52=W19)*(Tournament!F5:F52=W17)*(Tournament!I5:I52&lt;Tournament!H5:H52)*1)+SUMPRODUCT((Tournament!F5:F52=W19)*(Tournament!K5:K52=W18)*(Tournament!H5:H52&lt;Tournament!I5:I52)*1)+SUMPRODUCT((Tournament!K5:K52=W19)*(Tournament!F5:F52=W18)*(Tournament!I5:I52&lt;Tournament!H5:H52)*1)</f>
        <v>0</v>
      </c>
      <c r="AC19" s="308">
        <f ca="1">SUMIFS(Tournament!H5:H52,Tournament!F5:F52,W19,Tournament!K5:K52,W16)+SUMIFS(Tournament!H5:H52,Tournament!F5:F52,W19,Tournament!K5:K52,W17)+SUMIFS(Tournament!H5:H52,Tournament!F5:F52,W19,Tournament!K5:K52,W18)+SUMIFS(Tournament!I5:I52,Tournament!K5:K52,W19,Tournament!F5:F52,W16)+SUMIFS(Tournament!I5:I52,Tournament!K5:K52,W19,Tournament!F5:F52,W17)+SUMIFS(Tournament!I5:I52,Tournament!K5:K52,W19,Tournament!F5:F52,W18)</f>
        <v>0</v>
      </c>
      <c r="AD19" s="308">
        <f ca="1">SUMIFS(Tournament!I5:I52,Tournament!F5:F52,W19,Tournament!K5:K52,W16)+SUMIFS(Tournament!I5:I52,Tournament!F5:F52,W19,Tournament!K5:K52,W17)+SUMIFS(Tournament!I5:I52,Tournament!F5:F52,W19,Tournament!K5:K52,W18)+SUMIFS(Tournament!H5:H52,Tournament!K5:K52,W19,Tournament!F5:F52,W16)+SUMIFS(Tournament!H5:H52,Tournament!K5:K52,W19,Tournament!F5:F52,W17)+SUMIFS(Tournament!H5:H52,Tournament!K5:K52,W19,Tournament!F5:F52,W18)</f>
        <v>0</v>
      </c>
      <c r="AE19" s="308">
        <f t="shared" ca="1" si="7"/>
        <v>0</v>
      </c>
      <c r="AF19" s="308">
        <f t="shared" ca="1" si="8"/>
        <v>3</v>
      </c>
      <c r="AG19" s="308">
        <f t="shared" ref="AG19" ca="1" si="137">IF(W19&lt;&gt;"",SUMPRODUCT((V16:V19=V19)*(AF16:AF19&gt;AF19)*1),0)</f>
        <v>0</v>
      </c>
      <c r="AH19" s="308">
        <f t="shared" ref="AH19" ca="1" si="138">IF(W19&lt;&gt;"",SUMPRODUCT((AG16:AG19=AG19)*(AE16:AE19&gt;AE19)*1),0)</f>
        <v>0</v>
      </c>
      <c r="AI19" s="308">
        <f t="shared" ca="1" si="0"/>
        <v>0</v>
      </c>
      <c r="AJ19" s="308">
        <f t="shared" ref="AJ19" ca="1" si="139">IF(W19&lt;&gt;"",SUMPRODUCT((AI16:AI19=AI19)*(AG16:AG19=AG19)*(AC16:AC19&gt;AC19)*1),0)</f>
        <v>0</v>
      </c>
      <c r="AK19" s="308">
        <f t="shared" ca="1" si="9"/>
        <v>1</v>
      </c>
      <c r="AL19" s="308">
        <f ca="1">SUMPRODUCT((Tournament!F5:F52=X19)*(Tournament!K5:K52=X17)*(Tournament!H5:H52&gt;Tournament!I5:I52)*1)+SUMPRODUCT((Tournament!K5:K52=X19)*(Tournament!F5:F52=X17)*(Tournament!I5:I52&gt;Tournament!H5:H52)*1)+SUMPRODUCT((Tournament!F5:F52=X19)*(Tournament!K5:K52=X18)*(Tournament!H5:H52&gt;Tournament!I5:I52)*1)+SUMPRODUCT((Tournament!K5:K52=X19)*(Tournament!F5:F52=X18)*(Tournament!I5:I52&gt;Tournament!H5:H52)*1)</f>
        <v>0</v>
      </c>
      <c r="AM19" s="308">
        <f ca="1">SUMPRODUCT((Tournament!F5:F52=X19)*(Tournament!K5:K52=X17)*(Tournament!H5:H52=Tournament!I5:I52)*1)+SUMPRODUCT((Tournament!K5:K52=X19)*(Tournament!F5:F52=X17)*(Tournament!H5:H52=Tournament!I5:I52)*1)+SUMPRODUCT((Tournament!F5:F52=X19)*(Tournament!K5:K52=X18)*(Tournament!H5:H52=Tournament!I5:I52)*1)+SUMPRODUCT((Tournament!K5:K52=X19)*(Tournament!F5:F52=X18)*(Tournament!H5:H52=Tournament!I5:I52)*1)</f>
        <v>0</v>
      </c>
      <c r="AN19" s="308">
        <f ca="1">SUMPRODUCT((Tournament!F5:F52=X19)*(Tournament!K5:K52=X17)*(Tournament!H5:H52&lt;Tournament!I5:I52)*1)+SUMPRODUCT((Tournament!K5:K52=X19)*(Tournament!F5:F52=X17)*(Tournament!I5:I52&lt;Tournament!H5:H52)*1)+SUMPRODUCT((Tournament!F5:F52=X19)*(Tournament!K5:K52=X18)*(Tournament!H5:H52&lt;Tournament!I5:I52)*1)+SUMPRODUCT((Tournament!K5:K52=X19)*(Tournament!F5:F52=X18)*(Tournament!I5:I52&lt;Tournament!H5:H52)*1)</f>
        <v>0</v>
      </c>
      <c r="AO19" s="308">
        <f ca="1">SUMIFS(Tournament!H5:H52,Tournament!F5:F52,X19,Tournament!K5:K52,X17)+SUMIFS(Tournament!H5:H52,Tournament!F5:F52,X19,Tournament!K5:K52,X18)+SUMIFS(Tournament!I5:I52,Tournament!K5:K52,X19,Tournament!F5:F52,X17)+SUMIFS(Tournament!I5:I52,Tournament!K5:K52,X19,Tournament!F5:F52,X18)</f>
        <v>0</v>
      </c>
      <c r="AP19" s="308">
        <f ca="1">SUMIFS(Tournament!H5:H52,Tournament!F5:F52,X19,Tournament!K5:K52,X17)+SUMIFS(Tournament!H5:H52,Tournament!F5:F52,X19,Tournament!K5:K52,X18)+SUMIFS(Tournament!I5:I52,Tournament!K5:K52,X19,Tournament!F5:F52,X17)+SUMIFS(Tournament!I5:I52,Tournament!K5:K52,X19,Tournament!F5:F52,X18)</f>
        <v>0</v>
      </c>
      <c r="AQ19" s="308">
        <f t="shared" ca="1" si="10"/>
        <v>0</v>
      </c>
      <c r="AR19" s="308">
        <f t="shared" ca="1" si="11"/>
        <v>0</v>
      </c>
      <c r="AS19" s="308">
        <f t="shared" ref="AS19" ca="1" si="140">IF(X19&lt;&gt;"",SUMPRODUCT((V16:V19=V19)*(AR16:AR19&gt;AR19)*1),0)</f>
        <v>0</v>
      </c>
      <c r="AT19" s="308">
        <f t="shared" ref="AT19" ca="1" si="141">IF(X19&lt;&gt;"",SUMPRODUCT((AS16:AS19=AS19)*(AQ16:AQ19&gt;AQ19)*1),0)</f>
        <v>0</v>
      </c>
      <c r="AU19" s="308">
        <f t="shared" ca="1" si="12"/>
        <v>0</v>
      </c>
      <c r="AV19" s="308">
        <f t="shared" ref="AV19" ca="1" si="142">IF(X19&lt;&gt;"",SUMPRODUCT((AU16:AU19=AU19)*(AS16:AS19=AS19)*(AO16:AO19&gt;AO19)*1),0)</f>
        <v>0</v>
      </c>
      <c r="AW19" s="308">
        <f t="shared" ca="1" si="13"/>
        <v>1</v>
      </c>
      <c r="AX19" s="308">
        <f ca="1">SUMPRODUCT((Tournament!F5:F52=Y19)*(Tournament!K5:K52=Y18)*(Tournament!H5:H52&gt;Tournament!I5:I52)*1)+SUMPRODUCT((Tournament!K5:K52=Y19)*(Tournament!F5:F52=Y18)*(Tournament!I5:I52&gt;Tournament!H5:H52)*1)</f>
        <v>0</v>
      </c>
      <c r="AY19" s="308">
        <f ca="1">SUMPRODUCT((Tournament!F5:F52=Y19)*(Tournament!K5:K52=Y18)*(Tournament!H5:H52=Tournament!I5:I52)*1)+SUMPRODUCT((Tournament!K5:K52=Y19)*(Tournament!F5:F52=Y18)*(Tournament!I5:I52=Tournament!H5:H52)*1)</f>
        <v>0</v>
      </c>
      <c r="AZ19" s="308">
        <f ca="1">SUMPRODUCT((Tournament!F5:F52=Y19)*(Tournament!K5:K52=Y18)*(Tournament!H5:H52&lt;Tournament!I5:I52)*1)+SUMPRODUCT((Tournament!K5:K52=Y19)*(Tournament!F5:F52=Y18)*(Tournament!I5:I52&lt;Tournament!H5:H52)*1)</f>
        <v>0</v>
      </c>
      <c r="BA19" s="308">
        <f ca="1">SUMIFS(Tournament!H5:H52,Tournament!F5:F52,Y19,Tournament!K5:K52,Y18)+SUMIFS(Tournament!I5:I52,Tournament!K5:K52,Y19,Tournament!F5:F52,Y18)</f>
        <v>0</v>
      </c>
      <c r="BB19" s="308">
        <f ca="1">SUMIFS(Tournament!H5:H52,Tournament!F5:F52,Y19,Tournament!K5:K52,Y18)+SUMIFS(Tournament!I5:I52,Tournament!K5:K52,Y19,Tournament!F5:F52,Y18)</f>
        <v>0</v>
      </c>
      <c r="BC19" s="308">
        <f t="shared" ca="1" si="128"/>
        <v>0</v>
      </c>
      <c r="BD19" s="308">
        <f t="shared" ca="1" si="129"/>
        <v>0</v>
      </c>
      <c r="BE19" s="308">
        <f t="shared" ref="BE19" ca="1" si="143">IF(Y19&lt;&gt;"",SUMPRODUCT((AH16:AH19=AH19)*(BD16:BD19&gt;BD19)*1),0)</f>
        <v>0</v>
      </c>
      <c r="BF19" s="308">
        <f t="shared" ref="BF19" ca="1" si="144">IF(Y19&lt;&gt;"",SUMPRODUCT((BE16:BE19=BE19)*(BC16:BC19&gt;BC19)*1),0)</f>
        <v>0</v>
      </c>
      <c r="BG19" s="308">
        <f t="shared" ca="1" si="132"/>
        <v>0</v>
      </c>
      <c r="BH19" s="308">
        <f t="shared" ref="BH19" ca="1" si="145">IF(Y19&lt;&gt;"",SUMPRODUCT((BG16:BG19=BG19)*(BE16:BE19=BE19)*(BA16:BA19&gt;BA19)*1),0)</f>
        <v>0</v>
      </c>
      <c r="BI19" s="308">
        <f t="shared" ca="1" si="17"/>
        <v>1</v>
      </c>
      <c r="BJ19" s="308">
        <f ca="1">SUMPRODUCT((BI16:BI19=BI19)*(A16:A19&gt;A19)*1)</f>
        <v>3</v>
      </c>
      <c r="BK19" s="308">
        <f t="shared" ca="1" si="14"/>
        <v>4</v>
      </c>
      <c r="BM19" s="314" t="s">
        <v>119</v>
      </c>
      <c r="BN19" s="315"/>
      <c r="BO19" s="316" t="str">
        <f>Calculator!C16</f>
        <v>Denmark</v>
      </c>
      <c r="BP19" s="317" t="s">
        <v>666</v>
      </c>
      <c r="BQ19" s="316"/>
      <c r="BR19" s="309">
        <v>13</v>
      </c>
      <c r="BS19" s="318">
        <v>-6</v>
      </c>
      <c r="BT19" s="174"/>
      <c r="BU19" s="22">
        <v>13</v>
      </c>
      <c r="BV19" s="320">
        <f t="shared" si="18"/>
        <v>44889.541666666664</v>
      </c>
      <c r="BW19" s="321">
        <v>44889.541666666664</v>
      </c>
      <c r="BX19" s="322">
        <f t="shared" si="19"/>
        <v>44889.541666666664</v>
      </c>
      <c r="BY19" s="309">
        <f ca="1">SUM(Tournament!R17:R20)</f>
        <v>0</v>
      </c>
      <c r="BZ19" s="309" t="str">
        <f>INDEX(Language!A1:K117,MATCH(Setup!B20,Language!B1:B117,0),MATCH(Setup!C5,Language!A1:J1,0))</f>
        <v>Denmark</v>
      </c>
    </row>
    <row r="20" spans="1:78" x14ac:dyDescent="0.35">
      <c r="A20" s="308">
        <f ca="1">INDEX(M4:M35,MATCH(U20,C4:C35,0),0)</f>
        <v>1651</v>
      </c>
      <c r="B20" s="308">
        <f t="shared" si="25"/>
        <v>1</v>
      </c>
      <c r="C20" s="308" t="str">
        <f t="shared" si="1"/>
        <v>Germany</v>
      </c>
      <c r="D20" s="308">
        <f t="shared" ca="1" si="2"/>
        <v>0</v>
      </c>
      <c r="E20" s="308">
        <f ca="1">SUMPRODUCT((Tournament!H5:H52&lt;&gt;"")*(Tournament!F5:F52=C20)*(Tournament!H5:H52&gt;Tournament!I5:I52)*1)+SUMPRODUCT((Tournament!H5:H52&lt;&gt;"")*(Tournament!K5:K52=C20)*(Tournament!I5:I52&gt;Tournament!H5:H52)*1)</f>
        <v>0</v>
      </c>
      <c r="F20" s="308">
        <f ca="1">SUMPRODUCT((Tournament!H5:H52&lt;&gt;"")*(Tournament!F5:F52=C20)*(Tournament!H5:H52=Tournament!I5:I52)*1)+SUMPRODUCT((Tournament!H5:H52&lt;&gt;"")*(Tournament!K5:K52=C20)*(Tournament!H5:H52=Tournament!I5:I52)*1)</f>
        <v>0</v>
      </c>
      <c r="G20" s="308">
        <f ca="1">SUMPRODUCT((Tournament!H5:H52&lt;&gt;"")*(Tournament!F5:F52=C20)*(Tournament!H5:H52&lt;Tournament!I5:I52)*1)+SUMPRODUCT((Tournament!H5:H52&lt;&gt;"")*(Tournament!K5:K52=C20)*(Tournament!I5:I52&lt;Tournament!H5:H52)*1)</f>
        <v>0</v>
      </c>
      <c r="H20" s="308">
        <f ca="1">SUMIF(Tournament!F5:F52,C20,Tournament!H5:H52)+SUMIF(Tournament!K5:K52,C20,Tournament!I5:I52)</f>
        <v>0</v>
      </c>
      <c r="I20" s="308">
        <f ca="1">SUMIF(Tournament!F5:F52,C20,Tournament!I5:I52)+SUMIF(Tournament!K5:K52,C20,Tournament!H5:H52)</f>
        <v>0</v>
      </c>
      <c r="J20" s="308">
        <f t="shared" ca="1" si="3"/>
        <v>0</v>
      </c>
      <c r="K20" s="308">
        <f t="shared" ca="1" si="4"/>
        <v>0</v>
      </c>
      <c r="L20" s="308">
        <f>Setup!E24</f>
        <v>1651</v>
      </c>
      <c r="M20" s="308">
        <f>IF(Setup!F24&lt;&gt;"",Setup!F24,Setup!E24)</f>
        <v>1651</v>
      </c>
      <c r="N20" s="308">
        <f ca="1">RANK(K20,K20:K23)</f>
        <v>1</v>
      </c>
      <c r="O20" s="308">
        <f ca="1">SUMPRODUCT((N20:N23=N20)*(J20:J23&gt;J20)*1)</f>
        <v>0</v>
      </c>
      <c r="P20" s="308">
        <f t="shared" ca="1" si="5"/>
        <v>1</v>
      </c>
      <c r="Q20" s="308">
        <f ca="1">SUMPRODUCT((N20:N23=N20)*(J20:J23=J20)*(H20:H23&gt;H20)*1)</f>
        <v>0</v>
      </c>
      <c r="R20" s="308">
        <f t="shared" ca="1" si="6"/>
        <v>1</v>
      </c>
      <c r="S20" s="308">
        <f ca="1">RANK(R20,R20:R23,1)+COUNTIF(R20:R20,R20)-1</f>
        <v>1</v>
      </c>
      <c r="T20" s="308">
        <v>1</v>
      </c>
      <c r="U20" s="308" t="str">
        <f ca="1">INDEX(C20:C23,MATCH(T20,S20:S23,0),0)</f>
        <v>Germany</v>
      </c>
      <c r="V20" s="308">
        <f ca="1">INDEX(R20:R23,MATCH(U20,C20:C23,0),0)</f>
        <v>1</v>
      </c>
      <c r="W20" s="308" t="str">
        <f t="shared" ref="W20" ca="1" si="146">IF(V21=1,U20,"")</f>
        <v>Germany</v>
      </c>
      <c r="Z20" s="308">
        <f ca="1">SUMPRODUCT((Tournament!F5:F52=W20)*(Tournament!K5:K52=W21)*(Tournament!H5:H52&gt;Tournament!I5:I52)*1)+SUMPRODUCT((Tournament!K5:K52=W20)*(Tournament!F5:F52=W21)*(Tournament!I5:I52&gt;Tournament!H5:H52)*1)+SUMPRODUCT((Tournament!F5:F52=W20)*(Tournament!K5:K52=W22)*(Tournament!H5:H52&gt;Tournament!I5:I52)*1)+SUMPRODUCT((Tournament!K5:K52=W20)*(Tournament!F5:F52=W22)*(Tournament!I5:I52&gt;Tournament!H5:H52)*1)+SUMPRODUCT((Tournament!F5:F52=W20)*(Tournament!K5:K52=W23)*(Tournament!H5:H52&gt;Tournament!I5:I52)*1)+SUMPRODUCT((Tournament!K5:K52=W20)*(Tournament!F5:F52=W23)*(Tournament!I5:I52&gt;Tournament!H5:H52)*1)</f>
        <v>0</v>
      </c>
      <c r="AA20" s="308">
        <f ca="1">SUMPRODUCT((Tournament!F5:F52=W20)*(Tournament!K5:K52=W21)*(Tournament!H5:H52=Tournament!I5:I52)*1)+SUMPRODUCT((Tournament!K5:K52=W20)*(Tournament!F5:F52=W21)*(Tournament!H5:H52=Tournament!I5:I52)*1)+SUMPRODUCT((Tournament!F5:F52=W20)*(Tournament!K5:K52=W22)*(Tournament!H5:H52=Tournament!I5:I52)*1)+SUMPRODUCT((Tournament!K5:K52=W20)*(Tournament!F5:F52=W22)*(Tournament!H5:H52=Tournament!I5:I52)*1)+SUMPRODUCT((Tournament!F5:F52=W20)*(Tournament!K5:K52=W23)*(Tournament!H5:H52=Tournament!I5:I52)*1)+SUMPRODUCT((Tournament!K5:K52=W20)*(Tournament!F5:F52=W23)*(Tournament!H5:H52=Tournament!I5:I52)*1)</f>
        <v>3</v>
      </c>
      <c r="AB20" s="308">
        <f ca="1">SUMPRODUCT((Tournament!F5:F52=W20)*(Tournament!K5:K52=W21)*(Tournament!H5:H52&lt;Tournament!I5:I52)*1)+SUMPRODUCT((Tournament!K5:K52=W20)*(Tournament!F5:F52=W21)*(Tournament!I5:I52&lt;Tournament!H5:H52)*1)+SUMPRODUCT((Tournament!F5:F52=W20)*(Tournament!K5:K52=W22)*(Tournament!H5:H52&lt;Tournament!I5:I52)*1)+SUMPRODUCT((Tournament!K5:K52=W20)*(Tournament!F5:F52=W22)*(Tournament!I5:I52&lt;Tournament!H5:H52)*1)+SUMPRODUCT((Tournament!F5:F52=W20)*(Tournament!K5:K52=W23)*(Tournament!H5:H52&lt;Tournament!I5:I52)*1)+SUMPRODUCT((Tournament!K5:K52=W20)*(Tournament!F5:F52=W23)*(Tournament!I5:I52&lt;Tournament!H5:H52)*1)</f>
        <v>0</v>
      </c>
      <c r="AC20" s="308">
        <f ca="1">SUMIFS(Tournament!H5:H52,Tournament!F5:F52,W20,Tournament!K5:K52,W21)+SUMIFS(Tournament!H5:H52,Tournament!F5:F52,W20,Tournament!K5:K52,W22)+SUMIFS(Tournament!H5:H52,Tournament!F5:F52,W20,Tournament!K5:K52,W23)+SUMIFS(Tournament!I5:I52,Tournament!K5:K52,W20,Tournament!F5:F52,W21)+SUMIFS(Tournament!I5:I52,Tournament!K5:K52,W20,Tournament!F5:F52,W22)+SUMIFS(Tournament!I5:I52,Tournament!K5:K52,W20,Tournament!F5:F52,W23)</f>
        <v>0</v>
      </c>
      <c r="AD20" s="308">
        <f ca="1">SUMIFS(Tournament!I5:I52,Tournament!F5:F52,W20,Tournament!K5:K52,W21)+SUMIFS(Tournament!I5:I52,Tournament!F5:F52,W20,Tournament!K5:K52,W22)+SUMIFS(Tournament!I5:I52,Tournament!F5:F52,W20,Tournament!K5:K52,W23)+SUMIFS(Tournament!H5:H52,Tournament!K5:K52,W20,Tournament!F5:F52,W21)+SUMIFS(Tournament!H5:H52,Tournament!K5:K52,W20,Tournament!F5:F52,W22)+SUMIFS(Tournament!H5:H52,Tournament!K5:K52,W20,Tournament!F5:F52,W23)</f>
        <v>0</v>
      </c>
      <c r="AE20" s="308">
        <f t="shared" ca="1" si="7"/>
        <v>0</v>
      </c>
      <c r="AF20" s="308">
        <f t="shared" ca="1" si="8"/>
        <v>3</v>
      </c>
      <c r="AG20" s="308">
        <f t="shared" ref="AG20" ca="1" si="147">IF(W20&lt;&gt;"",SUMPRODUCT((V20:V23=V20)*(AF20:AF23&gt;AF20)*1),0)</f>
        <v>0</v>
      </c>
      <c r="AH20" s="308">
        <f t="shared" ref="AH20" ca="1" si="148">IF(W20&lt;&gt;"",SUMPRODUCT((AG20:AG23=AG20)*(AE20:AE23&gt;AE20)*1),0)</f>
        <v>0</v>
      </c>
      <c r="AI20" s="308">
        <f t="shared" ca="1" si="0"/>
        <v>0</v>
      </c>
      <c r="AJ20" s="308">
        <f t="shared" ref="AJ20" ca="1" si="149">IF(W20&lt;&gt;"",SUMPRODUCT((AI20:AI23=AI20)*(AG20:AG23=AG20)*(AC20:AC23&gt;AC20)*1),0)</f>
        <v>0</v>
      </c>
      <c r="AK20" s="308">
        <f t="shared" ca="1" si="9"/>
        <v>1</v>
      </c>
      <c r="AL20" s="308">
        <v>0</v>
      </c>
      <c r="AM20" s="308">
        <v>0</v>
      </c>
      <c r="AN20" s="308">
        <v>0</v>
      </c>
      <c r="AO20" s="308">
        <v>0</v>
      </c>
      <c r="AP20" s="308">
        <v>0</v>
      </c>
      <c r="AQ20" s="308">
        <f t="shared" si="10"/>
        <v>0</v>
      </c>
      <c r="AR20" s="308">
        <f t="shared" si="11"/>
        <v>0</v>
      </c>
      <c r="AS20" s="308">
        <v>0</v>
      </c>
      <c r="AT20" s="308">
        <v>0</v>
      </c>
      <c r="AU20" s="308">
        <f t="shared" si="12"/>
        <v>0</v>
      </c>
      <c r="AV20" s="308">
        <v>0</v>
      </c>
      <c r="AW20" s="308">
        <f t="shared" ca="1" si="13"/>
        <v>1</v>
      </c>
      <c r="AX20" s="308">
        <v>0</v>
      </c>
      <c r="AY20" s="308">
        <v>0</v>
      </c>
      <c r="AZ20" s="308">
        <v>0</v>
      </c>
      <c r="BA20" s="308">
        <v>0</v>
      </c>
      <c r="BB20" s="308">
        <v>0</v>
      </c>
      <c r="BC20" s="308">
        <v>0</v>
      </c>
      <c r="BD20" s="308">
        <v>0</v>
      </c>
      <c r="BE20" s="308">
        <v>0</v>
      </c>
      <c r="BF20" s="308">
        <v>0</v>
      </c>
      <c r="BG20" s="308">
        <v>0</v>
      </c>
      <c r="BH20" s="308">
        <v>0</v>
      </c>
      <c r="BI20" s="308">
        <f t="shared" ca="1" si="17"/>
        <v>1</v>
      </c>
      <c r="BJ20" s="308">
        <f ca="1">SUMPRODUCT((BI20:BI23=BI20)*(A20:A23&gt;A20)*1)</f>
        <v>1</v>
      </c>
      <c r="BK20" s="308">
        <f t="shared" ca="1" si="14"/>
        <v>2</v>
      </c>
      <c r="BM20" s="314"/>
      <c r="BN20" s="315"/>
      <c r="BO20" s="316" t="str">
        <f>Calculator!C17</f>
        <v>Tunisia</v>
      </c>
      <c r="BP20" s="317" t="s">
        <v>667</v>
      </c>
      <c r="BQ20" s="316"/>
      <c r="BR20" s="309">
        <v>14</v>
      </c>
      <c r="BS20" s="318">
        <v>-5.5</v>
      </c>
      <c r="BT20" s="174"/>
      <c r="BU20" s="22">
        <v>14</v>
      </c>
      <c r="BV20" s="320">
        <f t="shared" si="18"/>
        <v>44889.666666666664</v>
      </c>
      <c r="BW20" s="321">
        <v>44889.666666666664</v>
      </c>
      <c r="BX20" s="322">
        <f t="shared" si="19"/>
        <v>44889.666666666664</v>
      </c>
      <c r="BZ20" s="309" t="str">
        <f>INDEX(Language!A1:K117,MATCH(Setup!B21,Language!B1:B117,0),MATCH(Setup!C5,Language!A1:J1,0))</f>
        <v>Tunisia</v>
      </c>
    </row>
    <row r="21" spans="1:78" x14ac:dyDescent="0.35">
      <c r="A21" s="308">
        <f ca="1">INDEX(M4:M35,MATCH(U21,C4:C35,0),0)</f>
        <v>1553</v>
      </c>
      <c r="B21" s="308">
        <f t="shared" si="25"/>
        <v>2</v>
      </c>
      <c r="C21" s="308" t="str">
        <f t="shared" si="1"/>
        <v>Japan</v>
      </c>
      <c r="D21" s="308">
        <f t="shared" ca="1" si="2"/>
        <v>0</v>
      </c>
      <c r="E21" s="308">
        <f ca="1">SUMPRODUCT((Tournament!H5:H52&lt;&gt;"")*(Tournament!F5:F52=C21)*(Tournament!H5:H52&gt;Tournament!I5:I52)*1)+SUMPRODUCT((Tournament!H5:H52&lt;&gt;"")*(Tournament!K5:K52=C21)*(Tournament!I5:I52&gt;Tournament!H5:H52)*1)</f>
        <v>0</v>
      </c>
      <c r="F21" s="308">
        <f ca="1">SUMPRODUCT((Tournament!H5:H52&lt;&gt;"")*(Tournament!F5:F52=C21)*(Tournament!H5:H52=Tournament!I5:I52)*1)+SUMPRODUCT((Tournament!H5:H52&lt;&gt;"")*(Tournament!K5:K52=C21)*(Tournament!H5:H52=Tournament!I5:I52)*1)</f>
        <v>0</v>
      </c>
      <c r="G21" s="308">
        <f ca="1">SUMPRODUCT((Tournament!H5:H52&lt;&gt;"")*(Tournament!F5:F52=C21)*(Tournament!H5:H52&lt;Tournament!I5:I52)*1)+SUMPRODUCT((Tournament!H5:H52&lt;&gt;"")*(Tournament!K5:K52=C21)*(Tournament!I5:I52&lt;Tournament!H5:H52)*1)</f>
        <v>0</v>
      </c>
      <c r="H21" s="308">
        <f ca="1">SUMIF(Tournament!F5:F52,C21,Tournament!H5:H52)+SUMIF(Tournament!K5:K52,C21,Tournament!I5:I52)</f>
        <v>0</v>
      </c>
      <c r="I21" s="308">
        <f ca="1">SUMIF(Tournament!F5:F52,C21,Tournament!I5:I52)+SUMIF(Tournament!K5:K52,C21,Tournament!H5:H52)</f>
        <v>0</v>
      </c>
      <c r="J21" s="308">
        <f t="shared" ca="1" si="3"/>
        <v>0</v>
      </c>
      <c r="K21" s="308">
        <f t="shared" ca="1" si="4"/>
        <v>0</v>
      </c>
      <c r="L21" s="308">
        <f>Setup!E25</f>
        <v>1553</v>
      </c>
      <c r="M21" s="308">
        <f>IF(Setup!F25&lt;&gt;"",Setup!F25,Setup!E25)</f>
        <v>1553</v>
      </c>
      <c r="N21" s="308">
        <f ca="1">RANK(K21,K20:K23)</f>
        <v>1</v>
      </c>
      <c r="O21" s="308">
        <f ca="1">SUMPRODUCT((N20:N23=N21)*(J20:J23&gt;J21)*1)</f>
        <v>0</v>
      </c>
      <c r="P21" s="308">
        <f t="shared" ca="1" si="5"/>
        <v>1</v>
      </c>
      <c r="Q21" s="308">
        <f ca="1">SUMPRODUCT((N20:N23=N21)*(J20:J23=J21)*(H20:H23&gt;H21)*1)</f>
        <v>0</v>
      </c>
      <c r="R21" s="308">
        <f t="shared" ca="1" si="6"/>
        <v>1</v>
      </c>
      <c r="S21" s="308">
        <f ca="1">RANK(R21,R20:R23,1)+COUNTIF(R20:R21,R21)-1</f>
        <v>2</v>
      </c>
      <c r="T21" s="308">
        <v>2</v>
      </c>
      <c r="U21" s="308" t="str">
        <f t="shared" ref="U21" ca="1" si="150">INDEX(C20:C23,MATCH(T21,S20:S23,0),0)</f>
        <v>Japan</v>
      </c>
      <c r="V21" s="308">
        <f ca="1">INDEX(R20:R23,MATCH(U21,C20:C23,0),0)</f>
        <v>1</v>
      </c>
      <c r="W21" s="308" t="str">
        <f t="shared" ref="W21" ca="1" si="151">IF(W20&lt;&gt;"",U21,"")</f>
        <v>Japan</v>
      </c>
      <c r="X21" s="308" t="str">
        <f t="shared" ref="X21" ca="1" si="152">IF(V22=2,U21,"")</f>
        <v/>
      </c>
      <c r="Z21" s="308">
        <f ca="1">SUMPRODUCT((Tournament!F5:F52=W21)*(Tournament!K5:K52=W20)*(Tournament!H5:H52&gt;Tournament!I5:I52)*1)+SUMPRODUCT((Tournament!K5:K52=W21)*(Tournament!F5:F52=W20)*(Tournament!I5:I52&gt;Tournament!H5:H52)*1)+SUMPRODUCT((Tournament!F5:F52=W21)*(Tournament!K5:K52=W22)*(Tournament!H5:H52&gt;Tournament!I5:I52)*1)+SUMPRODUCT((Tournament!K5:K52=W21)*(Tournament!F5:F52=W22)*(Tournament!I5:I52&gt;Tournament!H5:H52)*1)+SUMPRODUCT((Tournament!F5:F52=W21)*(Tournament!K5:K52=W23)*(Tournament!H5:H52&gt;Tournament!I5:I52)*1)+SUMPRODUCT((Tournament!K5:K52=W21)*(Tournament!F5:F52=W23)*(Tournament!I5:I52&gt;Tournament!H5:H52)*1)</f>
        <v>0</v>
      </c>
      <c r="AA21" s="308">
        <f ca="1">SUMPRODUCT((Tournament!F5:F52=W21)*(Tournament!K5:K52=W20)*(Tournament!H5:H52=Tournament!I5:I52)*1)+SUMPRODUCT((Tournament!K5:K52=W21)*(Tournament!F5:F52=W20)*(Tournament!H5:H52=Tournament!I5:I52)*1)+SUMPRODUCT((Tournament!F5:F52=W21)*(Tournament!K5:K52=W22)*(Tournament!H5:H52=Tournament!I5:I52)*1)+SUMPRODUCT((Tournament!K5:K52=W21)*(Tournament!F5:F52=W22)*(Tournament!H5:H52=Tournament!I5:I52)*1)+SUMPRODUCT((Tournament!F5:F52=W21)*(Tournament!K5:K52=W23)*(Tournament!H5:H52=Tournament!I5:I52)*1)+SUMPRODUCT((Tournament!K5:K52=W21)*(Tournament!F5:F52=W23)*(Tournament!H5:H52=Tournament!I5:I52)*1)</f>
        <v>3</v>
      </c>
      <c r="AB21" s="308">
        <f ca="1">SUMPRODUCT((Tournament!F5:F52=W21)*(Tournament!K5:K52=W20)*(Tournament!H5:H52&lt;Tournament!I5:I52)*1)+SUMPRODUCT((Tournament!K5:K52=W21)*(Tournament!F5:F52=W20)*(Tournament!I5:I52&lt;Tournament!H5:H52)*1)+SUMPRODUCT((Tournament!F5:F52=W21)*(Tournament!K5:K52=W22)*(Tournament!H5:H52&lt;Tournament!I5:I52)*1)+SUMPRODUCT((Tournament!K5:K52=W21)*(Tournament!F5:F52=W22)*(Tournament!I5:I52&lt;Tournament!H5:H52)*1)+SUMPRODUCT((Tournament!F5:F52=W21)*(Tournament!K5:K52=W23)*(Tournament!H5:H52&lt;Tournament!I5:I52)*1)+SUMPRODUCT((Tournament!K5:K52=W21)*(Tournament!F5:F52=W23)*(Tournament!I5:I52&lt;Tournament!H5:H52)*1)</f>
        <v>0</v>
      </c>
      <c r="AC21" s="308">
        <f ca="1">SUMIFS(Tournament!H5:H52,Tournament!F5:F52,W21,Tournament!K5:K52,W20)+SUMIFS(Tournament!H5:H52,Tournament!F5:F52,W21,Tournament!K5:K52,W22)+SUMIFS(Tournament!H5:H52,Tournament!F5:F52,W21,Tournament!K5:K52,W23)+SUMIFS(Tournament!I5:I52,Tournament!K5:K52,W21,Tournament!F5:F52,W20)+SUMIFS(Tournament!I5:I52,Tournament!K5:K52,W21,Tournament!F5:F52,W22)+SUMIFS(Tournament!I5:I52,Tournament!K5:K52,W21,Tournament!F5:F52,W23)</f>
        <v>0</v>
      </c>
      <c r="AD21" s="308">
        <f ca="1">SUMIFS(Tournament!I5:I52,Tournament!F5:F52,W21,Tournament!K5:K52,W20)+SUMIFS(Tournament!I5:I52,Tournament!F5:F52,W21,Tournament!K5:K52,W22)+SUMIFS(Tournament!I5:I52,Tournament!F5:F52,W21,Tournament!K5:K52,W23)+SUMIFS(Tournament!H5:H52,Tournament!K5:K52,W21,Tournament!F5:F52,W20)+SUMIFS(Tournament!H5:H52,Tournament!K5:K52,W21,Tournament!F5:F52,W22)+SUMIFS(Tournament!H5:H52,Tournament!K5:K52,W21,Tournament!F5:F52,W23)</f>
        <v>0</v>
      </c>
      <c r="AE21" s="308">
        <f t="shared" ca="1" si="7"/>
        <v>0</v>
      </c>
      <c r="AF21" s="308">
        <f t="shared" ca="1" si="8"/>
        <v>3</v>
      </c>
      <c r="AG21" s="308">
        <f t="shared" ref="AG21" ca="1" si="153">IF(W21&lt;&gt;"",SUMPRODUCT((V20:V23=V21)*(AF20:AF23&gt;AF21)*1),0)</f>
        <v>0</v>
      </c>
      <c r="AH21" s="308">
        <f t="shared" ref="AH21" ca="1" si="154">IF(W21&lt;&gt;"",SUMPRODUCT((AG20:AG23=AG21)*(AE20:AE23&gt;AE21)*1),0)</f>
        <v>0</v>
      </c>
      <c r="AI21" s="308">
        <f t="shared" ca="1" si="0"/>
        <v>0</v>
      </c>
      <c r="AJ21" s="308">
        <f t="shared" ref="AJ21" ca="1" si="155">IF(W21&lt;&gt;"",SUMPRODUCT((AI20:AI23=AI21)*(AG20:AG23=AG21)*(AC20:AC23&gt;AC21)*1),0)</f>
        <v>0</v>
      </c>
      <c r="AK21" s="308">
        <f t="shared" ca="1" si="9"/>
        <v>1</v>
      </c>
      <c r="AL21" s="308">
        <f ca="1">SUMPRODUCT((Tournament!F5:F52=X21)*(Tournament!K5:K52=X22)*(Tournament!H5:H52&gt;Tournament!I5:I52)*1)+SUMPRODUCT((Tournament!K5:K52=X21)*(Tournament!F5:F52=X22)*(Tournament!I5:I52&gt;Tournament!H5:H52)*1)+SUMPRODUCT((Tournament!F5:F52=X21)*(Tournament!K5:K52=X23)*(Tournament!H5:H52&gt;Tournament!I5:I52)*1)+SUMPRODUCT((Tournament!K5:K52=X21)*(Tournament!F5:F52=X23)*(Tournament!I5:I52&gt;Tournament!H5:H52)*1)</f>
        <v>0</v>
      </c>
      <c r="AM21" s="308">
        <f ca="1">SUMPRODUCT((Tournament!F5:F52=X21)*(Tournament!K5:K52=X22)*(Tournament!H5:H52=Tournament!I5:I52)*1)+SUMPRODUCT((Tournament!K5:K52=X21)*(Tournament!F5:F52=X22)*(Tournament!H5:H52=Tournament!I5:I52)*1)+SUMPRODUCT((Tournament!F5:F52=X21)*(Tournament!K5:K52=X23)*(Tournament!H5:H52=Tournament!I5:I52)*1)+SUMPRODUCT((Tournament!K5:K52=X21)*(Tournament!F5:F52=X23)*(Tournament!H5:H52=Tournament!I5:I52)*1)</f>
        <v>0</v>
      </c>
      <c r="AN21" s="308">
        <f ca="1">SUMPRODUCT((Tournament!F5:F52=X21)*(Tournament!K5:K52=X22)*(Tournament!H5:H52&lt;Tournament!I5:I52)*1)+SUMPRODUCT((Tournament!K5:K52=X21)*(Tournament!F5:F52=X22)*(Tournament!I5:I52&lt;Tournament!H5:H52)*1)+SUMPRODUCT((Tournament!F5:F52=X21)*(Tournament!K5:K52=X23)*(Tournament!H5:H52&lt;Tournament!I5:I52)*1)+SUMPRODUCT((Tournament!K5:K52=X21)*(Tournament!F5:F52=X23)*(Tournament!I5:I52&lt;Tournament!H5:H52)*1)</f>
        <v>0</v>
      </c>
      <c r="AO21" s="308">
        <f ca="1">SUMIFS(Tournament!H5:H52,Tournament!F5:F52,X21,Tournament!K5:K52,X22)+SUMIFS(Tournament!H5:H52,Tournament!F5:F52,X21,Tournament!K5:K52,X23)+SUMIFS(Tournament!I5:I52,Tournament!K5:K52,X21,Tournament!F5:F52,X22)+SUMIFS(Tournament!I5:I52,Tournament!K5:K52,X21,Tournament!F5:F52,X23)</f>
        <v>0</v>
      </c>
      <c r="AP21" s="308">
        <f ca="1">SUMIFS(Tournament!I5:I52,Tournament!F5:F52,X21,Tournament!K5:K52,X22)+SUMIFS(Tournament!I5:I52,Tournament!F5:F52,X21,Tournament!K5:K52,X23)+SUMIFS(Tournament!H5:H52,Tournament!K5:K52,X21,Tournament!F5:F52,X22)+SUMIFS(Tournament!H5:H52,Tournament!K5:K52,X21,Tournament!F5:F52,X23)</f>
        <v>0</v>
      </c>
      <c r="AQ21" s="308">
        <f t="shared" ca="1" si="10"/>
        <v>0</v>
      </c>
      <c r="AR21" s="308">
        <f t="shared" ca="1" si="11"/>
        <v>0</v>
      </c>
      <c r="AS21" s="308">
        <f t="shared" ref="AS21" ca="1" si="156">IF(X21&lt;&gt;"",SUMPRODUCT((V20:V23=V21)*(AR20:AR23&gt;AR21)*1),0)</f>
        <v>0</v>
      </c>
      <c r="AT21" s="308">
        <f t="shared" ref="AT21" ca="1" si="157">IF(X21&lt;&gt;"",SUMPRODUCT((AS20:AS23=AS21)*(AQ20:AQ23&gt;AQ21)*1),0)</f>
        <v>0</v>
      </c>
      <c r="AU21" s="308">
        <f t="shared" ca="1" si="12"/>
        <v>0</v>
      </c>
      <c r="AV21" s="308">
        <f t="shared" ref="AV21" ca="1" si="158">IF(X21&lt;&gt;"",SUMPRODUCT((AU20:AU23=AU21)*(AS20:AS23=AS21)*(AO20:AO23&gt;AO21)*1),0)</f>
        <v>0</v>
      </c>
      <c r="AW21" s="308">
        <f t="shared" ca="1" si="13"/>
        <v>1</v>
      </c>
      <c r="AX21" s="308">
        <v>0</v>
      </c>
      <c r="AY21" s="308">
        <v>0</v>
      </c>
      <c r="AZ21" s="308">
        <v>0</v>
      </c>
      <c r="BA21" s="308">
        <v>0</v>
      </c>
      <c r="BB21" s="308">
        <v>0</v>
      </c>
      <c r="BC21" s="308">
        <v>0</v>
      </c>
      <c r="BD21" s="308">
        <v>0</v>
      </c>
      <c r="BE21" s="308">
        <v>0</v>
      </c>
      <c r="BF21" s="308">
        <v>0</v>
      </c>
      <c r="BG21" s="308">
        <v>0</v>
      </c>
      <c r="BH21" s="308">
        <v>0</v>
      </c>
      <c r="BI21" s="308">
        <f t="shared" ca="1" si="17"/>
        <v>1</v>
      </c>
      <c r="BJ21" s="308">
        <f ca="1">SUMPRODUCT((BI20:BI23=BI21)*(A20:A23&gt;A21)*1)</f>
        <v>2</v>
      </c>
      <c r="BK21" s="308">
        <f t="shared" ca="1" si="14"/>
        <v>3</v>
      </c>
      <c r="BM21" s="314"/>
      <c r="BN21" s="315"/>
      <c r="BO21" s="316" t="str">
        <f>Calculator!C18</f>
        <v>France</v>
      </c>
      <c r="BP21" s="317" t="s">
        <v>668</v>
      </c>
      <c r="BQ21" s="316"/>
      <c r="BR21" s="309">
        <v>15</v>
      </c>
      <c r="BS21" s="318">
        <v>-5</v>
      </c>
      <c r="BT21" s="174"/>
      <c r="BU21" s="22">
        <v>15</v>
      </c>
      <c r="BV21" s="320">
        <f t="shared" si="18"/>
        <v>44889.791666666664</v>
      </c>
      <c r="BW21" s="321">
        <v>44889.791666666664</v>
      </c>
      <c r="BX21" s="322">
        <f t="shared" si="19"/>
        <v>44889.791666666664</v>
      </c>
      <c r="BZ21" s="309" t="str">
        <f>INDEX(Language!A1:K117,MATCH(Setup!B22,Language!B1:B117,0),MATCH(Setup!C5,Language!A1:J1,0))</f>
        <v>France</v>
      </c>
    </row>
    <row r="22" spans="1:78" x14ac:dyDescent="0.35">
      <c r="A22" s="308">
        <f ca="1">INDEX(M4:M35,MATCH(U22,C4:C35,0),0)</f>
        <v>1709</v>
      </c>
      <c r="B22" s="308">
        <f t="shared" si="25"/>
        <v>3</v>
      </c>
      <c r="C22" s="308" t="str">
        <f t="shared" si="1"/>
        <v>Spain</v>
      </c>
      <c r="D22" s="308">
        <f t="shared" ca="1" si="2"/>
        <v>0</v>
      </c>
      <c r="E22" s="308">
        <f ca="1">SUMPRODUCT((Tournament!H5:H52&lt;&gt;"")*(Tournament!F5:F52=C22)*(Tournament!H5:H52&gt;Tournament!I5:I52)*1)+SUMPRODUCT((Tournament!H5:H52&lt;&gt;"")*(Tournament!K5:K52=C22)*(Tournament!I5:I52&gt;Tournament!H5:H52)*1)</f>
        <v>0</v>
      </c>
      <c r="F22" s="308">
        <f ca="1">SUMPRODUCT((Tournament!H5:H52&lt;&gt;"")*(Tournament!F5:F52=C22)*(Tournament!H5:H52=Tournament!I5:I52)*1)+SUMPRODUCT((Tournament!H5:H52&lt;&gt;"")*(Tournament!K5:K52=C22)*(Tournament!H5:H52=Tournament!I5:I52)*1)</f>
        <v>0</v>
      </c>
      <c r="G22" s="308">
        <f ca="1">SUMPRODUCT((Tournament!H5:H52&lt;&gt;"")*(Tournament!F5:F52=C22)*(Tournament!H5:H52&lt;Tournament!I5:I52)*1)+SUMPRODUCT((Tournament!H5:H52&lt;&gt;"")*(Tournament!K5:K52=C22)*(Tournament!I5:I52&lt;Tournament!H5:H52)*1)</f>
        <v>0</v>
      </c>
      <c r="H22" s="308">
        <f ca="1">SUMIF(Tournament!F5:F52,C22,Tournament!H5:H52)+SUMIF(Tournament!K5:K52,C22,Tournament!I5:I52)</f>
        <v>0</v>
      </c>
      <c r="I22" s="308">
        <f ca="1">SUMIF(Tournament!F5:F52,C22,Tournament!I5:I52)+SUMIF(Tournament!K5:K52,C22,Tournament!H5:H52)</f>
        <v>0</v>
      </c>
      <c r="J22" s="308">
        <f t="shared" ca="1" si="3"/>
        <v>0</v>
      </c>
      <c r="K22" s="308">
        <f t="shared" ca="1" si="4"/>
        <v>0</v>
      </c>
      <c r="L22" s="308">
        <f>Setup!E26</f>
        <v>1709</v>
      </c>
      <c r="M22" s="308">
        <f>IF(Setup!F26&lt;&gt;"",Setup!F26,Setup!E26)</f>
        <v>1709</v>
      </c>
      <c r="N22" s="308">
        <f ca="1">RANK(K22,K20:K23)</f>
        <v>1</v>
      </c>
      <c r="O22" s="308">
        <f ca="1">SUMPRODUCT((N20:N23=N22)*(J20:J23&gt;J22)*1)</f>
        <v>0</v>
      </c>
      <c r="P22" s="308">
        <f t="shared" ca="1" si="5"/>
        <v>1</v>
      </c>
      <c r="Q22" s="308">
        <f ca="1">SUMPRODUCT((N20:N23=N22)*(J20:J23=J22)*(H20:H23&gt;H22)*1)</f>
        <v>0</v>
      </c>
      <c r="R22" s="308">
        <f t="shared" ca="1" si="6"/>
        <v>1</v>
      </c>
      <c r="S22" s="308">
        <f ca="1">RANK(R22,R20:R23,1)+COUNTIF(R20:R22,R22)-1</f>
        <v>3</v>
      </c>
      <c r="T22" s="308">
        <v>3</v>
      </c>
      <c r="U22" s="308" t="str">
        <f t="shared" ref="U22" ca="1" si="159">INDEX(C20:C23,MATCH(T22,S20:S23,0),0)</f>
        <v>Spain</v>
      </c>
      <c r="V22" s="308">
        <f ca="1">INDEX(R20:R23,MATCH(U22,C20:C23,0),0)</f>
        <v>1</v>
      </c>
      <c r="W22" s="308" t="str">
        <f t="shared" ref="W22:W23" ca="1" si="160">IF(AND(W21&lt;&gt;"",V22=1),U22,"")</f>
        <v>Spain</v>
      </c>
      <c r="X22" s="308" t="str">
        <f t="shared" ref="X22" ca="1" si="161">IF(X21&lt;&gt;"",U22,"")</f>
        <v/>
      </c>
      <c r="Y22" s="308" t="str">
        <f t="shared" ref="Y22" ca="1" si="162">IF(V23=3,U22,"")</f>
        <v/>
      </c>
      <c r="Z22" s="308">
        <f ca="1">SUMPRODUCT((Tournament!F5:F52=W22)*(Tournament!K5:K52=W20)*(Tournament!H5:H52&gt;Tournament!I5:I52)*1)+SUMPRODUCT((Tournament!K5:K52=W22)*(Tournament!F5:F52=W20)*(Tournament!I5:I52&gt;Tournament!H5:H52)*1)+SUMPRODUCT((Tournament!F5:F52=W22)*(Tournament!K5:K52=W21)*(Tournament!H5:H52&gt;Tournament!I5:I52)*1)+SUMPRODUCT((Tournament!K5:K52=W22)*(Tournament!F5:F52=W21)*(Tournament!I5:I52&gt;Tournament!H5:H52)*1)+SUMPRODUCT((Tournament!F5:F52=W22)*(Tournament!K5:K52=W23)*(Tournament!H5:H52&gt;Tournament!I5:I52)*1)+SUMPRODUCT((Tournament!K5:K52=W22)*(Tournament!F5:F52=W23)*(Tournament!I5:I52&gt;Tournament!H5:H52)*1)</f>
        <v>0</v>
      </c>
      <c r="AA22" s="308">
        <f ca="1">SUMPRODUCT((Tournament!F5:F52=W22)*(Tournament!K5:K52=W20)*(Tournament!H5:H52=Tournament!I5:I52)*1)+SUMPRODUCT((Tournament!K5:K52=W22)*(Tournament!F5:F52=W20)*(Tournament!H5:H52=Tournament!I5:I52)*1)+SUMPRODUCT((Tournament!F5:F52=W22)*(Tournament!K5:K52=W21)*(Tournament!H5:H52=Tournament!I5:I52)*1)+SUMPRODUCT((Tournament!K5:K52=W22)*(Tournament!F5:F52=W21)*(Tournament!H5:H52=Tournament!I5:I52)*1)+SUMPRODUCT((Tournament!F5:F52=W22)*(Tournament!K5:K52=W23)*(Tournament!H5:H52=Tournament!I5:I52)*1)+SUMPRODUCT((Tournament!K5:K52=W22)*(Tournament!F5:F52=W23)*(Tournament!H5:H52=Tournament!I5:I52)*1)</f>
        <v>3</v>
      </c>
      <c r="AB22" s="308">
        <f ca="1">SUMPRODUCT((Tournament!F5:F52=W22)*(Tournament!K5:K52=W20)*(Tournament!H5:H52&lt;Tournament!I5:I52)*1)+SUMPRODUCT((Tournament!K5:K52=W22)*(Tournament!F5:F52=W20)*(Tournament!I5:I52&lt;Tournament!H5:H52)*1)+SUMPRODUCT((Tournament!F5:F52=W22)*(Tournament!K5:K52=W21)*(Tournament!H5:H52&lt;Tournament!I5:I52)*1)+SUMPRODUCT((Tournament!K5:K52=W22)*(Tournament!F5:F52=W21)*(Tournament!I5:I52&lt;Tournament!H5:H52)*1)+SUMPRODUCT((Tournament!F5:F52=W22)*(Tournament!K5:K52=W23)*(Tournament!H5:H52&lt;Tournament!I5:I52)*1)+SUMPRODUCT((Tournament!K5:K52=W22)*(Tournament!F5:F52=W23)*(Tournament!I5:I52&lt;Tournament!H5:H52)*1)</f>
        <v>0</v>
      </c>
      <c r="AC22" s="308">
        <f ca="1">SUMIFS(Tournament!H5:H52,Tournament!F5:F52,W22,Tournament!K5:K52,W20)+SUMIFS(Tournament!H5:H52,Tournament!F5:F52,W22,Tournament!K5:K52,W21)+SUMIFS(Tournament!H5:H52,Tournament!F5:F52,W22,Tournament!K5:K52,W23)+SUMIFS(Tournament!I5:I52,Tournament!K5:K52,W22,Tournament!F5:F52,W20)+SUMIFS(Tournament!I5:I52,Tournament!K5:K52,W22,Tournament!F5:F52,W21)+SUMIFS(Tournament!I5:I52,Tournament!K5:K52,W22,Tournament!F5:F52,W23)</f>
        <v>0</v>
      </c>
      <c r="AD22" s="308">
        <f ca="1">SUMIFS(Tournament!I5:I52,Tournament!F5:F52,W22,Tournament!K5:K52,W20)+SUMIFS(Tournament!I5:I52,Tournament!F5:F52,W22,Tournament!K5:K52,W21)+SUMIFS(Tournament!I5:I52,Tournament!F5:F52,W22,Tournament!K5:K52,W23)+SUMIFS(Tournament!H5:H52,Tournament!K5:K52,W22,Tournament!F5:F52,W20)+SUMIFS(Tournament!H5:H52,Tournament!K5:K52,W22,Tournament!F5:F52,W21)+SUMIFS(Tournament!H5:H52,Tournament!K5:K52,W22,Tournament!F5:F52,W23)</f>
        <v>0</v>
      </c>
      <c r="AE22" s="308">
        <f t="shared" ca="1" si="7"/>
        <v>0</v>
      </c>
      <c r="AF22" s="308">
        <f t="shared" ca="1" si="8"/>
        <v>3</v>
      </c>
      <c r="AG22" s="308">
        <f t="shared" ref="AG22" ca="1" si="163">IF(W22&lt;&gt;"",SUMPRODUCT((V20:V23=V22)*(AF20:AF23&gt;AF22)*1),0)</f>
        <v>0</v>
      </c>
      <c r="AH22" s="308">
        <f t="shared" ref="AH22" ca="1" si="164">IF(W22&lt;&gt;"",SUMPRODUCT((AG20:AG23=AG22)*(AE20:AE23&gt;AE22)*1),0)</f>
        <v>0</v>
      </c>
      <c r="AI22" s="308">
        <f t="shared" ca="1" si="0"/>
        <v>0</v>
      </c>
      <c r="AJ22" s="308">
        <f t="shared" ref="AJ22" ca="1" si="165">IF(W22&lt;&gt;"",SUMPRODUCT((AI20:AI23=AI22)*(AG20:AG23=AG22)*(AC20:AC23&gt;AC22)*1),0)</f>
        <v>0</v>
      </c>
      <c r="AK22" s="308">
        <f t="shared" ca="1" si="9"/>
        <v>1</v>
      </c>
      <c r="AL22" s="308">
        <f ca="1">SUMPRODUCT((Tournament!F5:F52=X22)*(Tournament!K5:K52=X21)*(Tournament!H5:H52&gt;Tournament!I5:I52)*1)+SUMPRODUCT((Tournament!K5:K52=X22)*(Tournament!F5:F52=X21)*(Tournament!I5:I52&gt;Tournament!H5:H52)*1)+SUMPRODUCT((Tournament!F5:F52=X22)*(Tournament!K5:K52=X23)*(Tournament!H5:H52&gt;Tournament!I5:I52)*1)+SUMPRODUCT((Tournament!K5:K52=X22)*(Tournament!F5:F52=X23)*(Tournament!I5:I52&gt;Tournament!H5:H52)*1)</f>
        <v>0</v>
      </c>
      <c r="AM22" s="308">
        <f ca="1">SUMPRODUCT((Tournament!F5:F52=X22)*(Tournament!K5:K52=X21)*(Tournament!H5:H52=Tournament!I5:I52)*1)+SUMPRODUCT((Tournament!K5:K52=X22)*(Tournament!F5:F52=X21)*(Tournament!H5:H52=Tournament!I5:I52)*1)+SUMPRODUCT((Tournament!F5:F52=X22)*(Tournament!K5:K52=X23)*(Tournament!H5:H52=Tournament!I5:I52)*1)+SUMPRODUCT((Tournament!K5:K52=X22)*(Tournament!F5:F52=X23)*(Tournament!H5:H52=Tournament!I5:I52)*1)</f>
        <v>0</v>
      </c>
      <c r="AN22" s="308">
        <f ca="1">SUMPRODUCT((Tournament!F5:F52=X22)*(Tournament!K5:K52=X21)*(Tournament!H5:H52&lt;Tournament!I5:I52)*1)+SUMPRODUCT((Tournament!K5:K52=X22)*(Tournament!F5:F52=X21)*(Tournament!I5:I52&lt;Tournament!H5:H52)*1)+SUMPRODUCT((Tournament!F5:F52=X22)*(Tournament!K5:K52=X23)*(Tournament!H5:H52&lt;Tournament!I5:I52)*1)+SUMPRODUCT((Tournament!K5:K52=X22)*(Tournament!F5:F52=X23)*(Tournament!I5:I52&lt;Tournament!H5:H52)*1)</f>
        <v>0</v>
      </c>
      <c r="AO22" s="308">
        <f ca="1">SUMIFS(Tournament!H5:H52,Tournament!F5:F52,X22,Tournament!K5:K52,X21)+SUMIFS(Tournament!H5:H52,Tournament!F5:F52,X22,Tournament!K5:K52,X23)+SUMIFS(Tournament!I5:I52,Tournament!K5:K52,X22,Tournament!F5:F52,X21)+SUMIFS(Tournament!I5:I52,Tournament!K5:K52,X22,Tournament!F5:F52,X23)</f>
        <v>0</v>
      </c>
      <c r="AP22" s="308">
        <f ca="1">SUMIFS(Tournament!I5:I52,Tournament!F5:F52,X22,Tournament!K5:K52,X21)+SUMIFS(Tournament!I5:I52,Tournament!F5:F52,X22,Tournament!K5:K52,X23)+SUMIFS(Tournament!H5:H52,Tournament!K5:K52,X22,Tournament!F5:F52,X21)+SUMIFS(Tournament!H5:H52,Tournament!K5:K52,X22,Tournament!F5:F52,X23)</f>
        <v>0</v>
      </c>
      <c r="AQ22" s="308">
        <f t="shared" ca="1" si="10"/>
        <v>0</v>
      </c>
      <c r="AR22" s="308">
        <f t="shared" ca="1" si="11"/>
        <v>0</v>
      </c>
      <c r="AS22" s="308">
        <f t="shared" ref="AS22" ca="1" si="166">IF(X22&lt;&gt;"",SUMPRODUCT((V20:V23=V22)*(AR20:AR23&gt;AR22)*1),0)</f>
        <v>0</v>
      </c>
      <c r="AT22" s="308">
        <f t="shared" ref="AT22" ca="1" si="167">IF(X22&lt;&gt;"",SUMPRODUCT((AS20:AS23=AS22)*(AQ20:AQ23&gt;AQ22)*1),0)</f>
        <v>0</v>
      </c>
      <c r="AU22" s="308">
        <f t="shared" ca="1" si="12"/>
        <v>0</v>
      </c>
      <c r="AV22" s="308">
        <f t="shared" ref="AV22" ca="1" si="168">IF(X22&lt;&gt;"",SUMPRODUCT((AU20:AU23=AU22)*(AS20:AS23=AS22)*(AO20:AO23&gt;AO22)*1),0)</f>
        <v>0</v>
      </c>
      <c r="AW22" s="308">
        <f t="shared" ca="1" si="13"/>
        <v>1</v>
      </c>
      <c r="AX22" s="308">
        <f ca="1">SUMPRODUCT((Tournament!F5:F52=Y22)*(Tournament!K5:K52=Y23)*(Tournament!H5:H52&gt;Tournament!I5:I52)*1)+SUMPRODUCT((Tournament!K5:K52=Y22)*(Tournament!F5:F52=Y23)*(Tournament!I5:I52&gt;Tournament!H5:H52)*1)</f>
        <v>0</v>
      </c>
      <c r="AY22" s="308">
        <f ca="1">SUMPRODUCT((Tournament!F5:F52=Y22)*(Tournament!K5:K52=Y23)*(Tournament!H5:H52=Tournament!I5:I52)*1)+SUMPRODUCT((Tournament!K5:K52=Y22)*(Tournament!F5:F52=Y23)*(Tournament!I5:I52=Tournament!H5:H52)*1)</f>
        <v>0</v>
      </c>
      <c r="AZ22" s="308">
        <f ca="1">SUMPRODUCT((Tournament!F5:F52=Y22)*(Tournament!K5:K52=Y23)*(Tournament!H5:H52&lt;Tournament!I5:I52)*1)+SUMPRODUCT((Tournament!K5:K52=Y22)*(Tournament!F5:F52=Y23)*(Tournament!I5:I52&lt;Tournament!H5:H52)*1)</f>
        <v>0</v>
      </c>
      <c r="BA22" s="308">
        <f ca="1">SUMIFS(Tournament!H5:H52,Tournament!F5:F52,Y22,Tournament!K5:K52,Y23)+SUMIFS(Tournament!I5:I52,Tournament!K5:K52,Y22,Tournament!F5:F52,Y23)</f>
        <v>0</v>
      </c>
      <c r="BB22" s="308">
        <f ca="1">SUMIFS(Tournament!I5:I52,Tournament!F5:F52,Y22,Tournament!K5:K52,Y23)+SUMIFS(Tournament!H5:H52,Tournament!K5:K52,Y22,Tournament!F5:F52,Y23)</f>
        <v>0</v>
      </c>
      <c r="BC22" s="308">
        <f t="shared" ref="BC22:BC23" ca="1" si="169">BA22-BB22</f>
        <v>0</v>
      </c>
      <c r="BD22" s="308">
        <f t="shared" ref="BD22:BD23" ca="1" si="170">AY22*1+AX22*3</f>
        <v>0</v>
      </c>
      <c r="BE22" s="308">
        <f t="shared" ref="BE22" ca="1" si="171">IF(Y22&lt;&gt;"",SUMPRODUCT((AH20:AH23=AH22)*(BD20:BD23&gt;BD22)*1),0)</f>
        <v>0</v>
      </c>
      <c r="BF22" s="308">
        <f t="shared" ref="BF22" ca="1" si="172">IF(Y22&lt;&gt;"",SUMPRODUCT((BE20:BE23=BE22)*(BC20:BC23&gt;BC22)*1),0)</f>
        <v>0</v>
      </c>
      <c r="BG22" s="308">
        <f t="shared" ref="BG22:BG23" ca="1" si="173">BE22+BF22</f>
        <v>0</v>
      </c>
      <c r="BH22" s="308">
        <f t="shared" ref="BH22" ca="1" si="174">IF(Y22&lt;&gt;"",SUMPRODUCT((BG20:BG23=BG22)*(BE20:BE23=BE22)*(BA20:BA23&gt;BA22)*1),0)</f>
        <v>0</v>
      </c>
      <c r="BI22" s="308">
        <f t="shared" ca="1" si="17"/>
        <v>1</v>
      </c>
      <c r="BJ22" s="308">
        <f ca="1">SUMPRODUCT((BI20:BI23=BI22)*(A20:A23&gt;A22)*1)</f>
        <v>0</v>
      </c>
      <c r="BK22" s="308">
        <f t="shared" ca="1" si="14"/>
        <v>1</v>
      </c>
      <c r="BM22" s="314"/>
      <c r="BN22" s="315"/>
      <c r="BO22" s="316" t="str">
        <f>Calculator!C19</f>
        <v>Australia</v>
      </c>
      <c r="BP22" s="317" t="s">
        <v>669</v>
      </c>
      <c r="BQ22" s="316"/>
      <c r="BR22" s="309">
        <v>16</v>
      </c>
      <c r="BS22" s="318">
        <v>-4.5</v>
      </c>
      <c r="BT22" s="174"/>
      <c r="BU22" s="22">
        <v>16</v>
      </c>
      <c r="BV22" s="320">
        <f t="shared" si="18"/>
        <v>44889.916666666664</v>
      </c>
      <c r="BW22" s="321">
        <v>44889.916666666664</v>
      </c>
      <c r="BX22" s="322">
        <f t="shared" si="19"/>
        <v>44889.916666666664</v>
      </c>
      <c r="BZ22" s="309" t="str">
        <f>INDEX(Language!A1:K117,MATCH(Setup!B23,Language!B1:B117,0),MATCH(Setup!C5,Language!A1:J1,0))</f>
        <v>Australia</v>
      </c>
    </row>
    <row r="23" spans="1:78" ht="15.5" x14ac:dyDescent="0.35">
      <c r="A23" s="308">
        <f ca="1">INDEX(M4:M35,MATCH(U23,C4:C35,0),0)</f>
        <v>1503</v>
      </c>
      <c r="B23" s="308">
        <f t="shared" si="25"/>
        <v>4</v>
      </c>
      <c r="C23" s="308" t="str">
        <f t="shared" si="1"/>
        <v>Costa Rica</v>
      </c>
      <c r="D23" s="308">
        <f t="shared" ca="1" si="2"/>
        <v>0</v>
      </c>
      <c r="E23" s="308">
        <f ca="1">SUMPRODUCT((Tournament!H5:H52&lt;&gt;"")*(Tournament!F5:F52=C23)*(Tournament!H5:H52&gt;Tournament!I5:I52)*1)+SUMPRODUCT((Tournament!H5:H52&lt;&gt;"")*(Tournament!K5:K52=C23)*(Tournament!I5:I52&gt;Tournament!H5:H52)*1)</f>
        <v>0</v>
      </c>
      <c r="F23" s="308">
        <f ca="1">SUMPRODUCT((Tournament!H5:H52&lt;&gt;"")*(Tournament!F5:F52=C23)*(Tournament!H5:H52=Tournament!I5:I52)*1)+SUMPRODUCT((Tournament!H5:H52&lt;&gt;"")*(Tournament!K5:K52=C23)*(Tournament!H5:H52=Tournament!I5:I52)*1)</f>
        <v>0</v>
      </c>
      <c r="G23" s="308">
        <f ca="1">SUMPRODUCT((Tournament!H5:H52&lt;&gt;"")*(Tournament!F5:F52=C23)*(Tournament!H5:H52&lt;Tournament!I5:I52)*1)+SUMPRODUCT((Tournament!H5:H52&lt;&gt;"")*(Tournament!K5:K52=C23)*(Tournament!I5:I52&lt;Tournament!H5:H52)*1)</f>
        <v>0</v>
      </c>
      <c r="H23" s="308">
        <f ca="1">SUMIF(Tournament!F5:F52,C23,Tournament!H5:H52)+SUMIF(Tournament!K5:K52,C23,Tournament!I5:I52)</f>
        <v>0</v>
      </c>
      <c r="I23" s="308">
        <f ca="1">SUMIF(Tournament!F5:F52,C23,Tournament!I5:I52)+SUMIF(Tournament!K5:K52,C23,Tournament!H5:H52)</f>
        <v>0</v>
      </c>
      <c r="J23" s="308">
        <f t="shared" ca="1" si="3"/>
        <v>0</v>
      </c>
      <c r="K23" s="308">
        <f t="shared" ca="1" si="4"/>
        <v>0</v>
      </c>
      <c r="L23" s="308">
        <f>Setup!E27</f>
        <v>1503</v>
      </c>
      <c r="M23" s="308">
        <f>IF(Setup!F27&lt;&gt;"",Setup!F27,Setup!E27)</f>
        <v>1503</v>
      </c>
      <c r="N23" s="308">
        <f ca="1">RANK(K23,K20:K23)</f>
        <v>1</v>
      </c>
      <c r="O23" s="308">
        <f ca="1">SUMPRODUCT((N20:N23=N23)*(J20:J23&gt;J23)*1)</f>
        <v>0</v>
      </c>
      <c r="P23" s="308">
        <f t="shared" ca="1" si="5"/>
        <v>1</v>
      </c>
      <c r="Q23" s="308">
        <f ca="1">SUMPRODUCT((N20:N23=N23)*(J20:J23=J23)*(H20:H23&gt;H23)*1)</f>
        <v>0</v>
      </c>
      <c r="R23" s="308">
        <f t="shared" ca="1" si="6"/>
        <v>1</v>
      </c>
      <c r="S23" s="308">
        <f ca="1">RANK(R23,R20:R23,1)+COUNTIF(R20:R23,R23)-1</f>
        <v>4</v>
      </c>
      <c r="T23" s="308">
        <v>4</v>
      </c>
      <c r="U23" s="308" t="str">
        <f t="shared" ref="U23" ca="1" si="175">INDEX(C20:C23,MATCH(T23,S20:S23,0),0)</f>
        <v>Costa Rica</v>
      </c>
      <c r="V23" s="308">
        <f ca="1">INDEX(R20:R23,MATCH(U23,C20:C23,0),0)</f>
        <v>1</v>
      </c>
      <c r="W23" s="308" t="str">
        <f t="shared" ca="1" si="160"/>
        <v>Costa Rica</v>
      </c>
      <c r="X23" s="308" t="str">
        <f t="shared" ref="X23" ca="1" si="176">IF(AND(X22&lt;&gt;"",V23=2),U23,"")</f>
        <v/>
      </c>
      <c r="Y23" s="308" t="str">
        <f t="shared" ref="Y23" ca="1" si="177">IF(AND(Y22&lt;&gt;"",V23=3),U23,"")</f>
        <v/>
      </c>
      <c r="Z23" s="308">
        <f ca="1">SUMPRODUCT((Tournament!F5:F52=W23)*(Tournament!K5:K52=W20)*(Tournament!H5:H52&gt;Tournament!I5:I52)*1)+SUMPRODUCT((Tournament!K5:K52=W23)*(Tournament!F5:F52=W20)*(Tournament!I5:I52&gt;Tournament!H5:H52)*1)+SUMPRODUCT((Tournament!F5:F52=W23)*(Tournament!K5:K52=W21)*(Tournament!H5:H52&gt;Tournament!I5:I52)*1)+SUMPRODUCT((Tournament!K5:K52=W23)*(Tournament!F5:F52=W21)*(Tournament!I5:I52&gt;Tournament!H5:H52)*1)+SUMPRODUCT((Tournament!F5:F52=W23)*(Tournament!K5:K52=W22)*(Tournament!H5:H52&gt;Tournament!I5:I52)*1)+SUMPRODUCT((Tournament!K5:K52=W23)*(Tournament!F5:F52=W22)*(Tournament!I5:I52&gt;Tournament!H5:H52)*1)</f>
        <v>0</v>
      </c>
      <c r="AA23" s="308">
        <f ca="1">SUMPRODUCT((Tournament!F5:F52=W23)*(Tournament!K5:K52=W20)*(Tournament!H5:H52&gt;=Tournament!I5:I52)*1)+SUMPRODUCT((Tournament!K5:K52=W23)*(Tournament!F5:F52=W20)*(Tournament!H5:H52=Tournament!I5:I52)*1)+SUMPRODUCT((Tournament!F5:F52=W23)*(Tournament!K5:K52=W21)*(Tournament!H5:H52=Tournament!I5:I52)*1)+SUMPRODUCT((Tournament!K5:K52=W23)*(Tournament!F5:F52=W21)*(Tournament!H5:H52=Tournament!I5:I52)*1)+SUMPRODUCT((Tournament!F5:F52=W23)*(Tournament!K5:K52=W22)*(Tournament!H5:H52=Tournament!I5:I52)*1)+SUMPRODUCT((Tournament!K5:K52=W23)*(Tournament!F5:F52=W22)*(Tournament!H5:H52=Tournament!I5:I52)*1)</f>
        <v>3</v>
      </c>
      <c r="AB23" s="308">
        <f ca="1">SUMPRODUCT((Tournament!F5:F52=W23)*(Tournament!K5:K52=W20)*(Tournament!H5:H52&lt;Tournament!I5:I52)*1)+SUMPRODUCT((Tournament!K5:K52=W23)*(Tournament!F5:F52=W20)*(Tournament!I5:I52&lt;Tournament!H5:H52)*1)+SUMPRODUCT((Tournament!F5:F52=W23)*(Tournament!K5:K52=W21)*(Tournament!H5:H52&lt;Tournament!I5:I52)*1)+SUMPRODUCT((Tournament!K5:K52=W23)*(Tournament!F5:F52=W21)*(Tournament!I5:I52&lt;Tournament!H5:H52)*1)+SUMPRODUCT((Tournament!F5:F52=W23)*(Tournament!K5:K52=W22)*(Tournament!H5:H52&lt;Tournament!I5:I52)*1)+SUMPRODUCT((Tournament!K5:K52=W23)*(Tournament!F5:F52=W22)*(Tournament!I5:I52&lt;Tournament!H5:H52)*1)</f>
        <v>0</v>
      </c>
      <c r="AC23" s="308">
        <f ca="1">SUMIFS(Tournament!H5:H52,Tournament!F5:F52,W23,Tournament!K5:K52,W20)+SUMIFS(Tournament!H5:H52,Tournament!F5:F52,W23,Tournament!K5:K52,W21)+SUMIFS(Tournament!H5:H52,Tournament!F5:F52,W23,Tournament!K5:K52,W22)+SUMIFS(Tournament!I5:I52,Tournament!K5:K52,W23,Tournament!F5:F52,W20)+SUMIFS(Tournament!I5:I52,Tournament!K5:K52,W23,Tournament!F5:F52,W21)+SUMIFS(Tournament!I5:I52,Tournament!K5:K52,W23,Tournament!F5:F52,W22)</f>
        <v>0</v>
      </c>
      <c r="AD23" s="308">
        <f ca="1">SUMIFS(Tournament!I5:I52,Tournament!F5:F52,W23,Tournament!K5:K52,W20)+SUMIFS(Tournament!I5:I52,Tournament!F5:F52,W23,Tournament!K5:K52,W21)+SUMIFS(Tournament!I5:I52,Tournament!F5:F52,W23,Tournament!K5:K52,W22)+SUMIFS(Tournament!H5:H52,Tournament!K5:K52,W23,Tournament!F5:F52,W20)+SUMIFS(Tournament!H5:H52,Tournament!K5:K52,W23,Tournament!F5:F52,W21)+SUMIFS(Tournament!H5:H52,Tournament!K5:K52,W23,Tournament!F5:F52,W22)</f>
        <v>0</v>
      </c>
      <c r="AE23" s="308">
        <f t="shared" ca="1" si="7"/>
        <v>0</v>
      </c>
      <c r="AF23" s="308">
        <f t="shared" ca="1" si="8"/>
        <v>3</v>
      </c>
      <c r="AG23" s="308">
        <f t="shared" ref="AG23" ca="1" si="178">IF(W23&lt;&gt;"",SUMPRODUCT((V20:V23=V23)*(AF20:AF23&gt;AF23)*1),0)</f>
        <v>0</v>
      </c>
      <c r="AH23" s="308">
        <f t="shared" ref="AH23" ca="1" si="179">IF(W23&lt;&gt;"",SUMPRODUCT((AG20:AG23=AG23)*(AE20:AE23&gt;AE23)*1),0)</f>
        <v>0</v>
      </c>
      <c r="AI23" s="308">
        <f t="shared" ca="1" si="0"/>
        <v>0</v>
      </c>
      <c r="AJ23" s="308">
        <f t="shared" ref="AJ23" ca="1" si="180">IF(W23&lt;&gt;"",SUMPRODUCT((AI20:AI23=AI23)*(AG20:AG23=AG23)*(AC20:AC23&gt;AC23)*1),0)</f>
        <v>0</v>
      </c>
      <c r="AK23" s="308">
        <f t="shared" ca="1" si="9"/>
        <v>1</v>
      </c>
      <c r="AL23" s="308">
        <f ca="1">SUMPRODUCT((Tournament!F5:F52=X23)*(Tournament!K5:K52=X21)*(Tournament!H5:H52&gt;Tournament!I5:I52)*1)+SUMPRODUCT((Tournament!K5:K52=X23)*(Tournament!F5:F52=X21)*(Tournament!I5:I52&gt;Tournament!H5:H52)*1)+SUMPRODUCT((Tournament!F5:F52=X23)*(Tournament!K5:K52=X22)*(Tournament!H5:H52&gt;Tournament!I5:I52)*1)+SUMPRODUCT((Tournament!K5:K52=X23)*(Tournament!F5:F52=X22)*(Tournament!I5:I52&gt;Tournament!H5:H52)*1)</f>
        <v>0</v>
      </c>
      <c r="AM23" s="308">
        <f ca="1">SUMPRODUCT((Tournament!F5:F52=X23)*(Tournament!K5:K52=X21)*(Tournament!H5:H52=Tournament!I5:I52)*1)+SUMPRODUCT((Tournament!K5:K52=X23)*(Tournament!F5:F52=X21)*(Tournament!H5:H52=Tournament!I5:I52)*1)+SUMPRODUCT((Tournament!F5:F52=X23)*(Tournament!K5:K52=X22)*(Tournament!H5:H52=Tournament!I5:I52)*1)+SUMPRODUCT((Tournament!K5:K52=X23)*(Tournament!F5:F52=X22)*(Tournament!H5:H52=Tournament!I5:I52)*1)</f>
        <v>0</v>
      </c>
      <c r="AN23" s="308">
        <f ca="1">SUMPRODUCT((Tournament!F5:F52=X23)*(Tournament!K5:K52=X21)*(Tournament!H5:H52&lt;Tournament!I5:I52)*1)+SUMPRODUCT((Tournament!K5:K52=X23)*(Tournament!F5:F52=X21)*(Tournament!I5:I52&lt;Tournament!H5:H52)*1)+SUMPRODUCT((Tournament!F5:F52=X23)*(Tournament!K5:K52=X22)*(Tournament!H5:H52&lt;Tournament!I5:I52)*1)+SUMPRODUCT((Tournament!K5:K52=X23)*(Tournament!F5:F52=X22)*(Tournament!I5:I52&lt;Tournament!H5:H52)*1)</f>
        <v>0</v>
      </c>
      <c r="AO23" s="308">
        <f ca="1">SUMIFS(Tournament!H5:H52,Tournament!F5:F52,X23,Tournament!K5:K52,X21)+SUMIFS(Tournament!H5:H52,Tournament!F5:F52,X23,Tournament!K5:K52,X22)+SUMIFS(Tournament!I5:I52,Tournament!K5:K52,X23,Tournament!F5:F52,X21)+SUMIFS(Tournament!I5:I52,Tournament!K5:K52,X23,Tournament!F5:F52,X22)</f>
        <v>0</v>
      </c>
      <c r="AP23" s="308">
        <f ca="1">SUMIFS(Tournament!H5:H52,Tournament!F5:F52,X23,Tournament!K5:K52,X21)+SUMIFS(Tournament!H5:H52,Tournament!F5:F52,X23,Tournament!K5:K52,X22)+SUMIFS(Tournament!I5:I52,Tournament!K5:K52,X23,Tournament!F5:F52,X21)+SUMIFS(Tournament!I5:I52,Tournament!K5:K52,X23,Tournament!F5:F52,X22)</f>
        <v>0</v>
      </c>
      <c r="AQ23" s="308">
        <f t="shared" ca="1" si="10"/>
        <v>0</v>
      </c>
      <c r="AR23" s="308">
        <f t="shared" ca="1" si="11"/>
        <v>0</v>
      </c>
      <c r="AS23" s="308">
        <f t="shared" ref="AS23" ca="1" si="181">IF(X23&lt;&gt;"",SUMPRODUCT((V20:V23=V23)*(AR20:AR23&gt;AR23)*1),0)</f>
        <v>0</v>
      </c>
      <c r="AT23" s="308">
        <f t="shared" ref="AT23" ca="1" si="182">IF(X23&lt;&gt;"",SUMPRODUCT((AS20:AS23=AS23)*(AQ20:AQ23&gt;AQ23)*1),0)</f>
        <v>0</v>
      </c>
      <c r="AU23" s="308">
        <f t="shared" ca="1" si="12"/>
        <v>0</v>
      </c>
      <c r="AV23" s="308">
        <f t="shared" ref="AV23" ca="1" si="183">IF(X23&lt;&gt;"",SUMPRODUCT((AU20:AU23=AU23)*(AS20:AS23=AS23)*(AO20:AO23&gt;AO23)*1),0)</f>
        <v>0</v>
      </c>
      <c r="AW23" s="308">
        <f t="shared" ca="1" si="13"/>
        <v>1</v>
      </c>
      <c r="AX23" s="308">
        <f ca="1">SUMPRODUCT((Tournament!F5:F52=Y23)*(Tournament!K5:K52=Y22)*(Tournament!H5:H52&gt;Tournament!I5:I52)*1)+SUMPRODUCT((Tournament!K5:K52=Y23)*(Tournament!F5:F52=Y22)*(Tournament!I5:I52&gt;Tournament!H5:H52)*1)</f>
        <v>0</v>
      </c>
      <c r="AY23" s="308">
        <f ca="1">SUMPRODUCT((Tournament!F5:F52=Y23)*(Tournament!K5:K52=Y22)*(Tournament!H5:H52=Tournament!I5:I52)*1)+SUMPRODUCT((Tournament!K5:K52=Y23)*(Tournament!F5:F52=Y22)*(Tournament!I5:I52=Tournament!H5:H52)*1)</f>
        <v>0</v>
      </c>
      <c r="AZ23" s="308">
        <f ca="1">SUMPRODUCT((Tournament!F5:F52=Y23)*(Tournament!K5:K52=Y22)*(Tournament!H5:H52&lt;Tournament!I5:I52)*1)+SUMPRODUCT((Tournament!K5:K52=Y23)*(Tournament!F5:F52=Y22)*(Tournament!I5:I52&lt;Tournament!H5:H52)*1)</f>
        <v>0</v>
      </c>
      <c r="BA23" s="308">
        <f ca="1">SUMIFS(Tournament!H5:H52,Tournament!F5:F52,Y23,Tournament!K5:K52,Y22)+SUMIFS(Tournament!I5:I52,Tournament!K5:K52,Y23,Tournament!F5:F52,Y22)</f>
        <v>0</v>
      </c>
      <c r="BB23" s="308">
        <f ca="1">SUMIFS(Tournament!H5:H52,Tournament!F5:F52,Y23,Tournament!K5:K52,Y22)+SUMIFS(Tournament!I5:I52,Tournament!K5:K52,Y23,Tournament!F5:F52,Y22)</f>
        <v>0</v>
      </c>
      <c r="BC23" s="308">
        <f t="shared" ca="1" si="169"/>
        <v>0</v>
      </c>
      <c r="BD23" s="308">
        <f t="shared" ca="1" si="170"/>
        <v>0</v>
      </c>
      <c r="BE23" s="308">
        <f t="shared" ref="BE23" ca="1" si="184">IF(Y23&lt;&gt;"",SUMPRODUCT((AH20:AH23=AH23)*(BD20:BD23&gt;BD23)*1),0)</f>
        <v>0</v>
      </c>
      <c r="BF23" s="308">
        <f t="shared" ref="BF23" ca="1" si="185">IF(Y23&lt;&gt;"",SUMPRODUCT((BE20:BE23=BE23)*(BC20:BC23&gt;BC23)*1),0)</f>
        <v>0</v>
      </c>
      <c r="BG23" s="308">
        <f t="shared" ca="1" si="173"/>
        <v>0</v>
      </c>
      <c r="BH23" s="308">
        <f t="shared" ref="BH23" ca="1" si="186">IF(Y23&lt;&gt;"",SUMPRODUCT((BG20:BG23=BG23)*(BE20:BE23=BE23)*(BA20:BA23&gt;BA23)*1),0)</f>
        <v>0</v>
      </c>
      <c r="BI23" s="308">
        <f t="shared" ca="1" si="17"/>
        <v>1</v>
      </c>
      <c r="BJ23" s="308">
        <f ca="1">SUMPRODUCT((BI20:BI23=BI23)*(A20:A23&gt;A23)*1)</f>
        <v>3</v>
      </c>
      <c r="BK23" s="308">
        <f t="shared" ca="1" si="14"/>
        <v>4</v>
      </c>
      <c r="BM23" s="314" t="s">
        <v>128</v>
      </c>
      <c r="BN23" s="315"/>
      <c r="BO23" s="316" t="str">
        <f>Calculator!C20</f>
        <v>Germany</v>
      </c>
      <c r="BP23" s="317" t="s">
        <v>670</v>
      </c>
      <c r="BQ23" s="316"/>
      <c r="BR23" s="309">
        <v>17</v>
      </c>
      <c r="BS23" s="318">
        <v>-4</v>
      </c>
      <c r="BT23" s="174"/>
      <c r="BU23" s="22">
        <v>17</v>
      </c>
      <c r="BV23" s="320">
        <f t="shared" si="18"/>
        <v>44890.541666666664</v>
      </c>
      <c r="BW23" s="321">
        <v>44890.541666666664</v>
      </c>
      <c r="BX23" s="322">
        <f t="shared" si="19"/>
        <v>44890.541666666664</v>
      </c>
      <c r="BZ23" s="309" t="str">
        <f>INDEX(Language!A1:K117,MATCH(Setup!B24,Language!B1:B117,0),MATCH(Setup!C5,Language!A1:J1,0))</f>
        <v>Germany</v>
      </c>
    </row>
    <row r="24" spans="1:78" x14ac:dyDescent="0.35">
      <c r="A24" s="308">
        <f ca="1">INDEX(M4:M35,MATCH(U24,C4:C35,0),0)</f>
        <v>1552</v>
      </c>
      <c r="B24" s="308">
        <f t="shared" si="25"/>
        <v>1</v>
      </c>
      <c r="C24" s="308" t="str">
        <f t="shared" si="1"/>
        <v>Morocco</v>
      </c>
      <c r="D24" s="308">
        <f t="shared" ca="1" si="2"/>
        <v>0</v>
      </c>
      <c r="E24" s="308">
        <f ca="1">SUMPRODUCT((Tournament!H5:H52&lt;&gt;"")*(Tournament!F5:F52=C24)*(Tournament!H5:H52&gt;Tournament!I5:I52)*1)+SUMPRODUCT((Tournament!H5:H52&lt;&gt;"")*(Tournament!K5:K52=C24)*(Tournament!I5:I52&gt;Tournament!H5:H52)*1)</f>
        <v>0</v>
      </c>
      <c r="F24" s="308">
        <f ca="1">SUMPRODUCT((Tournament!H5:H52&lt;&gt;"")*(Tournament!F5:F52=C24)*(Tournament!H5:H52=Tournament!I5:I52)*1)+SUMPRODUCT((Tournament!H5:H52&lt;&gt;"")*(Tournament!K5:K52=C24)*(Tournament!H5:H52=Tournament!I5:I52)*1)</f>
        <v>0</v>
      </c>
      <c r="G24" s="308">
        <f ca="1">SUMPRODUCT((Tournament!H5:H52&lt;&gt;"")*(Tournament!F5:F52=C24)*(Tournament!H5:H52&lt;Tournament!I5:I52)*1)+SUMPRODUCT((Tournament!H5:H52&lt;&gt;"")*(Tournament!K5:K52=C24)*(Tournament!I5:I52&lt;Tournament!H5:H52)*1)</f>
        <v>0</v>
      </c>
      <c r="H24" s="308">
        <f ca="1">SUMIF(Tournament!F5:F52,C24,Tournament!H5:H52)+SUMIF(Tournament!K5:K52,C24,Tournament!I5:I52)</f>
        <v>0</v>
      </c>
      <c r="I24" s="308">
        <f ca="1">SUMIF(Tournament!F5:F52,C24,Tournament!I5:I52)+SUMIF(Tournament!K5:K52,C24,Tournament!H5:H52)</f>
        <v>0</v>
      </c>
      <c r="J24" s="308">
        <f t="shared" ca="1" si="3"/>
        <v>0</v>
      </c>
      <c r="K24" s="308">
        <f t="shared" ca="1" si="4"/>
        <v>0</v>
      </c>
      <c r="L24" s="308">
        <f>Setup!E28</f>
        <v>1552</v>
      </c>
      <c r="M24" s="308">
        <f>IF(Setup!F28&lt;&gt;"",Setup!F28,Setup!E28)</f>
        <v>1552</v>
      </c>
      <c r="N24" s="308">
        <f ca="1">RANK(K24,K24:K27)</f>
        <v>1</v>
      </c>
      <c r="O24" s="308">
        <f ca="1">SUMPRODUCT((N24:N27=N24)*(J24:J27&gt;J24)*1)</f>
        <v>0</v>
      </c>
      <c r="P24" s="308">
        <f t="shared" ca="1" si="5"/>
        <v>1</v>
      </c>
      <c r="Q24" s="308">
        <f ca="1">SUMPRODUCT((N24:N27=N24)*(J24:J27=J24)*(H24:H27&gt;H24)*1)</f>
        <v>0</v>
      </c>
      <c r="R24" s="308">
        <f t="shared" ca="1" si="6"/>
        <v>1</v>
      </c>
      <c r="S24" s="308">
        <f ca="1">RANK(R24,R24:R27,1)+COUNTIF(R24:R24,R24)-1</f>
        <v>1</v>
      </c>
      <c r="T24" s="308">
        <v>1</v>
      </c>
      <c r="U24" s="308" t="str">
        <f t="shared" ref="U24" ca="1" si="187">INDEX(C24:C27,MATCH(T24,S24:S27,0),0)</f>
        <v>Morocco</v>
      </c>
      <c r="V24" s="308">
        <f ca="1">INDEX(R24:R27,MATCH(U24,C24:C27,0),0)</f>
        <v>1</v>
      </c>
      <c r="W24" s="308" t="str">
        <f t="shared" ref="W24" ca="1" si="188">IF(V25=1,U24,"")</f>
        <v>Morocco</v>
      </c>
      <c r="Z24" s="308">
        <f ca="1">SUMPRODUCT((Tournament!F5:F52=W24)*(Tournament!K5:K52=W25)*(Tournament!H5:H52&gt;Tournament!I5:I52)*1)+SUMPRODUCT((Tournament!K5:K52=W24)*(Tournament!F5:F52=W25)*(Tournament!I5:I52&gt;Tournament!H5:H52)*1)+SUMPRODUCT((Tournament!F5:F52=W24)*(Tournament!K5:K52=W26)*(Tournament!H5:H52&gt;Tournament!I5:I52)*1)+SUMPRODUCT((Tournament!K5:K52=W24)*(Tournament!F5:F52=W26)*(Tournament!I5:I52&gt;Tournament!H5:H52)*1)+SUMPRODUCT((Tournament!F5:F52=W24)*(Tournament!K5:K52=W27)*(Tournament!H5:H52&gt;Tournament!I5:I52)*1)+SUMPRODUCT((Tournament!K5:K52=W24)*(Tournament!F5:F52=W27)*(Tournament!I5:I52&gt;Tournament!H5:H52)*1)</f>
        <v>0</v>
      </c>
      <c r="AA24" s="308">
        <f ca="1">SUMPRODUCT((Tournament!F5:F52=W24)*(Tournament!K5:K52=W25)*(Tournament!H5:H52=Tournament!I5:I52)*1)+SUMPRODUCT((Tournament!K5:K52=W24)*(Tournament!F5:F52=W25)*(Tournament!H5:H52=Tournament!I5:I52)*1)+SUMPRODUCT((Tournament!F5:F52=W24)*(Tournament!K5:K52=W26)*(Tournament!H5:H52=Tournament!I5:I52)*1)+SUMPRODUCT((Tournament!K5:K52=W24)*(Tournament!F5:F52=W26)*(Tournament!H5:H52=Tournament!I5:I52)*1)+SUMPRODUCT((Tournament!F5:F52=W24)*(Tournament!K5:K52=W27)*(Tournament!H5:H52=Tournament!I5:I52)*1)+SUMPRODUCT((Tournament!K5:K52=W24)*(Tournament!F5:F52=W27)*(Tournament!H5:H52=Tournament!I5:I52)*1)</f>
        <v>3</v>
      </c>
      <c r="AB24" s="308">
        <f ca="1">SUMPRODUCT((Tournament!F5:F52=W24)*(Tournament!K5:K52=W25)*(Tournament!H5:H52&lt;Tournament!I5:I52)*1)+SUMPRODUCT((Tournament!K5:K52=W24)*(Tournament!F5:F52=W25)*(Tournament!I5:I52&lt;Tournament!H5:H52)*1)+SUMPRODUCT((Tournament!F5:F52=W24)*(Tournament!K5:K52=W26)*(Tournament!H5:H52&lt;Tournament!I5:I52)*1)+SUMPRODUCT((Tournament!K5:K52=W24)*(Tournament!F5:F52=W26)*(Tournament!I5:I52&lt;Tournament!H5:H52)*1)+SUMPRODUCT((Tournament!F5:F52=W24)*(Tournament!K5:K52=W27)*(Tournament!H5:H52&lt;Tournament!I5:I52)*1)+SUMPRODUCT((Tournament!K5:K52=W24)*(Tournament!F5:F52=W27)*(Tournament!I5:I52&lt;Tournament!H5:H52)*1)</f>
        <v>0</v>
      </c>
      <c r="AC24" s="308">
        <f ca="1">SUMIFS(Tournament!H5:H52,Tournament!F5:F52,W24,Tournament!K5:K52,W25)+SUMIFS(Tournament!H5:H52,Tournament!F5:F52,W24,Tournament!K5:K52,W26)+SUMIFS(Tournament!H5:H52,Tournament!F5:F52,W24,Tournament!K5:K52,W27)+SUMIFS(Tournament!I5:I52,Tournament!K5:K52,W24,Tournament!F5:F52,W25)+SUMIFS(Tournament!I5:I52,Tournament!K5:K52,W24,Tournament!F5:F52,W26)+SUMIFS(Tournament!I5:I52,Tournament!K5:K52,W24,Tournament!F5:F52,W27)</f>
        <v>0</v>
      </c>
      <c r="AD24" s="308">
        <f ca="1">SUMIFS(Tournament!I5:I52,Tournament!F5:F52,W24,Tournament!K5:K52,W25)+SUMIFS(Tournament!I5:I52,Tournament!F5:F52,W24,Tournament!K5:K52,W26)+SUMIFS(Tournament!I5:I52,Tournament!F5:F52,W24,Tournament!K5:K52,W27)+SUMIFS(Tournament!H5:H52,Tournament!K5:K52,W24,Tournament!F5:F52,W25)+SUMIFS(Tournament!H5:H52,Tournament!K5:K52,W24,Tournament!F5:F52,W26)+SUMIFS(Tournament!H5:H52,Tournament!K5:K52,W24,Tournament!F5:F52,W27)</f>
        <v>0</v>
      </c>
      <c r="AE24" s="308">
        <f t="shared" ca="1" si="7"/>
        <v>0</v>
      </c>
      <c r="AF24" s="308">
        <f t="shared" ca="1" si="8"/>
        <v>3</v>
      </c>
      <c r="AG24" s="308">
        <f t="shared" ref="AG24" ca="1" si="189">IF(W24&lt;&gt;"",SUMPRODUCT((V24:V27=V24)*(AF24:AF27&gt;AF24)*1),0)</f>
        <v>0</v>
      </c>
      <c r="AH24" s="308">
        <f t="shared" ref="AH24" ca="1" si="190">IF(W24&lt;&gt;"",SUMPRODUCT((AG24:AG27=AG24)*(AE24:AE27&gt;AE24)*1),0)</f>
        <v>0</v>
      </c>
      <c r="AI24" s="308">
        <f t="shared" ca="1" si="0"/>
        <v>0</v>
      </c>
      <c r="AJ24" s="308">
        <f t="shared" ref="AJ24" ca="1" si="191">IF(W24&lt;&gt;"",SUMPRODUCT((AI24:AI27=AI24)*(AG24:AG27=AG24)*(AC24:AC27&gt;AC24)*1),0)</f>
        <v>0</v>
      </c>
      <c r="AK24" s="308">
        <f t="shared" ca="1" si="9"/>
        <v>1</v>
      </c>
      <c r="AL24" s="308">
        <v>0</v>
      </c>
      <c r="AM24" s="308">
        <v>0</v>
      </c>
      <c r="AN24" s="308">
        <v>0</v>
      </c>
      <c r="AO24" s="308">
        <v>0</v>
      </c>
      <c r="AP24" s="308">
        <v>0</v>
      </c>
      <c r="AQ24" s="308">
        <f t="shared" si="10"/>
        <v>0</v>
      </c>
      <c r="AR24" s="308">
        <f t="shared" si="11"/>
        <v>0</v>
      </c>
      <c r="AS24" s="308">
        <v>0</v>
      </c>
      <c r="AT24" s="308">
        <v>0</v>
      </c>
      <c r="AU24" s="308">
        <f t="shared" si="12"/>
        <v>0</v>
      </c>
      <c r="AV24" s="308">
        <v>0</v>
      </c>
      <c r="AW24" s="308">
        <f t="shared" ca="1" si="13"/>
        <v>1</v>
      </c>
      <c r="AX24" s="308">
        <v>0</v>
      </c>
      <c r="AY24" s="308">
        <v>0</v>
      </c>
      <c r="AZ24" s="308">
        <v>0</v>
      </c>
      <c r="BA24" s="308">
        <v>0</v>
      </c>
      <c r="BB24" s="308">
        <v>0</v>
      </c>
      <c r="BC24" s="308">
        <v>0</v>
      </c>
      <c r="BD24" s="308">
        <v>0</v>
      </c>
      <c r="BE24" s="308">
        <v>0</v>
      </c>
      <c r="BF24" s="308">
        <v>0</v>
      </c>
      <c r="BG24" s="308">
        <v>0</v>
      </c>
      <c r="BH24" s="308">
        <v>0</v>
      </c>
      <c r="BI24" s="308">
        <f t="shared" ca="1" si="17"/>
        <v>1</v>
      </c>
      <c r="BJ24" s="308">
        <f ca="1">SUMPRODUCT((BI24:BI27=BI24)*(A24:A27&gt;A24)*1)</f>
        <v>2</v>
      </c>
      <c r="BK24" s="308">
        <f t="shared" ca="1" si="14"/>
        <v>3</v>
      </c>
      <c r="BM24" s="314"/>
      <c r="BN24" s="315"/>
      <c r="BO24" s="316" t="str">
        <f>Calculator!C21</f>
        <v>Japan</v>
      </c>
      <c r="BP24" s="317" t="s">
        <v>671</v>
      </c>
      <c r="BQ24" s="316"/>
      <c r="BR24" s="309">
        <v>18</v>
      </c>
      <c r="BS24" s="318">
        <v>-3.5</v>
      </c>
      <c r="BT24" s="174"/>
      <c r="BU24" s="22">
        <v>18</v>
      </c>
      <c r="BV24" s="320">
        <f t="shared" si="18"/>
        <v>44890.666666666664</v>
      </c>
      <c r="BW24" s="321">
        <v>44890.666666666664</v>
      </c>
      <c r="BX24" s="322">
        <f t="shared" si="19"/>
        <v>44890.666666666664</v>
      </c>
      <c r="BZ24" s="309" t="str">
        <f>INDEX(Language!A1:K117,MATCH(Setup!B25,Language!B1:B117,0),MATCH(Setup!C5,Language!A1:J1,0))</f>
        <v>Japan</v>
      </c>
    </row>
    <row r="25" spans="1:78" x14ac:dyDescent="0.35">
      <c r="A25" s="308">
        <f ca="1">INDEX(M4:M35,MATCH(U25,C4:C35,0),0)</f>
        <v>1621</v>
      </c>
      <c r="B25" s="308">
        <f t="shared" si="25"/>
        <v>2</v>
      </c>
      <c r="C25" s="308" t="str">
        <f t="shared" si="1"/>
        <v>Croatia</v>
      </c>
      <c r="D25" s="308">
        <f t="shared" ca="1" si="2"/>
        <v>0</v>
      </c>
      <c r="E25" s="308">
        <f ca="1">SUMPRODUCT((Tournament!H5:H52&lt;&gt;"")*(Tournament!F5:F52=C25)*(Tournament!H5:H52&gt;Tournament!I5:I52)*1)+SUMPRODUCT((Tournament!H5:H52&lt;&gt;"")*(Tournament!K5:K52=C25)*(Tournament!I5:I52&gt;Tournament!H5:H52)*1)</f>
        <v>0</v>
      </c>
      <c r="F25" s="308">
        <f ca="1">SUMPRODUCT((Tournament!H5:H52&lt;&gt;"")*(Tournament!F5:F52=C25)*(Tournament!H5:H52=Tournament!I5:I52)*1)+SUMPRODUCT((Tournament!H5:H52&lt;&gt;"")*(Tournament!K5:K52=C25)*(Tournament!H5:H52=Tournament!I5:I52)*1)</f>
        <v>0</v>
      </c>
      <c r="G25" s="308">
        <f ca="1">SUMPRODUCT((Tournament!H5:H52&lt;&gt;"")*(Tournament!F5:F52=C25)*(Tournament!H5:H52&lt;Tournament!I5:I52)*1)+SUMPRODUCT((Tournament!H5:H52&lt;&gt;"")*(Tournament!K5:K52=C25)*(Tournament!I5:I52&lt;Tournament!H5:H52)*1)</f>
        <v>0</v>
      </c>
      <c r="H25" s="308">
        <f ca="1">SUMIF(Tournament!F5:F52,C25,Tournament!H5:H52)+SUMIF(Tournament!K5:K52,C25,Tournament!I5:I52)</f>
        <v>0</v>
      </c>
      <c r="I25" s="308">
        <f ca="1">SUMIF(Tournament!F5:F52,C25,Tournament!I5:I52)+SUMIF(Tournament!K5:K52,C25,Tournament!H5:H52)</f>
        <v>0</v>
      </c>
      <c r="J25" s="308">
        <f t="shared" ca="1" si="3"/>
        <v>0</v>
      </c>
      <c r="K25" s="308">
        <f t="shared" ca="1" si="4"/>
        <v>0</v>
      </c>
      <c r="L25" s="308">
        <f>Setup!E29</f>
        <v>1621</v>
      </c>
      <c r="M25" s="308">
        <f>IF(Setup!F29&lt;&gt;"",Setup!F29,Setup!E29)</f>
        <v>1621</v>
      </c>
      <c r="N25" s="308">
        <f ca="1">RANK(K25,K24:K27)</f>
        <v>1</v>
      </c>
      <c r="O25" s="308">
        <f ca="1">SUMPRODUCT((N24:N27=N25)*(J24:J27&gt;J25)*1)</f>
        <v>0</v>
      </c>
      <c r="P25" s="308">
        <f t="shared" ca="1" si="5"/>
        <v>1</v>
      </c>
      <c r="Q25" s="308">
        <f ca="1">SUMPRODUCT((N24:N27=N25)*(J24:J27=J25)*(H24:H27&gt;H25)*1)</f>
        <v>0</v>
      </c>
      <c r="R25" s="308">
        <f t="shared" ca="1" si="6"/>
        <v>1</v>
      </c>
      <c r="S25" s="308">
        <f ca="1">RANK(R25,R24:R27,1)+COUNTIF(R24:R25,R25)-1</f>
        <v>2</v>
      </c>
      <c r="T25" s="308">
        <v>2</v>
      </c>
      <c r="U25" s="308" t="str">
        <f t="shared" ref="U25" ca="1" si="192">INDEX(C24:C27,MATCH(T25,S24:S27,0),0)</f>
        <v>Croatia</v>
      </c>
      <c r="V25" s="308">
        <f ca="1">INDEX(R24:R27,MATCH(U25,C24:C27,0),0)</f>
        <v>1</v>
      </c>
      <c r="W25" s="308" t="str">
        <f t="shared" ref="W25" ca="1" si="193">IF(W24&lt;&gt;"",U25,"")</f>
        <v>Croatia</v>
      </c>
      <c r="X25" s="308" t="str">
        <f t="shared" ref="X25" ca="1" si="194">IF(V26=2,U25,"")</f>
        <v/>
      </c>
      <c r="Z25" s="308">
        <f ca="1">SUMPRODUCT((Tournament!F5:F52=W25)*(Tournament!K5:K52=W24)*(Tournament!H5:H52&gt;Tournament!I5:I52)*1)+SUMPRODUCT((Tournament!K5:K52=W25)*(Tournament!F5:F52=W24)*(Tournament!I5:I52&gt;Tournament!H5:H52)*1)+SUMPRODUCT((Tournament!F5:F52=W25)*(Tournament!K5:K52=W26)*(Tournament!H5:H52&gt;Tournament!I5:I52)*1)+SUMPRODUCT((Tournament!K5:K52=W25)*(Tournament!F5:F52=W26)*(Tournament!I5:I52&gt;Tournament!H5:H52)*1)+SUMPRODUCT((Tournament!F5:F52=W25)*(Tournament!K5:K52=W27)*(Tournament!H5:H52&gt;Tournament!I5:I52)*1)+SUMPRODUCT((Tournament!K5:K52=W25)*(Tournament!F5:F52=W27)*(Tournament!I5:I52&gt;Tournament!H5:H52)*1)</f>
        <v>0</v>
      </c>
      <c r="AA25" s="308">
        <f ca="1">SUMPRODUCT((Tournament!F5:F52=W25)*(Tournament!K5:K52=W24)*(Tournament!H5:H52=Tournament!I5:I52)*1)+SUMPRODUCT((Tournament!K5:K52=W25)*(Tournament!F5:F52=W24)*(Tournament!H5:H52=Tournament!I5:I52)*1)+SUMPRODUCT((Tournament!F5:F52=W25)*(Tournament!K5:K52=W26)*(Tournament!H5:H52=Tournament!I5:I52)*1)+SUMPRODUCT((Tournament!K5:K52=W25)*(Tournament!F5:F52=W26)*(Tournament!H5:H52=Tournament!I5:I52)*1)+SUMPRODUCT((Tournament!F5:F52=W25)*(Tournament!K5:K52=W27)*(Tournament!H5:H52=Tournament!I5:I52)*1)+SUMPRODUCT((Tournament!K5:K52=W25)*(Tournament!F5:F52=W27)*(Tournament!H5:H52=Tournament!I5:I52)*1)</f>
        <v>3</v>
      </c>
      <c r="AB25" s="308">
        <f ca="1">SUMPRODUCT((Tournament!F5:F52=W25)*(Tournament!K5:K52=W24)*(Tournament!H5:H52&lt;Tournament!I5:I52)*1)+SUMPRODUCT((Tournament!K5:K52=W25)*(Tournament!F5:F52=W24)*(Tournament!I5:I52&lt;Tournament!H5:H52)*1)+SUMPRODUCT((Tournament!F5:F52=W25)*(Tournament!K5:K52=W26)*(Tournament!H5:H52&lt;Tournament!I5:I52)*1)+SUMPRODUCT((Tournament!K5:K52=W25)*(Tournament!F5:F52=W26)*(Tournament!I5:I52&lt;Tournament!H5:H52)*1)+SUMPRODUCT((Tournament!F5:F52=W25)*(Tournament!K5:K52=W27)*(Tournament!H5:H52&lt;Tournament!I5:I52)*1)+SUMPRODUCT((Tournament!K5:K52=W25)*(Tournament!F5:F52=W27)*(Tournament!I5:I52&lt;Tournament!H5:H52)*1)</f>
        <v>0</v>
      </c>
      <c r="AC25" s="308">
        <f ca="1">SUMIFS(Tournament!H5:H52,Tournament!F5:F52,W25,Tournament!K5:K52,W24)+SUMIFS(Tournament!H5:H52,Tournament!F5:F52,W25,Tournament!K5:K52,W26)+SUMIFS(Tournament!H5:H52,Tournament!F5:F52,W25,Tournament!K5:K52,W27)+SUMIFS(Tournament!I5:I52,Tournament!K5:K52,W25,Tournament!F5:F52,W24)+SUMIFS(Tournament!I5:I52,Tournament!K5:K52,W25,Tournament!F5:F52,W26)+SUMIFS(Tournament!I5:I52,Tournament!K5:K52,W25,Tournament!F5:F52,W27)</f>
        <v>0</v>
      </c>
      <c r="AD25" s="308">
        <f ca="1">SUMIFS(Tournament!I5:I52,Tournament!F5:F52,W25,Tournament!K5:K52,W24)+SUMIFS(Tournament!I5:I52,Tournament!F5:F52,W25,Tournament!K5:K52,W26)+SUMIFS(Tournament!I5:I52,Tournament!F5:F52,W25,Tournament!K5:K52,W27)+SUMIFS(Tournament!H5:H52,Tournament!K5:K52,W25,Tournament!F5:F52,W24)+SUMIFS(Tournament!H5:H52,Tournament!K5:K52,W25,Tournament!F5:F52,W26)+SUMIFS(Tournament!H5:H52,Tournament!K5:K52,W25,Tournament!F5:F52,W27)</f>
        <v>0</v>
      </c>
      <c r="AE25" s="308">
        <f t="shared" ca="1" si="7"/>
        <v>0</v>
      </c>
      <c r="AF25" s="308">
        <f t="shared" ca="1" si="8"/>
        <v>3</v>
      </c>
      <c r="AG25" s="308">
        <f t="shared" ref="AG25" ca="1" si="195">IF(W25&lt;&gt;"",SUMPRODUCT((V24:V27=V25)*(AF24:AF27&gt;AF25)*1),0)</f>
        <v>0</v>
      </c>
      <c r="AH25" s="308">
        <f t="shared" ref="AH25" ca="1" si="196">IF(W25&lt;&gt;"",SUMPRODUCT((AG24:AG27=AG25)*(AE24:AE27&gt;AE25)*1),0)</f>
        <v>0</v>
      </c>
      <c r="AI25" s="308">
        <f t="shared" ca="1" si="0"/>
        <v>0</v>
      </c>
      <c r="AJ25" s="308">
        <f t="shared" ref="AJ25" ca="1" si="197">IF(W25&lt;&gt;"",SUMPRODUCT((AI24:AI27=AI25)*(AG24:AG27=AG25)*(AC24:AC27&gt;AC25)*1),0)</f>
        <v>0</v>
      </c>
      <c r="AK25" s="308">
        <f t="shared" ca="1" si="9"/>
        <v>1</v>
      </c>
      <c r="AL25" s="308">
        <f ca="1">SUMPRODUCT((Tournament!F5:F52=X25)*(Tournament!K5:K52=X26)*(Tournament!H5:H52&gt;Tournament!I5:I52)*1)+SUMPRODUCT((Tournament!K5:K52=X25)*(Tournament!F5:F52=X26)*(Tournament!I5:I52&gt;Tournament!H5:H52)*1)+SUMPRODUCT((Tournament!F5:F52=X25)*(Tournament!K5:K52=X27)*(Tournament!H5:H52&gt;Tournament!I5:I52)*1)+SUMPRODUCT((Tournament!K5:K52=X25)*(Tournament!F5:F52=X27)*(Tournament!I5:I52&gt;Tournament!H5:H52)*1)</f>
        <v>0</v>
      </c>
      <c r="AM25" s="308">
        <f ca="1">SUMPRODUCT((Tournament!F5:F52=X25)*(Tournament!K5:K52=X26)*(Tournament!H5:H52=Tournament!I5:I52)*1)+SUMPRODUCT((Tournament!K5:K52=X25)*(Tournament!F5:F52=X26)*(Tournament!H5:H52=Tournament!I5:I52)*1)+SUMPRODUCT((Tournament!F5:F52=X25)*(Tournament!K5:K52=X27)*(Tournament!H5:H52=Tournament!I5:I52)*1)+SUMPRODUCT((Tournament!K5:K52=X25)*(Tournament!F5:F52=X27)*(Tournament!H5:H52=Tournament!I5:I52)*1)</f>
        <v>0</v>
      </c>
      <c r="AN25" s="308">
        <f ca="1">SUMPRODUCT((Tournament!F5:F52=X25)*(Tournament!K5:K52=X26)*(Tournament!H5:H52&lt;Tournament!I5:I52)*1)+SUMPRODUCT((Tournament!K5:K52=X25)*(Tournament!F5:F52=X26)*(Tournament!I5:I52&lt;Tournament!H5:H52)*1)+SUMPRODUCT((Tournament!F5:F52=X25)*(Tournament!K5:K52=X27)*(Tournament!H5:H52&lt;Tournament!I5:I52)*1)+SUMPRODUCT((Tournament!K5:K52=X25)*(Tournament!F5:F52=X27)*(Tournament!I5:I52&lt;Tournament!H5:H52)*1)</f>
        <v>0</v>
      </c>
      <c r="AO25" s="308">
        <f ca="1">SUMIFS(Tournament!H5:H52,Tournament!F5:F52,X25,Tournament!K5:K52,X26)+SUMIFS(Tournament!H5:H52,Tournament!F5:F52,X25,Tournament!K5:K52,X27)+SUMIFS(Tournament!I5:I52,Tournament!K5:K52,X25,Tournament!F5:F52,X26)+SUMIFS(Tournament!I5:I52,Tournament!K5:K52,X25,Tournament!F5:F52,X27)</f>
        <v>0</v>
      </c>
      <c r="AP25" s="308">
        <f ca="1">SUMIFS(Tournament!I5:I52,Tournament!F5:F52,X25,Tournament!K5:K52,X26)+SUMIFS(Tournament!I5:I52,Tournament!F5:F52,X25,Tournament!K5:K52,X27)+SUMIFS(Tournament!H5:H52,Tournament!K5:K52,X25,Tournament!F5:F52,X26)+SUMIFS(Tournament!H5:H52,Tournament!K5:K52,X25,Tournament!F5:F52,X27)</f>
        <v>0</v>
      </c>
      <c r="AQ25" s="308">
        <f t="shared" ca="1" si="10"/>
        <v>0</v>
      </c>
      <c r="AR25" s="308">
        <f t="shared" ca="1" si="11"/>
        <v>0</v>
      </c>
      <c r="AS25" s="308">
        <f t="shared" ref="AS25" ca="1" si="198">IF(X25&lt;&gt;"",SUMPRODUCT((V24:V27=V25)*(AR24:AR27&gt;AR25)*1),0)</f>
        <v>0</v>
      </c>
      <c r="AT25" s="308">
        <f t="shared" ref="AT25" ca="1" si="199">IF(X25&lt;&gt;"",SUMPRODUCT((AS24:AS27=AS25)*(AQ24:AQ27&gt;AQ25)*1),0)</f>
        <v>0</v>
      </c>
      <c r="AU25" s="308">
        <f t="shared" ca="1" si="12"/>
        <v>0</v>
      </c>
      <c r="AV25" s="308">
        <f t="shared" ref="AV25" ca="1" si="200">IF(X25&lt;&gt;"",SUMPRODUCT((AU24:AU27=AU25)*(AS24:AS27=AS25)*(AO24:AO27&gt;AO25)*1),0)</f>
        <v>0</v>
      </c>
      <c r="AW25" s="308">
        <f t="shared" ca="1" si="13"/>
        <v>1</v>
      </c>
      <c r="AX25" s="308">
        <v>0</v>
      </c>
      <c r="AY25" s="308">
        <v>0</v>
      </c>
      <c r="AZ25" s="308">
        <v>0</v>
      </c>
      <c r="BA25" s="308">
        <v>0</v>
      </c>
      <c r="BB25" s="308">
        <v>0</v>
      </c>
      <c r="BC25" s="308">
        <v>0</v>
      </c>
      <c r="BD25" s="308">
        <v>0</v>
      </c>
      <c r="BE25" s="308">
        <v>0</v>
      </c>
      <c r="BF25" s="308">
        <v>0</v>
      </c>
      <c r="BG25" s="308">
        <v>0</v>
      </c>
      <c r="BH25" s="308">
        <v>0</v>
      </c>
      <c r="BI25" s="308">
        <f t="shared" ca="1" si="17"/>
        <v>1</v>
      </c>
      <c r="BJ25" s="308">
        <f ca="1">SUMPRODUCT((BI24:BI27=BI25)*(A24:A27&gt;A25)*1)</f>
        <v>1</v>
      </c>
      <c r="BK25" s="308">
        <f t="shared" ca="1" si="14"/>
        <v>2</v>
      </c>
      <c r="BM25" s="314"/>
      <c r="BN25" s="315"/>
      <c r="BO25" s="316" t="str">
        <f>Calculator!C22</f>
        <v>Spain</v>
      </c>
      <c r="BP25" s="317" t="s">
        <v>672</v>
      </c>
      <c r="BQ25" s="316"/>
      <c r="BR25" s="309">
        <v>19</v>
      </c>
      <c r="BS25" s="318">
        <v>-3</v>
      </c>
      <c r="BT25" s="174"/>
      <c r="BU25" s="22">
        <v>19</v>
      </c>
      <c r="BV25" s="320">
        <f t="shared" si="18"/>
        <v>44890.791666666664</v>
      </c>
      <c r="BW25" s="321">
        <v>44890.791666666664</v>
      </c>
      <c r="BX25" s="322">
        <f t="shared" si="19"/>
        <v>44890.791666666664</v>
      </c>
      <c r="BY25" s="309">
        <f ca="1">SUM(Tournament!R23:R26)</f>
        <v>0</v>
      </c>
      <c r="BZ25" s="309" t="str">
        <f>INDEX(Language!A1:K117,MATCH(Setup!B26,Language!B1:B117,0),MATCH(Setup!C5,Language!A1:J1,0))</f>
        <v>Spain</v>
      </c>
    </row>
    <row r="26" spans="1:78" x14ac:dyDescent="0.35">
      <c r="A26" s="308">
        <f ca="1">INDEX(M4:M35,MATCH(U26,C4:C35,0),0)</f>
        <v>1827</v>
      </c>
      <c r="B26" s="308">
        <f t="shared" si="25"/>
        <v>3</v>
      </c>
      <c r="C26" s="308" t="str">
        <f t="shared" si="1"/>
        <v>Belgium</v>
      </c>
      <c r="D26" s="308">
        <f t="shared" ca="1" si="2"/>
        <v>0</v>
      </c>
      <c r="E26" s="308">
        <f ca="1">SUMPRODUCT((Tournament!H5:H52&lt;&gt;"")*(Tournament!F5:F52=C26)*(Tournament!H5:H52&gt;Tournament!I5:I52)*1)+SUMPRODUCT((Tournament!H5:H52&lt;&gt;"")*(Tournament!K5:K52=C26)*(Tournament!I5:I52&gt;Tournament!H5:H52)*1)</f>
        <v>0</v>
      </c>
      <c r="F26" s="308">
        <f ca="1">SUMPRODUCT((Tournament!H5:H52&lt;&gt;"")*(Tournament!F5:F52=C26)*(Tournament!H5:H52=Tournament!I5:I52)*1)+SUMPRODUCT((Tournament!H5:H52&lt;&gt;"")*(Tournament!K5:K52=C26)*(Tournament!H5:H52=Tournament!I5:I52)*1)</f>
        <v>0</v>
      </c>
      <c r="G26" s="308">
        <f ca="1">SUMPRODUCT((Tournament!H5:H52&lt;&gt;"")*(Tournament!F5:F52=C26)*(Tournament!H5:H52&lt;Tournament!I5:I52)*1)+SUMPRODUCT((Tournament!H5:H52&lt;&gt;"")*(Tournament!K5:K52=C26)*(Tournament!I5:I52&lt;Tournament!H5:H52)*1)</f>
        <v>0</v>
      </c>
      <c r="H26" s="308">
        <f ca="1">SUMIF(Tournament!F5:F52,C26,Tournament!H5:H52)+SUMIF(Tournament!K5:K52,C26,Tournament!I5:I52)</f>
        <v>0</v>
      </c>
      <c r="I26" s="308">
        <f ca="1">SUMIF(Tournament!F5:F52,C26,Tournament!I5:I52)+SUMIF(Tournament!K5:K52,C26,Tournament!H5:H52)</f>
        <v>0</v>
      </c>
      <c r="J26" s="308">
        <f t="shared" ca="1" si="3"/>
        <v>0</v>
      </c>
      <c r="K26" s="308">
        <f t="shared" ca="1" si="4"/>
        <v>0</v>
      </c>
      <c r="L26" s="308">
        <f>Setup!E30</f>
        <v>1827</v>
      </c>
      <c r="M26" s="308">
        <f>IF(Setup!F30&lt;&gt;"",Setup!F30,Setup!E30)</f>
        <v>1827</v>
      </c>
      <c r="N26" s="308">
        <f ca="1">RANK(K26,K24:K27)</f>
        <v>1</v>
      </c>
      <c r="O26" s="308">
        <f ca="1">SUMPRODUCT((N24:N27=N26)*(J24:J27&gt;J26)*1)</f>
        <v>0</v>
      </c>
      <c r="P26" s="308">
        <f t="shared" ca="1" si="5"/>
        <v>1</v>
      </c>
      <c r="Q26" s="308">
        <f ca="1">SUMPRODUCT((N24:N27=N26)*(J24:J27=J26)*(H24:H27&gt;H26)*1)</f>
        <v>0</v>
      </c>
      <c r="R26" s="308">
        <f t="shared" ca="1" si="6"/>
        <v>1</v>
      </c>
      <c r="S26" s="308">
        <f ca="1">RANK(R26,R24:R27,1)+COUNTIF(R24:R26,R26)-1</f>
        <v>3</v>
      </c>
      <c r="T26" s="308">
        <v>3</v>
      </c>
      <c r="U26" s="308" t="str">
        <f t="shared" ref="U26" ca="1" si="201">INDEX(C24:C27,MATCH(T26,S24:S27,0),0)</f>
        <v>Belgium</v>
      </c>
      <c r="V26" s="308">
        <f ca="1">INDEX(R24:R27,MATCH(U26,C24:C27,0),0)</f>
        <v>1</v>
      </c>
      <c r="W26" s="308" t="str">
        <f t="shared" ref="W26:W27" ca="1" si="202">IF(AND(W25&lt;&gt;"",V26=1),U26,"")</f>
        <v>Belgium</v>
      </c>
      <c r="X26" s="308" t="str">
        <f t="shared" ref="X26" ca="1" si="203">IF(X25&lt;&gt;"",U26,"")</f>
        <v/>
      </c>
      <c r="Y26" s="308" t="str">
        <f t="shared" ref="Y26" ca="1" si="204">IF(V27=3,U26,"")</f>
        <v/>
      </c>
      <c r="Z26" s="308">
        <f ca="1">SUMPRODUCT((Tournament!F5:F52=W26)*(Tournament!K5:K52=W24)*(Tournament!H5:H52&gt;Tournament!I5:I52)*1)+SUMPRODUCT((Tournament!K5:K52=W26)*(Tournament!F5:F52=W24)*(Tournament!I5:I52&gt;Tournament!H5:H52)*1)+SUMPRODUCT((Tournament!F5:F52=W26)*(Tournament!K5:K52=W25)*(Tournament!H5:H52&gt;Tournament!I5:I52)*1)+SUMPRODUCT((Tournament!K5:K52=W26)*(Tournament!F5:F52=W25)*(Tournament!I5:I52&gt;Tournament!H5:H52)*1)+SUMPRODUCT((Tournament!F5:F52=W26)*(Tournament!K5:K52=W27)*(Tournament!H5:H52&gt;Tournament!I5:I52)*1)+SUMPRODUCT((Tournament!K5:K52=W26)*(Tournament!F5:F52=W27)*(Tournament!I5:I52&gt;Tournament!H5:H52)*1)</f>
        <v>0</v>
      </c>
      <c r="AA26" s="308">
        <f ca="1">SUMPRODUCT((Tournament!F5:F52=W26)*(Tournament!K5:K52=W24)*(Tournament!H5:H52=Tournament!I5:I52)*1)+SUMPRODUCT((Tournament!K5:K52=W26)*(Tournament!F5:F52=W24)*(Tournament!H5:H52=Tournament!I5:I52)*1)+SUMPRODUCT((Tournament!F5:F52=W26)*(Tournament!K5:K52=W25)*(Tournament!H5:H52=Tournament!I5:I52)*1)+SUMPRODUCT((Tournament!K5:K52=W26)*(Tournament!F5:F52=W25)*(Tournament!H5:H52=Tournament!I5:I52)*1)+SUMPRODUCT((Tournament!F5:F52=W26)*(Tournament!K5:K52=W27)*(Tournament!H5:H52=Tournament!I5:I52)*1)+SUMPRODUCT((Tournament!K5:K52=W26)*(Tournament!F5:F52=W27)*(Tournament!H5:H52=Tournament!I5:I52)*1)</f>
        <v>3</v>
      </c>
      <c r="AB26" s="308">
        <f ca="1">SUMPRODUCT((Tournament!F5:F52=W26)*(Tournament!K5:K52=W24)*(Tournament!H5:H52&lt;Tournament!I5:I52)*1)+SUMPRODUCT((Tournament!K5:K52=W26)*(Tournament!F5:F52=W24)*(Tournament!I5:I52&lt;Tournament!H5:H52)*1)+SUMPRODUCT((Tournament!F5:F52=W26)*(Tournament!K5:K52=W25)*(Tournament!H5:H52&lt;Tournament!I5:I52)*1)+SUMPRODUCT((Tournament!K5:K52=W26)*(Tournament!F5:F52=W25)*(Tournament!I5:I52&lt;Tournament!H5:H52)*1)+SUMPRODUCT((Tournament!F5:F52=W26)*(Tournament!K5:K52=W27)*(Tournament!H5:H52&lt;Tournament!I5:I52)*1)+SUMPRODUCT((Tournament!K5:K52=W26)*(Tournament!F5:F52=W27)*(Tournament!I5:I52&lt;Tournament!H5:H52)*1)</f>
        <v>0</v>
      </c>
      <c r="AC26" s="308">
        <f ca="1">SUMIFS(Tournament!H5:H52,Tournament!F5:F52,W26,Tournament!K5:K52,W24)+SUMIFS(Tournament!H5:H52,Tournament!F5:F52,W26,Tournament!K5:K52,W25)+SUMIFS(Tournament!H5:H52,Tournament!F5:F52,W26,Tournament!K5:K52,W27)+SUMIFS(Tournament!I5:I52,Tournament!K5:K52,W26,Tournament!F5:F52,W24)+SUMIFS(Tournament!I5:I52,Tournament!K5:K52,W26,Tournament!F5:F52,W25)+SUMIFS(Tournament!I5:I52,Tournament!K5:K52,W26,Tournament!F5:F52,W27)</f>
        <v>0</v>
      </c>
      <c r="AD26" s="308">
        <f ca="1">SUMIFS(Tournament!I5:I52,Tournament!F5:F52,W26,Tournament!K5:K52,W24)+SUMIFS(Tournament!I5:I52,Tournament!F5:F52,W26,Tournament!K5:K52,W25)+SUMIFS(Tournament!I5:I52,Tournament!F5:F52,W26,Tournament!K5:K52,W27)+SUMIFS(Tournament!H5:H52,Tournament!K5:K52,W26,Tournament!F5:F52,W24)+SUMIFS(Tournament!H5:H52,Tournament!K5:K52,W26,Tournament!F5:F52,W25)+SUMIFS(Tournament!H5:H52,Tournament!K5:K52,W26,Tournament!F5:F52,W27)</f>
        <v>0</v>
      </c>
      <c r="AE26" s="308">
        <f t="shared" ca="1" si="7"/>
        <v>0</v>
      </c>
      <c r="AF26" s="308">
        <f t="shared" ca="1" si="8"/>
        <v>3</v>
      </c>
      <c r="AG26" s="308">
        <f t="shared" ref="AG26" ca="1" si="205">IF(W26&lt;&gt;"",SUMPRODUCT((V24:V27=V26)*(AF24:AF27&gt;AF26)*1),0)</f>
        <v>0</v>
      </c>
      <c r="AH26" s="308">
        <f t="shared" ref="AH26" ca="1" si="206">IF(W26&lt;&gt;"",SUMPRODUCT((AG24:AG27=AG26)*(AE24:AE27&gt;AE26)*1),0)</f>
        <v>0</v>
      </c>
      <c r="AI26" s="308">
        <f t="shared" ca="1" si="0"/>
        <v>0</v>
      </c>
      <c r="AJ26" s="308">
        <f t="shared" ref="AJ26" ca="1" si="207">IF(W26&lt;&gt;"",SUMPRODUCT((AI24:AI27=AI26)*(AG24:AG27=AG26)*(AC24:AC27&gt;AC26)*1),0)</f>
        <v>0</v>
      </c>
      <c r="AK26" s="308">
        <f t="shared" ca="1" si="9"/>
        <v>1</v>
      </c>
      <c r="AL26" s="308">
        <f ca="1">SUMPRODUCT((Tournament!F5:F52=X26)*(Tournament!K5:K52=X25)*(Tournament!H5:H52&gt;Tournament!I5:I52)*1)+SUMPRODUCT((Tournament!K5:K52=X26)*(Tournament!F5:F52=X25)*(Tournament!I5:I52&gt;Tournament!H5:H52)*1)+SUMPRODUCT((Tournament!F5:F52=X26)*(Tournament!K5:K52=X27)*(Tournament!H5:H52&gt;Tournament!I5:I52)*1)+SUMPRODUCT((Tournament!K5:K52=X26)*(Tournament!F5:F52=X27)*(Tournament!I5:I52&gt;Tournament!H5:H52)*1)</f>
        <v>0</v>
      </c>
      <c r="AM26" s="308">
        <f ca="1">SUMPRODUCT((Tournament!F5:F52=X26)*(Tournament!K5:K52=X25)*(Tournament!H5:H52=Tournament!I5:I52)*1)+SUMPRODUCT((Tournament!K5:K52=X26)*(Tournament!F5:F52=X25)*(Tournament!H5:H52=Tournament!I5:I52)*1)+SUMPRODUCT((Tournament!F5:F52=X26)*(Tournament!K5:K52=X27)*(Tournament!H5:H52=Tournament!I5:I52)*1)+SUMPRODUCT((Tournament!K5:K52=X26)*(Tournament!F5:F52=X27)*(Tournament!H5:H52=Tournament!I5:I52)*1)</f>
        <v>0</v>
      </c>
      <c r="AN26" s="308">
        <f ca="1">SUMPRODUCT((Tournament!F5:F52=X26)*(Tournament!K5:K52=X25)*(Tournament!H5:H52&lt;Tournament!I5:I52)*1)+SUMPRODUCT((Tournament!K5:K52=X26)*(Tournament!F5:F52=X25)*(Tournament!I5:I52&lt;Tournament!H5:H52)*1)+SUMPRODUCT((Tournament!F5:F52=X26)*(Tournament!K5:K52=X27)*(Tournament!H5:H52&lt;Tournament!I5:I52)*1)+SUMPRODUCT((Tournament!K5:K52=X26)*(Tournament!F5:F52=X27)*(Tournament!I5:I52&lt;Tournament!H5:H52)*1)</f>
        <v>0</v>
      </c>
      <c r="AO26" s="308">
        <f ca="1">SUMIFS(Tournament!H5:H52,Tournament!F5:F52,X26,Tournament!K5:K52,X25)+SUMIFS(Tournament!H5:H52,Tournament!F5:F52,X26,Tournament!K5:K52,X27)+SUMIFS(Tournament!I5:I52,Tournament!K5:K52,X26,Tournament!F5:F52,X25)+SUMIFS(Tournament!I5:I52,Tournament!K5:K52,X26,Tournament!F5:F52,X27)</f>
        <v>0</v>
      </c>
      <c r="AP26" s="308">
        <f ca="1">SUMIFS(Tournament!I5:I52,Tournament!F5:F52,X26,Tournament!K5:K52,X25)+SUMIFS(Tournament!I5:I52,Tournament!F5:F52,X26,Tournament!K5:K52,X27)+SUMIFS(Tournament!H5:H52,Tournament!K5:K52,X26,Tournament!F5:F52,X25)+SUMIFS(Tournament!H5:H52,Tournament!K5:K52,X26,Tournament!F5:F52,X27)</f>
        <v>0</v>
      </c>
      <c r="AQ26" s="308">
        <f t="shared" ca="1" si="10"/>
        <v>0</v>
      </c>
      <c r="AR26" s="308">
        <f t="shared" ca="1" si="11"/>
        <v>0</v>
      </c>
      <c r="AS26" s="308">
        <f t="shared" ref="AS26" ca="1" si="208">IF(X26&lt;&gt;"",SUMPRODUCT((V24:V27=V26)*(AR24:AR27&gt;AR26)*1),0)</f>
        <v>0</v>
      </c>
      <c r="AT26" s="308">
        <f t="shared" ref="AT26" ca="1" si="209">IF(X26&lt;&gt;"",SUMPRODUCT((AS24:AS27=AS26)*(AQ24:AQ27&gt;AQ26)*1),0)</f>
        <v>0</v>
      </c>
      <c r="AU26" s="308">
        <f t="shared" ca="1" si="12"/>
        <v>0</v>
      </c>
      <c r="AV26" s="308">
        <f t="shared" ref="AV26" ca="1" si="210">IF(X26&lt;&gt;"",SUMPRODUCT((AU24:AU27=AU26)*(AS24:AS27=AS26)*(AO24:AO27&gt;AO26)*1),0)</f>
        <v>0</v>
      </c>
      <c r="AW26" s="308">
        <f t="shared" ca="1" si="13"/>
        <v>1</v>
      </c>
      <c r="AX26" s="308">
        <f ca="1">SUMPRODUCT((Tournament!F5:F52=Y26)*(Tournament!K5:K52=Y27)*(Tournament!H5:H52&gt;Tournament!I5:I52)*1)+SUMPRODUCT((Tournament!K5:K52=Y26)*(Tournament!F5:F52=Y27)*(Tournament!I5:I52&gt;Tournament!H5:H52)*1)</f>
        <v>0</v>
      </c>
      <c r="AY26" s="308">
        <f ca="1">SUMPRODUCT((Tournament!F5:F52=Y26)*(Tournament!K5:K52=Y27)*(Tournament!H5:H52=Tournament!I5:I52)*1)+SUMPRODUCT((Tournament!K5:K52=Y26)*(Tournament!F5:F52=Y27)*(Tournament!I5:I52=Tournament!H5:H52)*1)</f>
        <v>0</v>
      </c>
      <c r="AZ26" s="308">
        <f ca="1">SUMPRODUCT((Tournament!F5:F52=Y26)*(Tournament!K5:K52=Y27)*(Tournament!H5:H52&lt;Tournament!I5:I52)*1)+SUMPRODUCT((Tournament!K5:K52=Y26)*(Tournament!F5:F52=Y27)*(Tournament!I5:I52&lt;Tournament!H5:H52)*1)</f>
        <v>0</v>
      </c>
      <c r="BA26" s="308">
        <f ca="1">SUMIFS(Tournament!H5:H52,Tournament!F5:F52,Y26,Tournament!K5:K52,Y27)+SUMIFS(Tournament!I5:I52,Tournament!K5:K52,Y26,Tournament!F5:F52,Y27)</f>
        <v>0</v>
      </c>
      <c r="BB26" s="308">
        <f ca="1">SUMIFS(Tournament!I5:I52,Tournament!F5:F52,Y26,Tournament!K5:K52,Y27)+SUMIFS(Tournament!H5:H52,Tournament!K5:K52,Y26,Tournament!F5:F52,Y27)</f>
        <v>0</v>
      </c>
      <c r="BC26" s="308">
        <f t="shared" ref="BC26:BC27" ca="1" si="211">BA26-BB26</f>
        <v>0</v>
      </c>
      <c r="BD26" s="308">
        <f t="shared" ref="BD26:BD27" ca="1" si="212">AY26*1+AX26*3</f>
        <v>0</v>
      </c>
      <c r="BE26" s="308">
        <f t="shared" ref="BE26" ca="1" si="213">IF(Y26&lt;&gt;"",SUMPRODUCT((AH24:AH27=AH26)*(BD24:BD27&gt;BD26)*1),0)</f>
        <v>0</v>
      </c>
      <c r="BF26" s="308">
        <f t="shared" ref="BF26" ca="1" si="214">IF(Y26&lt;&gt;"",SUMPRODUCT((BE24:BE27=BE26)*(BC24:BC27&gt;BC26)*1),0)</f>
        <v>0</v>
      </c>
      <c r="BG26" s="308">
        <f t="shared" ref="BG26:BG27" ca="1" si="215">BE26+BF26</f>
        <v>0</v>
      </c>
      <c r="BH26" s="308">
        <f t="shared" ref="BH26" ca="1" si="216">IF(Y26&lt;&gt;"",SUMPRODUCT((BG24:BG27=BG26)*(BE24:BE27=BE26)*(BA24:BA27&gt;BA26)*1),0)</f>
        <v>0</v>
      </c>
      <c r="BI26" s="308">
        <f t="shared" ca="1" si="17"/>
        <v>1</v>
      </c>
      <c r="BJ26" s="308">
        <f ca="1">SUMPRODUCT((BI24:BI27=BI26)*(A24:A27&gt;A26)*1)</f>
        <v>0</v>
      </c>
      <c r="BK26" s="308">
        <f t="shared" ca="1" si="14"/>
        <v>1</v>
      </c>
      <c r="BM26" s="314"/>
      <c r="BN26" s="315"/>
      <c r="BO26" s="316" t="str">
        <f>Calculator!C23</f>
        <v>Costa Rica</v>
      </c>
      <c r="BP26" s="317" t="s">
        <v>673</v>
      </c>
      <c r="BQ26" s="316"/>
      <c r="BR26" s="309">
        <v>20</v>
      </c>
      <c r="BS26" s="318">
        <v>-2.5</v>
      </c>
      <c r="BT26" s="174"/>
      <c r="BU26" s="22">
        <v>20</v>
      </c>
      <c r="BV26" s="320">
        <f t="shared" si="18"/>
        <v>44890.916666666664</v>
      </c>
      <c r="BW26" s="321">
        <v>44890.916666666664</v>
      </c>
      <c r="BX26" s="322">
        <f t="shared" si="19"/>
        <v>44890.916666666664</v>
      </c>
      <c r="BZ26" s="309" t="str">
        <f>INDEX(Language!A1:K117,MATCH(Setup!B27,Language!B1:B117,0),MATCH(Setup!C5,Language!A1:J1,0))</f>
        <v>Costa Rica</v>
      </c>
    </row>
    <row r="27" spans="1:78" ht="15.5" x14ac:dyDescent="0.35">
      <c r="A27" s="308">
        <f ca="1">INDEX(M4:M35,MATCH(U27,C4:C35,0),0)</f>
        <v>1479</v>
      </c>
      <c r="B27" s="308">
        <f t="shared" si="25"/>
        <v>4</v>
      </c>
      <c r="C27" s="308" t="str">
        <f t="shared" si="1"/>
        <v>Canada</v>
      </c>
      <c r="D27" s="308">
        <f t="shared" ca="1" si="2"/>
        <v>0</v>
      </c>
      <c r="E27" s="308">
        <f ca="1">SUMPRODUCT((Tournament!H5:H52&lt;&gt;"")*(Tournament!F5:F52=C27)*(Tournament!H5:H52&gt;Tournament!I5:I52)*1)+SUMPRODUCT((Tournament!H5:H52&lt;&gt;"")*(Tournament!K5:K52=C27)*(Tournament!I5:I52&gt;Tournament!H5:H52)*1)</f>
        <v>0</v>
      </c>
      <c r="F27" s="308">
        <f ca="1">SUMPRODUCT((Tournament!H5:H52&lt;&gt;"")*(Tournament!F5:F52=C27)*(Tournament!H5:H52=Tournament!I5:I52)*1)+SUMPRODUCT((Tournament!H5:H52&lt;&gt;"")*(Tournament!K5:K52=C27)*(Tournament!H5:H52=Tournament!I5:I52)*1)</f>
        <v>0</v>
      </c>
      <c r="G27" s="308">
        <f ca="1">SUMPRODUCT((Tournament!H5:H52&lt;&gt;"")*(Tournament!F5:F52=C27)*(Tournament!H5:H52&lt;Tournament!I5:I52)*1)+SUMPRODUCT((Tournament!H5:H52&lt;&gt;"")*(Tournament!K5:K52=C27)*(Tournament!I5:I52&lt;Tournament!H5:H52)*1)</f>
        <v>0</v>
      </c>
      <c r="H27" s="308">
        <f ca="1">SUMIF(Tournament!F5:F52,C27,Tournament!H5:H52)+SUMIF(Tournament!K5:K52,C27,Tournament!I5:I52)</f>
        <v>0</v>
      </c>
      <c r="I27" s="308">
        <f ca="1">SUMIF(Tournament!F5:F52,C27,Tournament!I5:I52)+SUMIF(Tournament!K5:K52,C27,Tournament!H5:H52)</f>
        <v>0</v>
      </c>
      <c r="J27" s="308">
        <f t="shared" ca="1" si="3"/>
        <v>0</v>
      </c>
      <c r="K27" s="308">
        <f t="shared" ca="1" si="4"/>
        <v>0</v>
      </c>
      <c r="L27" s="308">
        <f>Setup!E31</f>
        <v>1479</v>
      </c>
      <c r="M27" s="308">
        <f>IF(Setup!F31&lt;&gt;"",Setup!F31,Setup!E31)</f>
        <v>1479</v>
      </c>
      <c r="N27" s="308">
        <f ca="1">RANK(K27,K24:K27)</f>
        <v>1</v>
      </c>
      <c r="O27" s="308">
        <f ca="1">SUMPRODUCT((N24:N27=N27)*(J24:J27&gt;J27)*1)</f>
        <v>0</v>
      </c>
      <c r="P27" s="308">
        <f t="shared" ca="1" si="5"/>
        <v>1</v>
      </c>
      <c r="Q27" s="308">
        <f ca="1">SUMPRODUCT((N24:N27=N27)*(J24:J27=J27)*(H24:H27&gt;H27)*1)</f>
        <v>0</v>
      </c>
      <c r="R27" s="308">
        <f t="shared" ca="1" si="6"/>
        <v>1</v>
      </c>
      <c r="S27" s="308">
        <f ca="1">RANK(R27,R24:R27,1)+COUNTIF(R24:R27,R27)-1</f>
        <v>4</v>
      </c>
      <c r="T27" s="308">
        <v>4</v>
      </c>
      <c r="U27" s="308" t="str">
        <f t="shared" ref="U27" ca="1" si="217">INDEX(C24:C27,MATCH(T27,S24:S27,0),0)</f>
        <v>Canada</v>
      </c>
      <c r="V27" s="308">
        <f ca="1">INDEX(R24:R27,MATCH(U27,C24:C27,0),0)</f>
        <v>1</v>
      </c>
      <c r="W27" s="308" t="str">
        <f t="shared" ca="1" si="202"/>
        <v>Canada</v>
      </c>
      <c r="X27" s="308" t="str">
        <f t="shared" ref="X27" ca="1" si="218">IF(AND(X26&lt;&gt;"",V27=2),U27,"")</f>
        <v/>
      </c>
      <c r="Y27" s="308" t="str">
        <f t="shared" ref="Y27" ca="1" si="219">IF(AND(Y26&lt;&gt;"",V27=3),U27,"")</f>
        <v/>
      </c>
      <c r="Z27" s="308">
        <f ca="1">SUMPRODUCT((Tournament!F5:F52=W27)*(Tournament!K5:K52=W24)*(Tournament!H5:H52&gt;Tournament!I5:I52)*1)+SUMPRODUCT((Tournament!K5:K52=W27)*(Tournament!F5:F52=W24)*(Tournament!I5:I52&gt;Tournament!H5:H52)*1)+SUMPRODUCT((Tournament!F5:F52=W27)*(Tournament!K5:K52=W25)*(Tournament!H5:H52&gt;Tournament!I5:I52)*1)+SUMPRODUCT((Tournament!K5:K52=W27)*(Tournament!F5:F52=W25)*(Tournament!I5:I52&gt;Tournament!H5:H52)*1)+SUMPRODUCT((Tournament!F5:F52=W27)*(Tournament!K5:K52=W26)*(Tournament!H5:H52&gt;Tournament!I5:I52)*1)+SUMPRODUCT((Tournament!K5:K52=W27)*(Tournament!F5:F52=W26)*(Tournament!I5:I52&gt;Tournament!H5:H52)*1)</f>
        <v>0</v>
      </c>
      <c r="AA27" s="308">
        <f ca="1">SUMPRODUCT((Tournament!F5:F52=W27)*(Tournament!K5:K52=W24)*(Tournament!H5:H52&gt;=Tournament!I5:I52)*1)+SUMPRODUCT((Tournament!K5:K52=W27)*(Tournament!F5:F52=W24)*(Tournament!H5:H52=Tournament!I5:I52)*1)+SUMPRODUCT((Tournament!F5:F52=W27)*(Tournament!K5:K52=W25)*(Tournament!H5:H52=Tournament!I5:I52)*1)+SUMPRODUCT((Tournament!K5:K52=W27)*(Tournament!F5:F52=W25)*(Tournament!H5:H52=Tournament!I5:I52)*1)+SUMPRODUCT((Tournament!F5:F52=W27)*(Tournament!K5:K52=W26)*(Tournament!H5:H52=Tournament!I5:I52)*1)+SUMPRODUCT((Tournament!K5:K52=W27)*(Tournament!F5:F52=W26)*(Tournament!H5:H52=Tournament!I5:I52)*1)</f>
        <v>3</v>
      </c>
      <c r="AB27" s="308">
        <f ca="1">SUMPRODUCT((Tournament!F5:F52=W27)*(Tournament!K5:K52=W24)*(Tournament!H5:H52&lt;Tournament!I5:I52)*1)+SUMPRODUCT((Tournament!K5:K52=W27)*(Tournament!F5:F52=W24)*(Tournament!I5:I52&lt;Tournament!H5:H52)*1)+SUMPRODUCT((Tournament!F5:F52=W27)*(Tournament!K5:K52=W25)*(Tournament!H5:H52&lt;Tournament!I5:I52)*1)+SUMPRODUCT((Tournament!K5:K52=W27)*(Tournament!F5:F52=W25)*(Tournament!I5:I52&lt;Tournament!H5:H52)*1)+SUMPRODUCT((Tournament!F5:F52=W27)*(Tournament!K5:K52=W26)*(Tournament!H5:H52&lt;Tournament!I5:I52)*1)+SUMPRODUCT((Tournament!K5:K52=W27)*(Tournament!F5:F52=W26)*(Tournament!I5:I52&lt;Tournament!H5:H52)*1)</f>
        <v>0</v>
      </c>
      <c r="AC27" s="308">
        <f ca="1">SUMIFS(Tournament!H5:H52,Tournament!F5:F52,W27,Tournament!K5:K52,W24)+SUMIFS(Tournament!H5:H52,Tournament!F5:F52,W27,Tournament!K5:K52,W25)+SUMIFS(Tournament!H5:H52,Tournament!F5:F52,W27,Tournament!K5:K52,W26)+SUMIFS(Tournament!I5:I52,Tournament!K5:K52,W27,Tournament!F5:F52,W24)+SUMIFS(Tournament!I5:I52,Tournament!K5:K52,W27,Tournament!F5:F52,W25)+SUMIFS(Tournament!I5:I52,Tournament!K5:K52,W27,Tournament!F5:F52,W26)</f>
        <v>0</v>
      </c>
      <c r="AD27" s="308">
        <f ca="1">SUMIFS(Tournament!I5:I52,Tournament!F5:F52,W27,Tournament!K5:K52,W24)+SUMIFS(Tournament!I5:I52,Tournament!F5:F52,W27,Tournament!K5:K52,W25)+SUMIFS(Tournament!I5:I52,Tournament!F5:F52,W27,Tournament!K5:K52,W26)+SUMIFS(Tournament!H5:H52,Tournament!K5:K52,W27,Tournament!F5:F52,W24)+SUMIFS(Tournament!H5:H52,Tournament!K5:K52,W27,Tournament!F5:F52,W25)+SUMIFS(Tournament!H5:H52,Tournament!K5:K52,W27,Tournament!F5:F52,W26)</f>
        <v>0</v>
      </c>
      <c r="AE27" s="308">
        <f t="shared" ca="1" si="7"/>
        <v>0</v>
      </c>
      <c r="AF27" s="308">
        <f t="shared" ca="1" si="8"/>
        <v>3</v>
      </c>
      <c r="AG27" s="308">
        <f t="shared" ref="AG27" ca="1" si="220">IF(W27&lt;&gt;"",SUMPRODUCT((V24:V27=V27)*(AF24:AF27&gt;AF27)*1),0)</f>
        <v>0</v>
      </c>
      <c r="AH27" s="308">
        <f t="shared" ref="AH27" ca="1" si="221">IF(W27&lt;&gt;"",SUMPRODUCT((AG24:AG27=AG27)*(AE24:AE27&gt;AE27)*1),0)</f>
        <v>0</v>
      </c>
      <c r="AI27" s="308">
        <f t="shared" ca="1" si="0"/>
        <v>0</v>
      </c>
      <c r="AJ27" s="308">
        <f t="shared" ref="AJ27" ca="1" si="222">IF(W27&lt;&gt;"",SUMPRODUCT((AI24:AI27=AI27)*(AG24:AG27=AG27)*(AC24:AC27&gt;AC27)*1),0)</f>
        <v>0</v>
      </c>
      <c r="AK27" s="308">
        <f t="shared" ca="1" si="9"/>
        <v>1</v>
      </c>
      <c r="AL27" s="308">
        <f ca="1">SUMPRODUCT((Tournament!F5:F52=X27)*(Tournament!K5:K52=X25)*(Tournament!H5:H52&gt;Tournament!I5:I52)*1)+SUMPRODUCT((Tournament!K5:K52=X27)*(Tournament!F5:F52=X25)*(Tournament!I5:I52&gt;Tournament!H5:H52)*1)+SUMPRODUCT((Tournament!F5:F52=X27)*(Tournament!K5:K52=X26)*(Tournament!H5:H52&gt;Tournament!I5:I52)*1)+SUMPRODUCT((Tournament!K5:K52=X27)*(Tournament!F5:F52=X26)*(Tournament!I5:I52&gt;Tournament!H5:H52)*1)</f>
        <v>0</v>
      </c>
      <c r="AM27" s="308">
        <f ca="1">SUMPRODUCT((Tournament!F5:F52=X27)*(Tournament!K5:K52=X25)*(Tournament!H5:H52=Tournament!I5:I52)*1)+SUMPRODUCT((Tournament!K5:K52=X27)*(Tournament!F5:F52=X25)*(Tournament!H5:H52=Tournament!I5:I52)*1)+SUMPRODUCT((Tournament!F5:F52=X27)*(Tournament!K5:K52=X26)*(Tournament!H5:H52=Tournament!I5:I52)*1)+SUMPRODUCT((Tournament!K5:K52=X27)*(Tournament!F5:F52=X26)*(Tournament!H5:H52=Tournament!I5:I52)*1)</f>
        <v>0</v>
      </c>
      <c r="AN27" s="308">
        <f ca="1">SUMPRODUCT((Tournament!F5:F52=X27)*(Tournament!K5:K52=X25)*(Tournament!H5:H52&lt;Tournament!I5:I52)*1)+SUMPRODUCT((Tournament!K5:K52=X27)*(Tournament!F5:F52=X25)*(Tournament!I5:I52&lt;Tournament!H5:H52)*1)+SUMPRODUCT((Tournament!F5:F52=X27)*(Tournament!K5:K52=X26)*(Tournament!H5:H52&lt;Tournament!I5:I52)*1)+SUMPRODUCT((Tournament!K5:K52=X27)*(Tournament!F5:F52=X26)*(Tournament!I5:I52&lt;Tournament!H5:H52)*1)</f>
        <v>0</v>
      </c>
      <c r="AO27" s="308">
        <f ca="1">SUMIFS(Tournament!H5:H52,Tournament!F5:F52,X27,Tournament!K5:K52,X25)+SUMIFS(Tournament!H5:H52,Tournament!F5:F52,X27,Tournament!K5:K52,X26)+SUMIFS(Tournament!I5:I52,Tournament!K5:K52,X27,Tournament!F5:F52,X25)+SUMIFS(Tournament!I5:I52,Tournament!K5:K52,X27,Tournament!F5:F52,X26)</f>
        <v>0</v>
      </c>
      <c r="AP27" s="308">
        <f ca="1">SUMIFS(Tournament!H5:H52,Tournament!F5:F52,X27,Tournament!K5:K52,X25)+SUMIFS(Tournament!H5:H52,Tournament!F5:F52,X27,Tournament!K5:K52,X26)+SUMIFS(Tournament!I5:I52,Tournament!K5:K52,X27,Tournament!F5:F52,X25)+SUMIFS(Tournament!I5:I52,Tournament!K5:K52,X27,Tournament!F5:F52,X26)</f>
        <v>0</v>
      </c>
      <c r="AQ27" s="308">
        <f t="shared" ca="1" si="10"/>
        <v>0</v>
      </c>
      <c r="AR27" s="308">
        <f t="shared" ca="1" si="11"/>
        <v>0</v>
      </c>
      <c r="AS27" s="308">
        <f t="shared" ref="AS27" ca="1" si="223">IF(X27&lt;&gt;"",SUMPRODUCT((V24:V27=V27)*(AR24:AR27&gt;AR27)*1),0)</f>
        <v>0</v>
      </c>
      <c r="AT27" s="308">
        <f t="shared" ref="AT27" ca="1" si="224">IF(X27&lt;&gt;"",SUMPRODUCT((AS24:AS27=AS27)*(AQ24:AQ27&gt;AQ27)*1),0)</f>
        <v>0</v>
      </c>
      <c r="AU27" s="308">
        <f t="shared" ca="1" si="12"/>
        <v>0</v>
      </c>
      <c r="AV27" s="308">
        <f t="shared" ref="AV27" ca="1" si="225">IF(X27&lt;&gt;"",SUMPRODUCT((AU24:AU27=AU27)*(AS24:AS27=AS27)*(AO24:AO27&gt;AO27)*1),0)</f>
        <v>0</v>
      </c>
      <c r="AW27" s="308">
        <f t="shared" ca="1" si="13"/>
        <v>1</v>
      </c>
      <c r="AX27" s="308">
        <f ca="1">SUMPRODUCT((Tournament!F5:F52=Y27)*(Tournament!K5:K52=Y26)*(Tournament!H5:H52&gt;Tournament!I5:I52)*1)+SUMPRODUCT((Tournament!K5:K52=Y27)*(Tournament!F5:F52=Y26)*(Tournament!I5:I52&gt;Tournament!H5:H52)*1)</f>
        <v>0</v>
      </c>
      <c r="AY27" s="308">
        <f ca="1">SUMPRODUCT((Tournament!F5:F52=Y27)*(Tournament!K5:K52=Y26)*(Tournament!H5:H52=Tournament!I5:I52)*1)+SUMPRODUCT((Tournament!K5:K52=Y27)*(Tournament!F5:F52=Y26)*(Tournament!I5:I52=Tournament!H5:H52)*1)</f>
        <v>0</v>
      </c>
      <c r="AZ27" s="308">
        <f ca="1">SUMPRODUCT((Tournament!F5:F52=Y27)*(Tournament!K5:K52=Y26)*(Tournament!H5:H52&lt;Tournament!I5:I52)*1)+SUMPRODUCT((Tournament!K5:K52=Y27)*(Tournament!F5:F52=Y26)*(Tournament!I5:I52&lt;Tournament!H5:H52)*1)</f>
        <v>0</v>
      </c>
      <c r="BA27" s="308">
        <f ca="1">SUMIFS(Tournament!H5:H52,Tournament!F5:F52,Y27,Tournament!K5:K52,Y26)+SUMIFS(Tournament!I5:I52,Tournament!K5:K52,Y27,Tournament!F5:F52,Y26)</f>
        <v>0</v>
      </c>
      <c r="BB27" s="308">
        <f ca="1">SUMIFS(Tournament!H5:H52,Tournament!F5:F52,Y27,Tournament!K5:K52,Y26)+SUMIFS(Tournament!I5:I52,Tournament!K5:K52,Y27,Tournament!F5:F52,Y26)</f>
        <v>0</v>
      </c>
      <c r="BC27" s="308">
        <f t="shared" ca="1" si="211"/>
        <v>0</v>
      </c>
      <c r="BD27" s="308">
        <f t="shared" ca="1" si="212"/>
        <v>0</v>
      </c>
      <c r="BE27" s="308">
        <f t="shared" ref="BE27" ca="1" si="226">IF(Y27&lt;&gt;"",SUMPRODUCT((AH24:AH27=AH27)*(BD24:BD27&gt;BD27)*1),0)</f>
        <v>0</v>
      </c>
      <c r="BF27" s="308">
        <f t="shared" ref="BF27" ca="1" si="227">IF(Y27&lt;&gt;"",SUMPRODUCT((BE24:BE27=BE27)*(BC24:BC27&gt;BC27)*1),0)</f>
        <v>0</v>
      </c>
      <c r="BG27" s="308">
        <f t="shared" ca="1" si="215"/>
        <v>0</v>
      </c>
      <c r="BH27" s="308">
        <f t="shared" ref="BH27" ca="1" si="228">IF(Y27&lt;&gt;"",SUMPRODUCT((BG24:BG27=BG27)*(BE24:BE27=BE27)*(BA24:BA27&gt;BA27)*1),0)</f>
        <v>0</v>
      </c>
      <c r="BI27" s="308">
        <f t="shared" ca="1" si="17"/>
        <v>1</v>
      </c>
      <c r="BJ27" s="308">
        <f ca="1">SUMPRODUCT((BI24:BI27=BI27)*(A24:A27&gt;A27)*1)</f>
        <v>3</v>
      </c>
      <c r="BK27" s="308">
        <f t="shared" ca="1" si="14"/>
        <v>4</v>
      </c>
      <c r="BM27" s="314" t="s">
        <v>127</v>
      </c>
      <c r="BN27" s="315"/>
      <c r="BO27" s="316" t="str">
        <f>Calculator!C24</f>
        <v>Morocco</v>
      </c>
      <c r="BP27" s="317" t="s">
        <v>674</v>
      </c>
      <c r="BQ27" s="316"/>
      <c r="BR27" s="309">
        <v>21</v>
      </c>
      <c r="BS27" s="318">
        <v>-2</v>
      </c>
      <c r="BT27" s="174"/>
      <c r="BU27" s="22">
        <v>21</v>
      </c>
      <c r="BV27" s="320">
        <f t="shared" si="18"/>
        <v>44891.541666666664</v>
      </c>
      <c r="BW27" s="321">
        <v>44891.541666666664</v>
      </c>
      <c r="BX27" s="322">
        <f t="shared" si="19"/>
        <v>44891.541666666664</v>
      </c>
      <c r="BZ27" s="309" t="str">
        <f>INDEX(Language!A1:K117,MATCH(Setup!B28,Language!B1:B117,0),MATCH(Setup!C5,Language!A1:J1,0))</f>
        <v>Morocco</v>
      </c>
    </row>
    <row r="28" spans="1:78" x14ac:dyDescent="0.35">
      <c r="A28" s="308">
        <f ca="1">INDEX(M4:M35,MATCH(U28,C4:C35,0),0)</f>
        <v>1635</v>
      </c>
      <c r="B28" s="308">
        <f t="shared" si="25"/>
        <v>1</v>
      </c>
      <c r="C28" s="308" t="str">
        <f t="shared" si="1"/>
        <v>Switzerland</v>
      </c>
      <c r="D28" s="308">
        <f t="shared" ca="1" si="2"/>
        <v>0</v>
      </c>
      <c r="E28" s="308">
        <f ca="1">SUMPRODUCT((Tournament!H5:H52&lt;&gt;"")*(Tournament!F5:F52=C28)*(Tournament!H5:H52&gt;Tournament!I5:I52)*1)+SUMPRODUCT((Tournament!H5:H52&lt;&gt;"")*(Tournament!K5:K52=C28)*(Tournament!I5:I52&gt;Tournament!H5:H52)*1)</f>
        <v>0</v>
      </c>
      <c r="F28" s="308">
        <f ca="1">SUMPRODUCT((Tournament!H5:H52&lt;&gt;"")*(Tournament!F5:F52=C28)*(Tournament!H5:H52=Tournament!I5:I52)*1)+SUMPRODUCT((Tournament!H5:H52&lt;&gt;"")*(Tournament!K5:K52=C28)*(Tournament!H5:H52=Tournament!I5:I52)*1)</f>
        <v>0</v>
      </c>
      <c r="G28" s="308">
        <f ca="1">SUMPRODUCT((Tournament!H5:H52&lt;&gt;"")*(Tournament!F5:F52=C28)*(Tournament!H5:H52&lt;Tournament!I5:I52)*1)+SUMPRODUCT((Tournament!H5:H52&lt;&gt;"")*(Tournament!K5:K52=C28)*(Tournament!I5:I52&lt;Tournament!H5:H52)*1)</f>
        <v>0</v>
      </c>
      <c r="H28" s="308">
        <f ca="1">SUMIF(Tournament!F5:F52,C28,Tournament!H5:H52)+SUMIF(Tournament!K5:K52,C28,Tournament!I5:I52)</f>
        <v>0</v>
      </c>
      <c r="I28" s="308">
        <f ca="1">SUMIF(Tournament!F5:F52,C28,Tournament!I5:I52)+SUMIF(Tournament!K5:K52,C28,Tournament!H5:H52)</f>
        <v>0</v>
      </c>
      <c r="J28" s="308">
        <f t="shared" ca="1" si="3"/>
        <v>0</v>
      </c>
      <c r="K28" s="308">
        <f t="shared" ca="1" si="4"/>
        <v>0</v>
      </c>
      <c r="L28" s="308">
        <f>Setup!E32</f>
        <v>1635</v>
      </c>
      <c r="M28" s="308">
        <f>IF(Setup!F32&lt;&gt;"",Setup!F32,Setup!E32)</f>
        <v>1635</v>
      </c>
      <c r="N28" s="308">
        <f ca="1">RANK(K28,K28:K31)</f>
        <v>1</v>
      </c>
      <c r="O28" s="308">
        <f ca="1">SUMPRODUCT((N28:N31=N28)*(J28:J31&gt;J28)*1)</f>
        <v>0</v>
      </c>
      <c r="P28" s="308">
        <f t="shared" ca="1" si="5"/>
        <v>1</v>
      </c>
      <c r="Q28" s="308">
        <f ca="1">SUMPRODUCT((N28:N31=N28)*(J28:J31=J28)*(H28:H31&gt;H28)*1)</f>
        <v>0</v>
      </c>
      <c r="R28" s="308">
        <f t="shared" ca="1" si="6"/>
        <v>1</v>
      </c>
      <c r="S28" s="308">
        <f ca="1">RANK(R28,R28:R31,1)+COUNTIF(R28:R28,R28)-1</f>
        <v>1</v>
      </c>
      <c r="T28" s="308">
        <v>1</v>
      </c>
      <c r="U28" s="308" t="str">
        <f t="shared" ref="U28" ca="1" si="229">INDEX(C28:C31,MATCH(T28,S28:S31,0),0)</f>
        <v>Switzerland</v>
      </c>
      <c r="V28" s="308">
        <f t="shared" ref="V28" ca="1" si="230">INDEX(R28:R31,MATCH(U28,C28:C31,0),0)</f>
        <v>1</v>
      </c>
      <c r="W28" s="308" t="str">
        <f t="shared" ref="W28" ca="1" si="231">IF(V29=1,U28,"")</f>
        <v>Switzerland</v>
      </c>
      <c r="Z28" s="308">
        <f ca="1">SUMPRODUCT((Tournament!F5:F52=W28)*(Tournament!K5:K52=W29)*(Tournament!H5:H52&gt;Tournament!I5:I52)*1)+SUMPRODUCT((Tournament!K5:K52=W28)*(Tournament!F5:F52=W29)*(Tournament!I5:I52&gt;Tournament!H5:H52)*1)+SUMPRODUCT((Tournament!F5:F52=W28)*(Tournament!K5:K52=W30)*(Tournament!H5:H52&gt;Tournament!I5:I52)*1)+SUMPRODUCT((Tournament!K5:K52=W28)*(Tournament!F5:F52=W30)*(Tournament!I5:I52&gt;Tournament!H5:H52)*1)+SUMPRODUCT((Tournament!F5:F52=W28)*(Tournament!K5:K52=W31)*(Tournament!H5:H52&gt;Tournament!I5:I52)*1)+SUMPRODUCT((Tournament!K5:K52=W28)*(Tournament!F5:F52=W31)*(Tournament!I5:I52&gt;Tournament!H5:H52)*1)</f>
        <v>0</v>
      </c>
      <c r="AA28" s="308">
        <f ca="1">SUMPRODUCT((Tournament!F5:F52=W28)*(Tournament!K5:K52=W29)*(Tournament!H5:H52=Tournament!I5:I52)*1)+SUMPRODUCT((Tournament!K5:K52=W28)*(Tournament!F5:F52=W29)*(Tournament!H5:H52=Tournament!I5:I52)*1)+SUMPRODUCT((Tournament!F5:F52=W28)*(Tournament!K5:K52=W30)*(Tournament!H5:H52=Tournament!I5:I52)*1)+SUMPRODUCT((Tournament!K5:K52=W28)*(Tournament!F5:F52=W30)*(Tournament!H5:H52=Tournament!I5:I52)*1)+SUMPRODUCT((Tournament!F5:F52=W28)*(Tournament!K5:K52=W31)*(Tournament!H5:H52=Tournament!I5:I52)*1)+SUMPRODUCT((Tournament!K5:K52=W28)*(Tournament!F5:F52=W31)*(Tournament!H5:H52=Tournament!I5:I52)*1)</f>
        <v>3</v>
      </c>
      <c r="AB28" s="308">
        <f ca="1">SUMPRODUCT((Tournament!F5:F52=W28)*(Tournament!K5:K52=W29)*(Tournament!H5:H52&lt;Tournament!I5:I52)*1)+SUMPRODUCT((Tournament!K5:K52=W28)*(Tournament!F5:F52=W29)*(Tournament!I5:I52&lt;Tournament!H5:H52)*1)+SUMPRODUCT((Tournament!F5:F52=W28)*(Tournament!K5:K52=W30)*(Tournament!H5:H52&lt;Tournament!I5:I52)*1)+SUMPRODUCT((Tournament!K5:K52=W28)*(Tournament!F5:F52=W30)*(Tournament!I5:I52&lt;Tournament!H5:H52)*1)+SUMPRODUCT((Tournament!F5:F52=W28)*(Tournament!K5:K52=W31)*(Tournament!H5:H52&lt;Tournament!I5:I52)*1)+SUMPRODUCT((Tournament!K5:K52=W28)*(Tournament!F5:F52=W31)*(Tournament!I5:I52&lt;Tournament!H5:H52)*1)</f>
        <v>0</v>
      </c>
      <c r="AC28" s="308">
        <f ca="1">SUMIFS(Tournament!H5:H52,Tournament!F5:F52,W28,Tournament!K5:K52,W29)+SUMIFS(Tournament!H5:H52,Tournament!F5:F52,W28,Tournament!K5:K52,W30)+SUMIFS(Tournament!H5:H52,Tournament!F5:F52,W28,Tournament!K5:K52,W31)+SUMIFS(Tournament!I5:I52,Tournament!K5:K52,W28,Tournament!F5:F52,W29)+SUMIFS(Tournament!I5:I52,Tournament!K5:K52,W28,Tournament!F5:F52,W30)+SUMIFS(Tournament!I5:I52,Tournament!K5:K52,W28,Tournament!F5:F52,W31)</f>
        <v>0</v>
      </c>
      <c r="AD28" s="308">
        <f ca="1">SUMIFS(Tournament!I5:I52,Tournament!F5:F52,W28,Tournament!K5:K52,W29)+SUMIFS(Tournament!I5:I52,Tournament!F5:F52,W28,Tournament!K5:K52,W30)+SUMIFS(Tournament!I5:I52,Tournament!F5:F52,W28,Tournament!K5:K52,W31)+SUMIFS(Tournament!H5:H52,Tournament!K5:K52,W28,Tournament!F5:F52,W29)+SUMIFS(Tournament!H5:H52,Tournament!K5:K52,W28,Tournament!F5:F52,W30)+SUMIFS(Tournament!H5:H52,Tournament!K5:K52,W28,Tournament!F5:F52,W31)</f>
        <v>0</v>
      </c>
      <c r="AE28" s="308">
        <f t="shared" ca="1" si="7"/>
        <v>0</v>
      </c>
      <c r="AF28" s="308">
        <f t="shared" ca="1" si="8"/>
        <v>3</v>
      </c>
      <c r="AG28" s="308">
        <f t="shared" ref="AG28" ca="1" si="232">IF(W28&lt;&gt;"",SUMPRODUCT((V28:V31=V28)*(AF28:AF31&gt;AF28)*1),0)</f>
        <v>0</v>
      </c>
      <c r="AH28" s="308">
        <f t="shared" ref="AH28" ca="1" si="233">IF(W28&lt;&gt;"",SUMPRODUCT((AG28:AG31=AG28)*(AE28:AE31&gt;AE28)*1),0)</f>
        <v>0</v>
      </c>
      <c r="AI28" s="308">
        <f t="shared" ca="1" si="0"/>
        <v>0</v>
      </c>
      <c r="AJ28" s="308">
        <f t="shared" ref="AJ28" ca="1" si="234">IF(W28&lt;&gt;"",SUMPRODUCT((AI28:AI31=AI28)*(AG28:AG31=AG28)*(AC28:AC31&gt;AC28)*1),0)</f>
        <v>0</v>
      </c>
      <c r="AK28" s="308">
        <f t="shared" ca="1" si="9"/>
        <v>1</v>
      </c>
      <c r="AL28" s="308">
        <v>0</v>
      </c>
      <c r="AM28" s="308">
        <v>0</v>
      </c>
      <c r="AN28" s="308">
        <v>0</v>
      </c>
      <c r="AO28" s="308">
        <v>0</v>
      </c>
      <c r="AP28" s="308">
        <v>0</v>
      </c>
      <c r="AQ28" s="308">
        <f t="shared" si="10"/>
        <v>0</v>
      </c>
      <c r="AR28" s="308">
        <f t="shared" si="11"/>
        <v>0</v>
      </c>
      <c r="AS28" s="308">
        <v>0</v>
      </c>
      <c r="AT28" s="308">
        <v>0</v>
      </c>
      <c r="AU28" s="308">
        <f t="shared" si="12"/>
        <v>0</v>
      </c>
      <c r="AV28" s="308">
        <v>0</v>
      </c>
      <c r="AW28" s="308">
        <f t="shared" ca="1" si="13"/>
        <v>1</v>
      </c>
      <c r="AX28" s="308">
        <v>0</v>
      </c>
      <c r="AY28" s="308">
        <v>0</v>
      </c>
      <c r="AZ28" s="308">
        <v>0</v>
      </c>
      <c r="BA28" s="308">
        <v>0</v>
      </c>
      <c r="BB28" s="308">
        <v>0</v>
      </c>
      <c r="BC28" s="308">
        <v>0</v>
      </c>
      <c r="BD28" s="308">
        <v>0</v>
      </c>
      <c r="BE28" s="308">
        <v>0</v>
      </c>
      <c r="BF28" s="308">
        <v>0</v>
      </c>
      <c r="BG28" s="308">
        <v>0</v>
      </c>
      <c r="BH28" s="308">
        <v>0</v>
      </c>
      <c r="BI28" s="308">
        <f t="shared" ca="1" si="17"/>
        <v>1</v>
      </c>
      <c r="BJ28" s="308">
        <f ca="1">SUMPRODUCT((BI28:BI31=BI28)*(A28:A31&gt;A28)*1)</f>
        <v>1</v>
      </c>
      <c r="BK28" s="308">
        <f ca="1">IF(RIGHT(License!G12,2)="om",BJ28+BI28,0)</f>
        <v>2</v>
      </c>
      <c r="BM28" s="314"/>
      <c r="BN28" s="315"/>
      <c r="BO28" s="316" t="str">
        <f>Calculator!C25</f>
        <v>Croatia</v>
      </c>
      <c r="BP28" s="317" t="s">
        <v>675</v>
      </c>
      <c r="BQ28" s="316"/>
      <c r="BR28" s="309">
        <v>22</v>
      </c>
      <c r="BS28" s="318">
        <v>-1.5</v>
      </c>
      <c r="BT28" s="174"/>
      <c r="BU28" s="22">
        <v>22</v>
      </c>
      <c r="BV28" s="320">
        <f t="shared" si="18"/>
        <v>44891.666666666664</v>
      </c>
      <c r="BW28" s="321">
        <v>44891.666666666664</v>
      </c>
      <c r="BX28" s="322">
        <f t="shared" si="19"/>
        <v>44891.666666666664</v>
      </c>
      <c r="BZ28" s="309" t="str">
        <f>INDEX(Language!A1:K117,MATCH(Setup!B29,Language!B1:B117,0),MATCH(Setup!C5,Language!A1:J1,0))</f>
        <v>Croatia</v>
      </c>
    </row>
    <row r="29" spans="1:78" x14ac:dyDescent="0.35">
      <c r="A29" s="308">
        <f ca="1">INDEX(M4:M35,MATCH(U29,C4:C35,0),0)</f>
        <v>1480</v>
      </c>
      <c r="B29" s="308">
        <f t="shared" si="25"/>
        <v>2</v>
      </c>
      <c r="C29" s="308" t="str">
        <f t="shared" si="1"/>
        <v>Cameroon</v>
      </c>
      <c r="D29" s="308">
        <f t="shared" ca="1" si="2"/>
        <v>0</v>
      </c>
      <c r="E29" s="308">
        <f ca="1">SUMPRODUCT((Tournament!H5:H52&lt;&gt;"")*(Tournament!F5:F52=C29)*(Tournament!H5:H52&gt;Tournament!I5:I52)*1)+SUMPRODUCT((Tournament!H5:H52&lt;&gt;"")*(Tournament!K5:K52=C29)*(Tournament!I5:I52&gt;Tournament!H5:H52)*1)</f>
        <v>0</v>
      </c>
      <c r="F29" s="308">
        <f ca="1">SUMPRODUCT((Tournament!H5:H52&lt;&gt;"")*(Tournament!F5:F52=C29)*(Tournament!H5:H52=Tournament!I5:I52)*1)+SUMPRODUCT((Tournament!H5:H52&lt;&gt;"")*(Tournament!K5:K52=C29)*(Tournament!H5:H52=Tournament!I5:I52)*1)</f>
        <v>0</v>
      </c>
      <c r="G29" s="308">
        <f ca="1">SUMPRODUCT((Tournament!H5:H52&lt;&gt;"")*(Tournament!F5:F52=C29)*(Tournament!H5:H52&lt;Tournament!I5:I52)*1)+SUMPRODUCT((Tournament!H5:H52&lt;&gt;"")*(Tournament!K5:K52=C29)*(Tournament!I5:I52&lt;Tournament!H5:H52)*1)</f>
        <v>0</v>
      </c>
      <c r="H29" s="308">
        <f ca="1">SUMIF(Tournament!F5:F52,C29,Tournament!H5:H52)+SUMIF(Tournament!K5:K52,C29,Tournament!I5:I52)</f>
        <v>0</v>
      </c>
      <c r="I29" s="308">
        <f ca="1">SUMIF(Tournament!F5:F52,C29,Tournament!I5:I52)+SUMIF(Tournament!K5:K52,C29,Tournament!H5:H52)</f>
        <v>0</v>
      </c>
      <c r="J29" s="308">
        <f t="shared" ca="1" si="3"/>
        <v>0</v>
      </c>
      <c r="K29" s="308">
        <f t="shared" ca="1" si="4"/>
        <v>0</v>
      </c>
      <c r="L29" s="308">
        <f>Setup!E33</f>
        <v>1480</v>
      </c>
      <c r="M29" s="308">
        <f>IF(Setup!F33&lt;&gt;"",Setup!F33,Setup!E33)</f>
        <v>1480</v>
      </c>
      <c r="N29" s="308">
        <f ca="1">RANK(K29,K28:K31)</f>
        <v>1</v>
      </c>
      <c r="O29" s="308">
        <f ca="1">SUMPRODUCT((N28:N31=N29)*(J28:J31&gt;J29)*1)</f>
        <v>0</v>
      </c>
      <c r="P29" s="308">
        <f t="shared" ca="1" si="5"/>
        <v>1</v>
      </c>
      <c r="Q29" s="308">
        <f ca="1">SUMPRODUCT((N28:N31=N29)*(J28:J31=J29)*(H28:H31&gt;H29)*1)</f>
        <v>0</v>
      </c>
      <c r="R29" s="308">
        <f t="shared" ca="1" si="6"/>
        <v>1</v>
      </c>
      <c r="S29" s="308">
        <f ca="1">RANK(R29,R28:R31,1)+COUNTIF(R28:R29,R29)-1</f>
        <v>2</v>
      </c>
      <c r="T29" s="308">
        <v>2</v>
      </c>
      <c r="U29" s="308" t="str">
        <f t="shared" ref="U29" ca="1" si="235">INDEX(C28:C31,MATCH(T29,S28:S31,0),0)</f>
        <v>Cameroon</v>
      </c>
      <c r="V29" s="308">
        <f t="shared" ref="V29" ca="1" si="236">INDEX(R28:R31,MATCH(U29,C28:C31,0),0)</f>
        <v>1</v>
      </c>
      <c r="W29" s="308" t="str">
        <f t="shared" ref="W29" ca="1" si="237">IF(W28&lt;&gt;"",U29,"")</f>
        <v>Cameroon</v>
      </c>
      <c r="X29" s="308" t="str">
        <f t="shared" ref="X29" ca="1" si="238">IF(V30=2,U29,"")</f>
        <v/>
      </c>
      <c r="Z29" s="308">
        <f ca="1">SUMPRODUCT((Tournament!F5:F52=W29)*(Tournament!K5:K52=W28)*(Tournament!H5:H52&gt;Tournament!I5:I52)*1)+SUMPRODUCT((Tournament!K5:K52=W29)*(Tournament!F5:F52=W28)*(Tournament!I5:I52&gt;Tournament!H5:H52)*1)+SUMPRODUCT((Tournament!F5:F52=W29)*(Tournament!K5:K52=W30)*(Tournament!H5:H52&gt;Tournament!I5:I52)*1)+SUMPRODUCT((Tournament!K5:K52=W29)*(Tournament!F5:F52=W30)*(Tournament!I5:I52&gt;Tournament!H5:H52)*1)+SUMPRODUCT((Tournament!F5:F52=W29)*(Tournament!K5:K52=W31)*(Tournament!H5:H52&gt;Tournament!I5:I52)*1)+SUMPRODUCT((Tournament!K5:K52=W29)*(Tournament!F5:F52=W31)*(Tournament!I5:I52&gt;Tournament!H5:H52)*1)</f>
        <v>0</v>
      </c>
      <c r="AA29" s="308">
        <f ca="1">SUMPRODUCT((Tournament!F5:F52=W29)*(Tournament!K5:K52=W28)*(Tournament!H5:H52=Tournament!I5:I52)*1)+SUMPRODUCT((Tournament!K5:K52=W29)*(Tournament!F5:F52=W28)*(Tournament!H5:H52=Tournament!I5:I52)*1)+SUMPRODUCT((Tournament!F5:F52=W29)*(Tournament!K5:K52=W30)*(Tournament!H5:H52=Tournament!I5:I52)*1)+SUMPRODUCT((Tournament!K5:K52=W29)*(Tournament!F5:F52=W30)*(Tournament!H5:H52=Tournament!I5:I52)*1)+SUMPRODUCT((Tournament!F5:F52=W29)*(Tournament!K5:K52=W31)*(Tournament!H5:H52=Tournament!I5:I52)*1)+SUMPRODUCT((Tournament!K5:K52=W29)*(Tournament!F5:F52=W31)*(Tournament!H5:H52=Tournament!I5:I52)*1)</f>
        <v>3</v>
      </c>
      <c r="AB29" s="308">
        <f ca="1">SUMPRODUCT((Tournament!F5:F52=W29)*(Tournament!K5:K52=W28)*(Tournament!H5:H52&lt;Tournament!I5:I52)*1)+SUMPRODUCT((Tournament!K5:K52=W29)*(Tournament!F5:F52=W28)*(Tournament!I5:I52&lt;Tournament!H5:H52)*1)+SUMPRODUCT((Tournament!F5:F52=W29)*(Tournament!K5:K52=W30)*(Tournament!H5:H52&lt;Tournament!I5:I52)*1)+SUMPRODUCT((Tournament!K5:K52=W29)*(Tournament!F5:F52=W30)*(Tournament!I5:I52&lt;Tournament!H5:H52)*1)+SUMPRODUCT((Tournament!F5:F52=W29)*(Tournament!K5:K52=W31)*(Tournament!H5:H52&lt;Tournament!I5:I52)*1)+SUMPRODUCT((Tournament!K5:K52=W29)*(Tournament!F5:F52=W31)*(Tournament!I5:I52&lt;Tournament!H5:H52)*1)</f>
        <v>0</v>
      </c>
      <c r="AC29" s="308">
        <f ca="1">SUMIFS(Tournament!H5:H52,Tournament!F5:F52,W29,Tournament!K5:K52,W28)+SUMIFS(Tournament!H5:H52,Tournament!F5:F52,W29,Tournament!K5:K52,W30)+SUMIFS(Tournament!H5:H52,Tournament!F5:F52,W29,Tournament!K5:K52,W31)+SUMIFS(Tournament!I5:I52,Tournament!K5:K52,W29,Tournament!F5:F52,W28)+SUMIFS(Tournament!I5:I52,Tournament!K5:K52,W29,Tournament!F5:F52,W30)+SUMIFS(Tournament!I5:I52,Tournament!K5:K52,W29,Tournament!F5:F52,W31)</f>
        <v>0</v>
      </c>
      <c r="AD29" s="308">
        <f ca="1">SUMIFS(Tournament!I5:I52,Tournament!F5:F52,W29,Tournament!K5:K52,W28)+SUMIFS(Tournament!I5:I52,Tournament!F5:F52,W29,Tournament!K5:K52,W30)+SUMIFS(Tournament!I5:I52,Tournament!F5:F52,W29,Tournament!K5:K52,W31)+SUMIFS(Tournament!H5:H52,Tournament!K5:K52,W29,Tournament!F5:F52,W28)+SUMIFS(Tournament!H5:H52,Tournament!K5:K52,W29,Tournament!F5:F52,W30)+SUMIFS(Tournament!H5:H52,Tournament!K5:K52,W29,Tournament!F5:F52,W31)</f>
        <v>0</v>
      </c>
      <c r="AE29" s="308">
        <f t="shared" ca="1" si="7"/>
        <v>0</v>
      </c>
      <c r="AF29" s="308">
        <f t="shared" ca="1" si="8"/>
        <v>3</v>
      </c>
      <c r="AG29" s="308">
        <f t="shared" ref="AG29" ca="1" si="239">IF(W29&lt;&gt;"",SUMPRODUCT((V28:V31=V29)*(AF28:AF31&gt;AF29)*1),0)</f>
        <v>0</v>
      </c>
      <c r="AH29" s="308">
        <f t="shared" ref="AH29" ca="1" si="240">IF(W29&lt;&gt;"",SUMPRODUCT((AG28:AG31=AG29)*(AE28:AE31&gt;AE29)*1),0)</f>
        <v>0</v>
      </c>
      <c r="AI29" s="308">
        <f t="shared" ca="1" si="0"/>
        <v>0</v>
      </c>
      <c r="AJ29" s="308">
        <f t="shared" ref="AJ29" ca="1" si="241">IF(W29&lt;&gt;"",SUMPRODUCT((AI28:AI31=AI29)*(AG28:AG31=AG29)*(AC28:AC31&gt;AC29)*1),0)</f>
        <v>0</v>
      </c>
      <c r="AK29" s="308">
        <f t="shared" ca="1" si="9"/>
        <v>1</v>
      </c>
      <c r="AL29" s="308">
        <f ca="1">SUMPRODUCT((Tournament!F5:F52=X29)*(Tournament!K5:K52=X30)*(Tournament!H5:H52&gt;Tournament!I5:I52)*1)+SUMPRODUCT((Tournament!K5:K52=X29)*(Tournament!F5:F52=X30)*(Tournament!I5:I52&gt;Tournament!H5:H52)*1)+SUMPRODUCT((Tournament!F5:F52=X29)*(Tournament!K5:K52=X31)*(Tournament!H5:H52&gt;Tournament!I5:I52)*1)+SUMPRODUCT((Tournament!K5:K52=X29)*(Tournament!F5:F52=X31)*(Tournament!I5:I52&gt;Tournament!H5:H52)*1)</f>
        <v>0</v>
      </c>
      <c r="AM29" s="308">
        <f ca="1">SUMPRODUCT((Tournament!F5:F52=X29)*(Tournament!K5:K52=X30)*(Tournament!H5:H52=Tournament!I5:I52)*1)+SUMPRODUCT((Tournament!K5:K52=X29)*(Tournament!F5:F52=X30)*(Tournament!H5:H52=Tournament!I5:I52)*1)+SUMPRODUCT((Tournament!F5:F52=X29)*(Tournament!K5:K52=X31)*(Tournament!H5:H52=Tournament!I5:I52)*1)+SUMPRODUCT((Tournament!K5:K52=X29)*(Tournament!F5:F52=X31)*(Tournament!H5:H52=Tournament!I5:I52)*1)</f>
        <v>0</v>
      </c>
      <c r="AN29" s="308">
        <f ca="1">SUMPRODUCT((Tournament!F5:F52=X29)*(Tournament!K5:K52=X30)*(Tournament!H5:H52&lt;Tournament!I5:I52)*1)+SUMPRODUCT((Tournament!K5:K52=X29)*(Tournament!F5:F52=X30)*(Tournament!I5:I52&lt;Tournament!H5:H52)*1)+SUMPRODUCT((Tournament!F5:F52=X29)*(Tournament!K5:K52=X31)*(Tournament!H5:H52&lt;Tournament!I5:I52)*1)+SUMPRODUCT((Tournament!K5:K52=X29)*(Tournament!F5:F52=X31)*(Tournament!I5:I52&lt;Tournament!H5:H52)*1)</f>
        <v>0</v>
      </c>
      <c r="AO29" s="308">
        <f ca="1">SUMIFS(Tournament!H5:H52,Tournament!F5:F52,X29,Tournament!K5:K52,X30)+SUMIFS(Tournament!H5:H52,Tournament!F5:F52,X29,Tournament!K5:K52,X31)+SUMIFS(Tournament!I5:I52,Tournament!K5:K52,X29,Tournament!F5:F52,X30)+SUMIFS(Tournament!I5:I52,Tournament!K5:K52,X29,Tournament!F5:F52,X31)</f>
        <v>0</v>
      </c>
      <c r="AP29" s="308">
        <f ca="1">SUMIFS(Tournament!I5:I52,Tournament!F5:F52,X29,Tournament!K5:K52,X30)+SUMIFS(Tournament!I5:I52,Tournament!F5:F52,X29,Tournament!K5:K52,X31)+SUMIFS(Tournament!H5:H52,Tournament!K5:K52,X29,Tournament!F5:F52,X30)+SUMIFS(Tournament!H5:H52,Tournament!K5:K52,X29,Tournament!F5:F52,X31)</f>
        <v>0</v>
      </c>
      <c r="AQ29" s="308">
        <f t="shared" ca="1" si="10"/>
        <v>0</v>
      </c>
      <c r="AR29" s="308">
        <f t="shared" ca="1" si="11"/>
        <v>0</v>
      </c>
      <c r="AS29" s="308">
        <f t="shared" ref="AS29" ca="1" si="242">IF(X29&lt;&gt;"",SUMPRODUCT((V28:V31=V29)*(AR28:AR31&gt;AR29)*1),0)</f>
        <v>0</v>
      </c>
      <c r="AT29" s="308">
        <f t="shared" ref="AT29" ca="1" si="243">IF(X29&lt;&gt;"",SUMPRODUCT((AS28:AS31=AS29)*(AQ28:AQ31&gt;AQ29)*1),0)</f>
        <v>0</v>
      </c>
      <c r="AU29" s="308">
        <f t="shared" ca="1" si="12"/>
        <v>0</v>
      </c>
      <c r="AV29" s="308">
        <f t="shared" ref="AV29" ca="1" si="244">IF(X29&lt;&gt;"",SUMPRODUCT((AU28:AU31=AU29)*(AS28:AS31=AS29)*(AO28:AO31&gt;AO29)*1),0)</f>
        <v>0</v>
      </c>
      <c r="AW29" s="308">
        <f t="shared" ca="1" si="13"/>
        <v>1</v>
      </c>
      <c r="AX29" s="308">
        <v>0</v>
      </c>
      <c r="AY29" s="308">
        <v>0</v>
      </c>
      <c r="AZ29" s="308">
        <v>0</v>
      </c>
      <c r="BA29" s="308">
        <v>0</v>
      </c>
      <c r="BB29" s="308">
        <v>0</v>
      </c>
      <c r="BC29" s="308">
        <v>0</v>
      </c>
      <c r="BD29" s="308">
        <v>0</v>
      </c>
      <c r="BE29" s="308">
        <v>0</v>
      </c>
      <c r="BF29" s="308">
        <v>0</v>
      </c>
      <c r="BG29" s="308">
        <v>0</v>
      </c>
      <c r="BH29" s="308">
        <v>0</v>
      </c>
      <c r="BI29" s="308">
        <f t="shared" ca="1" si="17"/>
        <v>1</v>
      </c>
      <c r="BJ29" s="308">
        <f ca="1">SUMPRODUCT((BI28:BI31=BI29)*(A28:A31&gt;A29)*1)</f>
        <v>3</v>
      </c>
      <c r="BK29" s="308">
        <f t="shared" ca="1" si="14"/>
        <v>4</v>
      </c>
      <c r="BM29" s="314"/>
      <c r="BN29" s="315"/>
      <c r="BO29" s="316" t="str">
        <f>Calculator!C26</f>
        <v>Belgium</v>
      </c>
      <c r="BP29" s="317" t="s">
        <v>676</v>
      </c>
      <c r="BQ29" s="316"/>
      <c r="BR29" s="309">
        <v>23</v>
      </c>
      <c r="BS29" s="318">
        <v>-1</v>
      </c>
      <c r="BT29" s="174"/>
      <c r="BU29" s="22">
        <v>23</v>
      </c>
      <c r="BV29" s="320">
        <f t="shared" si="18"/>
        <v>44891.791666666664</v>
      </c>
      <c r="BW29" s="321">
        <v>44891.791666666664</v>
      </c>
      <c r="BX29" s="322">
        <f t="shared" si="19"/>
        <v>44891.791666666664</v>
      </c>
      <c r="BZ29" s="309" t="str">
        <f>INDEX(Language!A1:K117,MATCH(Setup!B30,Language!B1:B117,0),MATCH(Setup!C5,Language!A1:J1,0))</f>
        <v>Belgium</v>
      </c>
    </row>
    <row r="30" spans="1:78" x14ac:dyDescent="0.35">
      <c r="A30" s="308">
        <f ca="1">INDEX(M4:M35,MATCH(U30,C4:C35,0),0)</f>
        <v>1833</v>
      </c>
      <c r="B30" s="308">
        <f t="shared" si="25"/>
        <v>3</v>
      </c>
      <c r="C30" s="308" t="str">
        <f t="shared" si="1"/>
        <v>Brazil</v>
      </c>
      <c r="D30" s="308">
        <f t="shared" ca="1" si="2"/>
        <v>0</v>
      </c>
      <c r="E30" s="308">
        <f ca="1">SUMPRODUCT((Tournament!H5:H52&lt;&gt;"")*(Tournament!F5:F52=C30)*(Tournament!H5:H52&gt;Tournament!I5:I52)*1)+SUMPRODUCT((Tournament!H5:H52&lt;&gt;"")*(Tournament!K5:K52=C30)*(Tournament!I5:I52&gt;Tournament!H5:H52)*1)</f>
        <v>0</v>
      </c>
      <c r="F30" s="308">
        <f ca="1">SUMPRODUCT((Tournament!H5:H52&lt;&gt;"")*(Tournament!F5:F52=C30)*(Tournament!H5:H52=Tournament!I5:I52)*1)+SUMPRODUCT((Tournament!H5:H52&lt;&gt;"")*(Tournament!K5:K52=C30)*(Tournament!H5:H52=Tournament!I5:I52)*1)</f>
        <v>0</v>
      </c>
      <c r="G30" s="308">
        <f ca="1">SUMPRODUCT((Tournament!H5:H52&lt;&gt;"")*(Tournament!F5:F52=C30)*(Tournament!H5:H52&lt;Tournament!I5:I52)*1)+SUMPRODUCT((Tournament!H5:H52&lt;&gt;"")*(Tournament!K5:K52=C30)*(Tournament!I5:I52&lt;Tournament!H5:H52)*1)</f>
        <v>0</v>
      </c>
      <c r="H30" s="308">
        <f ca="1">SUMIF(Tournament!F5:F52,C30,Tournament!H5:H52)+SUMIF(Tournament!K5:K52,C30,Tournament!I5:I52)</f>
        <v>0</v>
      </c>
      <c r="I30" s="308">
        <f ca="1">SUMIF(Tournament!F5:F52,C30,Tournament!I5:I52)+SUMIF(Tournament!K5:K52,C30,Tournament!H5:H52)</f>
        <v>0</v>
      </c>
      <c r="J30" s="308">
        <f t="shared" ca="1" si="3"/>
        <v>0</v>
      </c>
      <c r="K30" s="308">
        <f t="shared" ca="1" si="4"/>
        <v>0</v>
      </c>
      <c r="L30" s="308">
        <f>Setup!E34</f>
        <v>1833</v>
      </c>
      <c r="M30" s="308">
        <f>IF(Setup!F34&lt;&gt;"",Setup!F34,Setup!E34)</f>
        <v>1833</v>
      </c>
      <c r="N30" s="308">
        <f ca="1">RANK(K30,K28:K31)</f>
        <v>1</v>
      </c>
      <c r="O30" s="308">
        <f ca="1">SUMPRODUCT((N28:N31=N30)*(J28:J31&gt;J30)*1)</f>
        <v>0</v>
      </c>
      <c r="P30" s="308">
        <f t="shared" ca="1" si="5"/>
        <v>1</v>
      </c>
      <c r="Q30" s="308">
        <f ca="1">SUMPRODUCT((N28:N31=N30)*(J28:J31=J30)*(H28:H31&gt;H30)*1)</f>
        <v>0</v>
      </c>
      <c r="R30" s="308">
        <f t="shared" ca="1" si="6"/>
        <v>1</v>
      </c>
      <c r="S30" s="308">
        <f ca="1">RANK(R30,R28:R31,1)+COUNTIF(R28:R30,R30)-1</f>
        <v>3</v>
      </c>
      <c r="T30" s="308">
        <v>3</v>
      </c>
      <c r="U30" s="308" t="str">
        <f t="shared" ref="U30" ca="1" si="245">INDEX(C28:C31,MATCH(T30,S28:S31,0),0)</f>
        <v>Brazil</v>
      </c>
      <c r="V30" s="308">
        <f t="shared" ref="V30" ca="1" si="246">INDEX(R28:R31,MATCH(U30,C28:C31,0),0)</f>
        <v>1</v>
      </c>
      <c r="W30" s="308" t="str">
        <f t="shared" ref="W30:W31" ca="1" si="247">IF(AND(W29&lt;&gt;"",V30=1),U30,"")</f>
        <v>Brazil</v>
      </c>
      <c r="X30" s="308" t="str">
        <f t="shared" ref="X30" ca="1" si="248">IF(X29&lt;&gt;"",U30,"")</f>
        <v/>
      </c>
      <c r="Y30" s="308" t="str">
        <f t="shared" ref="Y30" ca="1" si="249">IF(V31=3,U30,"")</f>
        <v/>
      </c>
      <c r="Z30" s="308">
        <f ca="1">SUMPRODUCT((Tournament!F5:F52=W30)*(Tournament!K5:K52=W28)*(Tournament!H5:H52&gt;Tournament!I5:I52)*1)+SUMPRODUCT((Tournament!K5:K52=W30)*(Tournament!F5:F52=W28)*(Tournament!I5:I52&gt;Tournament!H5:H52)*1)+SUMPRODUCT((Tournament!F5:F52=W30)*(Tournament!K5:K52=W29)*(Tournament!H5:H52&gt;Tournament!I5:I52)*1)+SUMPRODUCT((Tournament!K5:K52=W30)*(Tournament!F5:F52=W29)*(Tournament!I5:I52&gt;Tournament!H5:H52)*1)+SUMPRODUCT((Tournament!F5:F52=W30)*(Tournament!K5:K52=W31)*(Tournament!H5:H52&gt;Tournament!I5:I52)*1)+SUMPRODUCT((Tournament!K5:K52=W30)*(Tournament!F5:F52=W31)*(Tournament!I5:I52&gt;Tournament!H5:H52)*1)</f>
        <v>0</v>
      </c>
      <c r="AA30" s="308">
        <f ca="1">SUMPRODUCT((Tournament!F5:F52=W30)*(Tournament!K5:K52=W28)*(Tournament!H5:H52=Tournament!I5:I52)*1)+SUMPRODUCT((Tournament!K5:K52=W30)*(Tournament!F5:F52=W28)*(Tournament!H5:H52=Tournament!I5:I52)*1)+SUMPRODUCT((Tournament!F5:F52=W30)*(Tournament!K5:K52=W29)*(Tournament!H5:H52=Tournament!I5:I52)*1)+SUMPRODUCT((Tournament!K5:K52=W30)*(Tournament!F5:F52=W29)*(Tournament!H5:H52=Tournament!I5:I52)*1)+SUMPRODUCT((Tournament!F5:F52=W30)*(Tournament!K5:K52=W31)*(Tournament!H5:H52=Tournament!I5:I52)*1)+SUMPRODUCT((Tournament!K5:K52=W30)*(Tournament!F5:F52=W31)*(Tournament!H5:H52=Tournament!I5:I52)*1)</f>
        <v>3</v>
      </c>
      <c r="AB30" s="308">
        <f ca="1">SUMPRODUCT((Tournament!F5:F52=W30)*(Tournament!K5:K52=W28)*(Tournament!H5:H52&lt;Tournament!I5:I52)*1)+SUMPRODUCT((Tournament!K5:K52=W30)*(Tournament!F5:F52=W28)*(Tournament!I5:I52&lt;Tournament!H5:H52)*1)+SUMPRODUCT((Tournament!F5:F52=W30)*(Tournament!K5:K52=W29)*(Tournament!H5:H52&lt;Tournament!I5:I52)*1)+SUMPRODUCT((Tournament!K5:K52=W30)*(Tournament!F5:F52=W29)*(Tournament!I5:I52&lt;Tournament!H5:H52)*1)+SUMPRODUCT((Tournament!F5:F52=W30)*(Tournament!K5:K52=W31)*(Tournament!H5:H52&lt;Tournament!I5:I52)*1)+SUMPRODUCT((Tournament!K5:K52=W30)*(Tournament!F5:F52=W31)*(Tournament!I5:I52&lt;Tournament!H5:H52)*1)</f>
        <v>0</v>
      </c>
      <c r="AC30" s="308">
        <f ca="1">SUMIFS(Tournament!H5:H52,Tournament!F5:F52,W30,Tournament!K5:K52,W28)+SUMIFS(Tournament!H5:H52,Tournament!F5:F52,W30,Tournament!K5:K52,W29)+SUMIFS(Tournament!H5:H52,Tournament!F5:F52,W30,Tournament!K5:K52,W31)+SUMIFS(Tournament!I5:I52,Tournament!K5:K52,W30,Tournament!F5:F52,W28)+SUMIFS(Tournament!I5:I52,Tournament!K5:K52,W30,Tournament!F5:F52,W29)+SUMIFS(Tournament!I5:I52,Tournament!K5:K52,W30,Tournament!F5:F52,W31)</f>
        <v>0</v>
      </c>
      <c r="AD30" s="308">
        <f ca="1">SUMIFS(Tournament!I5:I52,Tournament!F5:F52,W30,Tournament!K5:K52,W28)+SUMIFS(Tournament!I5:I52,Tournament!F5:F52,W30,Tournament!K5:K52,W29)+SUMIFS(Tournament!I5:I52,Tournament!F5:F52,W30,Tournament!K5:K52,W31)+SUMIFS(Tournament!H5:H52,Tournament!K5:K52,W30,Tournament!F5:F52,W28)+SUMIFS(Tournament!H5:H52,Tournament!K5:K52,W30,Tournament!F5:F52,W29)+SUMIFS(Tournament!H5:H52,Tournament!K5:K52,W30,Tournament!F5:F52,W31)</f>
        <v>0</v>
      </c>
      <c r="AE30" s="308">
        <f t="shared" ca="1" si="7"/>
        <v>0</v>
      </c>
      <c r="AF30" s="308">
        <f t="shared" ca="1" si="8"/>
        <v>3</v>
      </c>
      <c r="AG30" s="308">
        <f t="shared" ref="AG30" ca="1" si="250">IF(W30&lt;&gt;"",SUMPRODUCT((V28:V31=V30)*(AF28:AF31&gt;AF30)*1),0)</f>
        <v>0</v>
      </c>
      <c r="AH30" s="308">
        <f t="shared" ref="AH30" ca="1" si="251">IF(W30&lt;&gt;"",SUMPRODUCT((AG28:AG31=AG30)*(AE28:AE31&gt;AE30)*1),0)</f>
        <v>0</v>
      </c>
      <c r="AI30" s="308">
        <f t="shared" ca="1" si="0"/>
        <v>0</v>
      </c>
      <c r="AJ30" s="308">
        <f t="shared" ref="AJ30" ca="1" si="252">IF(W30&lt;&gt;"",SUMPRODUCT((AI28:AI31=AI30)*(AG28:AG31=AG30)*(AC28:AC31&gt;AC30)*1),0)</f>
        <v>0</v>
      </c>
      <c r="AK30" s="308">
        <f t="shared" ca="1" si="9"/>
        <v>1</v>
      </c>
      <c r="AL30" s="308">
        <f ca="1">SUMPRODUCT((Tournament!F5:F52=X30)*(Tournament!K5:K52=X29)*(Tournament!H5:H52&gt;Tournament!I5:I52)*1)+SUMPRODUCT((Tournament!K5:K52=X30)*(Tournament!F5:F52=X29)*(Tournament!I5:I52&gt;Tournament!H5:H52)*1)+SUMPRODUCT((Tournament!F5:F52=X30)*(Tournament!K5:K52=X31)*(Tournament!H5:H52&gt;Tournament!I5:I52)*1)+SUMPRODUCT((Tournament!K5:K52=X30)*(Tournament!F5:F52=X31)*(Tournament!I5:I52&gt;Tournament!H5:H52)*1)</f>
        <v>0</v>
      </c>
      <c r="AM30" s="308">
        <f ca="1">SUMPRODUCT((Tournament!F5:F52=X30)*(Tournament!K5:K52=X29)*(Tournament!H5:H52=Tournament!I5:I52)*1)+SUMPRODUCT((Tournament!K5:K52=X30)*(Tournament!F5:F52=X29)*(Tournament!H5:H52=Tournament!I5:I52)*1)+SUMPRODUCT((Tournament!F5:F52=X30)*(Tournament!K5:K52=X31)*(Tournament!H5:H52=Tournament!I5:I52)*1)+SUMPRODUCT((Tournament!K5:K52=X30)*(Tournament!F5:F52=X31)*(Tournament!H5:H52=Tournament!I5:I52)*1)</f>
        <v>0</v>
      </c>
      <c r="AN30" s="308">
        <f ca="1">SUMPRODUCT((Tournament!F5:F52=X30)*(Tournament!K5:K52=X29)*(Tournament!H5:H52&lt;Tournament!I5:I52)*1)+SUMPRODUCT((Tournament!K5:K52=X30)*(Tournament!F5:F52=X29)*(Tournament!I5:I52&lt;Tournament!H5:H52)*1)+SUMPRODUCT((Tournament!F5:F52=X30)*(Tournament!K5:K52=X31)*(Tournament!H5:H52&lt;Tournament!I5:I52)*1)+SUMPRODUCT((Tournament!K5:K52=X30)*(Tournament!F5:F52=X31)*(Tournament!I5:I52&lt;Tournament!H5:H52)*1)</f>
        <v>0</v>
      </c>
      <c r="AO30" s="308">
        <f ca="1">SUMIFS(Tournament!H5:H52,Tournament!F5:F52,X30,Tournament!K5:K52,X29)+SUMIFS(Tournament!H5:H52,Tournament!F5:F52,X30,Tournament!K5:K52,X31)+SUMIFS(Tournament!I5:I52,Tournament!K5:K52,X30,Tournament!F5:F52,X29)+SUMIFS(Tournament!I5:I52,Tournament!K5:K52,X30,Tournament!F5:F52,X31)</f>
        <v>0</v>
      </c>
      <c r="AP30" s="308">
        <f ca="1">SUMIFS(Tournament!I5:I52,Tournament!F5:F52,X30,Tournament!K5:K52,X29)+SUMIFS(Tournament!I5:I52,Tournament!F5:F52,X30,Tournament!K5:K52,X31)+SUMIFS(Tournament!H5:H52,Tournament!K5:K52,X30,Tournament!F5:F52,X29)+SUMIFS(Tournament!H5:H52,Tournament!K5:K52,X30,Tournament!F5:F52,X31)</f>
        <v>0</v>
      </c>
      <c r="AQ30" s="308">
        <f t="shared" ca="1" si="10"/>
        <v>0</v>
      </c>
      <c r="AR30" s="308">
        <f t="shared" ca="1" si="11"/>
        <v>0</v>
      </c>
      <c r="AS30" s="308">
        <f t="shared" ref="AS30" ca="1" si="253">IF(X30&lt;&gt;"",SUMPRODUCT((V28:V31=V30)*(AR28:AR31&gt;AR30)*1),0)</f>
        <v>0</v>
      </c>
      <c r="AT30" s="308">
        <f t="shared" ref="AT30" ca="1" si="254">IF(X30&lt;&gt;"",SUMPRODUCT((AS28:AS31=AS30)*(AQ28:AQ31&gt;AQ30)*1),0)</f>
        <v>0</v>
      </c>
      <c r="AU30" s="308">
        <f t="shared" ca="1" si="12"/>
        <v>0</v>
      </c>
      <c r="AV30" s="308">
        <f t="shared" ref="AV30" ca="1" si="255">IF(X30&lt;&gt;"",SUMPRODUCT((AU28:AU31=AU30)*(AS28:AS31=AS30)*(AO28:AO31&gt;AO30)*1),0)</f>
        <v>0</v>
      </c>
      <c r="AW30" s="308">
        <f t="shared" ca="1" si="13"/>
        <v>1</v>
      </c>
      <c r="AX30" s="308">
        <f ca="1">SUMPRODUCT((Tournament!F5:F52=Y30)*(Tournament!K5:K52=Y31)*(Tournament!H5:H52&gt;Tournament!I5:I52)*1)+SUMPRODUCT((Tournament!K5:K52=Y30)*(Tournament!F5:F52=Y31)*(Tournament!I5:I52&gt;Tournament!H5:H52)*1)</f>
        <v>0</v>
      </c>
      <c r="AY30" s="308">
        <f ca="1">SUMPRODUCT((Tournament!F5:F52=Y30)*(Tournament!K5:K52=Y31)*(Tournament!H5:H52=Tournament!I5:I52)*1)+SUMPRODUCT((Tournament!K5:K52=Y30)*(Tournament!F5:F52=Y31)*(Tournament!I5:I52=Tournament!H5:H52)*1)</f>
        <v>0</v>
      </c>
      <c r="AZ30" s="308">
        <f ca="1">SUMPRODUCT((Tournament!F5:F52=Y30)*(Tournament!K5:K52=Y31)*(Tournament!H5:H52&lt;Tournament!I5:I52)*1)+SUMPRODUCT((Tournament!K5:K52=Y30)*(Tournament!F5:F52=Y31)*(Tournament!I5:I52&lt;Tournament!H5:H52)*1)</f>
        <v>0</v>
      </c>
      <c r="BA30" s="308">
        <f ca="1">SUMIFS(Tournament!H5:H52,Tournament!F5:F52,Y30,Tournament!K5:K52,Y31)+SUMIFS(Tournament!I5:I52,Tournament!K5:K52,Y30,Tournament!F5:F52,Y31)</f>
        <v>0</v>
      </c>
      <c r="BB30" s="308">
        <f ca="1">SUMIFS(Tournament!I5:I52,Tournament!F5:F52,Y30,Tournament!K5:K52,Y31)+SUMIFS(Tournament!H5:H52,Tournament!K5:K52,Y30,Tournament!F5:F52,Y31)</f>
        <v>0</v>
      </c>
      <c r="BC30" s="308">
        <f t="shared" ref="BC30:BC31" ca="1" si="256">BA30-BB30</f>
        <v>0</v>
      </c>
      <c r="BD30" s="308">
        <f t="shared" ref="BD30:BD31" ca="1" si="257">AY30*1+AX30*3</f>
        <v>0</v>
      </c>
      <c r="BE30" s="308">
        <f t="shared" ref="BE30" ca="1" si="258">IF(Y30&lt;&gt;"",SUMPRODUCT((AH28:AH31=AH30)*(BD28:BD31&gt;BD30)*1),0)</f>
        <v>0</v>
      </c>
      <c r="BF30" s="308">
        <f t="shared" ref="BF30" ca="1" si="259">IF(Y30&lt;&gt;"",SUMPRODUCT((BE28:BE31=BE30)*(BC28:BC31&gt;BC30)*1),0)</f>
        <v>0</v>
      </c>
      <c r="BG30" s="308">
        <f t="shared" ref="BG30:BG31" ca="1" si="260">BE30+BF30</f>
        <v>0</v>
      </c>
      <c r="BH30" s="308">
        <f t="shared" ref="BH30" ca="1" si="261">IF(Y30&lt;&gt;"",SUMPRODUCT((BG28:BG31=BG30)*(BE28:BE31=BE30)*(BA28:BA31&gt;BA30)*1),0)</f>
        <v>0</v>
      </c>
      <c r="BI30" s="308">
        <f t="shared" ca="1" si="17"/>
        <v>1</v>
      </c>
      <c r="BJ30" s="308">
        <f ca="1">SUMPRODUCT((BI28:BI31=BI30)*(A28:A31&gt;A30)*1)</f>
        <v>0</v>
      </c>
      <c r="BK30" s="308">
        <f t="shared" ca="1" si="14"/>
        <v>1</v>
      </c>
      <c r="BM30" s="314"/>
      <c r="BN30" s="315"/>
      <c r="BO30" s="316" t="str">
        <f>Calculator!C27</f>
        <v>Canada</v>
      </c>
      <c r="BP30" s="317" t="s">
        <v>677</v>
      </c>
      <c r="BQ30" s="316"/>
      <c r="BR30" s="309">
        <v>24</v>
      </c>
      <c r="BS30" s="318">
        <v>-0.5</v>
      </c>
      <c r="BT30" s="174"/>
      <c r="BU30" s="22">
        <v>24</v>
      </c>
      <c r="BV30" s="320">
        <f t="shared" si="18"/>
        <v>44891.916666666664</v>
      </c>
      <c r="BW30" s="321">
        <v>44891.916666666664</v>
      </c>
      <c r="BX30" s="322">
        <f t="shared" si="19"/>
        <v>44891.916666666664</v>
      </c>
      <c r="BZ30" s="309" t="str">
        <f>INDEX(Language!A1:K117,MATCH(Setup!B31,Language!B1:B117,0),MATCH(Setup!C5,Language!A1:J1,0))</f>
        <v>Canada</v>
      </c>
    </row>
    <row r="31" spans="1:78" ht="15.5" x14ac:dyDescent="0.35">
      <c r="A31" s="308">
        <f ca="1">INDEX(M4:M35,MATCH(U31,C4:C35,0),0)</f>
        <v>1548</v>
      </c>
      <c r="B31" s="308">
        <f t="shared" si="25"/>
        <v>4</v>
      </c>
      <c r="C31" s="308" t="str">
        <f t="shared" si="1"/>
        <v>Serbia</v>
      </c>
      <c r="D31" s="308">
        <f t="shared" ca="1" si="2"/>
        <v>0</v>
      </c>
      <c r="E31" s="308">
        <f ca="1">SUMPRODUCT((Tournament!H5:H52&lt;&gt;"")*(Tournament!F5:F52=C31)*(Tournament!H5:H52&gt;Tournament!I5:I52)*1)+SUMPRODUCT((Tournament!H5:H52&lt;&gt;"")*(Tournament!K5:K52=C31)*(Tournament!I5:I52&gt;Tournament!H5:H52)*1)</f>
        <v>0</v>
      </c>
      <c r="F31" s="308">
        <f ca="1">SUMPRODUCT((Tournament!H5:H52&lt;&gt;"")*(Tournament!F5:F52=C31)*(Tournament!H5:H52=Tournament!I5:I52)*1)+SUMPRODUCT((Tournament!H5:H52&lt;&gt;"")*(Tournament!K5:K52=C31)*(Tournament!H5:H52=Tournament!I5:I52)*1)</f>
        <v>0</v>
      </c>
      <c r="G31" s="308">
        <f ca="1">SUMPRODUCT((Tournament!H5:H52&lt;&gt;"")*(Tournament!F5:F52=C31)*(Tournament!H5:H52&lt;Tournament!I5:I52)*1)+SUMPRODUCT((Tournament!H5:H52&lt;&gt;"")*(Tournament!K5:K52=C31)*(Tournament!I5:I52&lt;Tournament!H5:H52)*1)</f>
        <v>0</v>
      </c>
      <c r="H31" s="308">
        <f ca="1">SUMIF(Tournament!F5:F52,C31,Tournament!H5:H52)+SUMIF(Tournament!K5:K52,C31,Tournament!I5:I52)</f>
        <v>0</v>
      </c>
      <c r="I31" s="308">
        <f ca="1">SUMIF(Tournament!F5:F52,C31,Tournament!I5:I52)+SUMIF(Tournament!K5:K52,C31,Tournament!H5:H52)</f>
        <v>0</v>
      </c>
      <c r="J31" s="308">
        <f t="shared" ca="1" si="3"/>
        <v>0</v>
      </c>
      <c r="K31" s="308">
        <f t="shared" ca="1" si="4"/>
        <v>0</v>
      </c>
      <c r="L31" s="308">
        <f>Setup!E35</f>
        <v>1548</v>
      </c>
      <c r="M31" s="308">
        <f>IF(Setup!F35&lt;&gt;"",Setup!F35,Setup!E35)</f>
        <v>1548</v>
      </c>
      <c r="N31" s="308">
        <f ca="1">RANK(K31,K28:K31)</f>
        <v>1</v>
      </c>
      <c r="O31" s="308">
        <f ca="1">SUMPRODUCT((N28:N31=N31)*(J28:J31&gt;J31)*1)</f>
        <v>0</v>
      </c>
      <c r="P31" s="308">
        <f t="shared" ca="1" si="5"/>
        <v>1</v>
      </c>
      <c r="Q31" s="308">
        <f ca="1">SUMPRODUCT((N28:N31=N31)*(J28:J31=J31)*(H28:H31&gt;H31)*1)</f>
        <v>0</v>
      </c>
      <c r="R31" s="308">
        <f t="shared" ca="1" si="6"/>
        <v>1</v>
      </c>
      <c r="S31" s="308">
        <f ca="1">RANK(R31,R28:R31,1)+COUNTIF(R28:R31,R31)-1</f>
        <v>4</v>
      </c>
      <c r="T31" s="308">
        <v>4</v>
      </c>
      <c r="U31" s="308" t="str">
        <f t="shared" ref="U31" ca="1" si="262">INDEX(C28:C31,MATCH(T31,S28:S31,0),0)</f>
        <v>Serbia</v>
      </c>
      <c r="V31" s="308">
        <f t="shared" ref="V31" ca="1" si="263">INDEX(R28:R31,MATCH(U31,C28:C31,0),0)</f>
        <v>1</v>
      </c>
      <c r="W31" s="308" t="str">
        <f t="shared" ca="1" si="247"/>
        <v>Serbia</v>
      </c>
      <c r="X31" s="308" t="str">
        <f t="shared" ref="X31" ca="1" si="264">IF(AND(X30&lt;&gt;"",V31=2),U31,"")</f>
        <v/>
      </c>
      <c r="Y31" s="308" t="str">
        <f t="shared" ref="Y31" ca="1" si="265">IF(AND(Y30&lt;&gt;"",V31=3),U31,"")</f>
        <v/>
      </c>
      <c r="Z31" s="308">
        <f ca="1">SUMPRODUCT((Tournament!F5:F52=W31)*(Tournament!K5:K52=W28)*(Tournament!H5:H52&gt;Tournament!I5:I52)*1)+SUMPRODUCT((Tournament!K5:K52=W31)*(Tournament!F5:F52=W28)*(Tournament!I5:I52&gt;Tournament!H5:H52)*1)+SUMPRODUCT((Tournament!F5:F52=W31)*(Tournament!K5:K52=W29)*(Tournament!H5:H52&gt;Tournament!I5:I52)*1)+SUMPRODUCT((Tournament!K5:K52=W31)*(Tournament!F5:F52=W29)*(Tournament!I5:I52&gt;Tournament!H5:H52)*1)+SUMPRODUCT((Tournament!F5:F52=W31)*(Tournament!K5:K52=W30)*(Tournament!H5:H52&gt;Tournament!I5:I52)*1)+SUMPRODUCT((Tournament!K5:K52=W31)*(Tournament!F5:F52=W30)*(Tournament!I5:I52&gt;Tournament!H5:H52)*1)</f>
        <v>0</v>
      </c>
      <c r="AA31" s="308">
        <f ca="1">SUMPRODUCT((Tournament!F5:F52=W31)*(Tournament!K5:K52=W28)*(Tournament!H5:H52&gt;=Tournament!I5:I52)*1)+SUMPRODUCT((Tournament!K5:K52=W31)*(Tournament!F5:F52=W28)*(Tournament!H5:H52=Tournament!I5:I52)*1)+SUMPRODUCT((Tournament!F5:F52=W31)*(Tournament!K5:K52=W29)*(Tournament!H5:H52=Tournament!I5:I52)*1)+SUMPRODUCT((Tournament!K5:K52=W31)*(Tournament!F5:F52=W29)*(Tournament!H5:H52=Tournament!I5:I52)*1)+SUMPRODUCT((Tournament!F5:F52=W31)*(Tournament!K5:K52=W30)*(Tournament!H5:H52=Tournament!I5:I52)*1)+SUMPRODUCT((Tournament!K5:K52=W31)*(Tournament!F5:F52=W30)*(Tournament!H5:H52=Tournament!I5:I52)*1)</f>
        <v>3</v>
      </c>
      <c r="AB31" s="308">
        <f ca="1">SUMPRODUCT((Tournament!F5:F52=W31)*(Tournament!K5:K52=W28)*(Tournament!H5:H52&lt;Tournament!I5:I52)*1)+SUMPRODUCT((Tournament!K5:K52=W31)*(Tournament!F5:F52=W28)*(Tournament!I5:I52&lt;Tournament!H5:H52)*1)+SUMPRODUCT((Tournament!F5:F52=W31)*(Tournament!K5:K52=W29)*(Tournament!H5:H52&lt;Tournament!I5:I52)*1)+SUMPRODUCT((Tournament!K5:K52=W31)*(Tournament!F5:F52=W29)*(Tournament!I5:I52&lt;Tournament!H5:H52)*1)+SUMPRODUCT((Tournament!F5:F52=W31)*(Tournament!K5:K52=W30)*(Tournament!H5:H52&lt;Tournament!I5:I52)*1)+SUMPRODUCT((Tournament!K5:K52=W31)*(Tournament!F5:F52=W30)*(Tournament!I5:I52&lt;Tournament!H5:H52)*1)</f>
        <v>0</v>
      </c>
      <c r="AC31" s="308">
        <f ca="1">SUMIFS(Tournament!H5:H52,Tournament!F5:F52,W31,Tournament!K5:K52,W28)+SUMIFS(Tournament!H5:H52,Tournament!F5:F52,W31,Tournament!K5:K52,W29)+SUMIFS(Tournament!H5:H52,Tournament!F5:F52,W31,Tournament!K5:K52,W30)+SUMIFS(Tournament!I5:I52,Tournament!K5:K52,W31,Tournament!F5:F52,W28)+SUMIFS(Tournament!I5:I52,Tournament!K5:K52,W31,Tournament!F5:F52,W29)+SUMIFS(Tournament!I5:I52,Tournament!K5:K52,W31,Tournament!F5:F52,W30)</f>
        <v>0</v>
      </c>
      <c r="AD31" s="308">
        <f ca="1">SUMIFS(Tournament!I5:I52,Tournament!F5:F52,W31,Tournament!K5:K52,W28)+SUMIFS(Tournament!I5:I52,Tournament!F5:F52,W31,Tournament!K5:K52,W29)+SUMIFS(Tournament!I5:I52,Tournament!F5:F52,W31,Tournament!K5:K52,W30)+SUMIFS(Tournament!H5:H52,Tournament!K5:K52,W31,Tournament!F5:F52,W28)+SUMIFS(Tournament!H5:H52,Tournament!K5:K52,W31,Tournament!F5:F52,W29)+SUMIFS(Tournament!H5:H52,Tournament!K5:K52,W31,Tournament!F5:F52,W30)</f>
        <v>0</v>
      </c>
      <c r="AE31" s="308">
        <f t="shared" ca="1" si="7"/>
        <v>0</v>
      </c>
      <c r="AF31" s="308">
        <f ca="1">AA31*1+Z31*3</f>
        <v>3</v>
      </c>
      <c r="AG31" s="308">
        <f t="shared" ref="AG31" ca="1" si="266">IF(W31&lt;&gt;"",SUMPRODUCT((V28:V31=V31)*(AF28:AF31&gt;AF31)*1),0)</f>
        <v>0</v>
      </c>
      <c r="AH31" s="308">
        <f t="shared" ref="AH31" ca="1" si="267">IF(W31&lt;&gt;"",SUMPRODUCT((AG28:AG31=AG31)*(AE28:AE31&gt;AE31)*1),0)</f>
        <v>0</v>
      </c>
      <c r="AI31" s="308">
        <f t="shared" ca="1" si="0"/>
        <v>0</v>
      </c>
      <c r="AJ31" s="308">
        <f t="shared" ref="AJ31" ca="1" si="268">IF(W31&lt;&gt;"",SUMPRODUCT((AI28:AI31=AI31)*(AG28:AG31=AG31)*(AC28:AC31&gt;AC31)*1),0)</f>
        <v>0</v>
      </c>
      <c r="AK31" s="308">
        <f t="shared" ca="1" si="9"/>
        <v>1</v>
      </c>
      <c r="AL31" s="308">
        <f ca="1">SUMPRODUCT((Tournament!F5:F52=X31)*(Tournament!K5:K52=X29)*(Tournament!H5:H52&gt;Tournament!I5:I52)*1)+SUMPRODUCT((Tournament!K5:K52=X31)*(Tournament!F5:F52=X29)*(Tournament!I5:I52&gt;Tournament!H5:H52)*1)+SUMPRODUCT((Tournament!F5:F52=X31)*(Tournament!K5:K52=X30)*(Tournament!H5:H52&gt;Tournament!I5:I52)*1)+SUMPRODUCT((Tournament!K5:K52=X31)*(Tournament!F5:F52=X30)*(Tournament!I5:I52&gt;Tournament!H5:H52)*1)</f>
        <v>0</v>
      </c>
      <c r="AM31" s="308">
        <f ca="1">SUMPRODUCT((Tournament!F5:F52=X31)*(Tournament!K5:K52=X29)*(Tournament!H5:H52=Tournament!I5:I52)*1)+SUMPRODUCT((Tournament!K5:K52=X31)*(Tournament!F5:F52=X29)*(Tournament!H5:H52=Tournament!I5:I52)*1)+SUMPRODUCT((Tournament!F5:F52=X31)*(Tournament!K5:K52=X30)*(Tournament!H5:H52=Tournament!I5:I52)*1)+SUMPRODUCT((Tournament!K5:K52=X31)*(Tournament!F5:F52=X30)*(Tournament!H5:H52=Tournament!I5:I52)*1)</f>
        <v>0</v>
      </c>
      <c r="AN31" s="308">
        <f ca="1">SUMPRODUCT((Tournament!F5:F52=X31)*(Tournament!K5:K52=X29)*(Tournament!H5:H52&lt;Tournament!I5:I52)*1)+SUMPRODUCT((Tournament!K5:K52=X31)*(Tournament!F5:F52=X29)*(Tournament!I5:I52&lt;Tournament!H5:H52)*1)+SUMPRODUCT((Tournament!F5:F52=X31)*(Tournament!K5:K52=X30)*(Tournament!H5:H52&lt;Tournament!I5:I52)*1)+SUMPRODUCT((Tournament!K5:K52=X31)*(Tournament!F5:F52=X30)*(Tournament!I5:I52&lt;Tournament!H5:H52)*1)</f>
        <v>0</v>
      </c>
      <c r="AO31" s="308">
        <f ca="1">SUMIFS(Tournament!H5:H52,Tournament!F5:F52,X31,Tournament!K5:K52,X29)+SUMIFS(Tournament!H5:H52,Tournament!F5:F52,X31,Tournament!K5:K52,X30)+SUMIFS(Tournament!I5:I52,Tournament!K5:K52,X31,Tournament!F5:F52,X29)+SUMIFS(Tournament!I5:I52,Tournament!K5:K52,X31,Tournament!F5:F52,X30)</f>
        <v>0</v>
      </c>
      <c r="AP31" s="308">
        <f ca="1">SUMIFS(Tournament!H5:H52,Tournament!F5:F52,X31,Tournament!K5:K52,X29)+SUMIFS(Tournament!H5:H52,Tournament!F5:F52,X31,Tournament!K5:K52,X30)+SUMIFS(Tournament!I5:I52,Tournament!K5:K52,X31,Tournament!F5:F52,X29)+SUMIFS(Tournament!I5:I52,Tournament!K5:K52,X31,Tournament!F5:F52,X30)</f>
        <v>0</v>
      </c>
      <c r="AQ31" s="308">
        <f t="shared" ca="1" si="10"/>
        <v>0</v>
      </c>
      <c r="AR31" s="308">
        <f t="shared" ca="1" si="11"/>
        <v>0</v>
      </c>
      <c r="AS31" s="308">
        <f t="shared" ref="AS31" ca="1" si="269">IF(X31&lt;&gt;"",SUMPRODUCT((V28:V31=V31)*(AR28:AR31&gt;AR31)*1),0)</f>
        <v>0</v>
      </c>
      <c r="AT31" s="308">
        <f t="shared" ref="AT31" ca="1" si="270">IF(X31&lt;&gt;"",SUMPRODUCT((AS28:AS31=AS31)*(AQ28:AQ31&gt;AQ31)*1),0)</f>
        <v>0</v>
      </c>
      <c r="AU31" s="308">
        <f t="shared" ca="1" si="12"/>
        <v>0</v>
      </c>
      <c r="AV31" s="308">
        <f t="shared" ref="AV31" ca="1" si="271">IF(X31&lt;&gt;"",SUMPRODUCT((AU28:AU31=AU31)*(AS28:AS31=AS31)*(AO28:AO31&gt;AO31)*1),0)</f>
        <v>0</v>
      </c>
      <c r="AW31" s="308">
        <f t="shared" ca="1" si="13"/>
        <v>1</v>
      </c>
      <c r="AX31" s="308">
        <f ca="1">SUMPRODUCT((Tournament!F5:F52=Y31)*(Tournament!K5:K52=Y30)*(Tournament!H5:H52&gt;Tournament!I5:I52)*1)+SUMPRODUCT((Tournament!K5:K52=Y31)*(Tournament!F5:F52=Y30)*(Tournament!I5:I52&gt;Tournament!H5:H52)*1)</f>
        <v>0</v>
      </c>
      <c r="AY31" s="308">
        <f ca="1">SUMPRODUCT((Tournament!F5:F52=Y31)*(Tournament!K5:K52=Y30)*(Tournament!H5:H52=Tournament!I5:I52)*1)+SUMPRODUCT((Tournament!K5:K52=Y31)*(Tournament!F5:F52=Y30)*(Tournament!I5:I52=Tournament!H5:H52)*1)</f>
        <v>0</v>
      </c>
      <c r="AZ31" s="308">
        <f ca="1">SUMPRODUCT((Tournament!F5:F52=Y31)*(Tournament!K5:K52=Y30)*(Tournament!H5:H52&lt;Tournament!I5:I52)*1)+SUMPRODUCT((Tournament!K5:K52=Y31)*(Tournament!F5:F52=Y30)*(Tournament!I5:I52&lt;Tournament!H5:H52)*1)</f>
        <v>0</v>
      </c>
      <c r="BA31" s="308">
        <f ca="1">SUMIFS(Tournament!H5:H52,Tournament!F5:F52,Y31,Tournament!K5:K52,Y30)+SUMIFS(Tournament!I5:I52,Tournament!K5:K52,Y31,Tournament!F5:F52,Y30)</f>
        <v>0</v>
      </c>
      <c r="BB31" s="308">
        <f ca="1">SUMIFS(Tournament!H5:H52,Tournament!F5:F52,Y31,Tournament!K5:K52,Y30)+SUMIFS(Tournament!I5:I52,Tournament!K5:K52,Y31,Tournament!F5:F52,Y30)</f>
        <v>0</v>
      </c>
      <c r="BC31" s="308">
        <f t="shared" ca="1" si="256"/>
        <v>0</v>
      </c>
      <c r="BD31" s="308">
        <f t="shared" ca="1" si="257"/>
        <v>0</v>
      </c>
      <c r="BE31" s="308">
        <f t="shared" ref="BE31" ca="1" si="272">IF(Y31&lt;&gt;"",SUMPRODUCT((AH28:AH31=AH31)*(BD28:BD31&gt;BD31)*1),0)</f>
        <v>0</v>
      </c>
      <c r="BF31" s="308">
        <f t="shared" ref="BF31" ca="1" si="273">IF(Y31&lt;&gt;"",SUMPRODUCT((BE28:BE31=BE31)*(BC28:BC31&gt;BC31)*1),0)</f>
        <v>0</v>
      </c>
      <c r="BG31" s="308">
        <f t="shared" ca="1" si="260"/>
        <v>0</v>
      </c>
      <c r="BH31" s="308">
        <f t="shared" ref="BH31" ca="1" si="274">IF(Y31&lt;&gt;"",SUMPRODUCT((BG28:BG31=BG31)*(BE28:BE31=BE31)*(BA28:BA31&gt;BA31)*1),0)</f>
        <v>0</v>
      </c>
      <c r="BI31" s="308">
        <f t="shared" ca="1" si="17"/>
        <v>1</v>
      </c>
      <c r="BJ31" s="308">
        <f ca="1">SUMPRODUCT((BI28:BI31=BI31)*(A28:A31&gt;A31)*1)</f>
        <v>2</v>
      </c>
      <c r="BK31" s="308">
        <f t="shared" ca="1" si="14"/>
        <v>3</v>
      </c>
      <c r="BM31" s="314" t="s">
        <v>129</v>
      </c>
      <c r="BN31" s="315"/>
      <c r="BO31" s="316" t="str">
        <f>Calculator!C30</f>
        <v>Brazil</v>
      </c>
      <c r="BP31" s="317" t="s">
        <v>678</v>
      </c>
      <c r="BQ31" s="316"/>
      <c r="BR31" s="309">
        <v>25</v>
      </c>
      <c r="BS31" s="318">
        <v>0</v>
      </c>
      <c r="BT31" s="174"/>
      <c r="BU31" s="22">
        <v>25</v>
      </c>
      <c r="BV31" s="320">
        <f t="shared" si="18"/>
        <v>44892.541666666664</v>
      </c>
      <c r="BW31" s="321">
        <v>44892.541666666664</v>
      </c>
      <c r="BX31" s="322">
        <f t="shared" si="19"/>
        <v>44892.541666666664</v>
      </c>
      <c r="BY31" s="309">
        <f ca="1">SUM(Tournament!R29:R32)</f>
        <v>0</v>
      </c>
      <c r="BZ31" s="309" t="str">
        <f>INDEX(Language!A1:K117,MATCH(Setup!B32,Language!B1:B117,0),MATCH(Setup!C5,Language!A1:J1,0))</f>
        <v>Switzerland</v>
      </c>
    </row>
    <row r="32" spans="1:78" x14ac:dyDescent="0.35">
      <c r="A32" s="308">
        <f ca="1">INDEX(M4:M35,MATCH(U32,C4:C35,0),0)</f>
        <v>1636</v>
      </c>
      <c r="B32" s="308">
        <f t="shared" si="25"/>
        <v>1</v>
      </c>
      <c r="C32" s="308" t="str">
        <f t="shared" si="1"/>
        <v>Uruguay</v>
      </c>
      <c r="D32" s="308">
        <f t="shared" ca="1" si="2"/>
        <v>0</v>
      </c>
      <c r="E32" s="308">
        <f ca="1">SUMPRODUCT((Tournament!H5:H52&lt;&gt;"")*(Tournament!F5:F52=C32)*(Tournament!H5:H52&gt;Tournament!I5:I52)*1)+SUMPRODUCT((Tournament!H5:H52&lt;&gt;"")*(Tournament!K5:K52=C32)*(Tournament!I5:I52&gt;Tournament!H5:H52)*1)</f>
        <v>0</v>
      </c>
      <c r="F32" s="308">
        <f ca="1">SUMPRODUCT((Tournament!H5:H52&lt;&gt;"")*(Tournament!F5:F52=C32)*(Tournament!H5:H52=Tournament!I5:I52)*1)+SUMPRODUCT((Tournament!H5:H52&lt;&gt;"")*(Tournament!K5:K52=C32)*(Tournament!H5:H52=Tournament!I5:I52)*1)</f>
        <v>0</v>
      </c>
      <c r="G32" s="308">
        <f ca="1">SUMPRODUCT((Tournament!H5:H52&lt;&gt;"")*(Tournament!F5:F52=C32)*(Tournament!H5:H52&lt;Tournament!I5:I52)*1)+SUMPRODUCT((Tournament!H5:H52&lt;&gt;"")*(Tournament!K5:K52=C32)*(Tournament!I5:I52&lt;Tournament!H5:H52)*1)</f>
        <v>0</v>
      </c>
      <c r="H32" s="308">
        <f ca="1">SUMIF(Tournament!F5:F52,C32,Tournament!H5:H52)+SUMIF(Tournament!K5:K52,C32,Tournament!I5:I52)</f>
        <v>0</v>
      </c>
      <c r="I32" s="308">
        <f ca="1">SUMIF(Tournament!F5:F52,C32,Tournament!I5:I52)+SUMIF(Tournament!K5:K52,C32,Tournament!H5:H52)</f>
        <v>0</v>
      </c>
      <c r="J32" s="308">
        <f t="shared" ca="1" si="3"/>
        <v>0</v>
      </c>
      <c r="K32" s="308">
        <f t="shared" ca="1" si="4"/>
        <v>0</v>
      </c>
      <c r="L32" s="308">
        <f>Setup!E36</f>
        <v>1636</v>
      </c>
      <c r="M32" s="308">
        <f>IF(Setup!F36&lt;&gt;"",Setup!F36,Setup!E36)</f>
        <v>1636</v>
      </c>
      <c r="N32" s="308">
        <f ca="1">RANK(K32,K32:K35)</f>
        <v>1</v>
      </c>
      <c r="O32" s="308">
        <f ca="1">SUMPRODUCT((N32:N35=N32)*(J32:J35&gt;J32)*1)</f>
        <v>0</v>
      </c>
      <c r="P32" s="308">
        <f t="shared" ca="1" si="5"/>
        <v>1</v>
      </c>
      <c r="Q32" s="308">
        <f ca="1">SUMPRODUCT((N32:N35=N32)*(J32:J35=J32)*(H32:H35&gt;H32)*1)</f>
        <v>0</v>
      </c>
      <c r="R32" s="308">
        <f t="shared" ca="1" si="6"/>
        <v>1</v>
      </c>
      <c r="S32" s="308">
        <f ca="1">RANK(R32,R32:R35,1)+COUNTIF(R32:R32,R32)-1</f>
        <v>1</v>
      </c>
      <c r="T32" s="308">
        <v>1</v>
      </c>
      <c r="U32" s="308" t="str">
        <f t="shared" ref="U32" ca="1" si="275">INDEX(C32:C35,MATCH(T32,S32:S35,0),0)</f>
        <v>Uruguay</v>
      </c>
      <c r="V32" s="308">
        <f t="shared" ref="V32" ca="1" si="276">INDEX(R32:R35,MATCH(U32,C32:C35,0),0)</f>
        <v>1</v>
      </c>
      <c r="W32" s="308" t="str">
        <f t="shared" ref="W32" ca="1" si="277">IF(V33=1,U32,"")</f>
        <v>Uruguay</v>
      </c>
      <c r="Z32" s="308">
        <f ca="1">SUMPRODUCT((Tournament!F5:F52=W32)*(Tournament!K5:K52=W33)*(Tournament!H5:H52&gt;Tournament!I5:I52)*1)+SUMPRODUCT((Tournament!K5:K52=W32)*(Tournament!F5:F52=W33)*(Tournament!I5:I52&gt;Tournament!H5:H52)*1)+SUMPRODUCT((Tournament!F5:F52=W32)*(Tournament!K5:K52=W34)*(Tournament!H5:H52&gt;Tournament!I5:I52)*1)+SUMPRODUCT((Tournament!K5:K52=W32)*(Tournament!F5:F52=W34)*(Tournament!I5:I52&gt;Tournament!H5:H52)*1)+SUMPRODUCT((Tournament!F5:F52=W32)*(Tournament!K5:K52=W35)*(Tournament!H5:H52&gt;Tournament!I5:I52)*1)+SUMPRODUCT((Tournament!K5:K52=W32)*(Tournament!F5:F52=W35)*(Tournament!I5:I52&gt;Tournament!H5:H52)*1)</f>
        <v>0</v>
      </c>
      <c r="AA32" s="308">
        <f ca="1">SUMPRODUCT((Tournament!F5:F52=W32)*(Tournament!K5:K52=W33)*(Tournament!H5:H52=Tournament!I5:I52)*1)+SUMPRODUCT((Tournament!K5:K52=W32)*(Tournament!F5:F52=W33)*(Tournament!H5:H52=Tournament!I5:I52)*1)+SUMPRODUCT((Tournament!F5:F52=W32)*(Tournament!K5:K52=W34)*(Tournament!H5:H52=Tournament!I5:I52)*1)+SUMPRODUCT((Tournament!K5:K52=W32)*(Tournament!F5:F52=W34)*(Tournament!H5:H52=Tournament!I5:I52)*1)+SUMPRODUCT((Tournament!F5:F52=W32)*(Tournament!K5:K52=W35)*(Tournament!H5:H52=Tournament!I5:I52)*1)+SUMPRODUCT((Tournament!K5:K52=W32)*(Tournament!F5:F52=W35)*(Tournament!H5:H52=Tournament!I5:I52)*1)</f>
        <v>3</v>
      </c>
      <c r="AB32" s="308">
        <f ca="1">SUMPRODUCT((Tournament!F5:F52=W32)*(Tournament!K5:K52=W33)*(Tournament!H5:H52&lt;Tournament!I5:I52)*1)+SUMPRODUCT((Tournament!K5:K52=W32)*(Tournament!F5:F52=W33)*(Tournament!I5:I52&lt;Tournament!H5:H52)*1)+SUMPRODUCT((Tournament!F5:F52=W32)*(Tournament!K5:K52=W34)*(Tournament!H5:H52&lt;Tournament!I5:I52)*1)+SUMPRODUCT((Tournament!K5:K52=W32)*(Tournament!F5:F52=W34)*(Tournament!I5:I52&lt;Tournament!H5:H52)*1)+SUMPRODUCT((Tournament!F5:F52=W32)*(Tournament!K5:K52=W35)*(Tournament!H5:H52&lt;Tournament!I5:I52)*1)+SUMPRODUCT((Tournament!K5:K52=W32)*(Tournament!F5:F52=W35)*(Tournament!I5:I52&lt;Tournament!H5:H52)*1)</f>
        <v>0</v>
      </c>
      <c r="AC32" s="308">
        <f ca="1">SUMIFS(Tournament!H5:H52,Tournament!F5:F52,W32,Tournament!K5:K52,W33)+SUMIFS(Tournament!H5:H52,Tournament!F5:F52,W32,Tournament!K5:K52,W34)+SUMIFS(Tournament!H5:H52,Tournament!F5:F52,W32,Tournament!K5:K52,W35)+SUMIFS(Tournament!I5:I52,Tournament!K5:K52,W32,Tournament!F5:F52,W33)+SUMIFS(Tournament!I5:I52,Tournament!K5:K52,W32,Tournament!F5:F52,W34)+SUMIFS(Tournament!I5:I52,Tournament!K5:K52,W32,Tournament!F5:F52,W35)</f>
        <v>0</v>
      </c>
      <c r="AD32" s="308">
        <f ca="1">SUMIFS(Tournament!I5:I52,Tournament!F5:F52,W32,Tournament!K5:K52,W33)+SUMIFS(Tournament!I5:I52,Tournament!F5:F52,W32,Tournament!K5:K52,W34)+SUMIFS(Tournament!I5:I52,Tournament!F5:F52,W32,Tournament!K5:K52,W35)+SUMIFS(Tournament!H5:H52,Tournament!K5:K52,W32,Tournament!F5:F52,W33)+SUMIFS(Tournament!H5:H52,Tournament!K5:K52,W32,Tournament!F5:F52,W34)+SUMIFS(Tournament!H5:H52,Tournament!K5:K52,W32,Tournament!F5:F52,W35)</f>
        <v>0</v>
      </c>
      <c r="AE32" s="308">
        <f t="shared" ca="1" si="7"/>
        <v>0</v>
      </c>
      <c r="AF32" s="308">
        <f t="shared" ca="1" si="8"/>
        <v>3</v>
      </c>
      <c r="AG32" s="308">
        <f t="shared" ref="AG32" ca="1" si="278">IF(W32&lt;&gt;"",SUMPRODUCT((V32:V35=V32)*(AF32:AF35&gt;AF32)*1),0)</f>
        <v>0</v>
      </c>
      <c r="AH32" s="308">
        <f t="shared" ref="AH32" ca="1" si="279">IF(W32&lt;&gt;"",SUMPRODUCT((AG32:AG35=AG32)*(AE32:AE35&gt;AE32)*1),0)</f>
        <v>0</v>
      </c>
      <c r="AI32" s="308">
        <f t="shared" ca="1" si="0"/>
        <v>0</v>
      </c>
      <c r="AJ32" s="308">
        <f t="shared" ref="AJ32" ca="1" si="280">IF(W32&lt;&gt;"",SUMPRODUCT((AI32:AI35=AI32)*(AG32:AG35=AG32)*(AC32:AC35&gt;AC32)*1),0)</f>
        <v>0</v>
      </c>
      <c r="AK32" s="308">
        <f t="shared" ca="1" si="9"/>
        <v>1</v>
      </c>
      <c r="AL32" s="308">
        <v>0</v>
      </c>
      <c r="AM32" s="308">
        <v>0</v>
      </c>
      <c r="AN32" s="308">
        <v>0</v>
      </c>
      <c r="AO32" s="308">
        <v>0</v>
      </c>
      <c r="AP32" s="308">
        <v>0</v>
      </c>
      <c r="AQ32" s="308">
        <f t="shared" si="10"/>
        <v>0</v>
      </c>
      <c r="AR32" s="308">
        <f t="shared" si="11"/>
        <v>0</v>
      </c>
      <c r="AS32" s="308">
        <v>0</v>
      </c>
      <c r="AT32" s="308">
        <v>0</v>
      </c>
      <c r="AU32" s="308">
        <f t="shared" si="12"/>
        <v>0</v>
      </c>
      <c r="AV32" s="308">
        <v>0</v>
      </c>
      <c r="AW32" s="308">
        <f t="shared" ca="1" si="13"/>
        <v>1</v>
      </c>
      <c r="AX32" s="308">
        <v>0</v>
      </c>
      <c r="AY32" s="308">
        <v>0</v>
      </c>
      <c r="AZ32" s="308">
        <v>0</v>
      </c>
      <c r="BA32" s="308">
        <v>0</v>
      </c>
      <c r="BB32" s="308">
        <v>0</v>
      </c>
      <c r="BC32" s="308">
        <v>0</v>
      </c>
      <c r="BD32" s="308">
        <v>0</v>
      </c>
      <c r="BE32" s="308">
        <v>0</v>
      </c>
      <c r="BF32" s="308">
        <v>0</v>
      </c>
      <c r="BG32" s="308">
        <v>0</v>
      </c>
      <c r="BH32" s="308">
        <v>0</v>
      </c>
      <c r="BI32" s="308">
        <f t="shared" ca="1" si="17"/>
        <v>1</v>
      </c>
      <c r="BJ32" s="308">
        <f ca="1">SUMPRODUCT((BI32:BI35=BI32)*(A32:A35&gt;A32)*1)</f>
        <v>1</v>
      </c>
      <c r="BK32" s="308">
        <f t="shared" ca="1" si="14"/>
        <v>2</v>
      </c>
      <c r="BM32" s="314"/>
      <c r="BN32" s="315"/>
      <c r="BO32" s="316" t="str">
        <f>Calculator!C31</f>
        <v>Serbia</v>
      </c>
      <c r="BP32" s="317" t="s">
        <v>679</v>
      </c>
      <c r="BQ32" s="316"/>
      <c r="BR32" s="309">
        <v>26</v>
      </c>
      <c r="BS32" s="318" t="s">
        <v>149</v>
      </c>
      <c r="BT32" s="174"/>
      <c r="BU32" s="22">
        <v>26</v>
      </c>
      <c r="BV32" s="320">
        <f t="shared" si="18"/>
        <v>44892.666666666664</v>
      </c>
      <c r="BW32" s="321">
        <v>44892.666666666664</v>
      </c>
      <c r="BX32" s="322">
        <f t="shared" si="19"/>
        <v>44892.666666666664</v>
      </c>
      <c r="BZ32" s="309" t="str">
        <f>INDEX(Language!A1:K117,MATCH(Setup!B33,Language!B1:B117,0),MATCH(Setup!C5,Language!A1:J1,0))</f>
        <v>Cameroon</v>
      </c>
    </row>
    <row r="33" spans="1:78" x14ac:dyDescent="0.35">
      <c r="A33" s="308">
        <f ca="1">INDEX(M4:M35,MATCH(U33,C4:C35,0),0)</f>
        <v>1520</v>
      </c>
      <c r="B33" s="308">
        <f t="shared" si="25"/>
        <v>2</v>
      </c>
      <c r="C33" s="308" t="str">
        <f t="shared" si="1"/>
        <v>South Korea</v>
      </c>
      <c r="D33" s="308">
        <f t="shared" ca="1" si="2"/>
        <v>0</v>
      </c>
      <c r="E33" s="308">
        <f ca="1">SUMPRODUCT((Tournament!H5:H52&lt;&gt;"")*(Tournament!F5:F52=C33)*(Tournament!H5:H52&gt;Tournament!I5:I52)*1)+SUMPRODUCT((Tournament!H5:H52&lt;&gt;"")*(Tournament!K5:K52=C33)*(Tournament!I5:I52&gt;Tournament!H5:H52)*1)</f>
        <v>0</v>
      </c>
      <c r="F33" s="308">
        <f ca="1">SUMPRODUCT((Tournament!H5:H52&lt;&gt;"")*(Tournament!F5:F52=C33)*(Tournament!H5:H52=Tournament!I5:I52)*1)+SUMPRODUCT((Tournament!H5:H52&lt;&gt;"")*(Tournament!K5:K52=C33)*(Tournament!H5:H52=Tournament!I5:I52)*1)</f>
        <v>0</v>
      </c>
      <c r="G33" s="308">
        <f ca="1">SUMPRODUCT((Tournament!H5:H52&lt;&gt;"")*(Tournament!F5:F52=C33)*(Tournament!H5:H52&lt;Tournament!I5:I52)*1)+SUMPRODUCT((Tournament!H5:H52&lt;&gt;"")*(Tournament!K5:K52=C33)*(Tournament!I5:I52&lt;Tournament!H5:H52)*1)</f>
        <v>0</v>
      </c>
      <c r="H33" s="308">
        <f ca="1">SUMIF(Tournament!F5:F52,C33,Tournament!H5:H52)+SUMIF(Tournament!K5:K52,C33,Tournament!I5:I52)</f>
        <v>0</v>
      </c>
      <c r="I33" s="308">
        <f ca="1">SUMIF(Tournament!F5:F52,C33,Tournament!I5:I52)+SUMIF(Tournament!K5:K52,C33,Tournament!H5:H52)</f>
        <v>0</v>
      </c>
      <c r="J33" s="308">
        <f t="shared" ca="1" si="3"/>
        <v>0</v>
      </c>
      <c r="K33" s="308">
        <f t="shared" ca="1" si="4"/>
        <v>0</v>
      </c>
      <c r="L33" s="308">
        <f>Setup!E37</f>
        <v>1520</v>
      </c>
      <c r="M33" s="308">
        <f>IF(Setup!F37&lt;&gt;"",Setup!F37,Setup!E37)</f>
        <v>1520</v>
      </c>
      <c r="N33" s="308">
        <f ca="1">RANK(K33,K32:K35)</f>
        <v>1</v>
      </c>
      <c r="O33" s="308">
        <f ca="1">SUMPRODUCT((N32:N35=N33)*(J32:J35&gt;J33)*1)</f>
        <v>0</v>
      </c>
      <c r="P33" s="308">
        <f t="shared" ca="1" si="5"/>
        <v>1</v>
      </c>
      <c r="Q33" s="308">
        <f ca="1">SUMPRODUCT((N32:N35=N33)*(J32:J35=J33)*(H32:H35&gt;H33)*1)</f>
        <v>0</v>
      </c>
      <c r="R33" s="308">
        <f t="shared" ca="1" si="6"/>
        <v>1</v>
      </c>
      <c r="S33" s="308">
        <f ca="1">RANK(R33,R32:R35,1)+COUNTIF(R32:R33,R33)-1</f>
        <v>2</v>
      </c>
      <c r="T33" s="308">
        <v>2</v>
      </c>
      <c r="U33" s="308" t="str">
        <f t="shared" ref="U33" ca="1" si="281">INDEX(C32:C35,MATCH(T33,S32:S35,0),0)</f>
        <v>South Korea</v>
      </c>
      <c r="V33" s="308">
        <f t="shared" ref="V33" ca="1" si="282">INDEX(R32:R35,MATCH(U33,C32:C35,0),0)</f>
        <v>1</v>
      </c>
      <c r="W33" s="308" t="str">
        <f t="shared" ref="W33" ca="1" si="283">IF(W32&lt;&gt;"",U33,"")</f>
        <v>South Korea</v>
      </c>
      <c r="X33" s="308" t="str">
        <f t="shared" ref="X33" ca="1" si="284">IF(V34=2,U33,"")</f>
        <v/>
      </c>
      <c r="Z33" s="308">
        <f ca="1">SUMPRODUCT((Tournament!F5:F52=W33)*(Tournament!K5:K52=W32)*(Tournament!H5:H52&gt;Tournament!I5:I52)*1)+SUMPRODUCT((Tournament!K5:K52=W33)*(Tournament!F5:F52=W32)*(Tournament!I5:I52&gt;Tournament!H5:H52)*1)+SUMPRODUCT((Tournament!F5:F52=W33)*(Tournament!K5:K52=W34)*(Tournament!H5:H52&gt;Tournament!I5:I52)*1)+SUMPRODUCT((Tournament!K5:K52=W33)*(Tournament!F5:F52=W34)*(Tournament!I5:I52&gt;Tournament!H5:H52)*1)+SUMPRODUCT((Tournament!F5:F52=W33)*(Tournament!K5:K52=W35)*(Tournament!H5:H52&gt;Tournament!I5:I52)*1)+SUMPRODUCT((Tournament!K5:K52=W33)*(Tournament!F5:F52=W35)*(Tournament!I5:I52&gt;Tournament!H5:H52)*1)</f>
        <v>0</v>
      </c>
      <c r="AA33" s="308">
        <f ca="1">SUMPRODUCT((Tournament!F5:F52=W33)*(Tournament!K5:K52=W32)*(Tournament!H5:H52=Tournament!I5:I52)*1)+SUMPRODUCT((Tournament!K5:K52=W33)*(Tournament!F5:F52=W32)*(Tournament!H5:H52=Tournament!I5:I52)*1)+SUMPRODUCT((Tournament!F5:F52=W33)*(Tournament!K5:K52=W34)*(Tournament!H5:H52=Tournament!I5:I52)*1)+SUMPRODUCT((Tournament!K5:K52=W33)*(Tournament!F5:F52=W34)*(Tournament!H5:H52=Tournament!I5:I52)*1)+SUMPRODUCT((Tournament!F5:F52=W33)*(Tournament!K5:K52=W35)*(Tournament!H5:H52=Tournament!I5:I52)*1)+SUMPRODUCT((Tournament!K5:K52=W33)*(Tournament!F5:F52=W35)*(Tournament!H5:H52=Tournament!I5:I52)*1)</f>
        <v>3</v>
      </c>
      <c r="AB33" s="308">
        <f ca="1">SUMPRODUCT((Tournament!F5:F52=W33)*(Tournament!K5:K52=W32)*(Tournament!H5:H52&lt;Tournament!I5:I52)*1)+SUMPRODUCT((Tournament!K5:K52=W33)*(Tournament!F5:F52=W32)*(Tournament!I5:I52&lt;Tournament!H5:H52)*1)+SUMPRODUCT((Tournament!F5:F52=W33)*(Tournament!K5:K52=W34)*(Tournament!H5:H52&lt;Tournament!I5:I52)*1)+SUMPRODUCT((Tournament!K5:K52=W33)*(Tournament!F5:F52=W34)*(Tournament!I5:I52&lt;Tournament!H5:H52)*1)+SUMPRODUCT((Tournament!F5:F52=W33)*(Tournament!K5:K52=W35)*(Tournament!H5:H52&lt;Tournament!I5:I52)*1)+SUMPRODUCT((Tournament!K5:K52=W33)*(Tournament!F5:F52=W35)*(Tournament!I5:I52&lt;Tournament!H5:H52)*1)</f>
        <v>0</v>
      </c>
      <c r="AC33" s="308">
        <f ca="1">SUMIFS(Tournament!H5:H52,Tournament!F5:F52,W33,Tournament!K5:K52,W32)+SUMIFS(Tournament!H5:H52,Tournament!F5:F52,W33,Tournament!K5:K52,W34)+SUMIFS(Tournament!H5:H52,Tournament!F5:F52,W33,Tournament!K5:K52,W35)+SUMIFS(Tournament!I5:I52,Tournament!K5:K52,W33,Tournament!F5:F52,W32)+SUMIFS(Tournament!I5:I52,Tournament!K5:K52,W33,Tournament!F5:F52,W34)+SUMIFS(Tournament!I5:I52,Tournament!K5:K52,W33,Tournament!F5:F52,W35)</f>
        <v>0</v>
      </c>
      <c r="AD33" s="308">
        <f ca="1">SUMIFS(Tournament!I5:I52,Tournament!F5:F52,W33,Tournament!K5:K52,W32)+SUMIFS(Tournament!I5:I52,Tournament!F5:F52,W33,Tournament!K5:K52,W34)+SUMIFS(Tournament!I5:I52,Tournament!F5:F52,W33,Tournament!K5:K52,W35)+SUMIFS(Tournament!H5:H52,Tournament!K5:K52,W33,Tournament!F5:F52,W32)+SUMIFS(Tournament!H5:H52,Tournament!K5:K52,W33,Tournament!F5:F52,W34)+SUMIFS(Tournament!H5:H52,Tournament!K5:K52,W33,Tournament!F5:F52,W35)</f>
        <v>0</v>
      </c>
      <c r="AE33" s="308">
        <f t="shared" ca="1" si="7"/>
        <v>0</v>
      </c>
      <c r="AF33" s="308">
        <f t="shared" ca="1" si="8"/>
        <v>3</v>
      </c>
      <c r="AG33" s="308">
        <f t="shared" ref="AG33" ca="1" si="285">IF(W33&lt;&gt;"",SUMPRODUCT((V32:V35=V33)*(AF32:AF35&gt;AF33)*1),0)</f>
        <v>0</v>
      </c>
      <c r="AH33" s="308">
        <f t="shared" ref="AH33" ca="1" si="286">IF(W33&lt;&gt;"",SUMPRODUCT((AG32:AG35=AG33)*(AE32:AE35&gt;AE33)*1),0)</f>
        <v>0</v>
      </c>
      <c r="AI33" s="308">
        <f t="shared" ca="1" si="0"/>
        <v>0</v>
      </c>
      <c r="AJ33" s="308">
        <f t="shared" ref="AJ33" ca="1" si="287">IF(W33&lt;&gt;"",SUMPRODUCT((AI32:AI35=AI33)*(AG32:AG35=AG33)*(AC32:AC35&gt;AC33)*1),0)</f>
        <v>0</v>
      </c>
      <c r="AK33" s="308">
        <f t="shared" ca="1" si="9"/>
        <v>1</v>
      </c>
      <c r="AL33" s="308">
        <f ca="1">SUMPRODUCT((Tournament!F5:F52=X33)*(Tournament!K5:K52=X34)*(Tournament!H5:H52&gt;Tournament!I5:I52)*1)+SUMPRODUCT((Tournament!K5:K52=X33)*(Tournament!F5:F52=X34)*(Tournament!I5:I52&gt;Tournament!H5:H52)*1)+SUMPRODUCT((Tournament!F5:F52=X33)*(Tournament!K5:K52=X35)*(Tournament!H5:H52&gt;Tournament!I5:I52)*1)+SUMPRODUCT((Tournament!K5:K52=X33)*(Tournament!F5:F52=X35)*(Tournament!I5:I52&gt;Tournament!H5:H52)*1)</f>
        <v>0</v>
      </c>
      <c r="AM33" s="308">
        <f ca="1">SUMPRODUCT((Tournament!F5:F52=X33)*(Tournament!K5:K52=X34)*(Tournament!H5:H52=Tournament!I5:I52)*1)+SUMPRODUCT((Tournament!K5:K52=X33)*(Tournament!F5:F52=X34)*(Tournament!H5:H52=Tournament!I5:I52)*1)+SUMPRODUCT((Tournament!F5:F52=X33)*(Tournament!K5:K52=X35)*(Tournament!H5:H52=Tournament!I5:I52)*1)+SUMPRODUCT((Tournament!K5:K52=X33)*(Tournament!F5:F52=X35)*(Tournament!H5:H52=Tournament!I5:I52)*1)</f>
        <v>0</v>
      </c>
      <c r="AN33" s="308">
        <f ca="1">SUMPRODUCT((Tournament!F5:F52=X33)*(Tournament!K5:K52=X34)*(Tournament!H5:H52&lt;Tournament!I5:I52)*1)+SUMPRODUCT((Tournament!K5:K52=X33)*(Tournament!F5:F52=X34)*(Tournament!I5:I52&lt;Tournament!H5:H52)*1)+SUMPRODUCT((Tournament!F5:F52=X33)*(Tournament!K5:K52=X35)*(Tournament!H5:H52&lt;Tournament!I5:I52)*1)+SUMPRODUCT((Tournament!K5:K52=X33)*(Tournament!F5:F52=X35)*(Tournament!I5:I52&lt;Tournament!H5:H52)*1)</f>
        <v>0</v>
      </c>
      <c r="AO33" s="308">
        <f ca="1">SUMIFS(Tournament!H5:H52,Tournament!F5:F52,X33,Tournament!K5:K52,X34)+SUMIFS(Tournament!H5:H52,Tournament!F5:F52,X33,Tournament!K5:K52,X35)+SUMIFS(Tournament!I5:I52,Tournament!K5:K52,X33,Tournament!F5:F52,X34)+SUMIFS(Tournament!I5:I52,Tournament!K5:K52,X33,Tournament!F5:F52,X35)</f>
        <v>0</v>
      </c>
      <c r="AP33" s="308">
        <f ca="1">SUMIFS(Tournament!I5:I52,Tournament!F5:F52,X33,Tournament!K5:K52,X34)+SUMIFS(Tournament!I5:I52,Tournament!F5:F52,X33,Tournament!K5:K52,X35)+SUMIFS(Tournament!H5:H52,Tournament!K5:K52,X33,Tournament!F5:F52,X34)+SUMIFS(Tournament!H5:H52,Tournament!K5:K52,X33,Tournament!F5:F52,X35)</f>
        <v>0</v>
      </c>
      <c r="AQ33" s="308">
        <f t="shared" ca="1" si="10"/>
        <v>0</v>
      </c>
      <c r="AR33" s="308">
        <f t="shared" ca="1" si="11"/>
        <v>0</v>
      </c>
      <c r="AS33" s="308">
        <f t="shared" ref="AS33" ca="1" si="288">IF(X33&lt;&gt;"",SUMPRODUCT((V32:V35=V33)*(AR32:AR35&gt;AR33)*1),0)</f>
        <v>0</v>
      </c>
      <c r="AT33" s="308">
        <f t="shared" ref="AT33" ca="1" si="289">IF(X33&lt;&gt;"",SUMPRODUCT((AS32:AS35=AS33)*(AQ32:AQ35&gt;AQ33)*1),0)</f>
        <v>0</v>
      </c>
      <c r="AU33" s="308">
        <f t="shared" ca="1" si="12"/>
        <v>0</v>
      </c>
      <c r="AV33" s="308">
        <f t="shared" ref="AV33" ca="1" si="290">IF(X33&lt;&gt;"",SUMPRODUCT((AU32:AU35=AU33)*(AS32:AS35=AS33)*(AO32:AO35&gt;AO33)*1),0)</f>
        <v>0</v>
      </c>
      <c r="AW33" s="308">
        <f t="shared" ca="1" si="13"/>
        <v>1</v>
      </c>
      <c r="AX33" s="308">
        <v>0</v>
      </c>
      <c r="AY33" s="308">
        <v>0</v>
      </c>
      <c r="AZ33" s="308">
        <v>0</v>
      </c>
      <c r="BA33" s="308">
        <v>0</v>
      </c>
      <c r="BB33" s="308">
        <v>0</v>
      </c>
      <c r="BC33" s="308">
        <v>0</v>
      </c>
      <c r="BD33" s="308">
        <v>0</v>
      </c>
      <c r="BE33" s="308">
        <v>0</v>
      </c>
      <c r="BF33" s="308">
        <v>0</v>
      </c>
      <c r="BG33" s="308">
        <v>0</v>
      </c>
      <c r="BH33" s="308">
        <v>0</v>
      </c>
      <c r="BI33" s="308">
        <f t="shared" ca="1" si="17"/>
        <v>1</v>
      </c>
      <c r="BJ33" s="308">
        <f ca="1">SUMPRODUCT((BI32:BI35=BI33)*(A32:A35&gt;A33)*1)</f>
        <v>2</v>
      </c>
      <c r="BK33" s="308">
        <f t="shared" ca="1" si="14"/>
        <v>3</v>
      </c>
      <c r="BM33" s="314"/>
      <c r="BN33" s="315"/>
      <c r="BO33" s="316" t="str">
        <f>Calculator!C28</f>
        <v>Switzerland</v>
      </c>
      <c r="BP33" s="317" t="s">
        <v>680</v>
      </c>
      <c r="BQ33" s="316"/>
      <c r="BR33" s="309">
        <v>27</v>
      </c>
      <c r="BS33" s="318" t="s">
        <v>150</v>
      </c>
      <c r="BT33" s="174"/>
      <c r="BU33" s="22">
        <v>27</v>
      </c>
      <c r="BV33" s="320">
        <f t="shared" si="18"/>
        <v>44892.791666666664</v>
      </c>
      <c r="BW33" s="321">
        <v>44892.791666666664</v>
      </c>
      <c r="BX33" s="322">
        <f t="shared" si="19"/>
        <v>44892.791666666664</v>
      </c>
      <c r="BZ33" s="309" t="str">
        <f>INDEX(Language!A1:K117,MATCH(Setup!B34,Language!B1:B117,0),MATCH(Setup!C5,Language!A1:J1,0))</f>
        <v>Brazil</v>
      </c>
    </row>
    <row r="34" spans="1:78" x14ac:dyDescent="0.35">
      <c r="A34" s="308">
        <f ca="1">INDEX(M4:M35,MATCH(U34,C4:C35,0),0)</f>
        <v>1675</v>
      </c>
      <c r="B34" s="308">
        <f>B30</f>
        <v>3</v>
      </c>
      <c r="C34" s="308" t="str">
        <f t="shared" si="1"/>
        <v>Portugal</v>
      </c>
      <c r="D34" s="308">
        <f t="shared" ca="1" si="2"/>
        <v>0</v>
      </c>
      <c r="E34" s="308">
        <f ca="1">SUMPRODUCT((Tournament!H5:H52&lt;&gt;"")*(Tournament!F5:F52=C34)*(Tournament!H5:H52&gt;Tournament!I5:I52)*1)+SUMPRODUCT((Tournament!H5:H52&lt;&gt;"")*(Tournament!K5:K52=C34)*(Tournament!I5:I52&gt;Tournament!H5:H52)*1)</f>
        <v>0</v>
      </c>
      <c r="F34" s="308">
        <f ca="1">SUMPRODUCT((Tournament!H5:H52&lt;&gt;"")*(Tournament!F5:F52=C34)*(Tournament!H5:H52=Tournament!I5:I52)*1)+SUMPRODUCT((Tournament!H5:H52&lt;&gt;"")*(Tournament!K5:K52=C34)*(Tournament!H5:H52=Tournament!I5:I52)*1)</f>
        <v>0</v>
      </c>
      <c r="G34" s="308">
        <f ca="1">SUMPRODUCT((Tournament!H5:H52&lt;&gt;"")*(Tournament!F5:F52=C34)*(Tournament!H5:H52&lt;Tournament!I5:I52)*1)+SUMPRODUCT((Tournament!H5:H52&lt;&gt;"")*(Tournament!K5:K52=C34)*(Tournament!I5:I52&lt;Tournament!H5:H52)*1)</f>
        <v>0</v>
      </c>
      <c r="H34" s="308">
        <f ca="1">SUMIF(Tournament!F5:F52,C34,Tournament!H5:H52)+SUMIF(Tournament!K5:K52,C34,Tournament!I5:I52)</f>
        <v>0</v>
      </c>
      <c r="I34" s="308">
        <f ca="1">SUMIF(Tournament!F5:F52,C34,Tournament!I5:I52)+SUMIF(Tournament!K5:K52,C34,Tournament!H5:H52)</f>
        <v>0</v>
      </c>
      <c r="J34" s="308">
        <f t="shared" ca="1" si="3"/>
        <v>0</v>
      </c>
      <c r="K34" s="308">
        <f t="shared" ca="1" si="4"/>
        <v>0</v>
      </c>
      <c r="L34" s="308">
        <f>Setup!E38</f>
        <v>1675</v>
      </c>
      <c r="M34" s="308">
        <f>IF(Setup!F38&lt;&gt;"",Setup!F38,Setup!E38)</f>
        <v>1675</v>
      </c>
      <c r="N34" s="308">
        <f ca="1">RANK(K34,K32:K35)</f>
        <v>1</v>
      </c>
      <c r="O34" s="308">
        <f ca="1">SUMPRODUCT((N32:N35=N34)*(J32:J35&gt;J34)*1)</f>
        <v>0</v>
      </c>
      <c r="P34" s="308">
        <f t="shared" ca="1" si="5"/>
        <v>1</v>
      </c>
      <c r="Q34" s="308">
        <f ca="1">SUMPRODUCT((N32:N35=N34)*(J32:J35=J34)*(H32:H35&gt;H34)*1)</f>
        <v>0</v>
      </c>
      <c r="R34" s="308">
        <f t="shared" ca="1" si="6"/>
        <v>1</v>
      </c>
      <c r="S34" s="308">
        <f ca="1">RANK(R34,R32:R35,1)+COUNTIF(R32:R34,R34)-1</f>
        <v>3</v>
      </c>
      <c r="T34" s="308">
        <v>3</v>
      </c>
      <c r="U34" s="308" t="str">
        <f t="shared" ref="U34" ca="1" si="291">INDEX(C32:C35,MATCH(T34,S32:S35,0),0)</f>
        <v>Portugal</v>
      </c>
      <c r="V34" s="308">
        <f t="shared" ref="V34" ca="1" si="292">INDEX(R32:R35,MATCH(U34,C32:C35,0),0)</f>
        <v>1</v>
      </c>
      <c r="W34" s="308" t="str">
        <f t="shared" ref="W34:W35" ca="1" si="293">IF(AND(W33&lt;&gt;"",V34=1),U34,"")</f>
        <v>Portugal</v>
      </c>
      <c r="X34" s="308" t="str">
        <f t="shared" ref="X34" ca="1" si="294">IF(X33&lt;&gt;"",U34,"")</f>
        <v/>
      </c>
      <c r="Y34" s="308" t="str">
        <f t="shared" ref="Y34" ca="1" si="295">IF(V35=3,U34,"")</f>
        <v/>
      </c>
      <c r="Z34" s="308">
        <f ca="1">SUMPRODUCT((Tournament!F5:F52=W34)*(Tournament!K5:K52=W32)*(Tournament!H5:H52&gt;Tournament!I5:I52)*1)+SUMPRODUCT((Tournament!K5:K52=W34)*(Tournament!F5:F52=W32)*(Tournament!I5:I52&gt;Tournament!H5:H52)*1)+SUMPRODUCT((Tournament!F5:F52=W34)*(Tournament!K5:K52=W33)*(Tournament!H5:H52&gt;Tournament!I5:I52)*1)+SUMPRODUCT((Tournament!K5:K52=W34)*(Tournament!F5:F52=W33)*(Tournament!I5:I52&gt;Tournament!H5:H52)*1)+SUMPRODUCT((Tournament!F5:F52=W34)*(Tournament!K5:K52=W35)*(Tournament!H5:H52&gt;Tournament!I5:I52)*1)+SUMPRODUCT((Tournament!K5:K52=W34)*(Tournament!F5:F52=W35)*(Tournament!I5:I52&gt;Tournament!H5:H52)*1)</f>
        <v>0</v>
      </c>
      <c r="AA34" s="308">
        <f ca="1">SUMPRODUCT((Tournament!F5:F52=W34)*(Tournament!K5:K52=W32)*(Tournament!H5:H52=Tournament!I5:I52)*1)+SUMPRODUCT((Tournament!K5:K52=W34)*(Tournament!F5:F52=W32)*(Tournament!H5:H52=Tournament!I5:I52)*1)+SUMPRODUCT((Tournament!F5:F52=W34)*(Tournament!K5:K52=W33)*(Tournament!H5:H52=Tournament!I5:I52)*1)+SUMPRODUCT((Tournament!K5:K52=W34)*(Tournament!F5:F52=W33)*(Tournament!H5:H52=Tournament!I5:I52)*1)+SUMPRODUCT((Tournament!F5:F52=W34)*(Tournament!K5:K52=W35)*(Tournament!H5:H52=Tournament!I5:I52)*1)+SUMPRODUCT((Tournament!K5:K52=W34)*(Tournament!F5:F52=W35)*(Tournament!H5:H52=Tournament!I5:I52)*1)</f>
        <v>3</v>
      </c>
      <c r="AB34" s="308">
        <f ca="1">SUMPRODUCT((Tournament!F5:F52=W34)*(Tournament!K5:K52=W32)*(Tournament!H5:H52&lt;Tournament!I5:I52)*1)+SUMPRODUCT((Tournament!K5:K52=W34)*(Tournament!F5:F52=W32)*(Tournament!I5:I52&lt;Tournament!H5:H52)*1)+SUMPRODUCT((Tournament!F5:F52=W34)*(Tournament!K5:K52=W33)*(Tournament!H5:H52&lt;Tournament!I5:I52)*1)+SUMPRODUCT((Tournament!K5:K52=W34)*(Tournament!F5:F52=W33)*(Tournament!I5:I52&lt;Tournament!H5:H52)*1)+SUMPRODUCT((Tournament!F5:F52=W34)*(Tournament!K5:K52=W35)*(Tournament!H5:H52&lt;Tournament!I5:I52)*1)+SUMPRODUCT((Tournament!K5:K52=W34)*(Tournament!F5:F52=W35)*(Tournament!I5:I52&lt;Tournament!H5:H52)*1)</f>
        <v>0</v>
      </c>
      <c r="AC34" s="308">
        <f ca="1">SUMIFS(Tournament!H5:H52,Tournament!F5:F52,W34,Tournament!K5:K52,W32)+SUMIFS(Tournament!H5:H52,Tournament!F5:F52,W34,Tournament!K5:K52,W33)+SUMIFS(Tournament!H5:H52,Tournament!F5:F52,W34,Tournament!K5:K52,W35)+SUMIFS(Tournament!I5:I52,Tournament!K5:K52,W34,Tournament!F5:F52,W32)+SUMIFS(Tournament!I5:I52,Tournament!K5:K52,W34,Tournament!F5:F52,W33)+SUMIFS(Tournament!I5:I52,Tournament!K5:K52,W34,Tournament!F5:F52,W35)</f>
        <v>0</v>
      </c>
      <c r="AD34" s="308">
        <f ca="1">SUMIFS(Tournament!I5:I52,Tournament!F5:F52,W34,Tournament!K5:K52,W32)+SUMIFS(Tournament!I5:I52,Tournament!F5:F52,W34,Tournament!K5:K52,W33)+SUMIFS(Tournament!I5:I52,Tournament!F5:F52,W34,Tournament!K5:K52,W35)+SUMIFS(Tournament!H5:H52,Tournament!K5:K52,W34,Tournament!F5:F52,W32)+SUMIFS(Tournament!H5:H52,Tournament!K5:K52,W34,Tournament!F5:F52,W33)+SUMIFS(Tournament!H5:H52,Tournament!K5:K52,W34,Tournament!F5:F52,W35)</f>
        <v>0</v>
      </c>
      <c r="AE34" s="308">
        <f t="shared" ca="1" si="7"/>
        <v>0</v>
      </c>
      <c r="AF34" s="308">
        <f t="shared" ca="1" si="8"/>
        <v>3</v>
      </c>
      <c r="AG34" s="308">
        <f t="shared" ref="AG34" ca="1" si="296">IF(W34&lt;&gt;"",SUMPRODUCT((V32:V35=V34)*(AF32:AF35&gt;AF34)*1),0)</f>
        <v>0</v>
      </c>
      <c r="AH34" s="308">
        <f t="shared" ref="AH34" ca="1" si="297">IF(W34&lt;&gt;"",SUMPRODUCT((AG32:AG35=AG34)*(AE32:AE35&gt;AE34)*1),0)</f>
        <v>0</v>
      </c>
      <c r="AI34" s="308">
        <f t="shared" ca="1" si="0"/>
        <v>0</v>
      </c>
      <c r="AJ34" s="308">
        <f t="shared" ref="AJ34" ca="1" si="298">IF(W34&lt;&gt;"",SUMPRODUCT((AI32:AI35=AI34)*(AG32:AG35=AG34)*(AC32:AC35&gt;AC34)*1),0)</f>
        <v>0</v>
      </c>
      <c r="AK34" s="308">
        <f t="shared" ca="1" si="9"/>
        <v>1</v>
      </c>
      <c r="AL34" s="308">
        <f ca="1">SUMPRODUCT((Tournament!F5:F52=X34)*(Tournament!K5:K52=X33)*(Tournament!H5:H52&gt;Tournament!I5:I52)*1)+SUMPRODUCT((Tournament!K5:K52=X34)*(Tournament!F5:F52=X33)*(Tournament!I5:I52&gt;Tournament!H5:H52)*1)+SUMPRODUCT((Tournament!F5:F52=X34)*(Tournament!K5:K52=X35)*(Tournament!H5:H52&gt;Tournament!I5:I52)*1)+SUMPRODUCT((Tournament!K5:K52=X34)*(Tournament!F5:F52=X35)*(Tournament!I5:I52&gt;Tournament!H5:H52)*1)</f>
        <v>0</v>
      </c>
      <c r="AM34" s="308">
        <f ca="1">SUMPRODUCT((Tournament!F5:F52=X34)*(Tournament!K5:K52=X33)*(Tournament!H5:H52=Tournament!I5:I52)*1)+SUMPRODUCT((Tournament!K5:K52=X34)*(Tournament!F5:F52=X33)*(Tournament!H5:H52=Tournament!I5:I52)*1)+SUMPRODUCT((Tournament!F5:F52=X34)*(Tournament!K5:K52=X35)*(Tournament!H5:H52=Tournament!I5:I52)*1)+SUMPRODUCT((Tournament!K5:K52=X34)*(Tournament!F5:F52=X35)*(Tournament!H5:H52=Tournament!I5:I52)*1)</f>
        <v>0</v>
      </c>
      <c r="AN34" s="308">
        <f ca="1">SUMPRODUCT((Tournament!F5:F52=X34)*(Tournament!K5:K52=X33)*(Tournament!H5:H52&lt;Tournament!I5:I52)*1)+SUMPRODUCT((Tournament!K5:K52=X34)*(Tournament!F5:F52=X33)*(Tournament!I5:I52&lt;Tournament!H5:H52)*1)+SUMPRODUCT((Tournament!F5:F52=X34)*(Tournament!K5:K52=X35)*(Tournament!H5:H52&lt;Tournament!I5:I52)*1)+SUMPRODUCT((Tournament!K5:K52=X34)*(Tournament!F5:F52=X35)*(Tournament!I5:I52&lt;Tournament!H5:H52)*1)</f>
        <v>0</v>
      </c>
      <c r="AO34" s="308">
        <f ca="1">SUMIFS(Tournament!H5:H52,Tournament!F5:F52,X34,Tournament!K5:K52,X33)+SUMIFS(Tournament!H5:H52,Tournament!F5:F52,X34,Tournament!K5:K52,X35)+SUMIFS(Tournament!I5:I52,Tournament!K5:K52,X34,Tournament!F5:F52,X33)+SUMIFS(Tournament!I5:I52,Tournament!K5:K52,X34,Tournament!F5:F52,X35)</f>
        <v>0</v>
      </c>
      <c r="AP34" s="308">
        <f ca="1">SUMIFS(Tournament!I5:I52,Tournament!F5:F52,X34,Tournament!K5:K52,X33)+SUMIFS(Tournament!I5:I52,Tournament!F5:F52,X34,Tournament!K5:K52,X35)+SUMIFS(Tournament!H5:H52,Tournament!K5:K52,X34,Tournament!F5:F52,X33)+SUMIFS(Tournament!H5:H52,Tournament!K5:K52,X34,Tournament!F5:F52,X35)</f>
        <v>0</v>
      </c>
      <c r="AQ34" s="308">
        <f t="shared" ca="1" si="10"/>
        <v>0</v>
      </c>
      <c r="AR34" s="308">
        <f ca="1">AM34*1+AL34*3</f>
        <v>0</v>
      </c>
      <c r="AS34" s="308">
        <f t="shared" ref="AS34" ca="1" si="299">IF(X34&lt;&gt;"",SUMPRODUCT((V32:V35=V34)*(AR32:AR35&gt;AR34)*1),0)</f>
        <v>0</v>
      </c>
      <c r="AT34" s="308">
        <f t="shared" ref="AT34" ca="1" si="300">IF(X34&lt;&gt;"",SUMPRODUCT((AS32:AS35=AS34)*(AQ32:AQ35&gt;AQ34)*1),0)</f>
        <v>0</v>
      </c>
      <c r="AU34" s="308">
        <f t="shared" ca="1" si="12"/>
        <v>0</v>
      </c>
      <c r="AV34" s="308">
        <f t="shared" ref="AV34" ca="1" si="301">IF(X34&lt;&gt;"",SUMPRODUCT((AU32:AU35=AU34)*(AS32:AS35=AS34)*(AO32:AO35&gt;AO34)*1),0)</f>
        <v>0</v>
      </c>
      <c r="AW34" s="308">
        <f t="shared" ca="1" si="13"/>
        <v>1</v>
      </c>
      <c r="AX34" s="308">
        <f ca="1">SUMPRODUCT((Tournament!F5:F52=Y34)*(Tournament!K5:K52=Y35)*(Tournament!H5:H52&gt;Tournament!I5:I52)*1)+SUMPRODUCT((Tournament!K5:K52=Y34)*(Tournament!F5:F52=Y35)*(Tournament!I5:I52&gt;Tournament!H5:H52)*1)</f>
        <v>0</v>
      </c>
      <c r="AY34" s="308">
        <f ca="1">SUMPRODUCT((Tournament!F5:F52=Y34)*(Tournament!K5:K52=Y35)*(Tournament!H5:H52=Tournament!I5:I52)*1)+SUMPRODUCT((Tournament!K5:K52=Y34)*(Tournament!F5:F52=Y35)*(Tournament!I5:I52=Tournament!H5:H52)*1)</f>
        <v>0</v>
      </c>
      <c r="AZ34" s="308">
        <f ca="1">SUMPRODUCT((Tournament!F5:F52=Y34)*(Tournament!K5:K52=Y35)*(Tournament!H5:H52&lt;Tournament!I5:I52)*1)+SUMPRODUCT((Tournament!K5:K52=Y34)*(Tournament!F5:F52=Y35)*(Tournament!I5:I52&lt;Tournament!H5:H52)*1)</f>
        <v>0</v>
      </c>
      <c r="BA34" s="308">
        <f ca="1">SUMIFS(Tournament!H5:H52,Tournament!F5:F52,Y34,Tournament!K5:K52,Y35)+SUMIFS(Tournament!I5:I52,Tournament!K5:K52,Y34,Tournament!F5:F52,Y35)</f>
        <v>0</v>
      </c>
      <c r="BB34" s="308">
        <f ca="1">SUMIFS(Tournament!I5:I52,Tournament!F5:F52,Y34,Tournament!K5:K52,Y35)+SUMIFS(Tournament!H5:H52,Tournament!K5:K52,Y34,Tournament!F5:F52,Y35)</f>
        <v>0</v>
      </c>
      <c r="BC34" s="308">
        <f t="shared" ref="BC34:BC35" ca="1" si="302">BA34-BB34</f>
        <v>0</v>
      </c>
      <c r="BD34" s="308">
        <f t="shared" ref="BD34:BD35" ca="1" si="303">AY34*1+AX34*3</f>
        <v>0</v>
      </c>
      <c r="BE34" s="308">
        <f t="shared" ref="BE34" ca="1" si="304">IF(Y34&lt;&gt;"",SUMPRODUCT((AH32:AH35=AH34)*(BD32:BD35&gt;BD34)*1),0)</f>
        <v>0</v>
      </c>
      <c r="BF34" s="308">
        <f t="shared" ref="BF34" ca="1" si="305">IF(Y34&lt;&gt;"",SUMPRODUCT((BE32:BE35=BE34)*(BC32:BC35&gt;BC34)*1),0)</f>
        <v>0</v>
      </c>
      <c r="BG34" s="308">
        <f t="shared" ref="BG34:BG35" ca="1" si="306">BE34+BF34</f>
        <v>0</v>
      </c>
      <c r="BH34" s="308">
        <f t="shared" ref="BH34" ca="1" si="307">IF(Y34&lt;&gt;"",SUMPRODUCT((BG32:BG35=BG34)*(BE32:BE35=BE34)*(BA32:BA35&gt;BA34)*1),0)</f>
        <v>0</v>
      </c>
      <c r="BI34" s="308">
        <f t="shared" ca="1" si="17"/>
        <v>1</v>
      </c>
      <c r="BJ34" s="308">
        <f ca="1">SUMPRODUCT((BI32:BI35=BI34)*(A32:A35&gt;A34)*1)</f>
        <v>0</v>
      </c>
      <c r="BK34" s="308">
        <f t="shared" ca="1" si="14"/>
        <v>1</v>
      </c>
      <c r="BM34" s="314"/>
      <c r="BN34" s="315"/>
      <c r="BO34" s="316" t="str">
        <f>Calculator!C29</f>
        <v>Cameroon</v>
      </c>
      <c r="BP34" s="317" t="s">
        <v>681</v>
      </c>
      <c r="BQ34" s="316"/>
      <c r="BR34" s="309">
        <v>28</v>
      </c>
      <c r="BS34" s="318" t="s">
        <v>151</v>
      </c>
      <c r="BT34" s="174"/>
      <c r="BU34" s="22">
        <v>28</v>
      </c>
      <c r="BV34" s="320">
        <f t="shared" si="18"/>
        <v>44892.916666666664</v>
      </c>
      <c r="BW34" s="321">
        <v>44892.916666666664</v>
      </c>
      <c r="BX34" s="322">
        <f t="shared" si="19"/>
        <v>44892.916666666664</v>
      </c>
      <c r="BZ34" s="309" t="str">
        <f>INDEX(Language!A1:K117,MATCH(Setup!B35,Language!B1:B117,0),MATCH(Setup!C5,Language!A1:J1,0))</f>
        <v>Serbia</v>
      </c>
    </row>
    <row r="35" spans="1:78" ht="15.5" x14ac:dyDescent="0.35">
      <c r="A35" s="308">
        <f ca="1">INDEX(M4:M35,MATCH(U35,C4:C35,0),0)</f>
        <v>1387</v>
      </c>
      <c r="B35" s="308">
        <f>B31</f>
        <v>4</v>
      </c>
      <c r="C35" s="308" t="str">
        <f t="shared" si="1"/>
        <v>Ghana</v>
      </c>
      <c r="D35" s="308">
        <f t="shared" ca="1" si="2"/>
        <v>0</v>
      </c>
      <c r="E35" s="308">
        <f ca="1">SUMPRODUCT((Tournament!H5:H52&lt;&gt;"")*(Tournament!F5:F52=C35)*(Tournament!H5:H52&gt;Tournament!I5:I52)*1)+SUMPRODUCT((Tournament!H5:H52&lt;&gt;"")*(Tournament!K5:K52=C35)*(Tournament!I5:I52&gt;Tournament!H5:H52)*1)</f>
        <v>0</v>
      </c>
      <c r="F35" s="308">
        <f ca="1">SUMPRODUCT((Tournament!H5:H52&lt;&gt;"")*(Tournament!F5:F52=C35)*(Tournament!H5:H52=Tournament!I5:I52)*1)+SUMPRODUCT((Tournament!H5:H52&lt;&gt;"")*(Tournament!K5:K52=C35)*(Tournament!H5:H52=Tournament!I5:I52)*1)</f>
        <v>0</v>
      </c>
      <c r="G35" s="308">
        <f ca="1">SUMPRODUCT((Tournament!H5:H52&lt;&gt;"")*(Tournament!F5:F52=C35)*(Tournament!H5:H52&lt;Tournament!I5:I52)*1)+SUMPRODUCT((Tournament!H5:H52&lt;&gt;"")*(Tournament!K5:K52=C35)*(Tournament!I5:I52&lt;Tournament!H5:H52)*1)</f>
        <v>0</v>
      </c>
      <c r="H35" s="308">
        <f ca="1">SUMIF(Tournament!F5:F52,C35,Tournament!H5:H52)+SUMIF(Tournament!K5:K52,C35,Tournament!I5:I52)</f>
        <v>0</v>
      </c>
      <c r="I35" s="308">
        <f ca="1">SUMIF(Tournament!F5:F52,C35,Tournament!I5:I52)+SUMIF(Tournament!K5:K52,C35,Tournament!H5:H52)</f>
        <v>0</v>
      </c>
      <c r="J35" s="308">
        <f t="shared" ca="1" si="3"/>
        <v>0</v>
      </c>
      <c r="K35" s="308">
        <f t="shared" ca="1" si="4"/>
        <v>0</v>
      </c>
      <c r="L35" s="308">
        <f>Setup!E39</f>
        <v>1387</v>
      </c>
      <c r="M35" s="308">
        <f>IF(Setup!F39&lt;&gt;"",Setup!F39,Setup!E39)</f>
        <v>1387</v>
      </c>
      <c r="N35" s="308">
        <f ca="1">RANK(K35,K32:K35)</f>
        <v>1</v>
      </c>
      <c r="O35" s="308">
        <f ca="1">SUMPRODUCT((N32:N35=N35)*(J32:J35&gt;J35)*1)</f>
        <v>0</v>
      </c>
      <c r="P35" s="308">
        <f t="shared" ca="1" si="5"/>
        <v>1</v>
      </c>
      <c r="Q35" s="308">
        <f ca="1">SUMPRODUCT((N32:N35=N35)*(J32:J35=J35)*(H32:H35&gt;H35)*1)</f>
        <v>0</v>
      </c>
      <c r="R35" s="308">
        <f t="shared" ca="1" si="6"/>
        <v>1</v>
      </c>
      <c r="S35" s="308">
        <f ca="1">RANK(R35,R32:R35,1)+COUNTIF(R32:R35,R35)-1</f>
        <v>4</v>
      </c>
      <c r="T35" s="308">
        <v>4</v>
      </c>
      <c r="U35" s="308" t="str">
        <f t="shared" ref="U35" ca="1" si="308">INDEX(C32:C35,MATCH(T35,S32:S35,0),0)</f>
        <v>Ghana</v>
      </c>
      <c r="V35" s="308">
        <f t="shared" ref="V35" ca="1" si="309">INDEX(R32:R35,MATCH(U35,C32:C35,0),0)</f>
        <v>1</v>
      </c>
      <c r="W35" s="308" t="str">
        <f t="shared" ca="1" si="293"/>
        <v>Ghana</v>
      </c>
      <c r="X35" s="308" t="str">
        <f t="shared" ref="X35" ca="1" si="310">IF(AND(X34&lt;&gt;"",V35=2),U35,"")</f>
        <v/>
      </c>
      <c r="Y35" s="308" t="str">
        <f t="shared" ref="Y35" ca="1" si="311">IF(AND(Y34&lt;&gt;"",V35=3),U35,"")</f>
        <v/>
      </c>
      <c r="Z35" s="308">
        <f ca="1">SUMPRODUCT((Tournament!F5:F52=W35)*(Tournament!K5:K52=W32)*(Tournament!H5:H52&gt;Tournament!I5:I52)*1)+SUMPRODUCT((Tournament!K5:K52=W35)*(Tournament!F5:F52=W32)*(Tournament!I5:I52&gt;Tournament!H5:H52)*1)+SUMPRODUCT((Tournament!F5:F52=W35)*(Tournament!K5:K52=W33)*(Tournament!H5:H52&gt;Tournament!I5:I52)*1)+SUMPRODUCT((Tournament!K5:K52=W35)*(Tournament!F5:F52=W33)*(Tournament!I5:I52&gt;Tournament!H5:H52)*1)+SUMPRODUCT((Tournament!F5:F52=W35)*(Tournament!K5:K52=W34)*(Tournament!H5:H52&gt;Tournament!I5:I52)*1)+SUMPRODUCT((Tournament!K5:K52=W35)*(Tournament!F5:F52=W34)*(Tournament!I5:I52&gt;Tournament!H5:H52)*1)</f>
        <v>0</v>
      </c>
      <c r="AA35" s="308">
        <f ca="1">SUMPRODUCT((Tournament!F5:F52=W35)*(Tournament!K5:K52=W32)*(Tournament!H5:H52&gt;=Tournament!I5:I52)*1)+SUMPRODUCT((Tournament!K5:K52=W35)*(Tournament!F5:F52=W32)*(Tournament!H5:H52=Tournament!I5:I52)*1)+SUMPRODUCT((Tournament!F5:F52=W35)*(Tournament!K5:K52=W33)*(Tournament!H5:H52=Tournament!I5:I52)*1)+SUMPRODUCT((Tournament!K5:K52=W35)*(Tournament!F5:F52=W33)*(Tournament!H5:H52=Tournament!I5:I52)*1)+SUMPRODUCT((Tournament!F5:F52=W35)*(Tournament!K5:K52=W34)*(Tournament!H5:H52=Tournament!I5:I52)*1)+SUMPRODUCT((Tournament!K5:K52=W35)*(Tournament!F5:F52=W34)*(Tournament!H5:H52=Tournament!I5:I52)*1)</f>
        <v>3</v>
      </c>
      <c r="AB35" s="308">
        <f ca="1">SUMPRODUCT((Tournament!F5:F52=W35)*(Tournament!K5:K52=W32)*(Tournament!H5:H52&lt;Tournament!I5:I52)*1)+SUMPRODUCT((Tournament!K5:K52=W35)*(Tournament!F5:F52=W32)*(Tournament!I5:I52&lt;Tournament!H5:H52)*1)+SUMPRODUCT((Tournament!F5:F52=W35)*(Tournament!K5:K52=W33)*(Tournament!H5:H52&lt;Tournament!I5:I52)*1)+SUMPRODUCT((Tournament!K5:K52=W35)*(Tournament!F5:F52=W33)*(Tournament!I5:I52&lt;Tournament!H5:H52)*1)+SUMPRODUCT((Tournament!F5:F52=W35)*(Tournament!K5:K52=W34)*(Tournament!H5:H52&lt;Tournament!I5:I52)*1)+SUMPRODUCT((Tournament!K5:K52=W35)*(Tournament!F5:F52=W34)*(Tournament!I5:I52&lt;Tournament!H5:H52)*1)</f>
        <v>0</v>
      </c>
      <c r="AC35" s="308">
        <f ca="1">SUMIFS(Tournament!H5:H52,Tournament!F5:F52,W35,Tournament!K5:K52,W32)+SUMIFS(Tournament!H5:H52,Tournament!F5:F52,W35,Tournament!K5:K52,W33)+SUMIFS(Tournament!H5:H52,Tournament!F5:F52,W35,Tournament!K5:K52,W34)+SUMIFS(Tournament!I5:I52,Tournament!K5:K52,W35,Tournament!F5:F52,W32)+SUMIFS(Tournament!I5:I52,Tournament!K5:K52,W35,Tournament!F5:F52,W33)+SUMIFS(Tournament!I5:I52,Tournament!K5:K52,W35,Tournament!F5:F52,W34)</f>
        <v>0</v>
      </c>
      <c r="AD35" s="308">
        <f ca="1">SUMIFS(Tournament!I5:I52,Tournament!F5:F52,W35,Tournament!K5:K52,W32)+SUMIFS(Tournament!I5:I52,Tournament!F5:F52,W35,Tournament!K5:K52,W33)+SUMIFS(Tournament!I5:I52,Tournament!F5:F52,W35,Tournament!K5:K52,W34)+SUMIFS(Tournament!H5:H52,Tournament!K5:K52,W35,Tournament!F5:F52,W32)+SUMIFS(Tournament!H5:H52,Tournament!K5:K52,W35,Tournament!F5:F52,W33)+SUMIFS(Tournament!H5:H52,Tournament!K5:K52,W35,Tournament!F5:F52,W34)</f>
        <v>0</v>
      </c>
      <c r="AE35" s="308">
        <f t="shared" ca="1" si="7"/>
        <v>0</v>
      </c>
      <c r="AF35" s="308">
        <f t="shared" ca="1" si="8"/>
        <v>3</v>
      </c>
      <c r="AG35" s="308">
        <f t="shared" ref="AG35" ca="1" si="312">IF(W35&lt;&gt;"",SUMPRODUCT((V32:V35=V35)*(AF32:AF35&gt;AF35)*1),0)</f>
        <v>0</v>
      </c>
      <c r="AH35" s="308">
        <f t="shared" ref="AH35" ca="1" si="313">IF(W35&lt;&gt;"",SUMPRODUCT((AG32:AG35=AG35)*(AE32:AE35&gt;AE35)*1),0)</f>
        <v>0</v>
      </c>
      <c r="AI35" s="308">
        <f t="shared" ca="1" si="0"/>
        <v>0</v>
      </c>
      <c r="AJ35" s="308">
        <f t="shared" ref="AJ35" ca="1" si="314">IF(W35&lt;&gt;"",SUMPRODUCT((AI32:AI35=AI35)*(AG32:AG35=AG35)*(AC32:AC35&gt;AC35)*1),0)</f>
        <v>0</v>
      </c>
      <c r="AK35" s="308">
        <f t="shared" ca="1" si="9"/>
        <v>1</v>
      </c>
      <c r="AL35" s="308">
        <f ca="1">SUMPRODUCT((Tournament!F5:F52=X35)*(Tournament!K5:K52=X33)*(Tournament!H5:H52&gt;Tournament!I5:I52)*1)+SUMPRODUCT((Tournament!K5:K52=X35)*(Tournament!F5:F52=X33)*(Tournament!I5:I52&gt;Tournament!H5:H52)*1)+SUMPRODUCT((Tournament!F5:F52=X35)*(Tournament!K5:K52=X34)*(Tournament!H5:H52&gt;Tournament!I5:I52)*1)+SUMPRODUCT((Tournament!K5:K52=X35)*(Tournament!F5:F52=X34)*(Tournament!I5:I52&gt;Tournament!H5:H52)*1)</f>
        <v>0</v>
      </c>
      <c r="AM35" s="308">
        <f ca="1">SUMPRODUCT((Tournament!F5:F52=X35)*(Tournament!K5:K52=X33)*(Tournament!H5:H52=Tournament!I5:I52)*1)+SUMPRODUCT((Tournament!K5:K52=X35)*(Tournament!F5:F52=X33)*(Tournament!H5:H52=Tournament!I5:I52)*1)+SUMPRODUCT((Tournament!F5:F52=X35)*(Tournament!K5:K52=X34)*(Tournament!H5:H52=Tournament!I5:I52)*1)+SUMPRODUCT((Tournament!K5:K52=X35)*(Tournament!F5:F52=X34)*(Tournament!H5:H52=Tournament!I5:I52)*1)</f>
        <v>0</v>
      </c>
      <c r="AN35" s="308">
        <f ca="1">SUMPRODUCT((Tournament!F5:F52=X35)*(Tournament!K5:K52=X33)*(Tournament!H5:H52&lt;Tournament!I5:I52)*1)+SUMPRODUCT((Tournament!K5:K52=X35)*(Tournament!F5:F52=X33)*(Tournament!I5:I52&lt;Tournament!H5:H52)*1)+SUMPRODUCT((Tournament!F5:F52=X35)*(Tournament!K5:K52=X34)*(Tournament!H5:H52&lt;Tournament!I5:I52)*1)+SUMPRODUCT((Tournament!K5:K52=X35)*(Tournament!F5:F52=X34)*(Tournament!I5:I52&lt;Tournament!H5:H52)*1)</f>
        <v>0</v>
      </c>
      <c r="AO35" s="308">
        <f ca="1">SUMIFS(Tournament!H5:H52,Tournament!F5:F52,X35,Tournament!K5:K52,X33)+SUMIFS(Tournament!H5:H52,Tournament!F5:F52,X35,Tournament!K5:K52,X34)+SUMIFS(Tournament!I5:I52,Tournament!K5:K52,X35,Tournament!F5:F52,X33)+SUMIFS(Tournament!I5:I52,Tournament!K5:K52,X35,Tournament!F5:F52,X34)</f>
        <v>0</v>
      </c>
      <c r="AP35" s="308">
        <f ca="1">SUMIFS(Tournament!H5:H52,Tournament!F5:F52,X35,Tournament!K5:K52,X33)+SUMIFS(Tournament!H5:H52,Tournament!F5:F52,X35,Tournament!K5:K52,X34)+SUMIFS(Tournament!I5:I52,Tournament!K5:K52,X35,Tournament!F5:F52,X33)+SUMIFS(Tournament!I5:I52,Tournament!K5:K52,X35,Tournament!F5:F52,X34)</f>
        <v>0</v>
      </c>
      <c r="AQ35" s="308">
        <f t="shared" ca="1" si="10"/>
        <v>0</v>
      </c>
      <c r="AR35" s="308">
        <f t="shared" ca="1" si="11"/>
        <v>0</v>
      </c>
      <c r="AS35" s="308">
        <f t="shared" ref="AS35" ca="1" si="315">IF(X35&lt;&gt;"",SUMPRODUCT((V32:V35=V35)*(AR32:AR35&gt;AR35)*1),0)</f>
        <v>0</v>
      </c>
      <c r="AT35" s="308">
        <f t="shared" ref="AT35" ca="1" si="316">IF(X35&lt;&gt;"",SUMPRODUCT((AS32:AS35=AS35)*(AQ32:AQ35&gt;AQ35)*1),0)</f>
        <v>0</v>
      </c>
      <c r="AU35" s="308">
        <f t="shared" ca="1" si="12"/>
        <v>0</v>
      </c>
      <c r="AV35" s="308">
        <f t="shared" ref="AV35" ca="1" si="317">IF(X35&lt;&gt;"",SUMPRODUCT((AU32:AU35=AU35)*(AS32:AS35=AS35)*(AO32:AO35&gt;AO35)*1),0)</f>
        <v>0</v>
      </c>
      <c r="AW35" s="308">
        <f t="shared" ca="1" si="13"/>
        <v>1</v>
      </c>
      <c r="AX35" s="308">
        <f ca="1">SUMPRODUCT((Tournament!F5:F52=Y35)*(Tournament!K5:K52=Y34)*(Tournament!H5:H52&gt;Tournament!I5:I52)*1)+SUMPRODUCT((Tournament!K5:K52=Y35)*(Tournament!F5:F52=Y34)*(Tournament!I5:I52&gt;Tournament!H5:H52)*1)</f>
        <v>0</v>
      </c>
      <c r="AY35" s="308">
        <f ca="1">SUMPRODUCT((Tournament!F5:F52=Y35)*(Tournament!K5:K52=Y34)*(Tournament!H5:H52=Tournament!I5:I52)*1)+SUMPRODUCT((Tournament!K5:K52=Y35)*(Tournament!F5:F52=Y34)*(Tournament!I5:I52=Tournament!H5:H52)*1)</f>
        <v>0</v>
      </c>
      <c r="AZ35" s="308">
        <f ca="1">SUMPRODUCT((Tournament!F5:F52=Y35)*(Tournament!K5:K52=Y34)*(Tournament!H5:H52&lt;Tournament!I5:I52)*1)+SUMPRODUCT((Tournament!K5:K52=Y35)*(Tournament!F5:F52=Y34)*(Tournament!I5:I52&lt;Tournament!H5:H52)*1)</f>
        <v>0</v>
      </c>
      <c r="BA35" s="308">
        <f ca="1">SUMIFS(Tournament!H5:H52,Tournament!F5:F52,Y35,Tournament!K5:K52,Y34)+SUMIFS(Tournament!I5:I52,Tournament!K5:K52,Y35,Tournament!F5:F52,Y34)</f>
        <v>0</v>
      </c>
      <c r="BB35" s="308">
        <f ca="1">SUMIFS(Tournament!H5:H52,Tournament!F5:F52,Y35,Tournament!K5:K52,Y34)+SUMIFS(Tournament!I5:I52,Tournament!K5:K52,Y35,Tournament!F5:F52,Y34)</f>
        <v>0</v>
      </c>
      <c r="BC35" s="308">
        <f t="shared" ca="1" si="302"/>
        <v>0</v>
      </c>
      <c r="BD35" s="308">
        <f t="shared" ca="1" si="303"/>
        <v>0</v>
      </c>
      <c r="BE35" s="308">
        <f t="shared" ref="BE35" ca="1" si="318">IF(Y35&lt;&gt;"",SUMPRODUCT((AH32:AH35=AH35)*(BD32:BD35&gt;BD35)*1),0)</f>
        <v>0</v>
      </c>
      <c r="BF35" s="308">
        <f t="shared" ref="BF35" ca="1" si="319">IF(Y35&lt;&gt;"",SUMPRODUCT((BE32:BE35=BE35)*(BC32:BC35&gt;BC35)*1),0)</f>
        <v>0</v>
      </c>
      <c r="BG35" s="308">
        <f t="shared" ca="1" si="306"/>
        <v>0</v>
      </c>
      <c r="BH35" s="308">
        <f t="shared" ref="BH35" ca="1" si="320">IF(Y35&lt;&gt;"",SUMPRODUCT((BG32:BG35=BG35)*(BE32:BE35=BE35)*(BA32:BA35&gt;BA35)*1),0)</f>
        <v>0</v>
      </c>
      <c r="BI35" s="308">
        <f t="shared" ca="1" si="17"/>
        <v>1</v>
      </c>
      <c r="BJ35" s="308">
        <f ca="1">SUMPRODUCT((BI32:BI35=BI35)*(A32:A35&gt;A35)*1)</f>
        <v>3</v>
      </c>
      <c r="BK35" s="308">
        <f t="shared" ca="1" si="14"/>
        <v>4</v>
      </c>
      <c r="BM35" s="314" t="s">
        <v>130</v>
      </c>
      <c r="BN35" s="315"/>
      <c r="BO35" s="316" t="str">
        <f>Calculator!C34</f>
        <v>Portugal</v>
      </c>
      <c r="BP35" s="317" t="s">
        <v>682</v>
      </c>
      <c r="BQ35" s="316"/>
      <c r="BR35" s="309">
        <v>29</v>
      </c>
      <c r="BS35" s="318" t="s">
        <v>152</v>
      </c>
      <c r="BT35" s="174"/>
      <c r="BU35" s="22">
        <v>29</v>
      </c>
      <c r="BV35" s="320">
        <f t="shared" si="18"/>
        <v>44893.541666666664</v>
      </c>
      <c r="BW35" s="321">
        <v>44893.541666666664</v>
      </c>
      <c r="BX35" s="322">
        <f t="shared" si="19"/>
        <v>44893.541666666664</v>
      </c>
      <c r="BZ35" s="309" t="str">
        <f>INDEX(Language!A1:K117,MATCH(Setup!B36,Language!B1:B117,0),MATCH(Setup!C5,Language!A1:J1,0))</f>
        <v>Uruguay</v>
      </c>
    </row>
    <row r="36" spans="1:78" x14ac:dyDescent="0.35">
      <c r="BM36" s="314"/>
      <c r="BN36" s="315"/>
      <c r="BO36" s="316" t="str">
        <f>Calculator!C35</f>
        <v>Ghana</v>
      </c>
      <c r="BP36" s="317" t="s">
        <v>683</v>
      </c>
      <c r="BQ36" s="316"/>
      <c r="BR36" s="309">
        <v>30</v>
      </c>
      <c r="BS36" s="318" t="s">
        <v>153</v>
      </c>
      <c r="BT36" s="174"/>
      <c r="BU36" s="22">
        <v>30</v>
      </c>
      <c r="BV36" s="320">
        <f t="shared" si="18"/>
        <v>44893.666666666664</v>
      </c>
      <c r="BW36" s="321">
        <v>44893.666666666664</v>
      </c>
      <c r="BX36" s="322">
        <f t="shared" si="19"/>
        <v>44893.666666666664</v>
      </c>
      <c r="BZ36" s="309" t="str">
        <f>INDEX(Language!A1:K117,MATCH(Setup!B37,Language!B1:B117,0),MATCH(Setup!C5,Language!A1:J1,0))</f>
        <v>South Korea</v>
      </c>
    </row>
    <row r="37" spans="1:78" x14ac:dyDescent="0.35">
      <c r="BM37" s="314"/>
      <c r="BN37" s="315"/>
      <c r="BO37" s="316" t="str">
        <f>Calculator!C32</f>
        <v>Uruguay</v>
      </c>
      <c r="BP37" s="317" t="s">
        <v>684</v>
      </c>
      <c r="BQ37" s="316"/>
      <c r="BR37" s="309">
        <v>31</v>
      </c>
      <c r="BS37" s="318" t="s">
        <v>154</v>
      </c>
      <c r="BT37" s="174"/>
      <c r="BU37" s="22">
        <v>31</v>
      </c>
      <c r="BV37" s="320">
        <f t="shared" si="18"/>
        <v>44893.791666666664</v>
      </c>
      <c r="BW37" s="321">
        <v>44893.791666666664</v>
      </c>
      <c r="BX37" s="322">
        <f t="shared" si="19"/>
        <v>44893.791666666664</v>
      </c>
      <c r="BY37" s="309">
        <f ca="1">SUM(Tournament!R35:R38)</f>
        <v>0</v>
      </c>
      <c r="BZ37" s="309" t="str">
        <f>INDEX(Language!A1:K117,MATCH(Setup!B38,Language!B1:B117,0),MATCH(Setup!C5,Language!A1:J1,0))</f>
        <v>Portugal</v>
      </c>
    </row>
    <row r="38" spans="1:78" x14ac:dyDescent="0.35">
      <c r="BM38" s="314"/>
      <c r="BN38" s="315"/>
      <c r="BO38" s="316" t="str">
        <f>Calculator!C33</f>
        <v>South Korea</v>
      </c>
      <c r="BP38" s="317" t="s">
        <v>685</v>
      </c>
      <c r="BQ38" s="316"/>
      <c r="BR38" s="309">
        <v>32</v>
      </c>
      <c r="BS38" s="318" t="s">
        <v>155</v>
      </c>
      <c r="BT38" s="174"/>
      <c r="BU38" s="22">
        <v>32</v>
      </c>
      <c r="BV38" s="320">
        <f t="shared" si="18"/>
        <v>44893.916666666664</v>
      </c>
      <c r="BW38" s="321">
        <v>44893.916666666664</v>
      </c>
      <c r="BX38" s="322">
        <f t="shared" si="19"/>
        <v>44893.916666666664</v>
      </c>
      <c r="BZ38" s="309" t="str">
        <f>INDEX(Language!A1:K117,MATCH(Setup!B39,Language!B1:B117,0),MATCH(Setup!C5,Language!A1:J1,0))</f>
        <v>Ghana</v>
      </c>
    </row>
    <row r="39" spans="1:78" x14ac:dyDescent="0.35">
      <c r="BS39" s="318" t="s">
        <v>156</v>
      </c>
      <c r="BT39" s="174"/>
      <c r="BU39" s="22">
        <v>33</v>
      </c>
      <c r="BV39" s="320">
        <f t="shared" si="18"/>
        <v>44894.75</v>
      </c>
      <c r="BW39" s="323">
        <v>44894.75</v>
      </c>
      <c r="BX39" s="322">
        <f t="shared" ref="BX39:BX70" si="321">BW39+TimeZoneData/24</f>
        <v>44894.75</v>
      </c>
    </row>
    <row r="40" spans="1:78" x14ac:dyDescent="0.35">
      <c r="BO40" s="309" t="str">
        <f ca="1">Tournament!F54</f>
        <v>Group A Winner</v>
      </c>
      <c r="BQ40" s="309" t="str">
        <f ca="1">IF(ISERROR("Calculator!"&amp;VLOOKUP(BO40,Calculator!BO7:BP38,2,FALSE)),"Calculator!b39","Calculator!"&amp;VLOOKUP(BO40,Calculator!BO7:BP38,2,FALSE))</f>
        <v>Calculator!b39</v>
      </c>
      <c r="BS40" s="318" t="s">
        <v>157</v>
      </c>
      <c r="BT40" s="174"/>
      <c r="BU40" s="22">
        <v>34</v>
      </c>
      <c r="BV40" s="320">
        <f t="shared" si="18"/>
        <v>44894.75</v>
      </c>
      <c r="BW40" s="323">
        <v>44894.75</v>
      </c>
      <c r="BX40" s="322">
        <f t="shared" si="321"/>
        <v>44894.75</v>
      </c>
    </row>
    <row r="41" spans="1:78" x14ac:dyDescent="0.35">
      <c r="BO41" s="309" t="str">
        <f ca="1">Tournament!F55</f>
        <v>Group C Winner</v>
      </c>
      <c r="BQ41" s="309" t="str">
        <f ca="1">IF(ISERROR("Calculator!"&amp;VLOOKUP(BO41,Calculator!BO7:BP38,2,FALSE)),"Calculator!b39","Calculator!"&amp;VLOOKUP(BO41,Calculator!BO7:BP38,2,FALSE))</f>
        <v>Calculator!b39</v>
      </c>
      <c r="BS41" s="318" t="s">
        <v>158</v>
      </c>
      <c r="BT41" s="174"/>
      <c r="BU41" s="22">
        <v>35</v>
      </c>
      <c r="BV41" s="320">
        <f t="shared" si="18"/>
        <v>44894.916666666664</v>
      </c>
      <c r="BW41" s="323">
        <v>44894.916666666664</v>
      </c>
      <c r="BX41" s="322">
        <f t="shared" si="321"/>
        <v>44894.916666666664</v>
      </c>
    </row>
    <row r="42" spans="1:78" x14ac:dyDescent="0.35">
      <c r="BO42" s="309" t="str">
        <f ca="1">Tournament!F56</f>
        <v>Group D Winner</v>
      </c>
      <c r="BQ42" s="309" t="str">
        <f ca="1">IF(ISERROR("Calculator!"&amp;VLOOKUP(BO42,Calculator!BO7:BP38,2,FALSE)),"Calculator!b39","Calculator!"&amp;VLOOKUP(BO42,Calculator!BO7:BP38,2,FALSE))</f>
        <v>Calculator!b39</v>
      </c>
      <c r="BS42" s="318" t="s">
        <v>159</v>
      </c>
      <c r="BT42" s="174"/>
      <c r="BU42" s="22">
        <v>36</v>
      </c>
      <c r="BV42" s="320">
        <f t="shared" si="18"/>
        <v>44894.916666666664</v>
      </c>
      <c r="BW42" s="323">
        <v>44894.916666666664</v>
      </c>
      <c r="BX42" s="322">
        <f t="shared" si="321"/>
        <v>44894.916666666664</v>
      </c>
    </row>
    <row r="43" spans="1:78" x14ac:dyDescent="0.35">
      <c r="BO43" s="309" t="str">
        <f ca="1">Tournament!F57</f>
        <v>Group B Winner</v>
      </c>
      <c r="BQ43" s="309" t="str">
        <f ca="1">IF(ISERROR("Calculator!"&amp;VLOOKUP(BO43,Calculator!BO7:BP38,2,FALSE)),"Calculator!b39","Calculator!"&amp;VLOOKUP(BO43,Calculator!BO7:BP38,2,FALSE))</f>
        <v>Calculator!b39</v>
      </c>
      <c r="BS43" s="318" t="s">
        <v>160</v>
      </c>
      <c r="BT43" s="174"/>
      <c r="BU43" s="22">
        <v>37</v>
      </c>
      <c r="BV43" s="320">
        <f t="shared" si="18"/>
        <v>44895.75</v>
      </c>
      <c r="BW43" s="323">
        <v>44895.75</v>
      </c>
      <c r="BX43" s="322">
        <f t="shared" si="321"/>
        <v>44895.75</v>
      </c>
      <c r="BY43" s="309">
        <f ca="1">SUM(Tournament!R41:R44)</f>
        <v>0</v>
      </c>
    </row>
    <row r="44" spans="1:78" x14ac:dyDescent="0.35">
      <c r="BO44" s="309" t="str">
        <f ca="1">Tournament!F58</f>
        <v>Group E Winner</v>
      </c>
      <c r="BQ44" s="309" t="str">
        <f ca="1">IF(ISERROR("Calculator!"&amp;VLOOKUP(BO44,Calculator!BO7:BP38,2,FALSE)),"Calculator!b39","Calculator!"&amp;VLOOKUP(BO44,Calculator!BO7:BP38,2,FALSE))</f>
        <v>Calculator!b39</v>
      </c>
      <c r="BS44" s="318" t="s">
        <v>161</v>
      </c>
      <c r="BT44" s="174"/>
      <c r="BU44" s="22">
        <v>38</v>
      </c>
      <c r="BV44" s="320">
        <f t="shared" si="18"/>
        <v>44895.75</v>
      </c>
      <c r="BW44" s="323">
        <v>44895.75</v>
      </c>
      <c r="BX44" s="322">
        <f t="shared" si="321"/>
        <v>44895.75</v>
      </c>
    </row>
    <row r="45" spans="1:78" x14ac:dyDescent="0.35">
      <c r="BO45" s="309" t="str">
        <f ca="1">Tournament!F59</f>
        <v>Group G Winner</v>
      </c>
      <c r="BQ45" s="309" t="str">
        <f ca="1">IF(ISERROR("Calculator!"&amp;VLOOKUP(BO45,Calculator!BO7:BP38,2,FALSE)),"Calculator!b39","Calculator!"&amp;VLOOKUP(BO45,Calculator!BO7:BP38,2,FALSE))</f>
        <v>Calculator!b39</v>
      </c>
      <c r="BS45" s="318" t="s">
        <v>162</v>
      </c>
      <c r="BT45" s="174"/>
      <c r="BU45" s="22">
        <v>39</v>
      </c>
      <c r="BV45" s="320">
        <f t="shared" si="18"/>
        <v>44895.916666666664</v>
      </c>
      <c r="BW45" s="323">
        <v>44895.916666666664</v>
      </c>
      <c r="BX45" s="322">
        <f t="shared" si="321"/>
        <v>44895.916666666664</v>
      </c>
    </row>
    <row r="46" spans="1:78" x14ac:dyDescent="0.35">
      <c r="BO46" s="309" t="str">
        <f ca="1">Tournament!F60</f>
        <v>Group F Winner</v>
      </c>
      <c r="BQ46" s="309" t="str">
        <f ca="1">IF(ISERROR("Calculator!"&amp;VLOOKUP(BO46,Calculator!BO7:BP38,2,FALSE)),"Calculator!b39","Calculator!"&amp;VLOOKUP(BO46,Calculator!BO7:BP38,2,FALSE))</f>
        <v>Calculator!b39</v>
      </c>
      <c r="BS46" s="318" t="s">
        <v>163</v>
      </c>
      <c r="BT46" s="174"/>
      <c r="BU46" s="22">
        <v>40</v>
      </c>
      <c r="BV46" s="320">
        <f t="shared" si="18"/>
        <v>44895.916666666664</v>
      </c>
      <c r="BW46" s="323">
        <v>44895.916666666664</v>
      </c>
      <c r="BX46" s="322">
        <f t="shared" si="321"/>
        <v>44895.916666666664</v>
      </c>
    </row>
    <row r="47" spans="1:78" x14ac:dyDescent="0.35">
      <c r="BO47" s="309" t="str">
        <f ca="1">Tournament!F61</f>
        <v>Group H Winner</v>
      </c>
      <c r="BQ47" s="309" t="str">
        <f ca="1">IF(ISERROR("Calculator!"&amp;VLOOKUP(BO47,Calculator!BO7:BP38,2,FALSE)),"Calculator!b39","Calculator!"&amp;VLOOKUP(BO47,Calculator!BO7:BP38,2,FALSE))</f>
        <v>Calculator!b39</v>
      </c>
      <c r="BS47" s="318" t="s">
        <v>164</v>
      </c>
      <c r="BT47" s="174"/>
      <c r="BU47" s="22">
        <v>41</v>
      </c>
      <c r="BV47" s="320">
        <f t="shared" si="18"/>
        <v>44896.75</v>
      </c>
      <c r="BW47" s="323">
        <v>44896.75</v>
      </c>
      <c r="BX47" s="322">
        <f t="shared" si="321"/>
        <v>44896.75</v>
      </c>
    </row>
    <row r="48" spans="1:78" x14ac:dyDescent="0.35">
      <c r="BO48" s="309" t="str">
        <f ca="1">Tournament!F62</f>
        <v>Match 53 Winner</v>
      </c>
      <c r="BQ48" s="309" t="str">
        <f ca="1">IF(ISERROR("Calculator!"&amp;VLOOKUP(BO48,Calculator!BO7:BP38,2,FALSE)),"Calculator!b39","Calculator!"&amp;VLOOKUP(BO48,Calculator!BO7:BP38,2,FALSE))</f>
        <v>Calculator!b39</v>
      </c>
      <c r="BS48" s="318" t="s">
        <v>165</v>
      </c>
      <c r="BT48" s="174"/>
      <c r="BU48" s="22">
        <v>42</v>
      </c>
      <c r="BV48" s="320">
        <f t="shared" si="18"/>
        <v>44896.75</v>
      </c>
      <c r="BW48" s="323">
        <v>44896.75</v>
      </c>
      <c r="BX48" s="322">
        <f t="shared" si="321"/>
        <v>44896.75</v>
      </c>
    </row>
    <row r="49" spans="67:77" x14ac:dyDescent="0.35">
      <c r="BO49" s="309" t="str">
        <f ca="1">Tournament!F63</f>
        <v>Match 49 Winner</v>
      </c>
      <c r="BQ49" s="309" t="str">
        <f ca="1">IF(ISERROR("Calculator!"&amp;VLOOKUP(BO49,Calculator!BO7:BP38,2,FALSE)),"Calculator!b39","Calculator!"&amp;VLOOKUP(BO49,Calculator!BO7:BP38,2,FALSE))</f>
        <v>Calculator!b39</v>
      </c>
      <c r="BS49" s="318" t="s">
        <v>166</v>
      </c>
      <c r="BT49" s="174"/>
      <c r="BU49" s="22">
        <v>43</v>
      </c>
      <c r="BV49" s="320">
        <f t="shared" si="18"/>
        <v>44896.916666666664</v>
      </c>
      <c r="BW49" s="323">
        <v>44896.916666666664</v>
      </c>
      <c r="BX49" s="322">
        <f t="shared" si="321"/>
        <v>44896.916666666664</v>
      </c>
      <c r="BY49" s="309">
        <f ca="1">SUM(Tournament!R47:R50)</f>
        <v>0</v>
      </c>
    </row>
    <row r="50" spans="67:77" x14ac:dyDescent="0.35">
      <c r="BO50" s="309" t="str">
        <f ca="1">Tournament!F64</f>
        <v>Match 55 Winner</v>
      </c>
      <c r="BQ50" s="309" t="str">
        <f ca="1">IF(ISERROR("Calculator!"&amp;VLOOKUP(BO50,Calculator!BO7:BP38,2,FALSE)),"Calculator!b39","Calculator!"&amp;VLOOKUP(BO50,Calculator!BO7:BP38,2,FALSE))</f>
        <v>Calculator!b39</v>
      </c>
      <c r="BS50" s="318" t="s">
        <v>167</v>
      </c>
      <c r="BT50" s="174"/>
      <c r="BU50" s="22">
        <v>44</v>
      </c>
      <c r="BV50" s="320">
        <f t="shared" si="18"/>
        <v>44896.916666666664</v>
      </c>
      <c r="BW50" s="323">
        <v>44896.916666666664</v>
      </c>
      <c r="BX50" s="322">
        <f t="shared" si="321"/>
        <v>44896.916666666664</v>
      </c>
    </row>
    <row r="51" spans="67:77" x14ac:dyDescent="0.35">
      <c r="BO51" s="309" t="str">
        <f ca="1">Tournament!F65</f>
        <v>Match 51 Winner</v>
      </c>
      <c r="BQ51" s="309" t="str">
        <f ca="1">IF(ISERROR("Calculator!"&amp;VLOOKUP(BO51,Calculator!BO7:BP38,2,FALSE)),"Calculator!b39","Calculator!"&amp;VLOOKUP(BO51,Calculator!BO7:BP38,2,FALSE))</f>
        <v>Calculator!b39</v>
      </c>
      <c r="BS51" s="318" t="s">
        <v>168</v>
      </c>
      <c r="BT51" s="174"/>
      <c r="BU51" s="22">
        <v>45</v>
      </c>
      <c r="BV51" s="320">
        <f t="shared" si="18"/>
        <v>44897.75</v>
      </c>
      <c r="BW51" s="323">
        <v>44897.75</v>
      </c>
      <c r="BX51" s="322">
        <f t="shared" si="321"/>
        <v>44897.75</v>
      </c>
    </row>
    <row r="52" spans="67:77" x14ac:dyDescent="0.35">
      <c r="BO52" s="309" t="str">
        <f ca="1">Tournament!F66</f>
        <v>Match 57 Winner</v>
      </c>
      <c r="BQ52" s="309" t="str">
        <f ca="1">IF(ISERROR("Calculator!"&amp;VLOOKUP(BO52,Calculator!BO7:BP38,2,FALSE)),"Calculator!b39","Calculator!"&amp;VLOOKUP(BO52,Calculator!BO7:BP38,2,FALSE))</f>
        <v>Calculator!b39</v>
      </c>
      <c r="BS52" s="318" t="s">
        <v>169</v>
      </c>
      <c r="BT52" s="174"/>
      <c r="BU52" s="22">
        <v>46</v>
      </c>
      <c r="BV52" s="320">
        <f t="shared" si="18"/>
        <v>44897.75</v>
      </c>
      <c r="BW52" s="323">
        <v>44897.75</v>
      </c>
      <c r="BX52" s="322">
        <f t="shared" si="321"/>
        <v>44897.75</v>
      </c>
    </row>
    <row r="53" spans="67:77" x14ac:dyDescent="0.35">
      <c r="BO53" s="309" t="str">
        <f ca="1">Tournament!F67</f>
        <v>Match 59 Winner</v>
      </c>
      <c r="BQ53" s="309" t="str">
        <f ca="1">IF(ISERROR("Calculator!"&amp;VLOOKUP(BO53,Calculator!BO7:BP38,2,FALSE)),"Calculator!b39","Calculator!"&amp;VLOOKUP(BO53,Calculator!BO7:BP38,2,FALSE))</f>
        <v>Calculator!b39</v>
      </c>
      <c r="BS53" s="318" t="s">
        <v>170</v>
      </c>
      <c r="BT53" s="174"/>
      <c r="BU53" s="22">
        <v>47</v>
      </c>
      <c r="BV53" s="320">
        <f t="shared" si="18"/>
        <v>44897.916666666664</v>
      </c>
      <c r="BW53" s="323">
        <v>44897.916666666664</v>
      </c>
      <c r="BX53" s="322">
        <f t="shared" si="321"/>
        <v>44897.916666666664</v>
      </c>
    </row>
    <row r="54" spans="67:77" x14ac:dyDescent="0.35">
      <c r="BO54" s="309" t="str">
        <f ca="1">Tournament!F68</f>
        <v>Match 61 Loser</v>
      </c>
      <c r="BQ54" s="309" t="str">
        <f ca="1">IF(ISERROR("Calculator!"&amp;VLOOKUP(BO54,Calculator!BO7:BP38,2,FALSE)),"Calculator!b39","Calculator!"&amp;VLOOKUP(BO54,Calculator!BO7:BP38,2,FALSE))</f>
        <v>Calculator!b39</v>
      </c>
      <c r="BS54" s="318" t="s">
        <v>171</v>
      </c>
      <c r="BT54" s="174"/>
      <c r="BU54" s="22">
        <v>48</v>
      </c>
      <c r="BV54" s="320">
        <f t="shared" si="18"/>
        <v>44897.916666666664</v>
      </c>
      <c r="BW54" s="323">
        <v>44897.916666666664</v>
      </c>
      <c r="BX54" s="322">
        <f t="shared" si="321"/>
        <v>44897.916666666664</v>
      </c>
    </row>
    <row r="55" spans="67:77" x14ac:dyDescent="0.35">
      <c r="BO55" s="309" t="str">
        <f ca="1">Tournament!F69</f>
        <v>Match 61 Winner</v>
      </c>
      <c r="BQ55" s="309" t="str">
        <f ca="1">IF(ISERROR("Calculator!"&amp;VLOOKUP(BO55,Calculator!BO7:BP38,2,FALSE)),"Calculator!b39","Calculator!"&amp;VLOOKUP(BO55,Calculator!BO7:BP38,2,FALSE))</f>
        <v>Calculator!b39</v>
      </c>
      <c r="BS55" s="318" t="s">
        <v>172</v>
      </c>
      <c r="BT55" s="174"/>
      <c r="BU55" s="22">
        <v>49</v>
      </c>
      <c r="BV55" s="320">
        <f t="shared" si="18"/>
        <v>44898.75</v>
      </c>
      <c r="BW55" s="323">
        <v>44898.75</v>
      </c>
      <c r="BX55" s="322">
        <f t="shared" si="321"/>
        <v>44898.75</v>
      </c>
    </row>
    <row r="56" spans="67:77" x14ac:dyDescent="0.35">
      <c r="BO56" s="309" t="str">
        <f ca="1">Tournament!K54</f>
        <v>Group B Runner Up</v>
      </c>
      <c r="BQ56" s="309" t="str">
        <f ca="1">IF(ISERROR("Calculator!"&amp;VLOOKUP(BO56,Calculator!BO7:BP38,2,FALSE)),"Calculator!b39","Calculator!"&amp;VLOOKUP(BO56,Calculator!BO7:BP38,2,FALSE))</f>
        <v>Calculator!b39</v>
      </c>
      <c r="BS56" s="318"/>
      <c r="BT56" s="174"/>
      <c r="BU56" s="22">
        <v>50</v>
      </c>
      <c r="BV56" s="320">
        <f t="shared" si="18"/>
        <v>44898.916666666664</v>
      </c>
      <c r="BW56" s="323">
        <v>44898.916666666664</v>
      </c>
      <c r="BX56" s="322">
        <f t="shared" si="321"/>
        <v>44898.916666666664</v>
      </c>
    </row>
    <row r="57" spans="67:77" x14ac:dyDescent="0.35">
      <c r="BO57" s="309" t="str">
        <f ca="1">Tournament!K55</f>
        <v>Group D Runner Up</v>
      </c>
      <c r="BQ57" s="309" t="str">
        <f ca="1">IF(ISERROR("Calculator!"&amp;VLOOKUP(BO57,Calculator!BO7:BP38,2,FALSE)),"Calculator!b39","Calculator!"&amp;VLOOKUP(BO57,Calculator!BO7:BP38,2,FALSE))</f>
        <v>Calculator!b39</v>
      </c>
      <c r="BT57" s="174"/>
      <c r="BU57" s="22">
        <v>51</v>
      </c>
      <c r="BV57" s="320">
        <f t="shared" si="18"/>
        <v>44899.75</v>
      </c>
      <c r="BW57" s="323">
        <v>44899.75</v>
      </c>
      <c r="BX57" s="322">
        <f t="shared" si="321"/>
        <v>44899.75</v>
      </c>
    </row>
    <row r="58" spans="67:77" x14ac:dyDescent="0.35">
      <c r="BO58" s="309" t="str">
        <f ca="1">Tournament!K56</f>
        <v>Group C Runner Up</v>
      </c>
      <c r="BQ58" s="309" t="str">
        <f ca="1">IF(ISERROR("Calculator!"&amp;VLOOKUP(BO58,Calculator!BO7:BP38,2,FALSE)),"Calculator!b39","Calculator!"&amp;VLOOKUP(BO58,Calculator!BO7:BP38,2,FALSE))</f>
        <v>Calculator!b39</v>
      </c>
      <c r="BT58" s="174"/>
      <c r="BU58" s="22">
        <v>52</v>
      </c>
      <c r="BV58" s="320">
        <f t="shared" si="18"/>
        <v>44899.916666666664</v>
      </c>
      <c r="BW58" s="323">
        <v>44899.916666666664</v>
      </c>
      <c r="BX58" s="322">
        <f t="shared" si="321"/>
        <v>44899.916666666664</v>
      </c>
    </row>
    <row r="59" spans="67:77" x14ac:dyDescent="0.35">
      <c r="BO59" s="309" t="str">
        <f ca="1">Tournament!K57</f>
        <v>Group A Runner Up</v>
      </c>
      <c r="BQ59" s="309" t="str">
        <f ca="1">IF(ISERROR("Calculator!"&amp;VLOOKUP(BO59,Calculator!BO7:BP38,2,FALSE)),"Calculator!b39","Calculator!"&amp;VLOOKUP(BO59,Calculator!BO7:BP38,2,FALSE))</f>
        <v>Calculator!b39</v>
      </c>
      <c r="BT59" s="174"/>
      <c r="BU59" s="22">
        <v>53</v>
      </c>
      <c r="BV59" s="320">
        <f t="shared" si="18"/>
        <v>44900.75</v>
      </c>
      <c r="BW59" s="323">
        <v>44900.75</v>
      </c>
      <c r="BX59" s="322">
        <f t="shared" si="321"/>
        <v>44900.75</v>
      </c>
    </row>
    <row r="60" spans="67:77" x14ac:dyDescent="0.35">
      <c r="BO60" s="309" t="str">
        <f ca="1">Tournament!K58</f>
        <v>Group F Runner Up</v>
      </c>
      <c r="BQ60" s="309" t="str">
        <f ca="1">IF(ISERROR("Calculator!"&amp;VLOOKUP(BO60,Calculator!BO7:BP38,2,FALSE)),"Calculator!b39","Calculator!"&amp;VLOOKUP(BO60,Calculator!BO7:BP38,2,FALSE))</f>
        <v>Calculator!b39</v>
      </c>
      <c r="BT60" s="174"/>
      <c r="BU60" s="22">
        <v>54</v>
      </c>
      <c r="BV60" s="320">
        <f t="shared" si="18"/>
        <v>44900.916666666664</v>
      </c>
      <c r="BW60" s="323">
        <v>44900.916666666664</v>
      </c>
      <c r="BX60" s="322">
        <f t="shared" si="321"/>
        <v>44900.916666666664</v>
      </c>
    </row>
    <row r="61" spans="67:77" x14ac:dyDescent="0.35">
      <c r="BO61" s="309" t="str">
        <f ca="1">Tournament!K59</f>
        <v>Group H Runner Up</v>
      </c>
      <c r="BQ61" s="309" t="str">
        <f ca="1">IF(ISERROR("Calculator!"&amp;VLOOKUP(BO61,Calculator!BO7:BP38,2,FALSE)),"Calculator!b39","Calculator!"&amp;VLOOKUP(BO61,Calculator!BO7:BP38,2,FALSE))</f>
        <v>Calculator!b39</v>
      </c>
      <c r="BT61" s="174"/>
      <c r="BU61" s="22">
        <v>55</v>
      </c>
      <c r="BV61" s="320">
        <f t="shared" si="18"/>
        <v>44901.75</v>
      </c>
      <c r="BW61" s="323">
        <v>44901.75</v>
      </c>
      <c r="BX61" s="322">
        <f t="shared" si="321"/>
        <v>44901.75</v>
      </c>
    </row>
    <row r="62" spans="67:77" x14ac:dyDescent="0.35">
      <c r="BO62" s="309" t="str">
        <f ca="1">Tournament!K60</f>
        <v>Group E Runner Up</v>
      </c>
      <c r="BQ62" s="309" t="str">
        <f ca="1">IF(ISERROR("Calculator!"&amp;VLOOKUP(BO62,Calculator!BO7:BP38,2,FALSE)),"Calculator!b39","Calculator!"&amp;VLOOKUP(BO62,Calculator!BO7:BP38,2,FALSE))</f>
        <v>Calculator!b39</v>
      </c>
      <c r="BT62" s="174"/>
      <c r="BU62" s="22">
        <v>56</v>
      </c>
      <c r="BV62" s="320">
        <f t="shared" si="18"/>
        <v>44901.916666666664</v>
      </c>
      <c r="BW62" s="323">
        <v>44901.916666666664</v>
      </c>
      <c r="BX62" s="322">
        <f t="shared" si="321"/>
        <v>44901.916666666664</v>
      </c>
    </row>
    <row r="63" spans="67:77" x14ac:dyDescent="0.35">
      <c r="BO63" s="309" t="str">
        <f ca="1">Tournament!K61</f>
        <v>Group G Runner Up</v>
      </c>
      <c r="BQ63" s="309" t="str">
        <f ca="1">IF(ISERROR("Calculator!"&amp;VLOOKUP(BO63,Calculator!BO7:BP38,2,FALSE)),"Calculator!b39","Calculator!"&amp;VLOOKUP(BO63,Calculator!BO7:BP38,2,FALSE))</f>
        <v>Calculator!b39</v>
      </c>
      <c r="BT63" s="174"/>
      <c r="BU63" s="22">
        <v>57</v>
      </c>
      <c r="BV63" s="320">
        <f t="shared" si="18"/>
        <v>44904.75</v>
      </c>
      <c r="BW63" s="323">
        <v>44904.75</v>
      </c>
      <c r="BX63" s="322">
        <f t="shared" si="321"/>
        <v>44904.75</v>
      </c>
    </row>
    <row r="64" spans="67:77" x14ac:dyDescent="0.35">
      <c r="BO64" s="309" t="str">
        <f ca="1">Tournament!K62</f>
        <v>Match 54 Winner</v>
      </c>
      <c r="BQ64" s="309" t="str">
        <f ca="1">IF(ISERROR("Calculator!"&amp;VLOOKUP(BO64,Calculator!BO7:BP38,2,FALSE)),"Calculator!b39","Calculator!"&amp;VLOOKUP(BO64,Calculator!BO7:BP38,2,FALSE))</f>
        <v>Calculator!b39</v>
      </c>
      <c r="BT64" s="174"/>
      <c r="BU64" s="22">
        <v>58</v>
      </c>
      <c r="BV64" s="320">
        <f t="shared" si="18"/>
        <v>44904.916666666664</v>
      </c>
      <c r="BW64" s="323">
        <v>44904.916666666664</v>
      </c>
      <c r="BX64" s="322">
        <f t="shared" si="321"/>
        <v>44904.916666666664</v>
      </c>
    </row>
    <row r="65" spans="67:76" x14ac:dyDescent="0.35">
      <c r="BO65" s="309" t="str">
        <f ca="1">Tournament!K63</f>
        <v>Match 50 Winner</v>
      </c>
      <c r="BQ65" s="309" t="str">
        <f ca="1">IF(ISERROR("Calculator!"&amp;VLOOKUP(BO65,Calculator!BO7:BP38,2,FALSE)),"Calculator!b39","Calculator!"&amp;VLOOKUP(BO65,Calculator!BO7:BP38,2,FALSE))</f>
        <v>Calculator!b39</v>
      </c>
      <c r="BT65" s="174"/>
      <c r="BU65" s="22">
        <v>59</v>
      </c>
      <c r="BV65" s="320">
        <f t="shared" si="18"/>
        <v>44905.75</v>
      </c>
      <c r="BW65" s="323">
        <v>44905.75</v>
      </c>
      <c r="BX65" s="322">
        <f t="shared" si="321"/>
        <v>44905.75</v>
      </c>
    </row>
    <row r="66" spans="67:76" x14ac:dyDescent="0.35">
      <c r="BO66" s="309" t="str">
        <f ca="1">Tournament!K64</f>
        <v>Match 56 Winner</v>
      </c>
      <c r="BQ66" s="309" t="str">
        <f ca="1">IF(ISERROR("Calculator!"&amp;VLOOKUP(BO66,Calculator!BO7:BP38,2,FALSE)),"Calculator!b39","Calculator!"&amp;VLOOKUP(BO66,Calculator!BO7:BP38,2,FALSE))</f>
        <v>Calculator!b39</v>
      </c>
      <c r="BT66" s="174"/>
      <c r="BU66" s="22">
        <v>60</v>
      </c>
      <c r="BV66" s="320">
        <f t="shared" si="18"/>
        <v>44905.916666666664</v>
      </c>
      <c r="BW66" s="323">
        <v>44905.916666666664</v>
      </c>
      <c r="BX66" s="322">
        <f t="shared" si="321"/>
        <v>44905.916666666664</v>
      </c>
    </row>
    <row r="67" spans="67:76" x14ac:dyDescent="0.35">
      <c r="BO67" s="309" t="str">
        <f ca="1">Tournament!K65</f>
        <v>Match 52 Winner</v>
      </c>
      <c r="BQ67" s="309" t="str">
        <f ca="1">IF(ISERROR("Calculator!"&amp;VLOOKUP(BO67,Calculator!BO7:BP38,2,FALSE)),"Calculator!b39","Calculator!"&amp;VLOOKUP(BO67,Calculator!BO7:BP38,2,FALSE))</f>
        <v>Calculator!b39</v>
      </c>
      <c r="BT67" s="174"/>
      <c r="BU67" s="22">
        <v>61</v>
      </c>
      <c r="BV67" s="320">
        <f t="shared" si="18"/>
        <v>44908.916666666664</v>
      </c>
      <c r="BW67" s="323">
        <v>44908.916666666664</v>
      </c>
      <c r="BX67" s="322">
        <f t="shared" si="321"/>
        <v>44908.916666666664</v>
      </c>
    </row>
    <row r="68" spans="67:76" x14ac:dyDescent="0.35">
      <c r="BO68" s="309" t="str">
        <f ca="1">Tournament!K66</f>
        <v>Match 58 Winner</v>
      </c>
      <c r="BQ68" s="309" t="str">
        <f ca="1">IF(ISERROR("Calculator!"&amp;VLOOKUP(BO68,Calculator!BO7:BP38,2,FALSE)),"Calculator!b39","Calculator!"&amp;VLOOKUP(BO68,Calculator!BO7:BP38,2,FALSE))</f>
        <v>Calculator!b39</v>
      </c>
      <c r="BT68" s="174"/>
      <c r="BU68" s="22">
        <v>62</v>
      </c>
      <c r="BV68" s="320">
        <f t="shared" si="18"/>
        <v>44909.916666666664</v>
      </c>
      <c r="BW68" s="323">
        <v>44909.916666666664</v>
      </c>
      <c r="BX68" s="322">
        <f t="shared" si="321"/>
        <v>44909.916666666664</v>
      </c>
    </row>
    <row r="69" spans="67:76" x14ac:dyDescent="0.35">
      <c r="BO69" s="309" t="str">
        <f ca="1">Tournament!K67</f>
        <v>Match 60 Winner</v>
      </c>
      <c r="BQ69" s="309" t="str">
        <f ca="1">IF(ISERROR("Calculator!"&amp;VLOOKUP(BO69,Calculator!BO7:BP38,2,FALSE)),"Calculator!b39","Calculator!"&amp;VLOOKUP(BO69,Calculator!BO7:BP38,2,FALSE))</f>
        <v>Calculator!b39</v>
      </c>
      <c r="BT69" s="174"/>
      <c r="BU69" s="22">
        <v>63</v>
      </c>
      <c r="BV69" s="320">
        <f t="shared" si="18"/>
        <v>44912.75</v>
      </c>
      <c r="BW69" s="323">
        <v>44912.75</v>
      </c>
      <c r="BX69" s="322">
        <f t="shared" si="321"/>
        <v>44912.75</v>
      </c>
    </row>
    <row r="70" spans="67:76" x14ac:dyDescent="0.35">
      <c r="BO70" s="309" t="str">
        <f ca="1">Tournament!K68</f>
        <v>Match 62 Loser</v>
      </c>
      <c r="BQ70" s="309" t="str">
        <f ca="1">IF(ISERROR("Calculator!"&amp;VLOOKUP(BO70,Calculator!BO7:BP38,2,FALSE)),"Calculator!b39","Calculator!"&amp;VLOOKUP(BO70,Calculator!BO7:BP38,2,FALSE))</f>
        <v>Calculator!b39</v>
      </c>
      <c r="BT70" s="174"/>
      <c r="BU70" s="22">
        <v>64</v>
      </c>
      <c r="BV70" s="320">
        <f t="shared" si="18"/>
        <v>44913.75</v>
      </c>
      <c r="BW70" s="323">
        <v>44913.75</v>
      </c>
      <c r="BX70" s="322">
        <f t="shared" si="321"/>
        <v>44913.75</v>
      </c>
    </row>
    <row r="71" spans="67:76" x14ac:dyDescent="0.35">
      <c r="BO71" s="309" t="str">
        <f ca="1">Tournament!K69</f>
        <v>Match 62 Winner</v>
      </c>
      <c r="BQ71" s="309" t="str">
        <f ca="1">IF(ISERROR("Calculator!"&amp;VLOOKUP(BO71,Calculator!BO7:BP38,2,FALSE)),"Calculator!b39","Calculator!"&amp;VLOOKUP(BO71,Calculator!BO7:BP38,2,FALSE))</f>
        <v>Calculator!b39</v>
      </c>
      <c r="BT71" s="174"/>
      <c r="BU71" s="174"/>
      <c r="BV71" s="174"/>
      <c r="BW71" s="313"/>
      <c r="BX71" s="174"/>
    </row>
    <row r="72" spans="67:76" x14ac:dyDescent="0.35">
      <c r="BO72" s="309" t="str">
        <f ca="1">Tournament!P57</f>
        <v>WORLD CUP 2022 CHAMPION</v>
      </c>
      <c r="BQ72" s="309" t="str">
        <f ca="1">IF(ISERROR("Calculator!"&amp;VLOOKUP(BO72,Calculator!BO7:BP38,2,FALSE)),"Calculator!b39","Calculator!"&amp;VLOOKUP(BO72,Calculator!BO7:BP38,2,FALSE))</f>
        <v>Calculator!b39</v>
      </c>
      <c r="BT72" s="174"/>
      <c r="BU72" s="174"/>
      <c r="BV72" s="174"/>
      <c r="BW72" s="313"/>
      <c r="BX72" s="174"/>
    </row>
    <row r="73" spans="67:76" x14ac:dyDescent="0.35">
      <c r="BO73" s="309" t="str">
        <f ca="1">Tournament!P64</f>
        <v>WORLD CUP 2022 RUNNER UP</v>
      </c>
      <c r="BQ73" s="309" t="str">
        <f ca="1">IF(ISERROR("Calculator!"&amp;VLOOKUP(BO73,Calculator!BO7:BP38,2,FALSE)),"Calculator!b39","Calculator!"&amp;VLOOKUP(BO73,Calculator!BO7:BP38,2,FALSE))</f>
        <v>Calculator!b39</v>
      </c>
      <c r="BT73" s="174"/>
      <c r="BU73" s="174"/>
      <c r="BV73" s="174"/>
      <c r="BW73" s="313"/>
      <c r="BX73" s="174"/>
    </row>
    <row r="74" spans="67:76" x14ac:dyDescent="0.35">
      <c r="BO74" s="309" t="str">
        <f ca="1">Tournament!P68</f>
        <v>WORLD CUP 2022 3RD PLACE</v>
      </c>
      <c r="BQ74" s="309" t="str">
        <f ca="1">IF(ISERROR("Calculator!"&amp;VLOOKUP(BO74,Calculator!BO7:BP38,2,FALSE)),"Calculator!b39","Calculator!"&amp;VLOOKUP(BO74,Calculator!BO7:BP38,2,FALSE))</f>
        <v>Calculator!b39</v>
      </c>
      <c r="BT74" s="174"/>
      <c r="BU74" s="174"/>
      <c r="BV74" s="174"/>
      <c r="BW74" s="313"/>
      <c r="BX74" s="174"/>
    </row>
    <row r="75" spans="67:76" x14ac:dyDescent="0.35">
      <c r="BT75" s="174"/>
      <c r="BU75" s="174"/>
      <c r="BV75" s="174"/>
      <c r="BW75" s="313"/>
      <c r="BX75" s="174"/>
    </row>
    <row r="76" spans="67:76" x14ac:dyDescent="0.35">
      <c r="BT76" s="174"/>
      <c r="BU76" s="174"/>
      <c r="BV76" s="174"/>
      <c r="BW76" s="313"/>
      <c r="BX76" s="174"/>
    </row>
    <row r="77" spans="67:76" x14ac:dyDescent="0.35">
      <c r="BT77" s="174"/>
      <c r="BU77" s="174"/>
      <c r="BV77" s="174"/>
      <c r="BW77" s="313"/>
      <c r="BX77" s="174"/>
    </row>
    <row r="78" spans="67:76" x14ac:dyDescent="0.35">
      <c r="BT78" s="174"/>
      <c r="BU78" s="174"/>
      <c r="BV78" s="174"/>
      <c r="BW78" s="313"/>
      <c r="BX78" s="174"/>
    </row>
    <row r="79" spans="67:76" x14ac:dyDescent="0.35">
      <c r="BT79" s="174"/>
      <c r="BU79" s="174"/>
      <c r="BV79" s="174"/>
      <c r="BW79" s="313"/>
      <c r="BX79" s="174"/>
    </row>
    <row r="80" spans="67:76" x14ac:dyDescent="0.35">
      <c r="BT80" s="174"/>
      <c r="BU80" s="174"/>
      <c r="BV80" s="174"/>
      <c r="BW80" s="313"/>
      <c r="BX80" s="174"/>
    </row>
    <row r="81" spans="72:76" x14ac:dyDescent="0.35">
      <c r="BT81" s="174"/>
      <c r="BU81" s="174"/>
      <c r="BV81" s="174"/>
      <c r="BW81" s="313"/>
      <c r="BX81" s="174"/>
    </row>
    <row r="82" spans="72:76" x14ac:dyDescent="0.35">
      <c r="BT82" s="174"/>
      <c r="BU82" s="174"/>
      <c r="BV82" s="174"/>
      <c r="BW82" s="313"/>
      <c r="BX82" s="174"/>
    </row>
    <row r="83" spans="72:76" x14ac:dyDescent="0.35">
      <c r="BT83" s="174"/>
      <c r="BU83" s="174"/>
      <c r="BV83" s="174"/>
      <c r="BW83" s="313"/>
      <c r="BX83" s="174"/>
    </row>
    <row r="84" spans="72:76" x14ac:dyDescent="0.35">
      <c r="BT84" s="174"/>
      <c r="BU84" s="174"/>
      <c r="BV84" s="174"/>
      <c r="BW84" s="323"/>
      <c r="BX84" s="174"/>
    </row>
    <row r="85" spans="72:76" x14ac:dyDescent="0.35">
      <c r="BT85" s="174"/>
      <c r="BU85" s="174"/>
      <c r="BV85" s="174"/>
      <c r="BW85" s="313"/>
      <c r="BX85" s="174"/>
    </row>
    <row r="86" spans="72:76" x14ac:dyDescent="0.35">
      <c r="BT86" s="174"/>
      <c r="BU86" s="174"/>
      <c r="BV86" s="174"/>
      <c r="BW86" s="313"/>
      <c r="BX86" s="174"/>
    </row>
    <row r="87" spans="72:76" x14ac:dyDescent="0.35">
      <c r="BT87" s="174"/>
      <c r="BU87" s="174"/>
      <c r="BV87" s="174"/>
      <c r="BW87" s="313"/>
      <c r="BX87" s="174"/>
    </row>
    <row r="88" spans="72:76" x14ac:dyDescent="0.35">
      <c r="BT88" s="174"/>
      <c r="BU88" s="174"/>
      <c r="BV88" s="174"/>
      <c r="BW88" s="313"/>
      <c r="BX88" s="174"/>
    </row>
    <row r="89" spans="72:76" x14ac:dyDescent="0.35">
      <c r="BT89" s="174"/>
      <c r="BU89" s="174"/>
      <c r="BV89" s="174"/>
      <c r="BW89" s="313"/>
      <c r="BX89" s="174"/>
    </row>
    <row r="90" spans="72:76" x14ac:dyDescent="0.35">
      <c r="BT90" s="174"/>
      <c r="BU90" s="174"/>
      <c r="BV90" s="174"/>
      <c r="BW90" s="323"/>
      <c r="BX90" s="174"/>
    </row>
    <row r="91" spans="72:76" x14ac:dyDescent="0.35">
      <c r="BT91" s="174"/>
      <c r="BU91" s="174"/>
      <c r="BV91" s="174"/>
      <c r="BW91" s="313"/>
      <c r="BX91" s="174"/>
    </row>
    <row r="92" spans="72:76" x14ac:dyDescent="0.35">
      <c r="BT92" s="174"/>
      <c r="BU92" s="174"/>
      <c r="BV92" s="174"/>
      <c r="BW92" s="313"/>
      <c r="BX92" s="174"/>
    </row>
    <row r="93" spans="72:76" x14ac:dyDescent="0.35">
      <c r="BT93" s="174"/>
      <c r="BU93" s="174"/>
      <c r="BV93" s="174"/>
      <c r="BW93" s="313"/>
      <c r="BX93" s="174"/>
    </row>
    <row r="94" spans="72:76" x14ac:dyDescent="0.35">
      <c r="BT94" s="174"/>
      <c r="BU94" s="174"/>
      <c r="BV94" s="174"/>
      <c r="BW94" s="313"/>
      <c r="BX94" s="174"/>
    </row>
    <row r="95" spans="72:76" x14ac:dyDescent="0.35">
      <c r="BT95" s="174"/>
      <c r="BU95" s="174"/>
      <c r="BV95" s="174"/>
      <c r="BW95" s="313"/>
      <c r="BX95" s="174"/>
    </row>
    <row r="96" spans="72:76" x14ac:dyDescent="0.35">
      <c r="BT96" s="174"/>
      <c r="BU96" s="174"/>
      <c r="BV96" s="174"/>
      <c r="BW96" s="323"/>
      <c r="BX96" s="174"/>
    </row>
    <row r="97" spans="72:76" x14ac:dyDescent="0.35">
      <c r="BT97" s="174"/>
      <c r="BU97" s="174"/>
      <c r="BV97" s="174"/>
      <c r="BW97" s="313"/>
      <c r="BX97" s="174"/>
    </row>
    <row r="98" spans="72:76" x14ac:dyDescent="0.35">
      <c r="BT98" s="174"/>
      <c r="BU98" s="174"/>
      <c r="BV98" s="174"/>
      <c r="BW98" s="313"/>
      <c r="BX98" s="174"/>
    </row>
    <row r="99" spans="72:76" x14ac:dyDescent="0.35">
      <c r="BT99" s="174"/>
      <c r="BU99" s="174"/>
      <c r="BV99" s="174"/>
      <c r="BW99" s="313"/>
      <c r="BX99" s="174"/>
    </row>
    <row r="100" spans="72:76" x14ac:dyDescent="0.35">
      <c r="BT100" s="174"/>
      <c r="BU100" s="174"/>
      <c r="BV100" s="174"/>
      <c r="BW100" s="313"/>
      <c r="BX100" s="174"/>
    </row>
    <row r="101" spans="72:76" x14ac:dyDescent="0.35">
      <c r="BT101" s="174"/>
      <c r="BU101" s="174"/>
      <c r="BV101" s="174"/>
      <c r="BW101" s="313"/>
      <c r="BX101" s="174"/>
    </row>
    <row r="102" spans="72:76" x14ac:dyDescent="0.35">
      <c r="BT102" s="174"/>
      <c r="BU102" s="174"/>
      <c r="BV102" s="174"/>
      <c r="BW102" s="323"/>
      <c r="BX102" s="174"/>
    </row>
    <row r="103" spans="72:76" x14ac:dyDescent="0.35">
      <c r="BT103" s="174"/>
      <c r="BU103" s="174"/>
      <c r="BV103" s="174"/>
      <c r="BW103" s="323"/>
      <c r="BX103" s="174"/>
    </row>
    <row r="104" spans="72:76" x14ac:dyDescent="0.35">
      <c r="BT104" s="174"/>
      <c r="BU104" s="174"/>
      <c r="BV104" s="174"/>
      <c r="BW104" s="323"/>
      <c r="BX104" s="174"/>
    </row>
    <row r="105" spans="72:76" x14ac:dyDescent="0.35">
      <c r="BT105" s="174"/>
      <c r="BU105" s="174"/>
      <c r="BV105" s="174"/>
      <c r="BW105" s="323"/>
      <c r="BX105" s="174"/>
    </row>
    <row r="106" spans="72:76" x14ac:dyDescent="0.35">
      <c r="BT106" s="174"/>
      <c r="BU106" s="174"/>
      <c r="BV106" s="174"/>
      <c r="BW106" s="323"/>
      <c r="BX106" s="174"/>
    </row>
    <row r="107" spans="72:76" x14ac:dyDescent="0.35">
      <c r="BT107" s="174"/>
      <c r="BU107" s="174"/>
      <c r="BV107" s="174"/>
      <c r="BW107" s="323"/>
      <c r="BX107" s="174"/>
    </row>
    <row r="108" spans="72:76" x14ac:dyDescent="0.35">
      <c r="BT108" s="174"/>
      <c r="BU108" s="174"/>
      <c r="BV108" s="174"/>
      <c r="BW108" s="323"/>
      <c r="BX108" s="174"/>
    </row>
    <row r="109" spans="72:76" x14ac:dyDescent="0.35">
      <c r="BT109" s="174"/>
      <c r="BU109" s="174"/>
      <c r="BV109" s="174"/>
      <c r="BW109" s="323"/>
      <c r="BX109" s="174"/>
    </row>
    <row r="110" spans="72:76" x14ac:dyDescent="0.35">
      <c r="BT110" s="174"/>
      <c r="BU110" s="174"/>
      <c r="BV110" s="174"/>
      <c r="BW110" s="323"/>
      <c r="BX110" s="174"/>
    </row>
    <row r="111" spans="72:76" x14ac:dyDescent="0.35">
      <c r="BT111" s="174"/>
      <c r="BU111" s="174"/>
      <c r="BV111" s="174"/>
      <c r="BW111" s="323"/>
      <c r="BX111" s="174"/>
    </row>
    <row r="112" spans="72:76" x14ac:dyDescent="0.35">
      <c r="BT112" s="174"/>
      <c r="BU112" s="174"/>
      <c r="BV112" s="174"/>
      <c r="BW112" s="323"/>
      <c r="BX112" s="174"/>
    </row>
    <row r="113" spans="72:76" x14ac:dyDescent="0.35">
      <c r="BT113" s="174"/>
      <c r="BU113" s="174"/>
      <c r="BV113" s="174"/>
      <c r="BW113" s="323"/>
      <c r="BX113" s="174"/>
    </row>
    <row r="114" spans="72:76" x14ac:dyDescent="0.35">
      <c r="BT114" s="174"/>
      <c r="BU114" s="174"/>
      <c r="BV114" s="174"/>
      <c r="BW114" s="323"/>
      <c r="BX114" s="174"/>
    </row>
    <row r="115" spans="72:76" x14ac:dyDescent="0.35">
      <c r="BT115" s="174"/>
      <c r="BU115" s="174"/>
      <c r="BV115" s="174"/>
      <c r="BW115" s="323"/>
      <c r="BX115" s="174"/>
    </row>
    <row r="116" spans="72:76" x14ac:dyDescent="0.35">
      <c r="BT116" s="174"/>
      <c r="BU116" s="174"/>
      <c r="BV116" s="174"/>
      <c r="BW116" s="323"/>
      <c r="BX116" s="174"/>
    </row>
    <row r="117" spans="72:76" x14ac:dyDescent="0.35">
      <c r="BT117" s="174"/>
      <c r="BU117" s="174"/>
      <c r="BV117" s="174"/>
      <c r="BW117" s="323"/>
      <c r="BX117" s="174"/>
    </row>
    <row r="118" spans="72:76" x14ac:dyDescent="0.35">
      <c r="BT118" s="174"/>
      <c r="BU118" s="174"/>
      <c r="BV118" s="174"/>
      <c r="BW118" s="323"/>
      <c r="BX118" s="174"/>
    </row>
    <row r="119" spans="72:76" x14ac:dyDescent="0.35">
      <c r="BT119" s="174"/>
      <c r="BU119" s="174"/>
      <c r="BV119" s="174"/>
      <c r="BW119" s="323"/>
      <c r="BX119" s="174"/>
    </row>
    <row r="120" spans="72:76" x14ac:dyDescent="0.35">
      <c r="BT120" s="174"/>
      <c r="BU120" s="174"/>
      <c r="BV120" s="174"/>
      <c r="BW120" s="323"/>
      <c r="BX120" s="174"/>
    </row>
    <row r="121" spans="72:76" x14ac:dyDescent="0.35">
      <c r="BT121" s="174"/>
      <c r="BU121" s="174"/>
      <c r="BV121" s="174"/>
      <c r="BW121" s="323"/>
      <c r="BX121" s="174"/>
    </row>
    <row r="122" spans="72:76" x14ac:dyDescent="0.35">
      <c r="BT122" s="174"/>
      <c r="BU122" s="174"/>
      <c r="BV122" s="174"/>
      <c r="BW122" s="323"/>
      <c r="BX122" s="174"/>
    </row>
    <row r="123" spans="72:76" x14ac:dyDescent="0.35">
      <c r="BT123" s="174"/>
      <c r="BU123" s="174"/>
      <c r="BV123" s="174"/>
      <c r="BW123" s="323"/>
      <c r="BX123" s="174"/>
    </row>
    <row r="124" spans="72:76" x14ac:dyDescent="0.35">
      <c r="BT124" s="174"/>
      <c r="BU124" s="174"/>
      <c r="BV124" s="174"/>
      <c r="BW124" s="323"/>
      <c r="BX124" s="174"/>
    </row>
    <row r="125" spans="72:76" x14ac:dyDescent="0.35">
      <c r="BT125" s="174"/>
      <c r="BU125" s="174"/>
      <c r="BV125" s="174"/>
      <c r="BW125" s="323"/>
      <c r="BX125" s="174"/>
    </row>
    <row r="126" spans="72:76" x14ac:dyDescent="0.35">
      <c r="BT126" s="174"/>
      <c r="BU126" s="174"/>
      <c r="BV126" s="174"/>
      <c r="BW126" s="323"/>
      <c r="BX126" s="174"/>
    </row>
    <row r="127" spans="72:76" x14ac:dyDescent="0.35">
      <c r="BT127" s="174"/>
      <c r="BU127" s="174"/>
      <c r="BV127" s="174"/>
      <c r="BW127" s="323"/>
      <c r="BX127" s="174"/>
    </row>
    <row r="128" spans="72:76" x14ac:dyDescent="0.35">
      <c r="BT128" s="174"/>
      <c r="BU128" s="174"/>
      <c r="BV128" s="174"/>
      <c r="BW128" s="313"/>
      <c r="BX128" s="174"/>
    </row>
    <row r="129" spans="72:76" x14ac:dyDescent="0.35">
      <c r="BT129" s="174"/>
      <c r="BU129" s="174"/>
      <c r="BV129" s="174"/>
      <c r="BW129" s="313"/>
      <c r="BX129" s="174"/>
    </row>
    <row r="130" spans="72:76" x14ac:dyDescent="0.35">
      <c r="BT130" s="174"/>
      <c r="BU130" s="174"/>
      <c r="BV130" s="174"/>
      <c r="BW130" s="313"/>
      <c r="BX130" s="174"/>
    </row>
    <row r="131" spans="72:76" x14ac:dyDescent="0.35">
      <c r="BT131" s="174"/>
      <c r="BU131" s="174"/>
      <c r="BV131" s="174"/>
      <c r="BW131" s="313"/>
      <c r="BX131" s="174"/>
    </row>
    <row r="132" spans="72:76" x14ac:dyDescent="0.35">
      <c r="BT132" s="174"/>
      <c r="BU132" s="174"/>
      <c r="BV132" s="174"/>
      <c r="BW132" s="313"/>
      <c r="BX132" s="174"/>
    </row>
    <row r="133" spans="72:76" x14ac:dyDescent="0.35">
      <c r="BT133" s="174"/>
      <c r="BU133" s="174"/>
      <c r="BV133" s="174"/>
      <c r="BW133" s="313"/>
      <c r="BX133" s="174"/>
    </row>
    <row r="134" spans="72:76" x14ac:dyDescent="0.35">
      <c r="BT134" s="174"/>
      <c r="BU134" s="174"/>
      <c r="BV134" s="174"/>
      <c r="BW134" s="313"/>
      <c r="BX134" s="174"/>
    </row>
    <row r="135" spans="72:76" x14ac:dyDescent="0.35">
      <c r="BT135" s="174"/>
      <c r="BU135" s="174"/>
      <c r="BV135" s="174"/>
      <c r="BW135" s="313"/>
      <c r="BX135" s="174"/>
    </row>
    <row r="136" spans="72:76" x14ac:dyDescent="0.35">
      <c r="BT136" s="174"/>
      <c r="BU136" s="174"/>
      <c r="BV136" s="174"/>
      <c r="BW136" s="313"/>
      <c r="BX136" s="174"/>
    </row>
    <row r="137" spans="72:76" x14ac:dyDescent="0.35">
      <c r="BT137" s="174"/>
      <c r="BU137" s="174"/>
      <c r="BV137" s="174"/>
      <c r="BW137" s="313"/>
      <c r="BX137" s="174"/>
    </row>
    <row r="138" spans="72:76" x14ac:dyDescent="0.35">
      <c r="BT138" s="174"/>
      <c r="BU138" s="174"/>
      <c r="BV138" s="174"/>
      <c r="BW138" s="313"/>
      <c r="BX138" s="174"/>
    </row>
    <row r="139" spans="72:76" x14ac:dyDescent="0.35">
      <c r="BT139" s="174"/>
      <c r="BU139" s="174"/>
      <c r="BV139" s="174"/>
      <c r="BW139" s="313"/>
      <c r="BX139" s="174"/>
    </row>
    <row r="140" spans="72:76" x14ac:dyDescent="0.35">
      <c r="BT140" s="174"/>
      <c r="BU140" s="174"/>
      <c r="BV140" s="174"/>
      <c r="BW140" s="313"/>
      <c r="BX140" s="174"/>
    </row>
    <row r="141" spans="72:76" x14ac:dyDescent="0.35">
      <c r="BT141" s="174"/>
      <c r="BU141" s="174"/>
      <c r="BV141" s="174"/>
      <c r="BW141" s="313"/>
      <c r="BX141" s="174"/>
    </row>
    <row r="142" spans="72:76" x14ac:dyDescent="0.35">
      <c r="BT142" s="174"/>
      <c r="BU142" s="174"/>
      <c r="BV142" s="174"/>
      <c r="BW142" s="313"/>
      <c r="BX142" s="174"/>
    </row>
    <row r="143" spans="72:76" x14ac:dyDescent="0.35">
      <c r="BT143" s="174"/>
      <c r="BU143" s="174"/>
      <c r="BV143" s="174"/>
      <c r="BW143" s="313"/>
      <c r="BX143" s="174"/>
    </row>
    <row r="144" spans="72:76" x14ac:dyDescent="0.35">
      <c r="BT144" s="174"/>
      <c r="BU144" s="174"/>
      <c r="BV144" s="174"/>
      <c r="BW144" s="313"/>
      <c r="BX144" s="174"/>
    </row>
    <row r="145" spans="65:77" x14ac:dyDescent="0.35">
      <c r="BM145" s="324" t="str">
        <f>INDEX(Language!A1:K117,MATCH("Language",Language!B1:B117,0),MATCH(Setup!C5,Language!A1:J1,0))</f>
        <v>Language</v>
      </c>
      <c r="BN145" s="324"/>
      <c r="BO145" s="325"/>
      <c r="BP145" s="326"/>
      <c r="BQ145" s="327" t="s">
        <v>173</v>
      </c>
      <c r="BT145" s="174"/>
      <c r="BU145" s="174"/>
      <c r="BV145" s="174"/>
      <c r="BW145" s="313"/>
      <c r="BX145" s="174"/>
    </row>
    <row r="146" spans="65:77" x14ac:dyDescent="0.35">
      <c r="BM146" s="324"/>
      <c r="BN146" s="324"/>
      <c r="BO146" s="325"/>
      <c r="BP146" s="326"/>
      <c r="BQ146" s="327"/>
      <c r="BT146" s="174"/>
      <c r="BU146" s="174"/>
      <c r="BV146" s="174"/>
      <c r="BW146" s="313"/>
      <c r="BX146" s="174"/>
      <c r="BY146" s="328"/>
    </row>
    <row r="147" spans="65:77" x14ac:dyDescent="0.35">
      <c r="BM147" s="324" t="str">
        <f>INDEX(Language!A1:K117,MATCH("Timezone",Language!B1:B117,0),MATCH(Setup!C5,Language!A1:J1,0))</f>
        <v>Timezone</v>
      </c>
      <c r="BN147" s="324"/>
      <c r="BO147" s="325"/>
      <c r="BP147" s="326"/>
      <c r="BQ147" s="327" t="s">
        <v>173</v>
      </c>
      <c r="BT147" s="174"/>
      <c r="BU147" s="174"/>
      <c r="BV147" s="174"/>
      <c r="BW147" s="313"/>
      <c r="BX147" s="174"/>
      <c r="BY147" s="328"/>
    </row>
    <row r="148" spans="65:77" x14ac:dyDescent="0.35">
      <c r="BT148" s="174"/>
      <c r="BU148" s="174"/>
      <c r="BV148" s="174"/>
      <c r="BW148" s="313"/>
      <c r="BX148" s="174"/>
      <c r="BY148" s="328"/>
    </row>
    <row r="149" spans="65:77" x14ac:dyDescent="0.35">
      <c r="BT149" s="174"/>
      <c r="BU149" s="174"/>
      <c r="BV149" s="174"/>
      <c r="BW149" s="313"/>
      <c r="BX149" s="174"/>
    </row>
    <row r="150" spans="65:77" ht="29" x14ac:dyDescent="0.35">
      <c r="BT150" s="329" t="s">
        <v>174</v>
      </c>
      <c r="BU150" s="329"/>
      <c r="BV150" s="329"/>
      <c r="BW150" s="329"/>
      <c r="BX150" s="330"/>
    </row>
    <row r="151" spans="65:77" x14ac:dyDescent="0.35">
      <c r="BT151" s="331"/>
      <c r="BU151" s="331"/>
      <c r="BV151" s="331"/>
      <c r="BW151" s="331"/>
      <c r="BX151" s="330"/>
    </row>
    <row r="152" spans="65:77" x14ac:dyDescent="0.35">
      <c r="BT152" s="331"/>
      <c r="BU152" s="331"/>
      <c r="BV152" s="331"/>
      <c r="BW152" s="331"/>
      <c r="BX152" s="330"/>
    </row>
  </sheetData>
  <sheetProtection password="CBF1" sheet="1" objects="1" scenarios="1" selectLockedCells="1" selectUnlockedCells="1"/>
  <conditionalFormatting sqref="B52">
    <cfRule type="expression" dxfId="1" priority="2">
      <formula>$B$52&lt;&gt;""</formula>
    </cfRule>
  </conditionalFormatting>
  <conditionalFormatting sqref="P31">
    <cfRule type="expression" dxfId="0" priority="1">
      <formula>$B$52&lt;&gt;""</formula>
    </cfRule>
  </conditionalFormatting>
  <dataValidations disablePrompts="1" count="1">
    <dataValidation type="list" allowBlank="1" showInputMessage="1" showErrorMessage="1" sqref="BT150">
      <formula1>Location</formula1>
    </dataValidation>
  </dataValidations>
  <pageMargins left="0.75" right="0.75" top="1" bottom="1" header="0.5" footer="0.5"/>
  <pageSetup paperSize="9"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1"/>
  <sheetViews>
    <sheetView showGridLines="0" workbookViewId="0">
      <selection activeCell="E112" sqref="E112"/>
    </sheetView>
  </sheetViews>
  <sheetFormatPr defaultColWidth="9.08984375" defaultRowHeight="14.5" x14ac:dyDescent="0.35"/>
  <cols>
    <col min="1" max="1" width="4" style="85" bestFit="1" customWidth="1"/>
    <col min="2" max="9" width="20.6328125" style="85" customWidth="1"/>
    <col min="10" max="10" width="9.08984375" style="85"/>
    <col min="11" max="11" width="9.08984375" style="102"/>
    <col min="12" max="16384" width="9.08984375" style="85"/>
  </cols>
  <sheetData>
    <row r="1" spans="1:20" x14ac:dyDescent="0.35">
      <c r="A1" s="103">
        <v>1</v>
      </c>
      <c r="B1" s="103" t="s">
        <v>629</v>
      </c>
      <c r="C1" s="103" t="s">
        <v>1</v>
      </c>
      <c r="D1" s="103" t="s">
        <v>175</v>
      </c>
      <c r="E1" s="103" t="s">
        <v>176</v>
      </c>
      <c r="F1" s="103" t="s">
        <v>177</v>
      </c>
      <c r="G1" s="103" t="s">
        <v>178</v>
      </c>
      <c r="H1" s="103" t="s">
        <v>179</v>
      </c>
      <c r="I1" s="103" t="str">
        <f>Setup!C6</f>
        <v>MY LANGUAGE</v>
      </c>
    </row>
    <row r="2" spans="1:20" x14ac:dyDescent="0.35">
      <c r="A2" s="103">
        <v>1</v>
      </c>
      <c r="B2" s="103">
        <v>2</v>
      </c>
      <c r="C2" s="103">
        <v>3</v>
      </c>
      <c r="D2" s="103">
        <v>4</v>
      </c>
      <c r="E2" s="103">
        <v>5</v>
      </c>
      <c r="F2" s="103">
        <v>6</v>
      </c>
      <c r="G2" s="103">
        <v>7</v>
      </c>
      <c r="H2" s="103">
        <v>8</v>
      </c>
      <c r="I2" s="103">
        <v>9</v>
      </c>
    </row>
    <row r="3" spans="1:20" x14ac:dyDescent="0.35">
      <c r="A3" s="103">
        <v>2</v>
      </c>
      <c r="B3" s="104" t="str">
        <f>Setup!B8</f>
        <v>Senegal</v>
      </c>
      <c r="C3" s="103" t="s">
        <v>7</v>
      </c>
      <c r="D3" s="104" t="s">
        <v>180</v>
      </c>
      <c r="E3" s="104" t="s">
        <v>7</v>
      </c>
      <c r="F3" s="104" t="s">
        <v>7</v>
      </c>
      <c r="G3" s="104" t="s">
        <v>7</v>
      </c>
      <c r="H3" s="103" t="s">
        <v>7</v>
      </c>
      <c r="I3" s="104" t="str">
        <f>IF(Setup!C8&lt;&gt;"",Setup!C8,Setup!B8)</f>
        <v>Senegal</v>
      </c>
      <c r="K3" s="85"/>
    </row>
    <row r="4" spans="1:20" x14ac:dyDescent="0.35">
      <c r="A4" s="103">
        <v>3</v>
      </c>
      <c r="B4" s="104" t="str">
        <f>Setup!B9</f>
        <v>Netherlands</v>
      </c>
      <c r="C4" s="105" t="s">
        <v>9</v>
      </c>
      <c r="D4" s="106" t="s">
        <v>181</v>
      </c>
      <c r="E4" s="106" t="s">
        <v>182</v>
      </c>
      <c r="F4" s="106" t="s">
        <v>183</v>
      </c>
      <c r="G4" s="106" t="s">
        <v>184</v>
      </c>
      <c r="H4" s="106" t="s">
        <v>185</v>
      </c>
      <c r="I4" s="104" t="str">
        <f>IF(Setup!C9&lt;&gt;"",Setup!C9,Setup!B9)</f>
        <v>Netherlands</v>
      </c>
      <c r="K4" s="85"/>
    </row>
    <row r="5" spans="1:20" x14ac:dyDescent="0.35">
      <c r="A5" s="103">
        <v>4</v>
      </c>
      <c r="B5" s="104" t="str">
        <f>Setup!B10</f>
        <v>Qatar</v>
      </c>
      <c r="C5" s="103" t="s">
        <v>10</v>
      </c>
      <c r="D5" s="104" t="s">
        <v>10</v>
      </c>
      <c r="E5" s="104" t="s">
        <v>186</v>
      </c>
      <c r="F5" s="104" t="s">
        <v>10</v>
      </c>
      <c r="G5" s="104" t="s">
        <v>187</v>
      </c>
      <c r="H5" s="103" t="s">
        <v>186</v>
      </c>
      <c r="I5" s="104" t="str">
        <f>IF(Setup!C10&lt;&gt;"",Setup!C10,Setup!B10)</f>
        <v>Qatar</v>
      </c>
      <c r="K5" s="85"/>
    </row>
    <row r="6" spans="1:20" x14ac:dyDescent="0.35">
      <c r="A6" s="103">
        <v>5</v>
      </c>
      <c r="B6" s="104" t="str">
        <f>Setup!B11</f>
        <v>Ecuador</v>
      </c>
      <c r="C6" s="103" t="s">
        <v>11</v>
      </c>
      <c r="D6" s="104" t="s">
        <v>188</v>
      </c>
      <c r="E6" s="104" t="s">
        <v>11</v>
      </c>
      <c r="F6" s="104" t="s">
        <v>11</v>
      </c>
      <c r="G6" s="104" t="s">
        <v>189</v>
      </c>
      <c r="H6" s="103" t="s">
        <v>11</v>
      </c>
      <c r="I6" s="104" t="str">
        <f>IF(Setup!C11&lt;&gt;"",Setup!C11,Setup!B11)</f>
        <v>Ecuador</v>
      </c>
      <c r="K6" s="85"/>
    </row>
    <row r="7" spans="1:20" x14ac:dyDescent="0.35">
      <c r="A7" s="103">
        <v>6</v>
      </c>
      <c r="B7" s="104" t="str">
        <f>Setup!B12</f>
        <v>England</v>
      </c>
      <c r="C7" s="103" t="s">
        <v>12</v>
      </c>
      <c r="D7" s="104" t="s">
        <v>190</v>
      </c>
      <c r="E7" s="104" t="s">
        <v>12</v>
      </c>
      <c r="F7" s="104" t="s">
        <v>191</v>
      </c>
      <c r="G7" s="104" t="s">
        <v>192</v>
      </c>
      <c r="H7" s="103" t="s">
        <v>192</v>
      </c>
      <c r="I7" s="104" t="str">
        <f>IF(Setup!C12&lt;&gt;"",Setup!C12,Setup!B12)</f>
        <v>England</v>
      </c>
      <c r="K7" s="85"/>
      <c r="T7" s="94"/>
    </row>
    <row r="8" spans="1:20" x14ac:dyDescent="0.35">
      <c r="A8" s="103">
        <v>7</v>
      </c>
      <c r="B8" s="104" t="str">
        <f>Setup!B13</f>
        <v>Iran</v>
      </c>
      <c r="C8" s="103" t="s">
        <v>13</v>
      </c>
      <c r="D8" s="104" t="s">
        <v>13</v>
      </c>
      <c r="E8" s="104" t="s">
        <v>193</v>
      </c>
      <c r="F8" s="104" t="s">
        <v>194</v>
      </c>
      <c r="G8" s="104" t="s">
        <v>195</v>
      </c>
      <c r="H8" s="103" t="s">
        <v>196</v>
      </c>
      <c r="I8" s="104" t="str">
        <f>IF(Setup!C13&lt;&gt;"",Setup!C13,Setup!B13)</f>
        <v>Iran</v>
      </c>
      <c r="K8" s="85"/>
    </row>
    <row r="9" spans="1:20" x14ac:dyDescent="0.35">
      <c r="A9" s="103">
        <v>8</v>
      </c>
      <c r="B9" s="104" t="str">
        <f>Setup!B14</f>
        <v>United States</v>
      </c>
      <c r="C9" s="103" t="s">
        <v>14</v>
      </c>
      <c r="D9" s="104" t="s">
        <v>197</v>
      </c>
      <c r="E9" s="104" t="s">
        <v>198</v>
      </c>
      <c r="F9" s="104" t="s">
        <v>199</v>
      </c>
      <c r="G9" s="104" t="s">
        <v>200</v>
      </c>
      <c r="H9" s="103" t="s">
        <v>200</v>
      </c>
      <c r="I9" s="104" t="str">
        <f>IF(Setup!C14&lt;&gt;"",Setup!C14,Setup!B14)</f>
        <v>United States</v>
      </c>
      <c r="K9" s="85"/>
      <c r="T9" s="94"/>
    </row>
    <row r="10" spans="1:20" x14ac:dyDescent="0.35">
      <c r="A10" s="103">
        <v>9</v>
      </c>
      <c r="B10" s="104" t="str">
        <f>Setup!B15</f>
        <v>Wales</v>
      </c>
      <c r="C10" s="103" t="s">
        <v>15</v>
      </c>
      <c r="D10" s="104" t="s">
        <v>201</v>
      </c>
      <c r="E10" s="104" t="s">
        <v>15</v>
      </c>
      <c r="F10" s="104" t="s">
        <v>202</v>
      </c>
      <c r="G10" s="104" t="s">
        <v>203</v>
      </c>
      <c r="H10" s="103" t="s">
        <v>204</v>
      </c>
      <c r="I10" s="104" t="str">
        <f>IF(Setup!C15&lt;&gt;"",Setup!C15,Setup!B15)</f>
        <v>Wales</v>
      </c>
      <c r="K10" s="85"/>
    </row>
    <row r="11" spans="1:20" x14ac:dyDescent="0.35">
      <c r="A11" s="103">
        <v>10</v>
      </c>
      <c r="B11" s="104" t="str">
        <f>Setup!B16</f>
        <v>Argentina</v>
      </c>
      <c r="C11" s="104" t="s">
        <v>16</v>
      </c>
      <c r="D11" s="104" t="s">
        <v>205</v>
      </c>
      <c r="E11" s="104" t="s">
        <v>206</v>
      </c>
      <c r="F11" s="104" t="s">
        <v>16</v>
      </c>
      <c r="G11" s="104" t="s">
        <v>16</v>
      </c>
      <c r="H11" s="104" t="s">
        <v>16</v>
      </c>
      <c r="I11" s="104" t="str">
        <f>IF(Setup!C16&lt;&gt;"",Setup!C16,Setup!B16)</f>
        <v>Argentina</v>
      </c>
      <c r="K11" s="85"/>
      <c r="T11" s="94"/>
    </row>
    <row r="12" spans="1:20" x14ac:dyDescent="0.35">
      <c r="A12" s="103">
        <v>11</v>
      </c>
      <c r="B12" s="104" t="str">
        <f>Setup!B17</f>
        <v>Saudi Arabia</v>
      </c>
      <c r="C12" s="103" t="s">
        <v>17</v>
      </c>
      <c r="D12" s="104" t="s">
        <v>207</v>
      </c>
      <c r="E12" s="104" t="s">
        <v>208</v>
      </c>
      <c r="F12" s="104" t="s">
        <v>209</v>
      </c>
      <c r="G12" s="104" t="s">
        <v>210</v>
      </c>
      <c r="H12" s="103" t="s">
        <v>209</v>
      </c>
      <c r="I12" s="104" t="str">
        <f>IF(Setup!C17&lt;&gt;"",Setup!C17,Setup!B17)</f>
        <v>Saudi Arabia</v>
      </c>
      <c r="K12" s="85"/>
      <c r="T12" s="94"/>
    </row>
    <row r="13" spans="1:20" x14ac:dyDescent="0.35">
      <c r="A13" s="103">
        <v>12</v>
      </c>
      <c r="B13" s="104" t="str">
        <f>Setup!B18</f>
        <v>Mexico</v>
      </c>
      <c r="C13" s="103" t="s">
        <v>18</v>
      </c>
      <c r="D13" s="104" t="s">
        <v>211</v>
      </c>
      <c r="E13" s="104" t="s">
        <v>212</v>
      </c>
      <c r="F13" s="104" t="s">
        <v>213</v>
      </c>
      <c r="G13" s="104" t="s">
        <v>214</v>
      </c>
      <c r="H13" s="103" t="s">
        <v>215</v>
      </c>
      <c r="I13" s="104" t="str">
        <f>IF(Setup!C18&lt;&gt;"",Setup!C18,Setup!B18)</f>
        <v>Mexico</v>
      </c>
      <c r="K13" s="85"/>
    </row>
    <row r="14" spans="1:20" x14ac:dyDescent="0.35">
      <c r="A14" s="103">
        <v>13</v>
      </c>
      <c r="B14" s="104" t="str">
        <f>Setup!B19</f>
        <v>Poland</v>
      </c>
      <c r="C14" s="103" t="s">
        <v>19</v>
      </c>
      <c r="D14" s="104" t="s">
        <v>216</v>
      </c>
      <c r="E14" s="104" t="s">
        <v>217</v>
      </c>
      <c r="F14" s="104" t="s">
        <v>218</v>
      </c>
      <c r="G14" s="104" t="s">
        <v>219</v>
      </c>
      <c r="H14" s="103" t="s">
        <v>218</v>
      </c>
      <c r="I14" s="104" t="str">
        <f>IF(Setup!C19&lt;&gt;"",Setup!C19,Setup!B19)</f>
        <v>Poland</v>
      </c>
      <c r="K14" s="85"/>
      <c r="T14" s="94"/>
    </row>
    <row r="15" spans="1:20" x14ac:dyDescent="0.35">
      <c r="A15" s="103">
        <v>14</v>
      </c>
      <c r="B15" s="104" t="str">
        <f>Setup!B20</f>
        <v>Denmark</v>
      </c>
      <c r="C15" s="103" t="s">
        <v>20</v>
      </c>
      <c r="D15" s="104" t="s">
        <v>220</v>
      </c>
      <c r="E15" s="104" t="s">
        <v>221</v>
      </c>
      <c r="F15" s="104" t="s">
        <v>222</v>
      </c>
      <c r="G15" s="104" t="s">
        <v>223</v>
      </c>
      <c r="H15" s="103" t="s">
        <v>223</v>
      </c>
      <c r="I15" s="104" t="str">
        <f>IF(Setup!C20&lt;&gt;"",Setup!C20,Setup!B20)</f>
        <v>Denmark</v>
      </c>
      <c r="K15" s="85"/>
      <c r="T15" s="94"/>
    </row>
    <row r="16" spans="1:20" x14ac:dyDescent="0.35">
      <c r="A16" s="103">
        <v>15</v>
      </c>
      <c r="B16" s="104" t="str">
        <f>Setup!B21</f>
        <v>Tunisia</v>
      </c>
      <c r="C16" s="104" t="s">
        <v>21</v>
      </c>
      <c r="D16" s="104" t="s">
        <v>224</v>
      </c>
      <c r="E16" s="104" t="s">
        <v>225</v>
      </c>
      <c r="F16" s="104" t="s">
        <v>21</v>
      </c>
      <c r="G16" s="104" t="s">
        <v>226</v>
      </c>
      <c r="H16" s="104" t="s">
        <v>227</v>
      </c>
      <c r="I16" s="104" t="str">
        <f>IF(Setup!C21&lt;&gt;"",Setup!C21,Setup!B21)</f>
        <v>Tunisia</v>
      </c>
      <c r="K16" s="85"/>
      <c r="T16" s="94"/>
    </row>
    <row r="17" spans="1:20" x14ac:dyDescent="0.35">
      <c r="A17" s="103">
        <v>16</v>
      </c>
      <c r="B17" s="104" t="str">
        <f>Setup!B22</f>
        <v>France</v>
      </c>
      <c r="C17" s="103" t="s">
        <v>22</v>
      </c>
      <c r="D17" s="104" t="s">
        <v>22</v>
      </c>
      <c r="E17" s="104" t="s">
        <v>228</v>
      </c>
      <c r="F17" s="104" t="s">
        <v>229</v>
      </c>
      <c r="G17" s="104" t="s">
        <v>230</v>
      </c>
      <c r="H17" s="103" t="s">
        <v>229</v>
      </c>
      <c r="I17" s="104" t="str">
        <f>IF(Setup!C22&lt;&gt;"",Setup!C22,Setup!B22)</f>
        <v>France</v>
      </c>
      <c r="K17" s="85"/>
      <c r="T17" s="94"/>
    </row>
    <row r="18" spans="1:20" x14ac:dyDescent="0.35">
      <c r="A18" s="103">
        <v>17</v>
      </c>
      <c r="B18" s="104" t="str">
        <f>Setup!B23</f>
        <v>Australia</v>
      </c>
      <c r="C18" s="103" t="s">
        <v>23</v>
      </c>
      <c r="D18" s="104" t="s">
        <v>231</v>
      </c>
      <c r="E18" s="104" t="s">
        <v>232</v>
      </c>
      <c r="F18" s="104" t="s">
        <v>23</v>
      </c>
      <c r="G18" s="104" t="s">
        <v>233</v>
      </c>
      <c r="H18" s="103" t="s">
        <v>23</v>
      </c>
      <c r="I18" s="104" t="str">
        <f>IF(Setup!C23&lt;&gt;"",Setup!C23,Setup!B23)</f>
        <v>Australia</v>
      </c>
      <c r="K18" s="85"/>
    </row>
    <row r="19" spans="1:20" x14ac:dyDescent="0.35">
      <c r="A19" s="103">
        <v>18</v>
      </c>
      <c r="B19" s="104" t="str">
        <f>Setup!B24</f>
        <v>Germany</v>
      </c>
      <c r="C19" s="103" t="s">
        <v>24</v>
      </c>
      <c r="D19" s="104" t="s">
        <v>234</v>
      </c>
      <c r="E19" s="104" t="s">
        <v>235</v>
      </c>
      <c r="F19" s="104" t="s">
        <v>236</v>
      </c>
      <c r="G19" s="104" t="s">
        <v>237</v>
      </c>
      <c r="H19" s="103" t="s">
        <v>238</v>
      </c>
      <c r="I19" s="104" t="str">
        <f>IF(Setup!C24&lt;&gt;"",Setup!C24,Setup!B24)</f>
        <v>Germany</v>
      </c>
      <c r="K19" s="85"/>
      <c r="T19" s="94"/>
    </row>
    <row r="20" spans="1:20" x14ac:dyDescent="0.35">
      <c r="A20" s="103">
        <v>19</v>
      </c>
      <c r="B20" s="104" t="str">
        <f>Setup!B25</f>
        <v>Japan</v>
      </c>
      <c r="C20" s="104" t="s">
        <v>25</v>
      </c>
      <c r="D20" s="104" t="s">
        <v>239</v>
      </c>
      <c r="E20" s="104" t="s">
        <v>25</v>
      </c>
      <c r="F20" s="104" t="s">
        <v>240</v>
      </c>
      <c r="G20" s="104" t="s">
        <v>241</v>
      </c>
      <c r="H20" s="104" t="s">
        <v>242</v>
      </c>
      <c r="I20" s="104" t="str">
        <f>IF(Setup!C25&lt;&gt;"",Setup!C25,Setup!B25)</f>
        <v>Japan</v>
      </c>
      <c r="K20" s="85"/>
    </row>
    <row r="21" spans="1:20" x14ac:dyDescent="0.35">
      <c r="A21" s="103">
        <v>20</v>
      </c>
      <c r="B21" s="104" t="str">
        <f>Setup!B26</f>
        <v>Spain</v>
      </c>
      <c r="C21" s="103" t="s">
        <v>26</v>
      </c>
      <c r="D21" s="104" t="s">
        <v>243</v>
      </c>
      <c r="E21" s="104" t="s">
        <v>244</v>
      </c>
      <c r="F21" s="104" t="s">
        <v>245</v>
      </c>
      <c r="G21" s="104" t="s">
        <v>246</v>
      </c>
      <c r="H21" s="103" t="s">
        <v>247</v>
      </c>
      <c r="I21" s="104" t="str">
        <f>IF(Setup!C26&lt;&gt;"",Setup!C26,Setup!B26)</f>
        <v>Spain</v>
      </c>
      <c r="K21" s="85"/>
      <c r="T21" s="94"/>
    </row>
    <row r="22" spans="1:20" x14ac:dyDescent="0.35">
      <c r="A22" s="103">
        <v>21</v>
      </c>
      <c r="B22" s="104" t="str">
        <f>Setup!B27</f>
        <v>Costa Rica</v>
      </c>
      <c r="C22" s="103" t="s">
        <v>27</v>
      </c>
      <c r="D22" s="104" t="s">
        <v>27</v>
      </c>
      <c r="E22" s="104" t="s">
        <v>27</v>
      </c>
      <c r="F22" s="104" t="s">
        <v>27</v>
      </c>
      <c r="G22" s="104" t="s">
        <v>27</v>
      </c>
      <c r="H22" s="103" t="s">
        <v>27</v>
      </c>
      <c r="I22" s="104" t="str">
        <f>IF(Setup!C27&lt;&gt;"",Setup!C27,Setup!B27)</f>
        <v>Costa Rica</v>
      </c>
      <c r="K22" s="85"/>
    </row>
    <row r="23" spans="1:20" x14ac:dyDescent="0.35">
      <c r="A23" s="103">
        <v>22</v>
      </c>
      <c r="B23" s="104" t="str">
        <f>Setup!B28</f>
        <v>Morocco</v>
      </c>
      <c r="C23" s="103" t="s">
        <v>28</v>
      </c>
      <c r="D23" s="104" t="s">
        <v>248</v>
      </c>
      <c r="E23" s="104" t="s">
        <v>249</v>
      </c>
      <c r="F23" s="104" t="s">
        <v>250</v>
      </c>
      <c r="G23" s="104" t="s">
        <v>251</v>
      </c>
      <c r="H23" s="103" t="s">
        <v>252</v>
      </c>
      <c r="I23" s="104" t="str">
        <f>IF(Setup!C28&lt;&gt;"",Setup!C28,Setup!B28)</f>
        <v>Morocco</v>
      </c>
      <c r="K23" s="85"/>
      <c r="T23" s="94"/>
    </row>
    <row r="24" spans="1:20" x14ac:dyDescent="0.35">
      <c r="A24" s="103">
        <v>23</v>
      </c>
      <c r="B24" s="104" t="str">
        <f>Setup!B29</f>
        <v>Croatia</v>
      </c>
      <c r="C24" s="104" t="s">
        <v>29</v>
      </c>
      <c r="D24" s="104" t="s">
        <v>253</v>
      </c>
      <c r="E24" s="104" t="s">
        <v>254</v>
      </c>
      <c r="F24" s="104" t="s">
        <v>255</v>
      </c>
      <c r="G24" s="104" t="s">
        <v>256</v>
      </c>
      <c r="H24" s="104" t="s">
        <v>257</v>
      </c>
      <c r="I24" s="104" t="str">
        <f>IF(Setup!C29&lt;&gt;"",Setup!C29,Setup!B29)</f>
        <v>Croatia</v>
      </c>
      <c r="K24" s="85"/>
      <c r="T24" s="94"/>
    </row>
    <row r="25" spans="1:20" x14ac:dyDescent="0.35">
      <c r="A25" s="103">
        <v>24</v>
      </c>
      <c r="B25" s="104" t="str">
        <f>Setup!B30</f>
        <v>Belgium</v>
      </c>
      <c r="C25" s="104" t="s">
        <v>30</v>
      </c>
      <c r="D25" s="104" t="s">
        <v>258</v>
      </c>
      <c r="E25" s="104" t="s">
        <v>259</v>
      </c>
      <c r="F25" s="104" t="s">
        <v>260</v>
      </c>
      <c r="G25" s="104" t="s">
        <v>261</v>
      </c>
      <c r="H25" s="104" t="s">
        <v>261</v>
      </c>
      <c r="I25" s="104" t="str">
        <f>IF(Setup!C30&lt;&gt;"",Setup!C30,Setup!B30)</f>
        <v>Belgium</v>
      </c>
      <c r="K25" s="85"/>
    </row>
    <row r="26" spans="1:20" x14ac:dyDescent="0.35">
      <c r="A26" s="103">
        <v>25</v>
      </c>
      <c r="B26" s="104" t="str">
        <f>Setup!B31</f>
        <v>Canada</v>
      </c>
      <c r="C26" s="103" t="s">
        <v>31</v>
      </c>
      <c r="D26" s="104" t="s">
        <v>31</v>
      </c>
      <c r="E26" s="104" t="s">
        <v>262</v>
      </c>
      <c r="F26" s="104" t="s">
        <v>31</v>
      </c>
      <c r="G26" s="104" t="s">
        <v>263</v>
      </c>
      <c r="H26" s="103" t="s">
        <v>263</v>
      </c>
      <c r="I26" s="104" t="str">
        <f>IF(Setup!C31&lt;&gt;"",Setup!C31,Setup!B31)</f>
        <v>Canada</v>
      </c>
      <c r="K26" s="85"/>
      <c r="T26" s="94"/>
    </row>
    <row r="27" spans="1:20" x14ac:dyDescent="0.35">
      <c r="A27" s="103">
        <v>26</v>
      </c>
      <c r="B27" s="104" t="str">
        <f>Setup!B32</f>
        <v>Switzerland</v>
      </c>
      <c r="C27" s="103" t="s">
        <v>32</v>
      </c>
      <c r="D27" s="104" t="s">
        <v>264</v>
      </c>
      <c r="E27" s="104" t="s">
        <v>265</v>
      </c>
      <c r="F27" s="104" t="s">
        <v>266</v>
      </c>
      <c r="G27" s="104" t="s">
        <v>267</v>
      </c>
      <c r="H27" s="103" t="s">
        <v>268</v>
      </c>
      <c r="I27" s="104" t="str">
        <f>IF(Setup!C32&lt;&gt;"",Setup!C32,Setup!B32)</f>
        <v>Switzerland</v>
      </c>
      <c r="K27" s="85"/>
      <c r="T27" s="94"/>
    </row>
    <row r="28" spans="1:20" x14ac:dyDescent="0.35">
      <c r="A28" s="103">
        <v>27</v>
      </c>
      <c r="B28" s="104" t="str">
        <f>Setup!B33</f>
        <v>Cameroon</v>
      </c>
      <c r="C28" s="103" t="s">
        <v>33</v>
      </c>
      <c r="D28" s="104" t="s">
        <v>269</v>
      </c>
      <c r="E28" s="104" t="s">
        <v>270</v>
      </c>
      <c r="F28" s="104" t="s">
        <v>271</v>
      </c>
      <c r="G28" s="104" t="s">
        <v>272</v>
      </c>
      <c r="H28" s="103" t="s">
        <v>273</v>
      </c>
      <c r="I28" s="104" t="str">
        <f>IF(Setup!C33&lt;&gt;"",Setup!C33,Setup!B33)</f>
        <v>Cameroon</v>
      </c>
      <c r="K28" s="85"/>
      <c r="T28" s="94"/>
    </row>
    <row r="29" spans="1:20" x14ac:dyDescent="0.35">
      <c r="A29" s="103">
        <v>28</v>
      </c>
      <c r="B29" s="104" t="str">
        <f>Setup!B34</f>
        <v>Brazil</v>
      </c>
      <c r="C29" s="103" t="s">
        <v>34</v>
      </c>
      <c r="D29" s="104" t="s">
        <v>274</v>
      </c>
      <c r="E29" s="104" t="s">
        <v>275</v>
      </c>
      <c r="F29" s="104" t="s">
        <v>276</v>
      </c>
      <c r="G29" s="104" t="s">
        <v>277</v>
      </c>
      <c r="H29" s="103" t="s">
        <v>277</v>
      </c>
      <c r="I29" s="104" t="str">
        <f>IF(Setup!C34&lt;&gt;"",Setup!C34,Setup!B34)</f>
        <v>Brazil</v>
      </c>
      <c r="K29" s="85"/>
    </row>
    <row r="30" spans="1:20" x14ac:dyDescent="0.35">
      <c r="A30" s="103">
        <v>29</v>
      </c>
      <c r="B30" s="104" t="str">
        <f>Setup!B35</f>
        <v>Serbia</v>
      </c>
      <c r="C30" s="103" t="s">
        <v>35</v>
      </c>
      <c r="D30" s="104" t="s">
        <v>278</v>
      </c>
      <c r="E30" s="104" t="s">
        <v>279</v>
      </c>
      <c r="F30" s="104" t="s">
        <v>35</v>
      </c>
      <c r="G30" s="104" t="s">
        <v>280</v>
      </c>
      <c r="H30" s="103" t="s">
        <v>35</v>
      </c>
      <c r="I30" s="104" t="str">
        <f>IF(Setup!C35&lt;&gt;"",Setup!C35,Setup!B35)</f>
        <v>Serbia</v>
      </c>
      <c r="K30" s="85"/>
    </row>
    <row r="31" spans="1:20" x14ac:dyDescent="0.35">
      <c r="A31" s="103">
        <v>30</v>
      </c>
      <c r="B31" s="104" t="str">
        <f>Setup!B36</f>
        <v>Uruguay</v>
      </c>
      <c r="C31" s="104" t="s">
        <v>36</v>
      </c>
      <c r="D31" s="104" t="s">
        <v>36</v>
      </c>
      <c r="E31" s="104" t="s">
        <v>36</v>
      </c>
      <c r="F31" s="104" t="s">
        <v>36</v>
      </c>
      <c r="G31" s="104" t="s">
        <v>281</v>
      </c>
      <c r="H31" s="104" t="s">
        <v>36</v>
      </c>
      <c r="I31" s="104" t="str">
        <f>IF(Setup!C36&lt;&gt;"",Setup!C36,Setup!B36)</f>
        <v>Uruguay</v>
      </c>
      <c r="K31" s="85"/>
      <c r="T31" s="94"/>
    </row>
    <row r="32" spans="1:20" x14ac:dyDescent="0.35">
      <c r="A32" s="103">
        <v>31</v>
      </c>
      <c r="B32" s="104" t="str">
        <f>Setup!B37</f>
        <v>South Korea</v>
      </c>
      <c r="C32" s="103" t="s">
        <v>37</v>
      </c>
      <c r="D32" s="104" t="s">
        <v>282</v>
      </c>
      <c r="E32" s="104" t="s">
        <v>283</v>
      </c>
      <c r="F32" s="104" t="s">
        <v>284</v>
      </c>
      <c r="G32" s="104" t="s">
        <v>285</v>
      </c>
      <c r="H32" s="103" t="s">
        <v>286</v>
      </c>
      <c r="I32" s="104" t="str">
        <f>IF(Setup!C37&lt;&gt;"",Setup!C37,Setup!B37)</f>
        <v>South Korea</v>
      </c>
      <c r="K32" s="85"/>
      <c r="T32" s="94"/>
    </row>
    <row r="33" spans="1:20" x14ac:dyDescent="0.35">
      <c r="A33" s="103">
        <v>32</v>
      </c>
      <c r="B33" s="104" t="str">
        <f>Setup!B38</f>
        <v>Portugal</v>
      </c>
      <c r="C33" s="104" t="s">
        <v>38</v>
      </c>
      <c r="D33" s="104" t="s">
        <v>287</v>
      </c>
      <c r="E33" s="104" t="s">
        <v>38</v>
      </c>
      <c r="F33" s="104" t="s">
        <v>288</v>
      </c>
      <c r="G33" s="104" t="s">
        <v>38</v>
      </c>
      <c r="H33" s="104" t="s">
        <v>38</v>
      </c>
      <c r="I33" s="104" t="str">
        <f>IF(Setup!C38&lt;&gt;"",Setup!C38,Setup!B38)</f>
        <v>Portugal</v>
      </c>
      <c r="K33" s="85"/>
      <c r="T33" s="94"/>
    </row>
    <row r="34" spans="1:20" x14ac:dyDescent="0.35">
      <c r="A34" s="103">
        <v>33</v>
      </c>
      <c r="B34" s="104" t="str">
        <f>Setup!B39</f>
        <v>Ghana</v>
      </c>
      <c r="C34" s="103" t="s">
        <v>39</v>
      </c>
      <c r="D34" s="104" t="s">
        <v>39</v>
      </c>
      <c r="E34" s="104" t="s">
        <v>39</v>
      </c>
      <c r="F34" s="104" t="s">
        <v>39</v>
      </c>
      <c r="G34" s="104" t="s">
        <v>289</v>
      </c>
      <c r="H34" s="103" t="s">
        <v>39</v>
      </c>
      <c r="I34" s="104" t="str">
        <f>IF(Setup!C39&lt;&gt;"",Setup!C39,Setup!B39)</f>
        <v>Ghana</v>
      </c>
      <c r="T34" s="94"/>
    </row>
    <row r="35" spans="1:20" x14ac:dyDescent="0.35">
      <c r="A35" s="103">
        <v>34</v>
      </c>
      <c r="B35" s="104" t="str">
        <f>Setup!B40</f>
        <v>Language</v>
      </c>
      <c r="C35" s="103" t="s">
        <v>40</v>
      </c>
      <c r="D35" s="104" t="s">
        <v>290</v>
      </c>
      <c r="E35" s="104" t="s">
        <v>291</v>
      </c>
      <c r="F35" s="104" t="s">
        <v>292</v>
      </c>
      <c r="G35" s="104" t="s">
        <v>293</v>
      </c>
      <c r="H35" s="103" t="s">
        <v>293</v>
      </c>
      <c r="I35" s="104" t="str">
        <f>IF(Setup!C40&lt;&gt;"",Setup!C40,Setup!B40)</f>
        <v>Language</v>
      </c>
    </row>
    <row r="36" spans="1:20" x14ac:dyDescent="0.35">
      <c r="A36" s="103">
        <v>35</v>
      </c>
      <c r="B36" s="104" t="str">
        <f>Setup!B41</f>
        <v>Timezone</v>
      </c>
      <c r="C36" s="103" t="s">
        <v>42</v>
      </c>
      <c r="D36" s="104" t="s">
        <v>294</v>
      </c>
      <c r="E36" s="104" t="s">
        <v>295</v>
      </c>
      <c r="F36" s="104" t="s">
        <v>296</v>
      </c>
      <c r="G36" s="104" t="s">
        <v>297</v>
      </c>
      <c r="H36" s="103" t="s">
        <v>298</v>
      </c>
      <c r="I36" s="104" t="str">
        <f>IF(Setup!C41&lt;&gt;"",Setup!C41,Setup!B41)</f>
        <v>Timezone</v>
      </c>
    </row>
    <row r="37" spans="1:20" x14ac:dyDescent="0.35">
      <c r="A37" s="103">
        <v>36</v>
      </c>
      <c r="B37" s="104" t="str">
        <f>Setup!B42</f>
        <v>Group Stages</v>
      </c>
      <c r="C37" s="103" t="s">
        <v>43</v>
      </c>
      <c r="D37" s="104" t="s">
        <v>299</v>
      </c>
      <c r="E37" s="104" t="s">
        <v>300</v>
      </c>
      <c r="F37" s="104" t="s">
        <v>301</v>
      </c>
      <c r="G37" s="104" t="s">
        <v>302</v>
      </c>
      <c r="H37" s="103" t="s">
        <v>303</v>
      </c>
      <c r="I37" s="104" t="str">
        <f>IF(Setup!C42&lt;&gt;"",Setup!C42,Setup!B42)</f>
        <v>Group Stages</v>
      </c>
    </row>
    <row r="38" spans="1:20" x14ac:dyDescent="0.35">
      <c r="A38" s="103">
        <v>37</v>
      </c>
      <c r="B38" s="104" t="str">
        <f>Setup!B43</f>
        <v>Matches</v>
      </c>
      <c r="C38" s="103" t="s">
        <v>44</v>
      </c>
      <c r="D38" s="104" t="s">
        <v>304</v>
      </c>
      <c r="E38" s="104" t="s">
        <v>305</v>
      </c>
      <c r="F38" s="104" t="s">
        <v>306</v>
      </c>
      <c r="G38" s="104" t="s">
        <v>307</v>
      </c>
      <c r="H38" s="104" t="s">
        <v>308</v>
      </c>
      <c r="I38" s="104" t="str">
        <f>IF(Setup!C43&lt;&gt;"",Setup!C43,Setup!B43)</f>
        <v>Matches</v>
      </c>
    </row>
    <row r="39" spans="1:20" x14ac:dyDescent="0.35">
      <c r="A39" s="103">
        <v>38</v>
      </c>
      <c r="B39" s="104" t="str">
        <f>Setup!B44</f>
        <v>Standings</v>
      </c>
      <c r="C39" s="103" t="s">
        <v>45</v>
      </c>
      <c r="D39" s="104" t="s">
        <v>309</v>
      </c>
      <c r="E39" s="104" t="s">
        <v>310</v>
      </c>
      <c r="F39" s="104" t="s">
        <v>311</v>
      </c>
      <c r="G39" s="104" t="s">
        <v>312</v>
      </c>
      <c r="H39" s="103" t="s">
        <v>313</v>
      </c>
      <c r="I39" s="104" t="str">
        <f>IF(Setup!C44&lt;&gt;"",Setup!C44,Setup!B44)</f>
        <v>Standings</v>
      </c>
    </row>
    <row r="40" spans="1:20" x14ac:dyDescent="0.35">
      <c r="A40" s="103">
        <v>39</v>
      </c>
      <c r="B40" s="104" t="str">
        <f>Setup!B45</f>
        <v>Group</v>
      </c>
      <c r="C40" s="103" t="s">
        <v>46</v>
      </c>
      <c r="D40" s="104" t="s">
        <v>314</v>
      </c>
      <c r="E40" s="104" t="s">
        <v>315</v>
      </c>
      <c r="F40" s="104" t="s">
        <v>316</v>
      </c>
      <c r="G40" s="104" t="s">
        <v>317</v>
      </c>
      <c r="H40" s="103" t="s">
        <v>317</v>
      </c>
      <c r="I40" s="104" t="str">
        <f>IF(Setup!C45&lt;&gt;"",Setup!C45,Setup!B45)</f>
        <v>Group</v>
      </c>
    </row>
    <row r="41" spans="1:20" x14ac:dyDescent="0.35">
      <c r="A41" s="103">
        <v>40</v>
      </c>
      <c r="B41" s="104" t="str">
        <f>Setup!B46</f>
        <v>Date</v>
      </c>
      <c r="C41" s="103" t="s">
        <v>47</v>
      </c>
      <c r="D41" s="104" t="s">
        <v>47</v>
      </c>
      <c r="E41" s="104" t="s">
        <v>318</v>
      </c>
      <c r="F41" s="104" t="s">
        <v>319</v>
      </c>
      <c r="G41" s="104" t="s">
        <v>319</v>
      </c>
      <c r="H41" s="103" t="s">
        <v>320</v>
      </c>
      <c r="I41" s="104" t="str">
        <f>IF(Setup!C46&lt;&gt;"",Setup!C46,Setup!B46)</f>
        <v>Date</v>
      </c>
    </row>
    <row r="42" spans="1:20" x14ac:dyDescent="0.35">
      <c r="A42" s="103">
        <v>41</v>
      </c>
      <c r="B42" s="104" t="str">
        <f>Setup!B47</f>
        <v>Country</v>
      </c>
      <c r="C42" s="103" t="s">
        <v>48</v>
      </c>
      <c r="D42" s="104" t="s">
        <v>321</v>
      </c>
      <c r="E42" s="104" t="s">
        <v>322</v>
      </c>
      <c r="F42" s="104" t="s">
        <v>323</v>
      </c>
      <c r="G42" s="104" t="s">
        <v>324</v>
      </c>
      <c r="H42" s="103" t="s">
        <v>324</v>
      </c>
      <c r="I42" s="104" t="str">
        <f>IF(Setup!C47&lt;&gt;"",Setup!C47,Setup!B47)</f>
        <v>Country</v>
      </c>
    </row>
    <row r="43" spans="1:20" x14ac:dyDescent="0.35">
      <c r="A43" s="103">
        <v>42</v>
      </c>
      <c r="B43" s="104" t="str">
        <f>Setup!B48</f>
        <v>Score</v>
      </c>
      <c r="C43" s="103" t="s">
        <v>49</v>
      </c>
      <c r="D43" s="104" t="s">
        <v>49</v>
      </c>
      <c r="E43" s="104" t="s">
        <v>325</v>
      </c>
      <c r="F43" s="104" t="s">
        <v>326</v>
      </c>
      <c r="G43" s="104" t="s">
        <v>327</v>
      </c>
      <c r="H43" s="103" t="s">
        <v>327</v>
      </c>
      <c r="I43" s="104" t="str">
        <f>IF(Setup!C48&lt;&gt;"",Setup!C48,Setup!B48)</f>
        <v>Score</v>
      </c>
    </row>
    <row r="44" spans="1:20" x14ac:dyDescent="0.35">
      <c r="A44" s="103">
        <v>43</v>
      </c>
      <c r="B44" s="104" t="str">
        <f>Setup!B49</f>
        <v>Time</v>
      </c>
      <c r="C44" s="103" t="s">
        <v>50</v>
      </c>
      <c r="D44" s="104" t="s">
        <v>328</v>
      </c>
      <c r="E44" s="104" t="s">
        <v>329</v>
      </c>
      <c r="F44" s="104" t="s">
        <v>330</v>
      </c>
      <c r="G44" s="104" t="s">
        <v>331</v>
      </c>
      <c r="H44" s="103" t="s">
        <v>332</v>
      </c>
      <c r="I44" s="104" t="str">
        <f>IF(Setup!C49&lt;&gt;"",Setup!C49,Setup!B49)</f>
        <v>Time</v>
      </c>
    </row>
    <row r="45" spans="1:20" x14ac:dyDescent="0.35">
      <c r="A45" s="103">
        <v>44</v>
      </c>
      <c r="B45" s="104" t="str">
        <f>Setup!B50</f>
        <v>Round of 16</v>
      </c>
      <c r="C45" s="103" t="s">
        <v>51</v>
      </c>
      <c r="D45" s="104" t="s">
        <v>333</v>
      </c>
      <c r="E45" s="104" t="s">
        <v>334</v>
      </c>
      <c r="F45" s="104" t="s">
        <v>335</v>
      </c>
      <c r="G45" s="104" t="s">
        <v>336</v>
      </c>
      <c r="H45" s="103" t="s">
        <v>337</v>
      </c>
      <c r="I45" s="104" t="str">
        <f>IF(Setup!C50&lt;&gt;"",Setup!C50,Setup!B50)</f>
        <v>Round of 16</v>
      </c>
    </row>
    <row r="46" spans="1:20" x14ac:dyDescent="0.35">
      <c r="A46" s="103">
        <v>45</v>
      </c>
      <c r="B46" s="104" t="str">
        <f>Setup!B51</f>
        <v>Quarter Finals</v>
      </c>
      <c r="C46" s="103" t="s">
        <v>52</v>
      </c>
      <c r="D46" s="104" t="s">
        <v>338</v>
      </c>
      <c r="E46" s="104" t="s">
        <v>339</v>
      </c>
      <c r="F46" s="104" t="s">
        <v>340</v>
      </c>
      <c r="G46" s="104" t="s">
        <v>341</v>
      </c>
      <c r="H46" s="103" t="s">
        <v>342</v>
      </c>
      <c r="I46" s="104" t="str">
        <f>IF(Setup!C51&lt;&gt;"",Setup!C51,Setup!B51)</f>
        <v>Quarter Finals</v>
      </c>
    </row>
    <row r="47" spans="1:20" x14ac:dyDescent="0.35">
      <c r="A47" s="103">
        <v>46</v>
      </c>
      <c r="B47" s="104" t="str">
        <f>Setup!B52</f>
        <v>Semi Finals</v>
      </c>
      <c r="C47" s="103" t="s">
        <v>53</v>
      </c>
      <c r="D47" s="104" t="s">
        <v>343</v>
      </c>
      <c r="E47" s="104" t="s">
        <v>344</v>
      </c>
      <c r="F47" s="104" t="s">
        <v>345</v>
      </c>
      <c r="G47" s="104" t="s">
        <v>346</v>
      </c>
      <c r="H47" s="103" t="s">
        <v>347</v>
      </c>
      <c r="I47" s="104" t="str">
        <f>IF(Setup!C52&lt;&gt;"",Setup!C52,Setup!B52)</f>
        <v>Semi Finals</v>
      </c>
    </row>
    <row r="48" spans="1:20" x14ac:dyDescent="0.35">
      <c r="A48" s="103">
        <v>47</v>
      </c>
      <c r="B48" s="104" t="str">
        <f>Setup!B53</f>
        <v>Third Place</v>
      </c>
      <c r="C48" s="103" t="s">
        <v>54</v>
      </c>
      <c r="D48" s="104" t="s">
        <v>1073</v>
      </c>
      <c r="E48" s="104" t="s">
        <v>1074</v>
      </c>
      <c r="F48" s="104" t="s">
        <v>1075</v>
      </c>
      <c r="G48" s="104" t="s">
        <v>1076</v>
      </c>
      <c r="H48" s="103" t="s">
        <v>1077</v>
      </c>
      <c r="I48" s="104" t="str">
        <f>IF(Setup!C53&lt;&gt;"",Setup!C53,Setup!B53)</f>
        <v>Third Place</v>
      </c>
    </row>
    <row r="49" spans="1:9" x14ac:dyDescent="0.35">
      <c r="A49" s="103">
        <v>48</v>
      </c>
      <c r="B49" s="104" t="str">
        <f>Setup!B54</f>
        <v>Final</v>
      </c>
      <c r="C49" s="103" t="s">
        <v>55</v>
      </c>
      <c r="D49" s="104" t="s">
        <v>348</v>
      </c>
      <c r="E49" s="104" t="s">
        <v>348</v>
      </c>
      <c r="F49" s="104" t="s">
        <v>348</v>
      </c>
      <c r="G49" s="104" t="s">
        <v>55</v>
      </c>
      <c r="H49" s="103" t="s">
        <v>55</v>
      </c>
      <c r="I49" s="104" t="str">
        <f>IF(Setup!C54&lt;&gt;"",Setup!C54,Setup!B54)</f>
        <v>Final</v>
      </c>
    </row>
    <row r="50" spans="1:9" x14ac:dyDescent="0.35">
      <c r="A50" s="103">
        <v>49</v>
      </c>
      <c r="B50" s="104" t="str">
        <f>Setup!B55</f>
        <v>Winner</v>
      </c>
      <c r="C50" s="103" t="s">
        <v>56</v>
      </c>
      <c r="D50" s="104" t="s">
        <v>349</v>
      </c>
      <c r="E50" s="104" t="s">
        <v>350</v>
      </c>
      <c r="F50" s="104" t="s">
        <v>351</v>
      </c>
      <c r="G50" s="104" t="s">
        <v>352</v>
      </c>
      <c r="H50" s="103" t="s">
        <v>353</v>
      </c>
      <c r="I50" s="104" t="str">
        <f>IF(Setup!C55&lt;&gt;"",Setup!C55,Setup!B55)</f>
        <v>Winner</v>
      </c>
    </row>
    <row r="51" spans="1:9" x14ac:dyDescent="0.35">
      <c r="A51" s="103">
        <v>50</v>
      </c>
      <c r="B51" s="104" t="str">
        <f>Setup!B56</f>
        <v>Runner Up</v>
      </c>
      <c r="C51" s="103" t="s">
        <v>57</v>
      </c>
      <c r="D51" s="104" t="s">
        <v>354</v>
      </c>
      <c r="E51" s="104" t="s">
        <v>355</v>
      </c>
      <c r="F51" s="104" t="s">
        <v>356</v>
      </c>
      <c r="G51" s="104" t="s">
        <v>357</v>
      </c>
      <c r="H51" s="103" t="s">
        <v>358</v>
      </c>
      <c r="I51" s="104" t="str">
        <f>IF(Setup!C56&lt;&gt;"",Setup!C56,Setup!B56)</f>
        <v>Runner Up</v>
      </c>
    </row>
    <row r="52" spans="1:9" x14ac:dyDescent="0.35">
      <c r="A52" s="103">
        <v>51</v>
      </c>
      <c r="B52" s="104" t="str">
        <f>Setup!B57</f>
        <v>Normal Time</v>
      </c>
      <c r="C52" s="103" t="s">
        <v>58</v>
      </c>
      <c r="D52" s="104" t="s">
        <v>359</v>
      </c>
      <c r="E52" s="104" t="s">
        <v>360</v>
      </c>
      <c r="F52" s="104" t="s">
        <v>361</v>
      </c>
      <c r="G52" s="104" t="s">
        <v>362</v>
      </c>
      <c r="H52" s="103" t="s">
        <v>363</v>
      </c>
      <c r="I52" s="104" t="str">
        <f>IF(Setup!C57&lt;&gt;"",Setup!C57,Setup!B57)</f>
        <v>Normal Time</v>
      </c>
    </row>
    <row r="53" spans="1:9" x14ac:dyDescent="0.35">
      <c r="A53" s="103">
        <v>52</v>
      </c>
      <c r="B53" s="104" t="s">
        <v>692</v>
      </c>
      <c r="C53" s="104" t="s">
        <v>692</v>
      </c>
      <c r="D53" s="104" t="s">
        <v>1078</v>
      </c>
      <c r="E53" s="104" t="s">
        <v>1079</v>
      </c>
      <c r="F53" s="104" t="s">
        <v>1080</v>
      </c>
      <c r="G53" s="104" t="s">
        <v>1081</v>
      </c>
      <c r="H53" s="103" t="s">
        <v>1082</v>
      </c>
      <c r="I53" s="104" t="str">
        <f>IF(Setup!C58&lt;&gt;"",Setup!C58,Setup!B58)</f>
        <v>Knock Out Rounds</v>
      </c>
    </row>
    <row r="54" spans="1:9" x14ac:dyDescent="0.35">
      <c r="A54" s="103">
        <v>53</v>
      </c>
      <c r="B54" s="104" t="str">
        <f>Setup!B59</f>
        <v>Penalty Shoot Out</v>
      </c>
      <c r="C54" s="103" t="s">
        <v>59</v>
      </c>
      <c r="D54" s="104" t="s">
        <v>364</v>
      </c>
      <c r="E54" s="104" t="s">
        <v>365</v>
      </c>
      <c r="F54" s="104" t="s">
        <v>366</v>
      </c>
      <c r="G54" s="104" t="s">
        <v>367</v>
      </c>
      <c r="H54" s="103" t="s">
        <v>368</v>
      </c>
      <c r="I54" s="104" t="str">
        <f>IF(Setup!C59&lt;&gt;"",Setup!C59,Setup!B59)</f>
        <v>Penalty Shoot Out</v>
      </c>
    </row>
    <row r="55" spans="1:9" x14ac:dyDescent="0.35">
      <c r="A55" s="103">
        <v>54</v>
      </c>
      <c r="B55" s="104" t="str">
        <f>Setup!B60</f>
        <v>Champion</v>
      </c>
      <c r="C55" s="103" t="s">
        <v>60</v>
      </c>
      <c r="D55" s="104" t="s">
        <v>60</v>
      </c>
      <c r="E55" s="104" t="s">
        <v>369</v>
      </c>
      <c r="F55" s="104" t="s">
        <v>370</v>
      </c>
      <c r="G55" s="104" t="s">
        <v>371</v>
      </c>
      <c r="H55" s="103" t="s">
        <v>372</v>
      </c>
      <c r="I55" s="104" t="str">
        <f>IF(Setup!C60&lt;&gt;"",Setup!C60,Setup!B60)</f>
        <v>Champion</v>
      </c>
    </row>
    <row r="56" spans="1:9" x14ac:dyDescent="0.35">
      <c r="A56" s="103">
        <v>55</v>
      </c>
      <c r="B56" s="104" t="str">
        <f>Setup!B61</f>
        <v>Match #</v>
      </c>
      <c r="C56" s="103" t="s">
        <v>61</v>
      </c>
      <c r="D56" s="104" t="s">
        <v>61</v>
      </c>
      <c r="E56" s="104" t="s">
        <v>373</v>
      </c>
      <c r="F56" s="104" t="s">
        <v>374</v>
      </c>
      <c r="G56" s="104" t="s">
        <v>375</v>
      </c>
      <c r="H56" s="103" t="s">
        <v>376</v>
      </c>
      <c r="I56" s="104" t="str">
        <f>IF(Setup!C61&lt;&gt;"",Setup!C61,Setup!B61)</f>
        <v>Match #</v>
      </c>
    </row>
    <row r="57" spans="1:9" x14ac:dyDescent="0.35">
      <c r="A57" s="103">
        <v>56</v>
      </c>
      <c r="B57" s="104" t="str">
        <f>Setup!B62</f>
        <v>Group A Winner</v>
      </c>
      <c r="C57" s="103" t="s">
        <v>62</v>
      </c>
      <c r="D57" s="104" t="s">
        <v>377</v>
      </c>
      <c r="E57" s="104" t="s">
        <v>378</v>
      </c>
      <c r="F57" s="104" t="s">
        <v>379</v>
      </c>
      <c r="G57" s="104" t="s">
        <v>380</v>
      </c>
      <c r="H57" s="103" t="s">
        <v>381</v>
      </c>
      <c r="I57" s="104" t="str">
        <f>IF(Setup!C62&lt;&gt;"",Setup!C62,Setup!B62)</f>
        <v>Group A Winner</v>
      </c>
    </row>
    <row r="58" spans="1:9" x14ac:dyDescent="0.35">
      <c r="A58" s="103">
        <v>57</v>
      </c>
      <c r="B58" s="104" t="str">
        <f>Setup!B63</f>
        <v>Group B Winner</v>
      </c>
      <c r="C58" s="103" t="s">
        <v>63</v>
      </c>
      <c r="D58" s="104" t="s">
        <v>382</v>
      </c>
      <c r="E58" s="104" t="s">
        <v>383</v>
      </c>
      <c r="F58" s="104" t="s">
        <v>384</v>
      </c>
      <c r="G58" s="104" t="s">
        <v>385</v>
      </c>
      <c r="H58" s="103" t="s">
        <v>386</v>
      </c>
      <c r="I58" s="104" t="str">
        <f>IF(Setup!C63&lt;&gt;"",Setup!C63,Setup!B63)</f>
        <v>Group B Winner</v>
      </c>
    </row>
    <row r="59" spans="1:9" x14ac:dyDescent="0.35">
      <c r="A59" s="103">
        <v>58</v>
      </c>
      <c r="B59" s="104" t="str">
        <f>Setup!B64</f>
        <v>Group C Winner</v>
      </c>
      <c r="C59" s="103" t="s">
        <v>64</v>
      </c>
      <c r="D59" s="104" t="s">
        <v>387</v>
      </c>
      <c r="E59" s="104" t="s">
        <v>388</v>
      </c>
      <c r="F59" s="104" t="s">
        <v>389</v>
      </c>
      <c r="G59" s="104" t="s">
        <v>390</v>
      </c>
      <c r="H59" s="103" t="s">
        <v>391</v>
      </c>
      <c r="I59" s="104" t="str">
        <f>IF(Setup!C64&lt;&gt;"",Setup!C64,Setup!B64)</f>
        <v>Group C Winner</v>
      </c>
    </row>
    <row r="60" spans="1:9" x14ac:dyDescent="0.35">
      <c r="A60" s="103">
        <v>59</v>
      </c>
      <c r="B60" s="104" t="str">
        <f>Setup!B65</f>
        <v>Group D Winner</v>
      </c>
      <c r="C60" s="103" t="s">
        <v>65</v>
      </c>
      <c r="D60" s="104" t="s">
        <v>392</v>
      </c>
      <c r="E60" s="104" t="s">
        <v>393</v>
      </c>
      <c r="F60" s="104" t="s">
        <v>394</v>
      </c>
      <c r="G60" s="104" t="s">
        <v>395</v>
      </c>
      <c r="H60" s="103" t="s">
        <v>396</v>
      </c>
      <c r="I60" s="104" t="str">
        <f>IF(Setup!C65&lt;&gt;"",Setup!C65,Setup!B65)</f>
        <v>Group D Winner</v>
      </c>
    </row>
    <row r="61" spans="1:9" x14ac:dyDescent="0.35">
      <c r="A61" s="103">
        <v>60</v>
      </c>
      <c r="B61" s="104" t="str">
        <f>Setup!B66</f>
        <v>Group E Winner</v>
      </c>
      <c r="C61" s="103" t="s">
        <v>66</v>
      </c>
      <c r="D61" s="104" t="s">
        <v>397</v>
      </c>
      <c r="E61" s="104" t="s">
        <v>398</v>
      </c>
      <c r="F61" s="104" t="s">
        <v>399</v>
      </c>
      <c r="G61" s="104" t="s">
        <v>400</v>
      </c>
      <c r="H61" s="103" t="s">
        <v>401</v>
      </c>
      <c r="I61" s="104" t="str">
        <f>IF(Setup!C66&lt;&gt;"",Setup!C66,Setup!B66)</f>
        <v>Group E Winner</v>
      </c>
    </row>
    <row r="62" spans="1:9" x14ac:dyDescent="0.35">
      <c r="A62" s="103">
        <v>61</v>
      </c>
      <c r="B62" s="104" t="str">
        <f>Setup!B67</f>
        <v>Group F Winner</v>
      </c>
      <c r="C62" s="103" t="s">
        <v>67</v>
      </c>
      <c r="D62" s="104" t="s">
        <v>402</v>
      </c>
      <c r="E62" s="104" t="s">
        <v>403</v>
      </c>
      <c r="F62" s="104" t="s">
        <v>404</v>
      </c>
      <c r="G62" s="104" t="s">
        <v>405</v>
      </c>
      <c r="H62" s="103" t="s">
        <v>406</v>
      </c>
      <c r="I62" s="104" t="str">
        <f>IF(Setup!C67&lt;&gt;"",Setup!C67,Setup!B67)</f>
        <v>Group F Winner</v>
      </c>
    </row>
    <row r="63" spans="1:9" x14ac:dyDescent="0.35">
      <c r="A63" s="103">
        <v>62</v>
      </c>
      <c r="B63" s="104" t="str">
        <f>Setup!B68</f>
        <v>Group G Winner</v>
      </c>
      <c r="C63" s="103" t="s">
        <v>68</v>
      </c>
      <c r="D63" s="104" t="s">
        <v>407</v>
      </c>
      <c r="E63" s="104" t="s">
        <v>408</v>
      </c>
      <c r="F63" s="104" t="s">
        <v>409</v>
      </c>
      <c r="G63" s="104" t="s">
        <v>410</v>
      </c>
      <c r="H63" s="103" t="s">
        <v>411</v>
      </c>
      <c r="I63" s="104" t="str">
        <f>IF(Setup!C68&lt;&gt;"",Setup!C68,Setup!B68)</f>
        <v>Group G Winner</v>
      </c>
    </row>
    <row r="64" spans="1:9" x14ac:dyDescent="0.35">
      <c r="A64" s="103">
        <v>63</v>
      </c>
      <c r="B64" s="104" t="str">
        <f>Setup!B69</f>
        <v>Group H Winner</v>
      </c>
      <c r="C64" s="103" t="s">
        <v>69</v>
      </c>
      <c r="D64" s="104" t="s">
        <v>412</v>
      </c>
      <c r="E64" s="104" t="s">
        <v>413</v>
      </c>
      <c r="F64" s="104" t="s">
        <v>414</v>
      </c>
      <c r="G64" s="104" t="s">
        <v>415</v>
      </c>
      <c r="H64" s="103" t="s">
        <v>416</v>
      </c>
      <c r="I64" s="104" t="str">
        <f>IF(Setup!C69&lt;&gt;"",Setup!C69,Setup!B69)</f>
        <v>Group H Winner</v>
      </c>
    </row>
    <row r="65" spans="1:9" x14ac:dyDescent="0.35">
      <c r="A65" s="103">
        <v>64</v>
      </c>
      <c r="B65" s="104" t="str">
        <f>Setup!B70</f>
        <v>Group A Runner Up</v>
      </c>
      <c r="C65" s="103" t="s">
        <v>70</v>
      </c>
      <c r="D65" s="104" t="s">
        <v>417</v>
      </c>
      <c r="E65" s="104" t="s">
        <v>418</v>
      </c>
      <c r="F65" s="104" t="s">
        <v>419</v>
      </c>
      <c r="G65" s="104" t="s">
        <v>420</v>
      </c>
      <c r="H65" s="103" t="s">
        <v>421</v>
      </c>
      <c r="I65" s="104" t="str">
        <f>IF(Setup!C70&lt;&gt;"",Setup!C70,Setup!B70)</f>
        <v>Group A Runner Up</v>
      </c>
    </row>
    <row r="66" spans="1:9" x14ac:dyDescent="0.35">
      <c r="A66" s="103">
        <v>65</v>
      </c>
      <c r="B66" s="104" t="str">
        <f>Setup!B71</f>
        <v>Group B Runner Up</v>
      </c>
      <c r="C66" s="103" t="s">
        <v>71</v>
      </c>
      <c r="D66" s="104" t="s">
        <v>422</v>
      </c>
      <c r="E66" s="104" t="s">
        <v>423</v>
      </c>
      <c r="F66" s="104" t="s">
        <v>424</v>
      </c>
      <c r="G66" s="104" t="s">
        <v>425</v>
      </c>
      <c r="H66" s="103" t="s">
        <v>426</v>
      </c>
      <c r="I66" s="104" t="str">
        <f>IF(Setup!C71&lt;&gt;"",Setup!C71,Setup!B71)</f>
        <v>Group B Runner Up</v>
      </c>
    </row>
    <row r="67" spans="1:9" x14ac:dyDescent="0.35">
      <c r="A67" s="103">
        <v>66</v>
      </c>
      <c r="B67" s="104" t="str">
        <f>Setup!B72</f>
        <v>Group C Runner Up</v>
      </c>
      <c r="C67" s="103" t="s">
        <v>72</v>
      </c>
      <c r="D67" s="104" t="s">
        <v>427</v>
      </c>
      <c r="E67" s="104" t="s">
        <v>428</v>
      </c>
      <c r="F67" s="104" t="s">
        <v>429</v>
      </c>
      <c r="G67" s="104" t="s">
        <v>430</v>
      </c>
      <c r="H67" s="103" t="s">
        <v>431</v>
      </c>
      <c r="I67" s="104" t="str">
        <f>IF(Setup!C72&lt;&gt;"",Setup!C72,Setup!B72)</f>
        <v>Group C Runner Up</v>
      </c>
    </row>
    <row r="68" spans="1:9" x14ac:dyDescent="0.35">
      <c r="A68" s="103">
        <v>67</v>
      </c>
      <c r="B68" s="104" t="str">
        <f>Setup!B73</f>
        <v>Group D Runner Up</v>
      </c>
      <c r="C68" s="103" t="s">
        <v>73</v>
      </c>
      <c r="D68" s="104" t="s">
        <v>432</v>
      </c>
      <c r="E68" s="104" t="s">
        <v>433</v>
      </c>
      <c r="F68" s="104" t="s">
        <v>434</v>
      </c>
      <c r="G68" s="104" t="s">
        <v>435</v>
      </c>
      <c r="H68" s="103" t="s">
        <v>436</v>
      </c>
      <c r="I68" s="104" t="str">
        <f>IF(Setup!C73&lt;&gt;"",Setup!C73,Setup!B73)</f>
        <v>Group D Runner Up</v>
      </c>
    </row>
    <row r="69" spans="1:9" x14ac:dyDescent="0.35">
      <c r="A69" s="103">
        <v>68</v>
      </c>
      <c r="B69" s="104" t="str">
        <f>Setup!B74</f>
        <v>Group E Runner Up</v>
      </c>
      <c r="C69" s="103" t="s">
        <v>74</v>
      </c>
      <c r="D69" s="104" t="s">
        <v>437</v>
      </c>
      <c r="E69" s="104" t="s">
        <v>438</v>
      </c>
      <c r="F69" s="104" t="s">
        <v>439</v>
      </c>
      <c r="G69" s="104" t="s">
        <v>440</v>
      </c>
      <c r="H69" s="103" t="s">
        <v>441</v>
      </c>
      <c r="I69" s="104" t="str">
        <f>IF(Setup!C74&lt;&gt;"",Setup!C74,Setup!B74)</f>
        <v>Group E Runner Up</v>
      </c>
    </row>
    <row r="70" spans="1:9" x14ac:dyDescent="0.35">
      <c r="A70" s="103">
        <v>69</v>
      </c>
      <c r="B70" s="104" t="str">
        <f>Setup!B75</f>
        <v>Group F Runner Up</v>
      </c>
      <c r="C70" s="103" t="s">
        <v>75</v>
      </c>
      <c r="D70" s="104" t="s">
        <v>442</v>
      </c>
      <c r="E70" s="104" t="s">
        <v>443</v>
      </c>
      <c r="F70" s="104" t="s">
        <v>444</v>
      </c>
      <c r="G70" s="104" t="s">
        <v>445</v>
      </c>
      <c r="H70" s="103" t="s">
        <v>446</v>
      </c>
      <c r="I70" s="104" t="str">
        <f>IF(Setup!C75&lt;&gt;"",Setup!C75,Setup!B75)</f>
        <v>Group F Runner Up</v>
      </c>
    </row>
    <row r="71" spans="1:9" x14ac:dyDescent="0.35">
      <c r="A71" s="103">
        <v>70</v>
      </c>
      <c r="B71" s="104" t="str">
        <f>Setup!B76</f>
        <v>Group G Runner Up</v>
      </c>
      <c r="C71" s="103" t="s">
        <v>76</v>
      </c>
      <c r="D71" s="104" t="s">
        <v>447</v>
      </c>
      <c r="E71" s="104" t="s">
        <v>448</v>
      </c>
      <c r="F71" s="104" t="s">
        <v>449</v>
      </c>
      <c r="G71" s="104" t="s">
        <v>450</v>
      </c>
      <c r="H71" s="103" t="s">
        <v>451</v>
      </c>
      <c r="I71" s="104" t="str">
        <f>IF(Setup!C76&lt;&gt;"",Setup!C76,Setup!B76)</f>
        <v>Group G Runner Up</v>
      </c>
    </row>
    <row r="72" spans="1:9" x14ac:dyDescent="0.35">
      <c r="A72" s="103">
        <v>71</v>
      </c>
      <c r="B72" s="104" t="str">
        <f>Setup!B77</f>
        <v>Group H Runner Up</v>
      </c>
      <c r="C72" s="103" t="s">
        <v>77</v>
      </c>
      <c r="D72" s="104" t="s">
        <v>452</v>
      </c>
      <c r="E72" s="104" t="s">
        <v>453</v>
      </c>
      <c r="F72" s="104" t="s">
        <v>454</v>
      </c>
      <c r="G72" s="104" t="s">
        <v>455</v>
      </c>
      <c r="H72" s="103" t="s">
        <v>456</v>
      </c>
      <c r="I72" s="104" t="str">
        <f>IF(Setup!C77&lt;&gt;"",Setup!C77,Setup!B77)</f>
        <v>Group H Runner Up</v>
      </c>
    </row>
    <row r="73" spans="1:9" x14ac:dyDescent="0.35">
      <c r="A73" s="103">
        <v>72</v>
      </c>
      <c r="B73" s="104" t="str">
        <f>Setup!B78</f>
        <v>Match 53 Winner</v>
      </c>
      <c r="C73" s="103" t="s">
        <v>78</v>
      </c>
      <c r="D73" s="104" t="s">
        <v>457</v>
      </c>
      <c r="E73" s="104" t="s">
        <v>458</v>
      </c>
      <c r="F73" s="104" t="s">
        <v>459</v>
      </c>
      <c r="G73" s="104" t="s">
        <v>460</v>
      </c>
      <c r="H73" s="103" t="s">
        <v>461</v>
      </c>
      <c r="I73" s="104" t="str">
        <f>IF(Setup!C78&lt;&gt;"",Setup!C78,Setup!B78)</f>
        <v>Match 53 Winner</v>
      </c>
    </row>
    <row r="74" spans="1:9" x14ac:dyDescent="0.35">
      <c r="A74" s="103">
        <v>73</v>
      </c>
      <c r="B74" s="104" t="str">
        <f>Setup!B79</f>
        <v>Match 54 Winner</v>
      </c>
      <c r="C74" s="103" t="s">
        <v>79</v>
      </c>
      <c r="D74" s="104" t="s">
        <v>462</v>
      </c>
      <c r="E74" s="104" t="s">
        <v>463</v>
      </c>
      <c r="F74" s="104" t="s">
        <v>464</v>
      </c>
      <c r="G74" s="104" t="s">
        <v>465</v>
      </c>
      <c r="H74" s="103" t="s">
        <v>466</v>
      </c>
      <c r="I74" s="104" t="str">
        <f>IF(Setup!C79&lt;&gt;"",Setup!C79,Setup!B79)</f>
        <v>Match 54 Winner</v>
      </c>
    </row>
    <row r="75" spans="1:9" x14ac:dyDescent="0.35">
      <c r="A75" s="103">
        <v>74</v>
      </c>
      <c r="B75" s="104" t="str">
        <f>Setup!B80</f>
        <v>Match 55 Winner</v>
      </c>
      <c r="C75" s="103" t="s">
        <v>80</v>
      </c>
      <c r="D75" s="104" t="s">
        <v>467</v>
      </c>
      <c r="E75" s="104" t="s">
        <v>468</v>
      </c>
      <c r="F75" s="104" t="s">
        <v>469</v>
      </c>
      <c r="G75" s="104" t="s">
        <v>470</v>
      </c>
      <c r="H75" s="103" t="s">
        <v>471</v>
      </c>
      <c r="I75" s="104" t="str">
        <f>IF(Setup!C80&lt;&gt;"",Setup!C80,Setup!B80)</f>
        <v>Match 55 Winner</v>
      </c>
    </row>
    <row r="76" spans="1:9" x14ac:dyDescent="0.35">
      <c r="A76" s="103">
        <v>75</v>
      </c>
      <c r="B76" s="104" t="str">
        <f>Setup!B81</f>
        <v>Match 56 Winner</v>
      </c>
      <c r="C76" s="103" t="s">
        <v>81</v>
      </c>
      <c r="D76" s="104" t="s">
        <v>472</v>
      </c>
      <c r="E76" s="104" t="s">
        <v>473</v>
      </c>
      <c r="F76" s="104" t="s">
        <v>474</v>
      </c>
      <c r="G76" s="104" t="s">
        <v>475</v>
      </c>
      <c r="H76" s="103" t="s">
        <v>476</v>
      </c>
      <c r="I76" s="104" t="str">
        <f>IF(Setup!C81&lt;&gt;"",Setup!C81,Setup!B81)</f>
        <v>Match 56 Winner</v>
      </c>
    </row>
    <row r="77" spans="1:9" x14ac:dyDescent="0.35">
      <c r="A77" s="103">
        <v>76</v>
      </c>
      <c r="B77" s="104" t="str">
        <f>Setup!B82</f>
        <v>Match 57 Winner</v>
      </c>
      <c r="C77" s="103" t="s">
        <v>82</v>
      </c>
      <c r="D77" s="104" t="s">
        <v>477</v>
      </c>
      <c r="E77" s="104" t="s">
        <v>478</v>
      </c>
      <c r="F77" s="104" t="s">
        <v>479</v>
      </c>
      <c r="G77" s="104" t="s">
        <v>480</v>
      </c>
      <c r="H77" s="103" t="s">
        <v>481</v>
      </c>
      <c r="I77" s="104" t="str">
        <f>IF(Setup!C82&lt;&gt;"",Setup!C82,Setup!B82)</f>
        <v>Match 57 Winner</v>
      </c>
    </row>
    <row r="78" spans="1:9" x14ac:dyDescent="0.35">
      <c r="A78" s="103">
        <v>77</v>
      </c>
      <c r="B78" s="104" t="str">
        <f>Setup!B83</f>
        <v>Match 58 Winner</v>
      </c>
      <c r="C78" s="103" t="s">
        <v>83</v>
      </c>
      <c r="D78" s="104" t="s">
        <v>482</v>
      </c>
      <c r="E78" s="104" t="s">
        <v>483</v>
      </c>
      <c r="F78" s="104" t="s">
        <v>484</v>
      </c>
      <c r="G78" s="104" t="s">
        <v>485</v>
      </c>
      <c r="H78" s="103" t="s">
        <v>486</v>
      </c>
      <c r="I78" s="104" t="str">
        <f>IF(Setup!C83&lt;&gt;"",Setup!C83,Setup!B83)</f>
        <v>Match 58 Winner</v>
      </c>
    </row>
    <row r="79" spans="1:9" x14ac:dyDescent="0.35">
      <c r="A79" s="103">
        <v>78</v>
      </c>
      <c r="B79" s="104" t="str">
        <f>Setup!B84</f>
        <v>Match 59 Winner</v>
      </c>
      <c r="C79" s="103" t="s">
        <v>84</v>
      </c>
      <c r="D79" s="104" t="s">
        <v>487</v>
      </c>
      <c r="E79" s="104" t="s">
        <v>488</v>
      </c>
      <c r="F79" s="104" t="s">
        <v>489</v>
      </c>
      <c r="G79" s="104" t="s">
        <v>490</v>
      </c>
      <c r="H79" s="103" t="s">
        <v>491</v>
      </c>
      <c r="I79" s="104" t="str">
        <f>IF(Setup!C84&lt;&gt;"",Setup!C84,Setup!B84)</f>
        <v>Match 59 Winner</v>
      </c>
    </row>
    <row r="80" spans="1:9" x14ac:dyDescent="0.35">
      <c r="A80" s="103">
        <v>79</v>
      </c>
      <c r="B80" s="104" t="str">
        <f>Setup!B85</f>
        <v>Match 60 Winner</v>
      </c>
      <c r="C80" s="103" t="s">
        <v>85</v>
      </c>
      <c r="D80" s="104" t="s">
        <v>492</v>
      </c>
      <c r="E80" s="104" t="s">
        <v>493</v>
      </c>
      <c r="F80" s="104" t="s">
        <v>494</v>
      </c>
      <c r="G80" s="104" t="s">
        <v>495</v>
      </c>
      <c r="H80" s="103" t="s">
        <v>496</v>
      </c>
      <c r="I80" s="104" t="str">
        <f>IF(Setup!C85&lt;&gt;"",Setup!C85,Setup!B85)</f>
        <v>Match 60 Winner</v>
      </c>
    </row>
    <row r="81" spans="1:9" x14ac:dyDescent="0.35">
      <c r="A81" s="103">
        <v>80</v>
      </c>
      <c r="B81" s="104" t="str">
        <f>Setup!B86</f>
        <v>Match 61 Winner</v>
      </c>
      <c r="C81" s="103" t="s">
        <v>86</v>
      </c>
      <c r="D81" s="104" t="s">
        <v>497</v>
      </c>
      <c r="E81" s="104" t="s">
        <v>498</v>
      </c>
      <c r="F81" s="104" t="s">
        <v>499</v>
      </c>
      <c r="G81" s="104" t="s">
        <v>500</v>
      </c>
      <c r="H81" s="103" t="s">
        <v>501</v>
      </c>
      <c r="I81" s="104" t="str">
        <f>IF(Setup!C86&lt;&gt;"",Setup!C86,Setup!B86)</f>
        <v>Match 61 Winner</v>
      </c>
    </row>
    <row r="82" spans="1:9" x14ac:dyDescent="0.35">
      <c r="A82" s="103">
        <v>81</v>
      </c>
      <c r="B82" s="104" t="str">
        <f>Setup!B87</f>
        <v>Match 62 Winner</v>
      </c>
      <c r="C82" s="103" t="s">
        <v>87</v>
      </c>
      <c r="D82" s="104" t="s">
        <v>502</v>
      </c>
      <c r="E82" s="104" t="s">
        <v>503</v>
      </c>
      <c r="F82" s="104" t="s">
        <v>504</v>
      </c>
      <c r="G82" s="104" t="s">
        <v>505</v>
      </c>
      <c r="H82" s="103" t="s">
        <v>506</v>
      </c>
      <c r="I82" s="104" t="str">
        <f>IF(Setup!C87&lt;&gt;"",Setup!C87,Setup!B87)</f>
        <v>Match 62 Winner</v>
      </c>
    </row>
    <row r="83" spans="1:9" x14ac:dyDescent="0.35">
      <c r="A83" s="103">
        <v>82</v>
      </c>
      <c r="B83" s="104" t="str">
        <f>Setup!B88</f>
        <v>Match 63 Winner</v>
      </c>
      <c r="C83" s="103" t="s">
        <v>88</v>
      </c>
      <c r="D83" s="104" t="s">
        <v>507</v>
      </c>
      <c r="E83" s="104" t="s">
        <v>508</v>
      </c>
      <c r="F83" s="104" t="s">
        <v>509</v>
      </c>
      <c r="G83" s="104" t="s">
        <v>510</v>
      </c>
      <c r="H83" s="103" t="s">
        <v>511</v>
      </c>
      <c r="I83" s="104" t="str">
        <f>IF(Setup!C88&lt;&gt;"",Setup!C88,Setup!B88)</f>
        <v>Match 63 Winner</v>
      </c>
    </row>
    <row r="84" spans="1:9" x14ac:dyDescent="0.35">
      <c r="A84" s="103">
        <v>83</v>
      </c>
      <c r="B84" s="104" t="str">
        <f>Setup!B89</f>
        <v>Match 64 Winner</v>
      </c>
      <c r="C84" s="103" t="s">
        <v>89</v>
      </c>
      <c r="D84" s="104" t="s">
        <v>512</v>
      </c>
      <c r="E84" s="104" t="s">
        <v>513</v>
      </c>
      <c r="F84" s="104" t="s">
        <v>514</v>
      </c>
      <c r="G84" s="104" t="s">
        <v>515</v>
      </c>
      <c r="H84" s="103" t="s">
        <v>516</v>
      </c>
      <c r="I84" s="104" t="str">
        <f>IF(Setup!C89&lt;&gt;"",Setup!C89,Setup!B89)</f>
        <v>Match 64 Winner</v>
      </c>
    </row>
    <row r="85" spans="1:9" x14ac:dyDescent="0.35">
      <c r="A85" s="103">
        <v>84</v>
      </c>
      <c r="B85" s="104" t="str">
        <f>Setup!B90</f>
        <v>Played</v>
      </c>
      <c r="C85" s="103" t="s">
        <v>90</v>
      </c>
      <c r="D85" s="104" t="s">
        <v>517</v>
      </c>
      <c r="E85" s="104" t="s">
        <v>305</v>
      </c>
      <c r="F85" s="104" t="s">
        <v>518</v>
      </c>
      <c r="G85" s="104" t="s">
        <v>307</v>
      </c>
      <c r="H85" s="103" t="s">
        <v>519</v>
      </c>
      <c r="I85" s="104" t="str">
        <f>IF(Setup!C90&lt;&gt;"",Setup!C90,Setup!B90)</f>
        <v>Played</v>
      </c>
    </row>
    <row r="86" spans="1:9" x14ac:dyDescent="0.35">
      <c r="A86" s="103">
        <v>85</v>
      </c>
      <c r="B86" s="104" t="str">
        <f>Setup!B91</f>
        <v>Win</v>
      </c>
      <c r="C86" s="103" t="s">
        <v>91</v>
      </c>
      <c r="D86" s="104" t="s">
        <v>520</v>
      </c>
      <c r="E86" s="104" t="s">
        <v>521</v>
      </c>
      <c r="F86" s="104" t="s">
        <v>522</v>
      </c>
      <c r="G86" s="104" t="s">
        <v>523</v>
      </c>
      <c r="H86" s="103" t="s">
        <v>524</v>
      </c>
      <c r="I86" s="104" t="str">
        <f>IF(Setup!C91&lt;&gt;"",Setup!C91,Setup!B91)</f>
        <v>Win</v>
      </c>
    </row>
    <row r="87" spans="1:9" x14ac:dyDescent="0.35">
      <c r="A87" s="103">
        <v>86</v>
      </c>
      <c r="B87" s="104" t="str">
        <f>Setup!B92</f>
        <v>Draw</v>
      </c>
      <c r="C87" s="103" t="s">
        <v>92</v>
      </c>
      <c r="D87" s="104" t="s">
        <v>525</v>
      </c>
      <c r="E87" s="104" t="s">
        <v>526</v>
      </c>
      <c r="F87" s="104" t="s">
        <v>527</v>
      </c>
      <c r="G87" s="104" t="s">
        <v>528</v>
      </c>
      <c r="H87" s="103" t="s">
        <v>529</v>
      </c>
      <c r="I87" s="104" t="str">
        <f>IF(Setup!C92&lt;&gt;"",Setup!C92,Setup!B92)</f>
        <v>Draw</v>
      </c>
    </row>
    <row r="88" spans="1:9" x14ac:dyDescent="0.35">
      <c r="A88" s="103">
        <v>87</v>
      </c>
      <c r="B88" s="104" t="str">
        <f>Setup!B93</f>
        <v>Lose</v>
      </c>
      <c r="C88" s="103" t="s">
        <v>93</v>
      </c>
      <c r="D88" s="104" t="s">
        <v>530</v>
      </c>
      <c r="E88" s="104" t="s">
        <v>531</v>
      </c>
      <c r="F88" s="104" t="s">
        <v>532</v>
      </c>
      <c r="G88" s="104" t="s">
        <v>533</v>
      </c>
      <c r="H88" s="103" t="s">
        <v>534</v>
      </c>
      <c r="I88" s="104" t="str">
        <f>IF(Setup!C93&lt;&gt;"",Setup!C93,Setup!B93)</f>
        <v>Lose</v>
      </c>
    </row>
    <row r="89" spans="1:9" x14ac:dyDescent="0.35">
      <c r="A89" s="103">
        <v>88</v>
      </c>
      <c r="B89" s="104" t="str">
        <f>Setup!B94</f>
        <v>Goal scored for</v>
      </c>
      <c r="C89" s="103" t="s">
        <v>94</v>
      </c>
      <c r="D89" s="104" t="s">
        <v>535</v>
      </c>
      <c r="E89" s="104" t="s">
        <v>536</v>
      </c>
      <c r="F89" s="104" t="s">
        <v>537</v>
      </c>
      <c r="G89" s="104" t="s">
        <v>538</v>
      </c>
      <c r="H89" s="103" t="s">
        <v>539</v>
      </c>
      <c r="I89" s="104" t="str">
        <f>IF(Setup!C94&lt;&gt;"",Setup!C94,Setup!B94)</f>
        <v>Goal scored for</v>
      </c>
    </row>
    <row r="90" spans="1:9" x14ac:dyDescent="0.35">
      <c r="A90" s="103">
        <v>89</v>
      </c>
      <c r="B90" s="104" t="str">
        <f>Setup!B95</f>
        <v>Goal scored against</v>
      </c>
      <c r="C90" s="103" t="s">
        <v>95</v>
      </c>
      <c r="D90" s="104" t="s">
        <v>540</v>
      </c>
      <c r="E90" s="104" t="s">
        <v>541</v>
      </c>
      <c r="F90" s="104" t="s">
        <v>542</v>
      </c>
      <c r="G90" s="104" t="s">
        <v>543</v>
      </c>
      <c r="H90" s="103" t="s">
        <v>544</v>
      </c>
      <c r="I90" s="104" t="str">
        <f>IF(Setup!C95&lt;&gt;"",Setup!C95,Setup!B95)</f>
        <v>Goal scored against</v>
      </c>
    </row>
    <row r="91" spans="1:9" x14ac:dyDescent="0.35">
      <c r="A91" s="103">
        <v>90</v>
      </c>
      <c r="B91" s="104" t="str">
        <f>Setup!B96</f>
        <v>Point</v>
      </c>
      <c r="C91" s="103" t="s">
        <v>96</v>
      </c>
      <c r="D91" s="104" t="s">
        <v>96</v>
      </c>
      <c r="E91" s="104" t="s">
        <v>545</v>
      </c>
      <c r="F91" s="104" t="s">
        <v>546</v>
      </c>
      <c r="G91" s="104" t="s">
        <v>547</v>
      </c>
      <c r="H91" s="103" t="s">
        <v>548</v>
      </c>
      <c r="I91" s="104" t="str">
        <f>IF(Setup!C96&lt;&gt;"",Setup!C96,Setup!B96)</f>
        <v>Point</v>
      </c>
    </row>
    <row r="92" spans="1:9" x14ac:dyDescent="0.35">
      <c r="A92" s="103">
        <v>91</v>
      </c>
      <c r="B92" s="104" t="str">
        <f>Setup!B97</f>
        <v>Second place</v>
      </c>
      <c r="C92" s="103" t="s">
        <v>97</v>
      </c>
      <c r="D92" s="104" t="s">
        <v>549</v>
      </c>
      <c r="E92" s="104" t="s">
        <v>550</v>
      </c>
      <c r="F92" s="104" t="s">
        <v>551</v>
      </c>
      <c r="G92" s="104" t="s">
        <v>552</v>
      </c>
      <c r="H92" s="103" t="s">
        <v>553</v>
      </c>
      <c r="I92" s="104" t="str">
        <f>IF(Setup!C97&lt;&gt;"",Setup!C97,Setup!B97)</f>
        <v>Second place</v>
      </c>
    </row>
    <row r="93" spans="1:9" x14ac:dyDescent="0.35">
      <c r="A93" s="103">
        <v>92</v>
      </c>
      <c r="B93" s="104" t="str">
        <f>Setup!B98</f>
        <v>Group A</v>
      </c>
      <c r="C93" s="103" t="s">
        <v>98</v>
      </c>
      <c r="D93" s="104" t="s">
        <v>554</v>
      </c>
      <c r="E93" s="104" t="s">
        <v>555</v>
      </c>
      <c r="F93" s="104" t="s">
        <v>556</v>
      </c>
      <c r="G93" s="104" t="s">
        <v>557</v>
      </c>
      <c r="H93" s="103" t="s">
        <v>557</v>
      </c>
      <c r="I93" s="104" t="str">
        <f>IF(Setup!C98&lt;&gt;"",Setup!C98,Setup!B98)</f>
        <v>Group A</v>
      </c>
    </row>
    <row r="94" spans="1:9" x14ac:dyDescent="0.35">
      <c r="A94" s="103">
        <v>93</v>
      </c>
      <c r="B94" s="104" t="str">
        <f>Setup!B99</f>
        <v>Group B</v>
      </c>
      <c r="C94" s="103" t="s">
        <v>99</v>
      </c>
      <c r="D94" s="104" t="s">
        <v>558</v>
      </c>
      <c r="E94" s="104" t="s">
        <v>559</v>
      </c>
      <c r="F94" s="104" t="s">
        <v>560</v>
      </c>
      <c r="G94" s="104" t="s">
        <v>561</v>
      </c>
      <c r="H94" s="103" t="s">
        <v>561</v>
      </c>
      <c r="I94" s="104" t="str">
        <f>IF(Setup!C99&lt;&gt;"",Setup!C99,Setup!B99)</f>
        <v>Group B</v>
      </c>
    </row>
    <row r="95" spans="1:9" x14ac:dyDescent="0.35">
      <c r="A95" s="103">
        <v>94</v>
      </c>
      <c r="B95" s="104" t="str">
        <f>Setup!B100</f>
        <v>Group C</v>
      </c>
      <c r="C95" s="103" t="s">
        <v>100</v>
      </c>
      <c r="D95" s="104" t="s">
        <v>562</v>
      </c>
      <c r="E95" s="104" t="s">
        <v>563</v>
      </c>
      <c r="F95" s="104" t="s">
        <v>564</v>
      </c>
      <c r="G95" s="104" t="s">
        <v>565</v>
      </c>
      <c r="H95" s="103" t="s">
        <v>565</v>
      </c>
      <c r="I95" s="104" t="str">
        <f>IF(Setup!C100&lt;&gt;"",Setup!C100,Setup!B100)</f>
        <v>Group C</v>
      </c>
    </row>
    <row r="96" spans="1:9" x14ac:dyDescent="0.35">
      <c r="A96" s="103">
        <v>95</v>
      </c>
      <c r="B96" s="104" t="str">
        <f>Setup!B101</f>
        <v>Group D</v>
      </c>
      <c r="C96" s="103" t="s">
        <v>101</v>
      </c>
      <c r="D96" s="104" t="s">
        <v>566</v>
      </c>
      <c r="E96" s="104" t="s">
        <v>567</v>
      </c>
      <c r="F96" s="104" t="s">
        <v>568</v>
      </c>
      <c r="G96" s="104" t="s">
        <v>569</v>
      </c>
      <c r="H96" s="103" t="s">
        <v>569</v>
      </c>
      <c r="I96" s="104" t="str">
        <f>IF(Setup!C101&lt;&gt;"",Setup!C101,Setup!B101)</f>
        <v>Group D</v>
      </c>
    </row>
    <row r="97" spans="1:9" x14ac:dyDescent="0.35">
      <c r="A97" s="103">
        <v>96</v>
      </c>
      <c r="B97" s="104" t="str">
        <f>Setup!B102</f>
        <v>Group E</v>
      </c>
      <c r="C97" s="103" t="s">
        <v>102</v>
      </c>
      <c r="D97" s="104" t="s">
        <v>570</v>
      </c>
      <c r="E97" s="104" t="s">
        <v>571</v>
      </c>
      <c r="F97" s="104" t="s">
        <v>572</v>
      </c>
      <c r="G97" s="104" t="s">
        <v>573</v>
      </c>
      <c r="H97" s="103" t="s">
        <v>573</v>
      </c>
      <c r="I97" s="104" t="str">
        <f>IF(Setup!C102&lt;&gt;"",Setup!C102,Setup!B102)</f>
        <v>Group E</v>
      </c>
    </row>
    <row r="98" spans="1:9" x14ac:dyDescent="0.35">
      <c r="A98" s="103">
        <v>97</v>
      </c>
      <c r="B98" s="104" t="str">
        <f>Setup!B103</f>
        <v>Group F</v>
      </c>
      <c r="C98" s="103" t="s">
        <v>103</v>
      </c>
      <c r="D98" s="104" t="s">
        <v>574</v>
      </c>
      <c r="E98" s="104" t="s">
        <v>575</v>
      </c>
      <c r="F98" s="104" t="s">
        <v>576</v>
      </c>
      <c r="G98" s="104" t="s">
        <v>577</v>
      </c>
      <c r="H98" s="103" t="s">
        <v>577</v>
      </c>
      <c r="I98" s="104" t="str">
        <f>IF(Setup!C103&lt;&gt;"",Setup!C103,Setup!B103)</f>
        <v>Group F</v>
      </c>
    </row>
    <row r="99" spans="1:9" x14ac:dyDescent="0.35">
      <c r="A99" s="103">
        <v>98</v>
      </c>
      <c r="B99" s="104" t="str">
        <f>Setup!B104</f>
        <v>Group G</v>
      </c>
      <c r="C99" s="103" t="s">
        <v>104</v>
      </c>
      <c r="D99" s="104" t="s">
        <v>578</v>
      </c>
      <c r="E99" s="104" t="s">
        <v>579</v>
      </c>
      <c r="F99" s="104" t="s">
        <v>580</v>
      </c>
      <c r="G99" s="104" t="s">
        <v>581</v>
      </c>
      <c r="H99" s="103" t="s">
        <v>581</v>
      </c>
      <c r="I99" s="104" t="str">
        <f>IF(Setup!C104&lt;&gt;"",Setup!C104,Setup!B104)</f>
        <v>Group G</v>
      </c>
    </row>
    <row r="100" spans="1:9" x14ac:dyDescent="0.35">
      <c r="A100" s="103">
        <v>99</v>
      </c>
      <c r="B100" s="104" t="str">
        <f>Setup!B105</f>
        <v>Group H</v>
      </c>
      <c r="C100" s="103" t="s">
        <v>105</v>
      </c>
      <c r="D100" s="104" t="s">
        <v>582</v>
      </c>
      <c r="E100" s="104" t="s">
        <v>583</v>
      </c>
      <c r="F100" s="104" t="s">
        <v>584</v>
      </c>
      <c r="G100" s="104" t="s">
        <v>585</v>
      </c>
      <c r="H100" s="103" t="s">
        <v>585</v>
      </c>
      <c r="I100" s="104" t="str">
        <f>IF(Setup!C105&lt;&gt;"",Setup!C105,Setup!B105)</f>
        <v>Group H</v>
      </c>
    </row>
    <row r="101" spans="1:9" x14ac:dyDescent="0.35">
      <c r="A101" s="103">
        <v>100</v>
      </c>
      <c r="B101" s="104" t="str">
        <f>Setup!B106</f>
        <v>Match 49 Winner</v>
      </c>
      <c r="C101" s="103" t="s">
        <v>106</v>
      </c>
      <c r="D101" s="104" t="s">
        <v>586</v>
      </c>
      <c r="E101" s="104" t="s">
        <v>587</v>
      </c>
      <c r="F101" s="104" t="s">
        <v>588</v>
      </c>
      <c r="G101" s="104" t="s">
        <v>589</v>
      </c>
      <c r="H101" s="103" t="s">
        <v>590</v>
      </c>
      <c r="I101" s="104" t="str">
        <f>IF(Setup!C106&lt;&gt;"",Setup!C106,Setup!B106)</f>
        <v>Match 49 Winner</v>
      </c>
    </row>
    <row r="102" spans="1:9" x14ac:dyDescent="0.35">
      <c r="A102" s="103">
        <v>101</v>
      </c>
      <c r="B102" s="104" t="str">
        <f>Setup!B107</f>
        <v>Match 50 Winner</v>
      </c>
      <c r="C102" s="103" t="s">
        <v>107</v>
      </c>
      <c r="D102" s="104" t="s">
        <v>591</v>
      </c>
      <c r="E102" s="104" t="s">
        <v>592</v>
      </c>
      <c r="F102" s="104" t="s">
        <v>593</v>
      </c>
      <c r="G102" s="104" t="s">
        <v>594</v>
      </c>
      <c r="H102" s="103" t="s">
        <v>595</v>
      </c>
      <c r="I102" s="104" t="str">
        <f>IF(Setup!C107&lt;&gt;"",Setup!C107,Setup!B107)</f>
        <v>Match 50 Winner</v>
      </c>
    </row>
    <row r="103" spans="1:9" x14ac:dyDescent="0.35">
      <c r="A103" s="103">
        <v>102</v>
      </c>
      <c r="B103" s="104" t="str">
        <f>Setup!B108</f>
        <v>Match 51 Winner</v>
      </c>
      <c r="C103" s="103" t="s">
        <v>108</v>
      </c>
      <c r="D103" s="104" t="s">
        <v>596</v>
      </c>
      <c r="E103" s="104" t="s">
        <v>597</v>
      </c>
      <c r="F103" s="104" t="s">
        <v>598</v>
      </c>
      <c r="G103" s="104" t="s">
        <v>599</v>
      </c>
      <c r="H103" s="103" t="s">
        <v>600</v>
      </c>
      <c r="I103" s="104" t="str">
        <f>IF(Setup!C108&lt;&gt;"",Setup!C108,Setup!B108)</f>
        <v>Match 51 Winner</v>
      </c>
    </row>
    <row r="104" spans="1:9" x14ac:dyDescent="0.35">
      <c r="A104" s="103">
        <v>103</v>
      </c>
      <c r="B104" s="104" t="str">
        <f>Setup!B109</f>
        <v>Match 52 Winner</v>
      </c>
      <c r="C104" s="103" t="s">
        <v>109</v>
      </c>
      <c r="D104" s="104" t="s">
        <v>601</v>
      </c>
      <c r="E104" s="104" t="s">
        <v>602</v>
      </c>
      <c r="F104" s="104" t="s">
        <v>603</v>
      </c>
      <c r="G104" s="104" t="s">
        <v>604</v>
      </c>
      <c r="H104" s="103" t="s">
        <v>605</v>
      </c>
      <c r="I104" s="104" t="str">
        <f>IF(Setup!C109&lt;&gt;"",Setup!C109,Setup!B109)</f>
        <v>Match 52 Winner</v>
      </c>
    </row>
    <row r="105" spans="1:9" x14ac:dyDescent="0.35">
      <c r="A105" s="103">
        <v>104</v>
      </c>
      <c r="B105" s="104" t="str">
        <f>Setup!B110</f>
        <v>Match 61 Loser</v>
      </c>
      <c r="C105" s="103" t="s">
        <v>110</v>
      </c>
      <c r="D105" s="104" t="s">
        <v>606</v>
      </c>
      <c r="E105" s="104" t="s">
        <v>607</v>
      </c>
      <c r="F105" s="104" t="s">
        <v>608</v>
      </c>
      <c r="G105" s="104" t="s">
        <v>609</v>
      </c>
      <c r="H105" s="103" t="s">
        <v>610</v>
      </c>
      <c r="I105" s="104" t="str">
        <f>IF(Setup!C110&lt;&gt;"",Setup!C110,Setup!B110)</f>
        <v>Match 61 Loser</v>
      </c>
    </row>
    <row r="106" spans="1:9" x14ac:dyDescent="0.35">
      <c r="A106" s="103">
        <v>105</v>
      </c>
      <c r="B106" s="104" t="str">
        <f>Setup!B111</f>
        <v>Match 62 Loser</v>
      </c>
      <c r="C106" s="103" t="s">
        <v>111</v>
      </c>
      <c r="D106" s="104" t="s">
        <v>611</v>
      </c>
      <c r="E106" s="104" t="s">
        <v>612</v>
      </c>
      <c r="F106" s="104" t="s">
        <v>613</v>
      </c>
      <c r="G106" s="104" t="s">
        <v>614</v>
      </c>
      <c r="H106" s="103" t="s">
        <v>615</v>
      </c>
      <c r="I106" s="104" t="str">
        <f>IF(Setup!C111&lt;&gt;"",Setup!C111,Setup!B111)</f>
        <v>Match 62 Loser</v>
      </c>
    </row>
    <row r="107" spans="1:9" x14ac:dyDescent="0.35">
      <c r="A107" s="103">
        <v>106</v>
      </c>
      <c r="B107" s="104" t="str">
        <f>Setup!B112</f>
        <v>Venue</v>
      </c>
      <c r="C107" s="103" t="s">
        <v>112</v>
      </c>
      <c r="D107" s="104" t="s">
        <v>616</v>
      </c>
      <c r="E107" s="104" t="s">
        <v>617</v>
      </c>
      <c r="F107" s="104" t="s">
        <v>618</v>
      </c>
      <c r="G107" s="104" t="s">
        <v>619</v>
      </c>
      <c r="H107" s="103" t="s">
        <v>620</v>
      </c>
      <c r="I107" s="104" t="str">
        <f>IF(Setup!C112&lt;&gt;"",Setup!C112,Setup!B112)</f>
        <v>Venue</v>
      </c>
    </row>
    <row r="108" spans="1:9" x14ac:dyDescent="0.35">
      <c r="A108" s="103">
        <v>107</v>
      </c>
      <c r="B108" s="104" t="str">
        <f>Setup!B113</f>
        <v>World Cup 2022 Fixtures</v>
      </c>
      <c r="C108" s="103" t="s">
        <v>691</v>
      </c>
      <c r="D108" s="104" t="s">
        <v>1083</v>
      </c>
      <c r="E108" s="104" t="s">
        <v>1084</v>
      </c>
      <c r="F108" s="104" t="s">
        <v>1085</v>
      </c>
      <c r="G108" s="104" t="s">
        <v>1086</v>
      </c>
      <c r="H108" s="103" t="s">
        <v>1087</v>
      </c>
      <c r="I108" s="104" t="str">
        <f>IF(Setup!C113&lt;&gt;"",Setup!C113,Setup!B113)</f>
        <v>World Cup 2022 Fixtures</v>
      </c>
    </row>
    <row r="109" spans="1:9" x14ac:dyDescent="0.35">
      <c r="A109" s="103">
        <v>108</v>
      </c>
      <c r="B109" s="104" t="str">
        <f>Setup!B114</f>
        <v>World Cup 2022 Champion</v>
      </c>
      <c r="C109" s="103" t="s">
        <v>114</v>
      </c>
      <c r="D109" s="104" t="s">
        <v>1088</v>
      </c>
      <c r="E109" s="104" t="s">
        <v>621</v>
      </c>
      <c r="F109" s="104" t="s">
        <v>1089</v>
      </c>
      <c r="G109" s="104" t="s">
        <v>1090</v>
      </c>
      <c r="H109" s="103" t="s">
        <v>622</v>
      </c>
      <c r="I109" s="104" t="str">
        <f>IF(Setup!C114&lt;&gt;"",Setup!C114,Setup!B114)</f>
        <v>World Cup 2022 Champion</v>
      </c>
    </row>
    <row r="110" spans="1:9" x14ac:dyDescent="0.35">
      <c r="A110" s="103">
        <v>109</v>
      </c>
      <c r="B110" s="104" t="str">
        <f>Setup!B115</f>
        <v>World Cup 2022 Runner Up</v>
      </c>
      <c r="C110" s="104" t="s">
        <v>115</v>
      </c>
      <c r="D110" s="104" t="s">
        <v>1091</v>
      </c>
      <c r="E110" s="104" t="s">
        <v>1092</v>
      </c>
      <c r="F110" s="104" t="s">
        <v>1093</v>
      </c>
      <c r="G110" s="104" t="s">
        <v>1094</v>
      </c>
      <c r="H110" s="103" t="s">
        <v>1095</v>
      </c>
      <c r="I110" s="104" t="str">
        <f>IF(Setup!C115&lt;&gt;"",Setup!C115,Setup!B115)</f>
        <v>World Cup 2022 Runner Up</v>
      </c>
    </row>
    <row r="111" spans="1:9" x14ac:dyDescent="0.35">
      <c r="A111" s="103">
        <v>110</v>
      </c>
      <c r="B111" s="104" t="str">
        <f>Setup!B116</f>
        <v>World Cup 2022 3rd Place</v>
      </c>
      <c r="C111" s="104" t="s">
        <v>116</v>
      </c>
      <c r="D111" s="104" t="s">
        <v>1096</v>
      </c>
      <c r="E111" s="104" t="s">
        <v>1097</v>
      </c>
      <c r="F111" s="104" t="s">
        <v>1098</v>
      </c>
      <c r="G111" s="104" t="s">
        <v>1099</v>
      </c>
      <c r="H111" s="103" t="s">
        <v>1100</v>
      </c>
      <c r="I111" s="104" t="str">
        <f>IF(Setup!C116&lt;&gt;"",Setup!C116,Setup!B116)</f>
        <v>World Cup 2022 3rd Place</v>
      </c>
    </row>
  </sheetData>
  <sheetProtection password="CBF1" sheet="1" objects="1" scenarios="1" selectLockedCells="1" selectUnlockedCells="1"/>
  <pageMargins left="0.75" right="0.75" top="1" bottom="1" header="0.5" footer="0.5"/>
  <pageSetup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P834"/>
  <sheetViews>
    <sheetView showGridLines="0" zoomScaleNormal="100" workbookViewId="0">
      <selection activeCell="D6" sqref="D6"/>
    </sheetView>
  </sheetViews>
  <sheetFormatPr defaultColWidth="8.90625" defaultRowHeight="13" x14ac:dyDescent="0.3"/>
  <cols>
    <col min="1" max="1" width="8.90625" style="306"/>
    <col min="2" max="2" width="16.81640625" style="306" bestFit="1" customWidth="1"/>
    <col min="3" max="3" width="11.90625" style="306" bestFit="1" customWidth="1"/>
    <col min="4" max="4" width="13.36328125" style="306" bestFit="1" customWidth="1"/>
    <col min="5" max="71" width="8.90625" style="306"/>
    <col min="72" max="72" width="10.1796875" style="306" bestFit="1" customWidth="1"/>
    <col min="73" max="74" width="8.90625" style="306"/>
    <col min="75" max="75" width="13.453125" style="306" bestFit="1" customWidth="1"/>
    <col min="76" max="76" width="2.81640625" style="306" bestFit="1" customWidth="1"/>
    <col min="77" max="83" width="1.7265625" style="306" bestFit="1" customWidth="1"/>
    <col min="84" max="84" width="2.90625" style="306" bestFit="1" customWidth="1"/>
    <col min="85" max="91" width="1.7265625" style="306" bestFit="1" customWidth="1"/>
    <col min="92" max="92" width="4.7265625" style="306" bestFit="1" customWidth="1"/>
    <col min="93" max="93" width="4.54296875" style="306" bestFit="1" customWidth="1"/>
    <col min="94" max="94" width="26.453125" style="306" bestFit="1" customWidth="1"/>
    <col min="95" max="16384" width="8.90625" style="306"/>
  </cols>
  <sheetData>
    <row r="1" spans="1:94" x14ac:dyDescent="0.3">
      <c r="B1" s="306" t="str">
        <f ca="1">'Player Database'!C5</f>
        <v>Senegal</v>
      </c>
      <c r="C1" s="306" t="str">
        <f ca="1">'Player Database'!D5</f>
        <v>Netherlands</v>
      </c>
      <c r="D1" s="306" t="str">
        <f ca="1">'Player Database'!E5</f>
        <v>Qatar</v>
      </c>
      <c r="E1" s="306" t="str">
        <f ca="1">'Player Database'!F5</f>
        <v>Ecuador</v>
      </c>
      <c r="F1" s="306" t="str">
        <f ca="1">'Player Database'!G5</f>
        <v>England</v>
      </c>
      <c r="G1" s="306" t="str">
        <f ca="1">'Player Database'!H5</f>
        <v>Iran</v>
      </c>
      <c r="H1" s="306" t="str">
        <f ca="1">'Player Database'!I5</f>
        <v>United States</v>
      </c>
      <c r="I1" s="306" t="str">
        <f ca="1">'Player Database'!J5</f>
        <v>Wales</v>
      </c>
      <c r="J1" s="306" t="str">
        <f ca="1">'Player Database'!K5</f>
        <v>Argentina</v>
      </c>
      <c r="K1" s="306" t="str">
        <f ca="1">'Player Database'!L5</f>
        <v>Saudi Arabia</v>
      </c>
      <c r="L1" s="306" t="str">
        <f ca="1">'Player Database'!M5</f>
        <v>Mexico</v>
      </c>
      <c r="M1" s="306" t="str">
        <f ca="1">'Player Database'!N5</f>
        <v>Poland</v>
      </c>
      <c r="N1" s="306" t="str">
        <f ca="1">'Player Database'!O5</f>
        <v>Denmark</v>
      </c>
      <c r="O1" s="306" t="str">
        <f ca="1">'Player Database'!P5</f>
        <v>Tunisia</v>
      </c>
      <c r="P1" s="306" t="str">
        <f ca="1">'Player Database'!Q5</f>
        <v>France</v>
      </c>
      <c r="Q1" s="306" t="str">
        <f ca="1">'Player Database'!R5</f>
        <v>Australia</v>
      </c>
      <c r="R1" s="306" t="str">
        <f ca="1">'Player Database'!S5</f>
        <v>Germany</v>
      </c>
      <c r="S1" s="306" t="str">
        <f ca="1">'Player Database'!T5</f>
        <v>Japan</v>
      </c>
      <c r="T1" s="306" t="str">
        <f ca="1">'Player Database'!U5</f>
        <v>Spain</v>
      </c>
      <c r="U1" s="306" t="str">
        <f ca="1">'Player Database'!V5</f>
        <v>Costa Rica</v>
      </c>
      <c r="V1" s="306" t="str">
        <f ca="1">'Player Database'!W5</f>
        <v>Morocco</v>
      </c>
      <c r="W1" s="306" t="str">
        <f ca="1">'Player Database'!X5</f>
        <v>Croatia</v>
      </c>
      <c r="X1" s="306" t="str">
        <f ca="1">'Player Database'!Y5</f>
        <v>Belgium</v>
      </c>
      <c r="Y1" s="306" t="str">
        <f ca="1">'Player Database'!Z5</f>
        <v>Canada</v>
      </c>
      <c r="Z1" s="306" t="str">
        <f>'Player Database'!AA5</f>
        <v>Brazil</v>
      </c>
      <c r="AA1" s="306" t="str">
        <f>'Player Database'!AB5</f>
        <v>Serbia</v>
      </c>
      <c r="AB1" s="306" t="str">
        <f>'Player Database'!AC5</f>
        <v>Switzerland</v>
      </c>
      <c r="AC1" s="306" t="str">
        <f>'Player Database'!AD5</f>
        <v>Cameroon</v>
      </c>
      <c r="AD1" s="306" t="str">
        <f>'Player Database'!AE5</f>
        <v>Portugal</v>
      </c>
      <c r="AE1" s="306" t="str">
        <f>'Player Database'!AF5</f>
        <v>Ghana</v>
      </c>
      <c r="AF1" s="306" t="str">
        <f>'Player Database'!AG5</f>
        <v>Uruguay</v>
      </c>
      <c r="AG1" s="306" t="str">
        <f>'Player Database'!AH5</f>
        <v>South Korea</v>
      </c>
      <c r="AI1" s="306">
        <v>1</v>
      </c>
      <c r="AJ1" s="306">
        <v>2</v>
      </c>
      <c r="AK1" s="306">
        <v>3</v>
      </c>
      <c r="AL1" s="306">
        <v>4</v>
      </c>
      <c r="AM1" s="306">
        <v>5</v>
      </c>
      <c r="AN1" s="306">
        <v>6</v>
      </c>
      <c r="AO1" s="306">
        <v>7</v>
      </c>
      <c r="AP1" s="306">
        <v>8</v>
      </c>
      <c r="AQ1" s="306">
        <v>9</v>
      </c>
      <c r="AR1" s="306">
        <v>10</v>
      </c>
      <c r="AS1" s="306">
        <v>11</v>
      </c>
      <c r="AT1" s="306">
        <v>12</v>
      </c>
      <c r="AU1" s="306">
        <v>13</v>
      </c>
      <c r="AV1" s="306">
        <v>14</v>
      </c>
      <c r="AW1" s="306">
        <v>15</v>
      </c>
      <c r="AX1" s="306">
        <v>16</v>
      </c>
      <c r="AZ1" s="306">
        <v>1</v>
      </c>
      <c r="BA1" s="306">
        <v>2</v>
      </c>
      <c r="BB1" s="306">
        <v>3</v>
      </c>
      <c r="BC1" s="306">
        <v>4</v>
      </c>
      <c r="BD1" s="306">
        <v>5</v>
      </c>
      <c r="BE1" s="306">
        <v>6</v>
      </c>
      <c r="BF1" s="306">
        <v>7</v>
      </c>
      <c r="BG1" s="306">
        <v>8</v>
      </c>
      <c r="BI1" s="306">
        <v>1</v>
      </c>
      <c r="BJ1" s="306">
        <v>2</v>
      </c>
      <c r="BK1" s="306">
        <v>3</v>
      </c>
      <c r="BL1" s="306">
        <v>4</v>
      </c>
      <c r="BN1" s="306">
        <v>31</v>
      </c>
      <c r="BO1" s="306">
        <v>32</v>
      </c>
      <c r="BQ1" s="306">
        <v>1</v>
      </c>
      <c r="BR1" s="306">
        <v>2</v>
      </c>
      <c r="BX1" s="306" t="s">
        <v>898</v>
      </c>
      <c r="CF1" s="306" t="s">
        <v>899</v>
      </c>
      <c r="CN1" s="306" t="s">
        <v>900</v>
      </c>
      <c r="CO1" s="306" t="s">
        <v>901</v>
      </c>
    </row>
    <row r="2" spans="1:94" x14ac:dyDescent="0.3">
      <c r="A2" s="306">
        <v>1</v>
      </c>
      <c r="B2" s="307" t="str">
        <f ca="1">B1</f>
        <v>Senegal</v>
      </c>
      <c r="C2" s="307" t="str">
        <f t="shared" ref="C2:AG2" ca="1" si="0">C1</f>
        <v>Netherlands</v>
      </c>
      <c r="D2" s="307" t="str">
        <f t="shared" ca="1" si="0"/>
        <v>Qatar</v>
      </c>
      <c r="E2" s="307" t="str">
        <f t="shared" ca="1" si="0"/>
        <v>Ecuador</v>
      </c>
      <c r="F2" s="307" t="str">
        <f t="shared" ca="1" si="0"/>
        <v>England</v>
      </c>
      <c r="G2" s="307" t="str">
        <f t="shared" ca="1" si="0"/>
        <v>Iran</v>
      </c>
      <c r="H2" s="307" t="str">
        <f t="shared" ca="1" si="0"/>
        <v>United States</v>
      </c>
      <c r="I2" s="307" t="str">
        <f t="shared" ca="1" si="0"/>
        <v>Wales</v>
      </c>
      <c r="J2" s="307" t="str">
        <f t="shared" ca="1" si="0"/>
        <v>Argentina</v>
      </c>
      <c r="K2" s="307" t="str">
        <f t="shared" ca="1" si="0"/>
        <v>Saudi Arabia</v>
      </c>
      <c r="L2" s="307" t="str">
        <f t="shared" ca="1" si="0"/>
        <v>Mexico</v>
      </c>
      <c r="M2" s="307" t="str">
        <f t="shared" ca="1" si="0"/>
        <v>Poland</v>
      </c>
      <c r="N2" s="307" t="str">
        <f t="shared" ca="1" si="0"/>
        <v>Denmark</v>
      </c>
      <c r="O2" s="307" t="str">
        <f t="shared" ca="1" si="0"/>
        <v>Tunisia</v>
      </c>
      <c r="P2" s="307" t="str">
        <f t="shared" ca="1" si="0"/>
        <v>France</v>
      </c>
      <c r="Q2" s="307" t="str">
        <f t="shared" ca="1" si="0"/>
        <v>Australia</v>
      </c>
      <c r="R2" s="307" t="str">
        <f t="shared" ca="1" si="0"/>
        <v>Germany</v>
      </c>
      <c r="S2" s="307" t="str">
        <f t="shared" ca="1" si="0"/>
        <v>Japan</v>
      </c>
      <c r="T2" s="307" t="str">
        <f t="shared" ca="1" si="0"/>
        <v>Spain</v>
      </c>
      <c r="U2" s="307" t="str">
        <f t="shared" ca="1" si="0"/>
        <v>Costa Rica</v>
      </c>
      <c r="V2" s="307" t="str">
        <f t="shared" ca="1" si="0"/>
        <v>Morocco</v>
      </c>
      <c r="W2" s="307" t="str">
        <f t="shared" ca="1" si="0"/>
        <v>Croatia</v>
      </c>
      <c r="X2" s="307" t="str">
        <f t="shared" ca="1" si="0"/>
        <v>Belgium</v>
      </c>
      <c r="Y2" s="307" t="str">
        <f t="shared" ca="1" si="0"/>
        <v>Canada</v>
      </c>
      <c r="Z2" s="307" t="str">
        <f t="shared" si="0"/>
        <v>Brazil</v>
      </c>
      <c r="AA2" s="307" t="str">
        <f t="shared" si="0"/>
        <v>Serbia</v>
      </c>
      <c r="AB2" s="307" t="str">
        <f t="shared" si="0"/>
        <v>Switzerland</v>
      </c>
      <c r="AC2" s="307" t="str">
        <f t="shared" si="0"/>
        <v>Cameroon</v>
      </c>
      <c r="AD2" s="307" t="str">
        <f t="shared" si="0"/>
        <v>Portugal</v>
      </c>
      <c r="AE2" s="307" t="str">
        <f t="shared" si="0"/>
        <v>Ghana</v>
      </c>
      <c r="AF2" s="307" t="str">
        <f t="shared" si="0"/>
        <v>Uruguay</v>
      </c>
      <c r="AG2" s="307" t="str">
        <f t="shared" si="0"/>
        <v>South Korea</v>
      </c>
      <c r="AI2" s="306" t="str">
        <f ca="1">'Knock Out Stages'!F7</f>
        <v>Group A Winner</v>
      </c>
      <c r="AJ2" s="306" t="str">
        <f ca="1">'Knock Out Stages'!F8</f>
        <v>Group B Runner Up</v>
      </c>
      <c r="AK2" s="306" t="str">
        <f ca="1">'Knock Out Stages'!F9</f>
        <v>Group C Winner</v>
      </c>
      <c r="AL2" s="306" t="str">
        <f ca="1">'Knock Out Stages'!F10</f>
        <v>Group D Runner Up</v>
      </c>
      <c r="AM2" s="306" t="str">
        <f ca="1">'Knock Out Stages'!F11</f>
        <v>Group D Winner</v>
      </c>
      <c r="AN2" s="306" t="str">
        <f ca="1">'Knock Out Stages'!F12</f>
        <v>Group C Runner Up</v>
      </c>
      <c r="AO2" s="306" t="str">
        <f ca="1">'Knock Out Stages'!F13</f>
        <v>Group B Winner</v>
      </c>
      <c r="AP2" s="306" t="str">
        <f ca="1">'Knock Out Stages'!F14</f>
        <v>Group A Runner Up</v>
      </c>
      <c r="AQ2" s="306" t="str">
        <f ca="1">'Knock Out Stages'!F15</f>
        <v>Group E Winner</v>
      </c>
      <c r="AR2" s="306" t="str">
        <f ca="1">'Knock Out Stages'!F16</f>
        <v>Group F Runner Up</v>
      </c>
      <c r="AS2" s="306" t="str">
        <f ca="1">'Knock Out Stages'!F17</f>
        <v>Group G Winner</v>
      </c>
      <c r="AT2" s="306" t="str">
        <f ca="1">'Knock Out Stages'!F18</f>
        <v>Group H Runner Up</v>
      </c>
      <c r="AU2" s="306" t="str">
        <f ca="1">'Knock Out Stages'!F19</f>
        <v>Group F Winner</v>
      </c>
      <c r="AV2" s="306" t="str">
        <f ca="1">'Knock Out Stages'!F20</f>
        <v>Group E Runner Up</v>
      </c>
      <c r="AW2" s="306" t="str">
        <f ca="1">'Knock Out Stages'!F21</f>
        <v>Group H Winner</v>
      </c>
      <c r="AX2" s="306" t="str">
        <f ca="1">'Knock Out Stages'!F22</f>
        <v>Group G Runner Up</v>
      </c>
      <c r="AZ2" s="306" t="str">
        <f ca="1">'Knock Out Stages'!F26</f>
        <v>Match 53 Winner</v>
      </c>
      <c r="BA2" s="306" t="str">
        <f ca="1">'Knock Out Stages'!F27</f>
        <v>Match 54 Winner</v>
      </c>
      <c r="BB2" s="306" t="str">
        <f ca="1">'Knock Out Stages'!F28</f>
        <v>Match 49 Winner</v>
      </c>
      <c r="BC2" s="306" t="str">
        <f ca="1">'Knock Out Stages'!F29</f>
        <v>Match 50 Winner</v>
      </c>
      <c r="BD2" s="306" t="str">
        <f ca="1">'Knock Out Stages'!F30</f>
        <v>Match 55 Winner</v>
      </c>
      <c r="BE2" s="306" t="str">
        <f ca="1">'Knock Out Stages'!F31</f>
        <v>Match 56 Winner</v>
      </c>
      <c r="BF2" s="306" t="str">
        <f ca="1">'Knock Out Stages'!F32</f>
        <v>Match 51 Winner</v>
      </c>
      <c r="BG2" s="306" t="str">
        <f ca="1">'Knock Out Stages'!F33</f>
        <v>Match 52 Winner</v>
      </c>
      <c r="BI2" s="306" t="str">
        <f ca="1">'Knock Out Stages'!F37</f>
        <v>Match 57 Winner</v>
      </c>
      <c r="BJ2" s="306" t="str">
        <f ca="1">'Knock Out Stages'!F38</f>
        <v>Match 58 Winner</v>
      </c>
      <c r="BK2" s="306" t="str">
        <f ca="1">'Knock Out Stages'!F39</f>
        <v>Match 59 Winner</v>
      </c>
      <c r="BL2" s="306" t="str">
        <f ca="1">'Knock Out Stages'!F40</f>
        <v>Match 60 Winner</v>
      </c>
      <c r="BN2" s="306" t="str">
        <f ca="1">'Knock Out Stages'!F44</f>
        <v>Match 61 Loser</v>
      </c>
      <c r="BO2" s="306" t="str">
        <f ca="1">'Knock Out Stages'!F45</f>
        <v>Match 62 Loser</v>
      </c>
      <c r="BQ2" s="306" t="str">
        <f ca="1">'Knock Out Stages'!F49</f>
        <v>Match 61 Winner</v>
      </c>
      <c r="BR2" s="306" t="str">
        <f ca="1">'Knock Out Stages'!F50</f>
        <v>Match 62 Winner</v>
      </c>
      <c r="BX2" s="306">
        <v>1</v>
      </c>
      <c r="BY2" s="306">
        <v>2</v>
      </c>
      <c r="BZ2" s="306">
        <v>3</v>
      </c>
      <c r="CA2" s="306">
        <v>4</v>
      </c>
      <c r="CB2" s="306">
        <v>5</v>
      </c>
      <c r="CC2" s="306">
        <v>6</v>
      </c>
      <c r="CD2" s="306">
        <v>7</v>
      </c>
      <c r="CE2" s="306">
        <v>8</v>
      </c>
      <c r="CF2" s="306">
        <v>1</v>
      </c>
      <c r="CG2" s="306">
        <v>2</v>
      </c>
      <c r="CH2" s="306">
        <v>3</v>
      </c>
      <c r="CI2" s="306">
        <v>4</v>
      </c>
      <c r="CJ2" s="306">
        <v>5</v>
      </c>
      <c r="CK2" s="306">
        <v>6</v>
      </c>
      <c r="CL2" s="306">
        <v>7</v>
      </c>
      <c r="CM2" s="306">
        <v>8</v>
      </c>
    </row>
    <row r="3" spans="1:94" x14ac:dyDescent="0.3">
      <c r="A3" s="306">
        <v>1</v>
      </c>
      <c r="B3" s="306" t="str">
        <f>'Player Database'!C6</f>
        <v>Abdou Diallo</v>
      </c>
      <c r="C3" s="306" t="str">
        <f>'Player Database'!D6</f>
        <v>Andries Noppert</v>
      </c>
      <c r="D3" s="306" t="str">
        <f>'Player Database'!E6</f>
        <v>Abdelkarim Hassan</v>
      </c>
      <c r="E3" s="306" t="str">
        <f>'Player Database'!F6</f>
        <v>Alan Franco</v>
      </c>
      <c r="F3" s="306" t="str">
        <f>'Player Database'!G6</f>
        <v>Aaron Ramsdale</v>
      </c>
      <c r="G3" s="306" t="str">
        <f>'Player Database'!H6</f>
        <v>Abolfazl Jalali</v>
      </c>
      <c r="H3" s="306" t="str">
        <f>'Player Database'!I6</f>
        <v>Aaron Long</v>
      </c>
      <c r="I3" s="306" t="str">
        <f>'Player Database'!J6</f>
        <v>Aaron Ramsey</v>
      </c>
      <c r="J3" s="306" t="str">
        <f>'Player Database'!K6</f>
        <v>Alejandro Gómez</v>
      </c>
      <c r="K3" s="306" t="str">
        <f>'Player Database'!L6</f>
        <v>Abdulelah Al-Amri</v>
      </c>
      <c r="L3" s="306" t="str">
        <f>'Player Database'!M6</f>
        <v>Alexis Vega</v>
      </c>
      <c r="M3" s="306" t="str">
        <f>'Player Database'!N6</f>
        <v>Arkadiusz Milik</v>
      </c>
      <c r="N3" s="306" t="str">
        <f>'Player Database'!O6</f>
        <v>Alexander Bah</v>
      </c>
      <c r="O3" s="306" t="str">
        <f>'Player Database'!P6</f>
        <v>Aïssa Laïdouni</v>
      </c>
      <c r="P3" s="306" t="str">
        <f>'Player Database'!Q6</f>
        <v>Adrien Rabiot</v>
      </c>
      <c r="Q3" s="306" t="str">
        <f>'Player Database'!R6</f>
        <v>Aaron Mooy</v>
      </c>
      <c r="R3" s="306" t="str">
        <f>'Player Database'!S6</f>
        <v>Antonio Rüdiger</v>
      </c>
      <c r="S3" s="306" t="str">
        <f>'Player Database'!T6</f>
        <v>Ao Tanaka</v>
      </c>
      <c r="T3" s="306" t="str">
        <f>'Player Database'!U6</f>
        <v>Álvaro Morata</v>
      </c>
      <c r="U3" s="306" t="str">
        <f>'Player Database'!V6</f>
        <v>Álvaro Zamora</v>
      </c>
      <c r="V3" s="306" t="str">
        <f>'Player Database'!W6</f>
        <v>Abde Ezzalzouli</v>
      </c>
      <c r="W3" s="306" t="str">
        <f>'Player Database'!X6</f>
        <v>Andrej Kramarić</v>
      </c>
      <c r="X3" s="306" t="str">
        <f>'Player Database'!Y6</f>
        <v>Amadou Onana</v>
      </c>
      <c r="Y3" s="306" t="str">
        <f>'Player Database'!Z6</f>
        <v>Alistair Johnston</v>
      </c>
      <c r="Z3" s="306" t="str">
        <f>'Player Database'!AA6</f>
        <v>Alex Sandro</v>
      </c>
      <c r="AA3" s="306" t="str">
        <f>'Player Database'!AB6</f>
        <v>Aleksandar Mitrović</v>
      </c>
      <c r="AB3" s="306" t="str">
        <f>'Player Database'!AC6</f>
        <v>Ardon Jashari</v>
      </c>
      <c r="AC3" s="306" t="str">
        <f>'Player Database'!AD6</f>
        <v>André Onana</v>
      </c>
      <c r="AD3" s="306" t="str">
        <f>'Player Database'!AE6</f>
        <v>André Silva</v>
      </c>
      <c r="AE3" s="306" t="str">
        <f>'Player Database'!AF6</f>
        <v>Abdul Fatawu Issahaku</v>
      </c>
      <c r="AF3" s="306" t="str">
        <f>'Player Database'!AG6</f>
        <v>Agustín Canobbio</v>
      </c>
      <c r="AG3" s="306" t="str">
        <f>'Player Database'!AH6</f>
        <v>Cho Gue-sung</v>
      </c>
      <c r="AI3" s="306" t="str">
        <f ca="1">IFERROR(INDEX(B3:AG28,A3,MATCH(AI2,B2:AG2,0)),"")</f>
        <v/>
      </c>
      <c r="AJ3" s="306" t="str">
        <f ca="1">IFERROR(INDEX(B3:AG28,A3,MATCH(AJ2,B2:AG2,0)),"")</f>
        <v/>
      </c>
      <c r="AK3" s="306" t="str">
        <f ca="1">IFERROR(INDEX(B3:AG28,A3,MATCH(AK2,B2:AG2,0)),"")</f>
        <v/>
      </c>
      <c r="AL3" s="306" t="str">
        <f ca="1">IFERROR(INDEX(B3:AG28,A3,MATCH(AL2,B2:AG2,0)),"")</f>
        <v/>
      </c>
      <c r="AM3" s="306" t="str">
        <f ca="1">IFERROR(INDEX(B3:AG28,A3,MATCH(AM2,B2:AG2,0)),"")</f>
        <v/>
      </c>
      <c r="AN3" s="306" t="str">
        <f ca="1">IFERROR(INDEX(B3:AG28,A3,MATCH(AN2,B2:AG2,0)),"")</f>
        <v/>
      </c>
      <c r="AO3" s="306" t="str">
        <f ca="1">IFERROR(INDEX(B3:AG28,A3,MATCH(AO2,B2:AG2,0)),"")</f>
        <v/>
      </c>
      <c r="AP3" s="306" t="str">
        <f ca="1">IFERROR(INDEX(B3:AG28,A3,MATCH(AP2,B2:AG2,0)),"")</f>
        <v/>
      </c>
      <c r="AQ3" s="306" t="str">
        <f ca="1">IFERROR(INDEX(B3:AG28,A3,MATCH(AQ2,B2:AG2,0)),"")</f>
        <v/>
      </c>
      <c r="AR3" s="306" t="str">
        <f ca="1">IFERROR(INDEX(B3:AG28,A3,MATCH(AR2,B2:AG2,0)),"")</f>
        <v/>
      </c>
      <c r="AS3" s="306" t="str">
        <f ca="1">IFERROR(INDEX(B3:AG28,A3,MATCH(AS2,B2:AG2,0)),"")</f>
        <v/>
      </c>
      <c r="AT3" s="306" t="str">
        <f ca="1">IFERROR(INDEX(B3:AG28,A3,MATCH(AT2,B2:AG2,0)),"")</f>
        <v/>
      </c>
      <c r="AU3" s="306" t="str">
        <f ca="1">IFERROR(INDEX(B3:AG28,A3,MATCH(AU2,B2:AG2,0)),"")</f>
        <v/>
      </c>
      <c r="AV3" s="306" t="str">
        <f ca="1">IFERROR(INDEX(B3:AG28,A3,MATCH(AV2,B2:AG2,0)),"")</f>
        <v/>
      </c>
      <c r="AW3" s="306" t="str">
        <f ca="1">IFERROR(INDEX(B3:AG28,A3,MATCH(AW2,B2:AG2,0)),"")</f>
        <v/>
      </c>
      <c r="AX3" s="306" t="str">
        <f ca="1">IFERROR(INDEX(B3:AG28,A3,MATCH(AX2,B2:AG2,0)),"")</f>
        <v/>
      </c>
      <c r="AZ3" s="306" t="str">
        <f ca="1">IFERROR(INDEX(B3:AG28,A3,MATCH(AZ2,B2:AG2,0)),"")</f>
        <v/>
      </c>
      <c r="BA3" s="306" t="str">
        <f ca="1">IFERROR(INDEX(B3:AG28,A3,MATCH(BA2,B2:AG2,0)),"")</f>
        <v/>
      </c>
      <c r="BB3" s="306" t="str">
        <f ca="1">IFERROR(INDEX(B3:AG28,A3,MATCH(BB2,B2:AG2,0)),"")</f>
        <v/>
      </c>
      <c r="BC3" s="306" t="str">
        <f ca="1">IFERROR(INDEX(B3:AG28,A3,MATCH(BC2,B2:AG2,0)),"")</f>
        <v/>
      </c>
      <c r="BD3" s="306" t="str">
        <f ca="1">IFERROR(INDEX(B3:AG28,A3,MATCH(BD2,B2:AG2,0)),"")</f>
        <v/>
      </c>
      <c r="BE3" s="306" t="str">
        <f ca="1">IFERROR(INDEX(B3:AG28,A3,MATCH(BE2,B2:AG2,0)),"")</f>
        <v/>
      </c>
      <c r="BF3" s="306" t="str">
        <f ca="1">IFERROR(INDEX(B3:AG28,A3,MATCH(BF2,B2:AG2,0)),"")</f>
        <v/>
      </c>
      <c r="BG3" s="306" t="str">
        <f ca="1">IFERROR(INDEX(B3:AG28,A3,MATCH(BG2,B2:AG2,0)),"")</f>
        <v/>
      </c>
      <c r="BI3" s="306" t="str">
        <f ca="1">IFERROR(INDEX(B3:AG28,A3,MATCH(BI2,B2:AG2,0)),"")</f>
        <v/>
      </c>
      <c r="BJ3" s="306" t="str">
        <f ca="1">IFERROR(INDEX(B3:AG28,A3,MATCH(BJ2,B2:AG2,0)),"")</f>
        <v/>
      </c>
      <c r="BK3" s="306" t="str">
        <f ca="1">IFERROR(INDEX(B3:AG28,A3,MATCH(BK2,B2:AG2,0)),"")</f>
        <v/>
      </c>
      <c r="BL3" s="306" t="str">
        <f ca="1">IFERROR(INDEX(B3:AG28,A3,MATCH(BL2,B2:AG2,0)),"")</f>
        <v/>
      </c>
      <c r="BN3" s="306" t="str">
        <f ca="1">IFERROR(INDEX(B3:AG28,A3,MATCH(BN2,B2:AG2,0)),"")</f>
        <v/>
      </c>
      <c r="BO3" s="306" t="str">
        <f ca="1">IFERROR(INDEX(B3:AG28,A3,MATCH(BO2,B2:AG2,0)),"")</f>
        <v/>
      </c>
      <c r="BQ3" s="306" t="str">
        <f ca="1">IFERROR(INDEX(B3:AG28,A3,MATCH(BQ2,B2:AG2,0)),"")</f>
        <v/>
      </c>
      <c r="BR3" s="306" t="str">
        <f ca="1">IFERROR(INDEX(B3:AG28,A3,MATCH(BR2,B2:AG2,0)),"")</f>
        <v/>
      </c>
      <c r="BT3" s="306" t="str">
        <f ca="1">B2</f>
        <v>Senegal</v>
      </c>
      <c r="BW3" s="306" t="str">
        <f>B3</f>
        <v>Abdou Diallo</v>
      </c>
      <c r="BX3" s="306">
        <f>COUNTIF('Group Stages'!J7:J102,BW3)</f>
        <v>0</v>
      </c>
      <c r="BY3" s="306">
        <f>COUNTIF('Group Stages'!K7:K102,BW3)</f>
        <v>0</v>
      </c>
      <c r="BZ3" s="306">
        <f>COUNTIF('Group Stages'!L7:L102,BW3)</f>
        <v>0</v>
      </c>
      <c r="CA3" s="306">
        <f>COUNTIF('Group Stages'!M7:M102,BW3)</f>
        <v>0</v>
      </c>
      <c r="CB3" s="306">
        <f>COUNTIF('Group Stages'!N7:N102,BW3)</f>
        <v>0</v>
      </c>
      <c r="CC3" s="306">
        <f>COUNTIF('Group Stages'!O7:O102,BW3)</f>
        <v>0</v>
      </c>
      <c r="CD3" s="306">
        <f>COUNTIF('Group Stages'!P7:P102,BW3)</f>
        <v>0</v>
      </c>
      <c r="CE3" s="306">
        <f>COUNTIF('Group Stages'!Q7:Q102,BW3)</f>
        <v>0</v>
      </c>
      <c r="CF3" s="306">
        <f>COUNTIF('Knock Out Stages'!K7:K50,BW3)</f>
        <v>0</v>
      </c>
      <c r="CG3" s="306">
        <f>COUNTIF('Knock Out Stages'!L7:L50,BW3)</f>
        <v>0</v>
      </c>
      <c r="CH3" s="306">
        <f>COUNTIF('Knock Out Stages'!M7:M50,BW3)</f>
        <v>0</v>
      </c>
      <c r="CI3" s="306">
        <f>COUNTIF('Knock Out Stages'!N7:N50,BW3)</f>
        <v>0</v>
      </c>
      <c r="CJ3" s="306">
        <f>COUNTIF('Knock Out Stages'!O7:O50,BW3)</f>
        <v>0</v>
      </c>
      <c r="CK3" s="306">
        <f>COUNTIF('Knock Out Stages'!P7:P50,BW3)</f>
        <v>0</v>
      </c>
      <c r="CL3" s="306">
        <f>COUNTIF('Knock Out Stages'!Q7:Q50,BW3)</f>
        <v>0</v>
      </c>
      <c r="CM3" s="306">
        <f>COUNTIF('Knock Out Stages'!R7:R50,BW3)</f>
        <v>0</v>
      </c>
      <c r="CN3" s="306">
        <f>IF(RIGHT('Group Stages'!$B$105,5)="T.com",SUM(BX3:CM3),0)</f>
        <v>0</v>
      </c>
      <c r="CO3" s="306">
        <f ca="1">RANK(CN3,CN3:CN834)+COUNTIF(CN3:CN3,CN3)-1</f>
        <v>1</v>
      </c>
      <c r="CP3" s="306" t="str">
        <f ca="1">BW3&amp;" ("&amp;BT3&amp;")"</f>
        <v>Abdou Diallo (Senegal)</v>
      </c>
    </row>
    <row r="4" spans="1:94" x14ac:dyDescent="0.3">
      <c r="A4" s="306">
        <v>2</v>
      </c>
      <c r="B4" s="306" t="str">
        <f>'Player Database'!C7</f>
        <v>Alfred Gomis</v>
      </c>
      <c r="C4" s="306" t="str">
        <f>'Player Database'!D7</f>
        <v>Cody Gakpo</v>
      </c>
      <c r="D4" s="306" t="str">
        <f>'Player Database'!E7</f>
        <v>Abdulaziz Hatem</v>
      </c>
      <c r="E4" s="306" t="str">
        <f>'Player Database'!F7</f>
        <v>Alexander Domínguez</v>
      </c>
      <c r="F4" s="306" t="str">
        <f>'Player Database'!G7</f>
        <v>Ben White</v>
      </c>
      <c r="G4" s="306" t="str">
        <f>'Player Database'!H7</f>
        <v>Ahmad Nourollahi</v>
      </c>
      <c r="H4" s="306" t="str">
        <f>'Player Database'!I7</f>
        <v>Antonee Robinson</v>
      </c>
      <c r="I4" s="306" t="str">
        <f>'Player Database'!J7</f>
        <v>Adam Davies</v>
      </c>
      <c r="J4" s="306" t="str">
        <f>'Player Database'!K7</f>
        <v>Alexis Mac Allister</v>
      </c>
      <c r="K4" s="306" t="str">
        <f>'Player Database'!L7</f>
        <v>Abdulellah Al-Malki</v>
      </c>
      <c r="L4" s="306" t="str">
        <f>'Player Database'!M7</f>
        <v>Alfredo Talavera</v>
      </c>
      <c r="M4" s="306" t="str">
        <f>'Player Database'!N7</f>
        <v>Artur Jędrzejczyk</v>
      </c>
      <c r="N4" s="306" t="str">
        <f>'Player Database'!O7</f>
        <v>Andreas Christensen</v>
      </c>
      <c r="O4" s="306" t="str">
        <f>'Player Database'!P7</f>
        <v>Ali Abdi</v>
      </c>
      <c r="P4" s="306" t="str">
        <f>'Player Database'!Q7</f>
        <v>Alphonse Areola</v>
      </c>
      <c r="Q4" s="306" t="str">
        <f>'Player Database'!R7</f>
        <v>Ajdin Hrustic</v>
      </c>
      <c r="R4" s="306" t="str">
        <f>'Player Database'!S7</f>
        <v>Armel Bella-Kotchap</v>
      </c>
      <c r="S4" s="306" t="str">
        <f>'Player Database'!T7</f>
        <v>Ayase Ueda</v>
      </c>
      <c r="T4" s="306" t="str">
        <f>'Player Database'!U7</f>
        <v>Ansu Fati</v>
      </c>
      <c r="U4" s="306" t="str">
        <f>'Player Database'!V7</f>
        <v>Anthony Contreras</v>
      </c>
      <c r="V4" s="306" t="str">
        <f>'Player Database'!W7</f>
        <v>Abdelhamid Sabiri</v>
      </c>
      <c r="W4" s="306" t="str">
        <f>'Player Database'!X7</f>
        <v>Ante Budimir</v>
      </c>
      <c r="X4" s="306" t="str">
        <f>'Player Database'!Y7</f>
        <v>Arthur Theate</v>
      </c>
      <c r="Y4" s="306" t="str">
        <f>'Player Database'!Z7</f>
        <v>Alphonso Davies</v>
      </c>
      <c r="Z4" s="306" t="str">
        <f>'Player Database'!AA7</f>
        <v>Alex Telles</v>
      </c>
      <c r="AA4" s="306" t="str">
        <f>'Player Database'!AB7</f>
        <v>Andrija Živković</v>
      </c>
      <c r="AB4" s="306" t="str">
        <f>'Player Database'!AC7</f>
        <v>Breel Embolo</v>
      </c>
      <c r="AC4" s="306" t="str">
        <f>'Player Database'!AD7</f>
        <v>André-Frank Zambo Anguissa</v>
      </c>
      <c r="AD4" s="306" t="str">
        <f>'Player Database'!AE7</f>
        <v>António Silva</v>
      </c>
      <c r="AE4" s="306" t="str">
        <f>'Player Database'!AF7</f>
        <v>Abdul Manaf Nurudeen</v>
      </c>
      <c r="AF4" s="306" t="str">
        <f>'Player Database'!AG7</f>
        <v>Darwin Núñez</v>
      </c>
      <c r="AG4" s="306" t="str">
        <f>'Player Database'!AH7</f>
        <v>Cho Yu-min</v>
      </c>
      <c r="AI4" s="306" t="str">
        <f ca="1">IFERROR(INDEX(B3:AG28,A4,MATCH(AI2,B2:AG2,0)),"")</f>
        <v/>
      </c>
      <c r="AJ4" s="306" t="str">
        <f ca="1">IFERROR(INDEX(B3:AG28,A4,MATCH(AJ2,B2:AG2,0)),"")</f>
        <v/>
      </c>
      <c r="AK4" s="306" t="str">
        <f ca="1">IFERROR(INDEX(B3:AG28,A4,MATCH(AK2,B2:AG2,0)),"")</f>
        <v/>
      </c>
      <c r="AL4" s="306" t="str">
        <f ca="1">IFERROR(INDEX(B3:AG28,A4,MATCH(AL2,B2:AG2,0)),"")</f>
        <v/>
      </c>
      <c r="AM4" s="306" t="str">
        <f ca="1">IFERROR(INDEX(B3:AG28,A4,MATCH(AM2,B2:AG2,0)),"")</f>
        <v/>
      </c>
      <c r="AN4" s="306" t="str">
        <f ca="1">IFERROR(INDEX(B3:AG28,A4,MATCH(AN2,B2:AG2,0)),"")</f>
        <v/>
      </c>
      <c r="AO4" s="306" t="str">
        <f ca="1">IFERROR(INDEX(B3:AG28,A4,MATCH(AO2,B2:AG2,0)),"")</f>
        <v/>
      </c>
      <c r="AP4" s="306" t="str">
        <f ca="1">IFERROR(INDEX(B3:AG28,A4,MATCH(AP2,B2:AG2,0)),"")</f>
        <v/>
      </c>
      <c r="AQ4" s="306" t="str">
        <f ca="1">IFERROR(INDEX(B3:AG28,A4,MATCH(AQ2,B2:AG2,0)),"")</f>
        <v/>
      </c>
      <c r="AR4" s="306" t="str">
        <f ca="1">IFERROR(INDEX(B3:AG28,A4,MATCH(AR2,B2:AG2,0)),"")</f>
        <v/>
      </c>
      <c r="AS4" s="306" t="str">
        <f ca="1">IFERROR(INDEX(B3:AG28,A4,MATCH(AS2,B2:AG2,0)),"")</f>
        <v/>
      </c>
      <c r="AT4" s="306" t="str">
        <f ca="1">IFERROR(INDEX(B3:AG28,A4,MATCH(AT2,B2:AG2,0)),"")</f>
        <v/>
      </c>
      <c r="AU4" s="306" t="str">
        <f ca="1">IFERROR(INDEX(B3:AG28,A4,MATCH(AU2,B2:AG2,0)),"")</f>
        <v/>
      </c>
      <c r="AV4" s="306" t="str">
        <f ca="1">IFERROR(INDEX(B3:AG28,A4,MATCH(AV2,B2:AG2,0)),"")</f>
        <v/>
      </c>
      <c r="AW4" s="306" t="str">
        <f ca="1">IFERROR(INDEX(B3:AG28,A4,MATCH(AW2,B2:AG2,0)),"")</f>
        <v/>
      </c>
      <c r="AX4" s="306" t="str">
        <f ca="1">IFERROR(INDEX(B3:AG28,A4,MATCH(AX2,B2:AG2,0)),"")</f>
        <v/>
      </c>
      <c r="AZ4" s="306" t="str">
        <f ca="1">IFERROR(INDEX(B3:AG28,A4,MATCH(AZ2,B2:AG2,0)),"")</f>
        <v/>
      </c>
      <c r="BA4" s="306" t="str">
        <f ca="1">IFERROR(INDEX(B3:AG28,A4,MATCH(BA2,B2:AG2,0)),"")</f>
        <v/>
      </c>
      <c r="BB4" s="306" t="str">
        <f ca="1">IFERROR(INDEX(B3:AG28,A4,MATCH(BB2,B2:AG2,0)),"")</f>
        <v/>
      </c>
      <c r="BC4" s="306" t="str">
        <f ca="1">IFERROR(INDEX(B3:AG28,A4,MATCH(BC2,B2:AG2,0)),"")</f>
        <v/>
      </c>
      <c r="BD4" s="306" t="str">
        <f ca="1">IFERROR(INDEX(B3:AG28,A4,MATCH(BD2,B2:AG2,0)),"")</f>
        <v/>
      </c>
      <c r="BE4" s="306" t="str">
        <f ca="1">IFERROR(INDEX(B3:AG28,A4,MATCH(BE2,B2:AG2,0)),"")</f>
        <v/>
      </c>
      <c r="BF4" s="306" t="str">
        <f ca="1">IFERROR(INDEX(B3:AG28,A4,MATCH(BF2,B2:AG2,0)),"")</f>
        <v/>
      </c>
      <c r="BG4" s="306" t="str">
        <f ca="1">IFERROR(INDEX(B3:AG28,A4,MATCH(BG2,B2:AG2,0)),"")</f>
        <v/>
      </c>
      <c r="BI4" s="306" t="str">
        <f ca="1">IFERROR(INDEX(B3:AG28,A4,MATCH(BI2,B2:AG2,0)),"")</f>
        <v/>
      </c>
      <c r="BJ4" s="306" t="str">
        <f ca="1">IFERROR(INDEX(B3:AG28,A4,MATCH(BJ2,B2:AG2,0)),"")</f>
        <v/>
      </c>
      <c r="BK4" s="306" t="str">
        <f ca="1">IFERROR(INDEX(B3:AG28,A4,MATCH(BK2,B2:AG2,0)),"")</f>
        <v/>
      </c>
      <c r="BL4" s="306" t="str">
        <f ca="1">IFERROR(INDEX(B3:AG28,A4,MATCH(BL2,B2:AG2,0)),"")</f>
        <v/>
      </c>
      <c r="BN4" s="306" t="str">
        <f ca="1">IFERROR(INDEX(B3:AG28,A4,MATCH(BN2,B2:AG2,0)),"")</f>
        <v/>
      </c>
      <c r="BO4" s="306" t="str">
        <f ca="1">IFERROR(INDEX(B3:AG28,A4,MATCH(BO2,B2:AG2,0)),"")</f>
        <v/>
      </c>
      <c r="BQ4" s="306" t="str">
        <f ca="1">IFERROR(INDEX(B3:AG28,A4,MATCH(BQ2,B2:AG2,0)),"")</f>
        <v/>
      </c>
      <c r="BR4" s="306" t="str">
        <f ca="1">IFERROR(INDEX(B3:AG28,A4,MATCH(BR2,B2:AG2,0)),"")</f>
        <v/>
      </c>
      <c r="BT4" s="306" t="str">
        <f ca="1">BT3</f>
        <v>Senegal</v>
      </c>
      <c r="BW4" s="306" t="str">
        <f t="shared" ref="BW4:BW28" si="1">B4</f>
        <v>Alfred Gomis</v>
      </c>
      <c r="BX4" s="306">
        <f>COUNTIF('Group Stages'!J7:J102,BW4)</f>
        <v>0</v>
      </c>
      <c r="BY4" s="306">
        <f>COUNTIF('Group Stages'!K7:K102,BW4)</f>
        <v>0</v>
      </c>
      <c r="BZ4" s="306">
        <f>COUNTIF('Group Stages'!L7:L102,BW4)</f>
        <v>0</v>
      </c>
      <c r="CA4" s="306">
        <f>COUNTIF('Group Stages'!M7:M102,BW4)</f>
        <v>0</v>
      </c>
      <c r="CB4" s="306">
        <f>COUNTIF('Group Stages'!N7:N102,BW4)</f>
        <v>0</v>
      </c>
      <c r="CC4" s="306">
        <f>COUNTIF('Group Stages'!O7:O102,BW4)</f>
        <v>0</v>
      </c>
      <c r="CD4" s="306">
        <f>COUNTIF('Group Stages'!P7:P102,BW4)</f>
        <v>0</v>
      </c>
      <c r="CE4" s="306">
        <f>COUNTIF('Group Stages'!Q7:Q102,BW4)</f>
        <v>0</v>
      </c>
      <c r="CF4" s="306">
        <f>COUNTIF('Knock Out Stages'!K7:K50,BW4)</f>
        <v>0</v>
      </c>
      <c r="CG4" s="306">
        <f>COUNTIF('Knock Out Stages'!L7:L50,BW4)</f>
        <v>0</v>
      </c>
      <c r="CH4" s="306">
        <f>COUNTIF('Knock Out Stages'!M7:M50,BW4)</f>
        <v>0</v>
      </c>
      <c r="CI4" s="306">
        <f>COUNTIF('Knock Out Stages'!N7:N50,BW4)</f>
        <v>0</v>
      </c>
      <c r="CJ4" s="306">
        <f>COUNTIF('Knock Out Stages'!O7:O50,BW4)</f>
        <v>0</v>
      </c>
      <c r="CK4" s="306">
        <f>COUNTIF('Knock Out Stages'!P7:P50,BW4)</f>
        <v>0</v>
      </c>
      <c r="CL4" s="306">
        <f>COUNTIF('Knock Out Stages'!Q7:Q50,BW4)</f>
        <v>0</v>
      </c>
      <c r="CM4" s="306">
        <f>COUNTIF('Knock Out Stages'!R7:R50,BW4)</f>
        <v>0</v>
      </c>
      <c r="CN4" s="306">
        <f>IF(RIGHT('Group Stages'!$B$105,5)="T.com",SUM(BX4:CM4),0)</f>
        <v>0</v>
      </c>
      <c r="CO4" s="306">
        <f ca="1">RANK(CN4,CN3:CN834)+COUNTIF(CN3:CN4,CN4)-1</f>
        <v>2</v>
      </c>
      <c r="CP4" s="306" t="str">
        <f t="shared" ref="CP4:CP67" ca="1" si="2">BW4&amp;" ("&amp;BT4&amp;")"</f>
        <v>Alfred Gomis (Senegal)</v>
      </c>
    </row>
    <row r="5" spans="1:94" x14ac:dyDescent="0.3">
      <c r="A5" s="306">
        <v>3</v>
      </c>
      <c r="B5" s="306" t="str">
        <f>'Player Database'!C8</f>
        <v>Bamba Dieng</v>
      </c>
      <c r="C5" s="306" t="str">
        <f>'Player Database'!D8</f>
        <v>Daley Blind</v>
      </c>
      <c r="D5" s="306" t="str">
        <f>'Player Database'!E8</f>
        <v>Ahmed Alaaeldin</v>
      </c>
      <c r="E5" s="306" t="str">
        <f>'Player Database'!F8</f>
        <v>Ángel Mena</v>
      </c>
      <c r="F5" s="306" t="str">
        <f>'Player Database'!G8</f>
        <v>Bukayo Saka</v>
      </c>
      <c r="G5" s="306" t="str">
        <f>'Player Database'!H8</f>
        <v>Ali Gholizadeh</v>
      </c>
      <c r="H5" s="306" t="str">
        <f>'Player Database'!I8</f>
        <v>Brenden Aaronson</v>
      </c>
      <c r="I5" s="306" t="str">
        <f>'Player Database'!J8</f>
        <v>Ben Cabango</v>
      </c>
      <c r="J5" s="306" t="str">
        <f>'Player Database'!K8</f>
        <v>Ángel Di María</v>
      </c>
      <c r="K5" s="306" t="str">
        <f>'Player Database'!L8</f>
        <v>Abdullah Madu</v>
      </c>
      <c r="L5" s="306" t="str">
        <f>'Player Database'!M8</f>
        <v>Andrés Guardado</v>
      </c>
      <c r="M5" s="306" t="str">
        <f>'Player Database'!N8</f>
        <v>Bartłomiej Drągowski</v>
      </c>
      <c r="N5" s="306" t="str">
        <f>'Player Database'!O8</f>
        <v>Andreas Cornelius</v>
      </c>
      <c r="O5" s="306" t="str">
        <f>'Player Database'!P8</f>
        <v>Ali Maâloul</v>
      </c>
      <c r="P5" s="306" t="str">
        <f>'Player Database'!Q8</f>
        <v>Antoine Griezmann</v>
      </c>
      <c r="Q5" s="306" t="str">
        <f>'Player Database'!R8</f>
        <v>Andrew Redmayne</v>
      </c>
      <c r="R5" s="306" t="str">
        <f>'Player Database'!S8</f>
        <v>Christian Günter</v>
      </c>
      <c r="S5" s="306" t="str">
        <f>'Player Database'!T8</f>
        <v>Daichi Kamada</v>
      </c>
      <c r="T5" s="306" t="str">
        <f>'Player Database'!U8</f>
        <v>Aymeric Laporte</v>
      </c>
      <c r="U5" s="306" t="str">
        <f>'Player Database'!V8</f>
        <v>Anthony Hernández</v>
      </c>
      <c r="V5" s="306" t="str">
        <f>'Player Database'!W8</f>
        <v>Abderrazak Hamdallah</v>
      </c>
      <c r="W5" s="306" t="str">
        <f>'Player Database'!X8</f>
        <v>Borna Barišić</v>
      </c>
      <c r="X5" s="306" t="str">
        <f>'Player Database'!Y8</f>
        <v>Axel Witsel</v>
      </c>
      <c r="Y5" s="306" t="str">
        <f>'Player Database'!Z8</f>
        <v>Atiba Hutchinson</v>
      </c>
      <c r="Z5" s="306" t="str">
        <f>'Player Database'!AA8</f>
        <v>Alisson</v>
      </c>
      <c r="AA5" s="306" t="str">
        <f>'Player Database'!AB8</f>
        <v>Darko Lazović</v>
      </c>
      <c r="AB5" s="306" t="str">
        <f>'Player Database'!AC8</f>
        <v>Christian Fassnacht</v>
      </c>
      <c r="AC5" s="306" t="str">
        <f>'Player Database'!AD8</f>
        <v>Bryan Mbeumo</v>
      </c>
      <c r="AD5" s="306" t="str">
        <f>'Player Database'!AE8</f>
        <v>Bernardo Silva</v>
      </c>
      <c r="AE5" s="306" t="str">
        <f>'Player Database'!AF8</f>
        <v>Alexander Djiku</v>
      </c>
      <c r="AF5" s="306" t="str">
        <f>'Player Database'!AG8</f>
        <v>Diego Godín</v>
      </c>
      <c r="AG5" s="306" t="str">
        <f>'Player Database'!AH8</f>
        <v>Hong Chul</v>
      </c>
      <c r="AI5" s="306" t="str">
        <f ca="1">IFERROR(INDEX(B3:AG28,A5,MATCH(AI2,B2:AG2,0)),"")</f>
        <v/>
      </c>
      <c r="AJ5" s="306" t="str">
        <f ca="1">IFERROR(INDEX(B3:AG28,A5,MATCH(AJ2,B2:AG2,0)),"")</f>
        <v/>
      </c>
      <c r="AK5" s="306" t="str">
        <f ca="1">IFERROR(INDEX(B3:AG28,A5,MATCH(AK2,B2:AG2,0)),"")</f>
        <v/>
      </c>
      <c r="AL5" s="306" t="str">
        <f ca="1">IFERROR(INDEX(B3:AG28,A5,MATCH(AL2,B2:AG2,0)),"")</f>
        <v/>
      </c>
      <c r="AM5" s="306" t="str">
        <f ca="1">IFERROR(INDEX(B3:AG28,A5,MATCH(AM2,B2:AG2,0)),"")</f>
        <v/>
      </c>
      <c r="AN5" s="306" t="str">
        <f ca="1">IFERROR(INDEX(B3:AG28,A5,MATCH(AN2,B2:AG2,0)),"")</f>
        <v/>
      </c>
      <c r="AO5" s="306" t="str">
        <f ca="1">IFERROR(INDEX(B3:AG28,A5,MATCH(AO2,B2:AG2,0)),"")</f>
        <v/>
      </c>
      <c r="AP5" s="306" t="str">
        <f ca="1">IFERROR(INDEX(B3:AG28,A5,MATCH(AP2,B2:AG2,0)),"")</f>
        <v/>
      </c>
      <c r="AQ5" s="306" t="str">
        <f ca="1">IFERROR(INDEX(B3:AG28,A5,MATCH(AQ2,B2:AG2,0)),"")</f>
        <v/>
      </c>
      <c r="AR5" s="306" t="str">
        <f ca="1">IFERROR(INDEX(B3:AG28,A5,MATCH(AR2,B2:AG2,0)),"")</f>
        <v/>
      </c>
      <c r="AS5" s="306" t="str">
        <f ca="1">IFERROR(INDEX(B3:AG28,A5,MATCH(AS2,B2:AG2,0)),"")</f>
        <v/>
      </c>
      <c r="AT5" s="306" t="str">
        <f ca="1">IFERROR(INDEX(B3:AG28,A5,MATCH(AT2,B2:AG2,0)),"")</f>
        <v/>
      </c>
      <c r="AU5" s="306" t="str">
        <f ca="1">IFERROR(INDEX(B3:AG28,A5,MATCH(AU2,B2:AG2,0)),"")</f>
        <v/>
      </c>
      <c r="AV5" s="306" t="str">
        <f ca="1">IFERROR(INDEX(B3:AG28,A5,MATCH(AV2,B2:AG2,0)),"")</f>
        <v/>
      </c>
      <c r="AW5" s="306" t="str">
        <f ca="1">IFERROR(INDEX(B3:AG28,A5,MATCH(AW2,B2:AG2,0)),"")</f>
        <v/>
      </c>
      <c r="AX5" s="306" t="str">
        <f ca="1">IFERROR(INDEX(B3:AG28,A5,MATCH(AX2,B2:AG2,0)),"")</f>
        <v/>
      </c>
      <c r="AZ5" s="306" t="str">
        <f ca="1">IFERROR(INDEX(B3:AG28,A5,MATCH(AZ2,B2:AG2,0)),"")</f>
        <v/>
      </c>
      <c r="BA5" s="306" t="str">
        <f ca="1">IFERROR(INDEX(B3:AG28,A5,MATCH(BA2,B2:AG2,0)),"")</f>
        <v/>
      </c>
      <c r="BB5" s="306" t="str">
        <f ca="1">IFERROR(INDEX(B3:AG28,A5,MATCH(BB2,B2:AG2,0)),"")</f>
        <v/>
      </c>
      <c r="BC5" s="306" t="str">
        <f ca="1">IFERROR(INDEX(B3:AG28,A5,MATCH(BC2,B2:AG2,0)),"")</f>
        <v/>
      </c>
      <c r="BD5" s="306" t="str">
        <f ca="1">IFERROR(INDEX(B3:AG28,A5,MATCH(BD2,B2:AG2,0)),"")</f>
        <v/>
      </c>
      <c r="BE5" s="306" t="str">
        <f ca="1">IFERROR(INDEX(B3:AG28,A5,MATCH(BE2,B2:AG2,0)),"")</f>
        <v/>
      </c>
      <c r="BF5" s="306" t="str">
        <f ca="1">IFERROR(INDEX(B3:AG28,A5,MATCH(BF2,B2:AG2,0)),"")</f>
        <v/>
      </c>
      <c r="BG5" s="306" t="str">
        <f ca="1">IFERROR(INDEX(B3:AG28,A5,MATCH(BG2,B2:AG2,0)),"")</f>
        <v/>
      </c>
      <c r="BI5" s="306" t="str">
        <f ca="1">IFERROR(INDEX(B3:AG28,A5,MATCH(BI2,B2:AG2,0)),"")</f>
        <v/>
      </c>
      <c r="BJ5" s="306" t="str">
        <f ca="1">IFERROR(INDEX(B3:AG28,A5,MATCH(BJ2,B2:AG2,0)),"")</f>
        <v/>
      </c>
      <c r="BK5" s="306" t="str">
        <f ca="1">IFERROR(INDEX(B3:AG28,A5,MATCH(BK2,B2:AG2,0)),"")</f>
        <v/>
      </c>
      <c r="BL5" s="306" t="str">
        <f ca="1">IFERROR(INDEX(B3:AG28,A5,MATCH(BL2,B2:AG2,0)),"")</f>
        <v/>
      </c>
      <c r="BN5" s="306" t="str">
        <f ca="1">IFERROR(INDEX(B3:AG28,A5,MATCH(BN2,B2:AG2,0)),"")</f>
        <v/>
      </c>
      <c r="BO5" s="306" t="str">
        <f ca="1">IFERROR(INDEX(B3:AG28,A5,MATCH(BO2,B2:AG2,0)),"")</f>
        <v/>
      </c>
      <c r="BQ5" s="306" t="str">
        <f ca="1">IFERROR(INDEX(B3:AG28,A5,MATCH(BQ2,B2:AG2,0)),"")</f>
        <v/>
      </c>
      <c r="BR5" s="306" t="str">
        <f ca="1">IFERROR(INDEX(B3:AG28,A5,MATCH(BR2,B2:AG2,0)),"")</f>
        <v/>
      </c>
      <c r="BT5" s="306" t="str">
        <f t="shared" ref="BT5:BT28" ca="1" si="3">BT4</f>
        <v>Senegal</v>
      </c>
      <c r="BW5" s="306" t="str">
        <f t="shared" si="1"/>
        <v>Bamba Dieng</v>
      </c>
      <c r="BX5" s="306">
        <f>COUNTIF('Group Stages'!J7:J102,BW5)</f>
        <v>0</v>
      </c>
      <c r="BY5" s="306">
        <f>COUNTIF('Group Stages'!K7:K102,BW5)</f>
        <v>0</v>
      </c>
      <c r="BZ5" s="306">
        <f>COUNTIF('Group Stages'!L7:L102,BW5)</f>
        <v>0</v>
      </c>
      <c r="CA5" s="306">
        <f>COUNTIF('Group Stages'!M7:M102,BW5)</f>
        <v>0</v>
      </c>
      <c r="CB5" s="306">
        <f>COUNTIF('Group Stages'!N7:N102,BW5)</f>
        <v>0</v>
      </c>
      <c r="CC5" s="306">
        <f>COUNTIF('Group Stages'!O7:O102,BW5)</f>
        <v>0</v>
      </c>
      <c r="CD5" s="306">
        <f>COUNTIF('Group Stages'!P7:P102,BW5)</f>
        <v>0</v>
      </c>
      <c r="CE5" s="306">
        <f>COUNTIF('Group Stages'!Q7:Q102,BW5)</f>
        <v>0</v>
      </c>
      <c r="CF5" s="306">
        <f>COUNTIF('Knock Out Stages'!K7:K50,BW5)</f>
        <v>0</v>
      </c>
      <c r="CG5" s="306">
        <f>COUNTIF('Knock Out Stages'!L7:L50,BW5)</f>
        <v>0</v>
      </c>
      <c r="CH5" s="306">
        <f>COUNTIF('Knock Out Stages'!M7:M50,BW5)</f>
        <v>0</v>
      </c>
      <c r="CI5" s="306">
        <f>COUNTIF('Knock Out Stages'!N7:N50,BW5)</f>
        <v>0</v>
      </c>
      <c r="CJ5" s="306">
        <f>COUNTIF('Knock Out Stages'!O7:O50,BW5)</f>
        <v>0</v>
      </c>
      <c r="CK5" s="306">
        <f>COUNTIF('Knock Out Stages'!P7:P50,BW5)</f>
        <v>0</v>
      </c>
      <c r="CL5" s="306">
        <f>COUNTIF('Knock Out Stages'!Q7:Q50,BW5)</f>
        <v>0</v>
      </c>
      <c r="CM5" s="306">
        <f>COUNTIF('Knock Out Stages'!R7:R50,BW5)</f>
        <v>0</v>
      </c>
      <c r="CN5" s="306">
        <f>IF(RIGHT('Group Stages'!$B$105,5)="T.com",SUM(BX5:CM5),0)</f>
        <v>0</v>
      </c>
      <c r="CO5" s="306">
        <f ca="1">RANK(CN5,CN3:CN834)+COUNTIF(CN3:CN5,CN5)-1</f>
        <v>3</v>
      </c>
      <c r="CP5" s="306" t="str">
        <f t="shared" ca="1" si="2"/>
        <v>Bamba Dieng (Senegal)</v>
      </c>
    </row>
    <row r="6" spans="1:94" x14ac:dyDescent="0.3">
      <c r="A6" s="306">
        <v>4</v>
      </c>
      <c r="B6" s="306" t="str">
        <f>'Player Database'!C9</f>
        <v>Boulaye Dia</v>
      </c>
      <c r="C6" s="306" t="str">
        <f>'Player Database'!D9</f>
        <v>Davy Klaassen</v>
      </c>
      <c r="D6" s="306" t="str">
        <f>'Player Database'!E9</f>
        <v>Akram Afif</v>
      </c>
      <c r="E6" s="306" t="str">
        <f>'Player Database'!F9</f>
        <v>Ángelo Preciado</v>
      </c>
      <c r="F6" s="306" t="str">
        <f>'Player Database'!G9</f>
        <v>Callum Wilson</v>
      </c>
      <c r="G6" s="306" t="str">
        <f>'Player Database'!H9</f>
        <v>Ali Karimi</v>
      </c>
      <c r="H6" s="306" t="str">
        <f>'Player Database'!I9</f>
        <v>Cameron Carter-Vickers</v>
      </c>
      <c r="I6" s="306" t="str">
        <f>'Player Database'!J9</f>
        <v>Ben Davies</v>
      </c>
      <c r="J6" s="306" t="str">
        <f>'Player Database'!K9</f>
        <v>Cristian Romero</v>
      </c>
      <c r="K6" s="306" t="str">
        <f>'Player Database'!L9</f>
        <v>Abdullah Otayf</v>
      </c>
      <c r="L6" s="306" t="str">
        <f>'Player Database'!M9</f>
        <v>Carlos Rodríguez</v>
      </c>
      <c r="M6" s="306" t="str">
        <f>'Player Database'!N9</f>
        <v>Bartosz Bereszyński</v>
      </c>
      <c r="N6" s="306" t="str">
        <f>'Player Database'!O9</f>
        <v>Andreas Skov Olsen</v>
      </c>
      <c r="O6" s="306" t="str">
        <f>'Player Database'!P9</f>
        <v>Anis Ben Slimane</v>
      </c>
      <c r="P6" s="306" t="str">
        <f>'Player Database'!Q9</f>
        <v>Aurélien Tchouaméni</v>
      </c>
      <c r="Q6" s="306" t="str">
        <f>'Player Database'!R9</f>
        <v>Awer Mabil</v>
      </c>
      <c r="R6" s="306" t="str">
        <f>'Player Database'!S9</f>
        <v>David Raum</v>
      </c>
      <c r="S6" s="306" t="str">
        <f>'Player Database'!T9</f>
        <v>Daizen Maeda</v>
      </c>
      <c r="T6" s="306" t="str">
        <f>'Player Database'!U9</f>
        <v>Carlos Soler</v>
      </c>
      <c r="U6" s="306" t="str">
        <f>'Player Database'!V9</f>
        <v>Brandon Aguilera</v>
      </c>
      <c r="V6" s="306" t="str">
        <f>'Player Database'!W9</f>
        <v>Achraf Dari</v>
      </c>
      <c r="W6" s="306" t="str">
        <f>'Player Database'!X9</f>
        <v>Borna Sosa</v>
      </c>
      <c r="X6" s="306" t="str">
        <f>'Player Database'!Y9</f>
        <v>Charles De Ketelaere</v>
      </c>
      <c r="Y6" s="306" t="str">
        <f>'Player Database'!Z9</f>
        <v>Cyle Larin</v>
      </c>
      <c r="Z6" s="306" t="str">
        <f>'Player Database'!AA9</f>
        <v>Antony</v>
      </c>
      <c r="AA6" s="306" t="str">
        <f>'Player Database'!AB9</f>
        <v>Dušan Tadić</v>
      </c>
      <c r="AB6" s="306" t="str">
        <f>'Player Database'!AC9</f>
        <v>Denis Zakaria</v>
      </c>
      <c r="AC6" s="306" t="str">
        <f>'Player Database'!AD9</f>
        <v>Christian Bassogog</v>
      </c>
      <c r="AD6" s="306" t="str">
        <f>'Player Database'!AE9</f>
        <v>Bruno Fernandes</v>
      </c>
      <c r="AE6" s="306" t="str">
        <f>'Player Database'!AF9</f>
        <v>Alidu Seidu</v>
      </c>
      <c r="AF6" s="306" t="str">
        <f>'Player Database'!AG9</f>
        <v>Edinson Cavani</v>
      </c>
      <c r="AG6" s="306" t="str">
        <f>'Player Database'!AH9</f>
        <v>Hwang Hee-chan</v>
      </c>
      <c r="AI6" s="306" t="str">
        <f ca="1">IFERROR(INDEX(B3:AG28,A6,MATCH(AI2,B2:AG2,0)),"")</f>
        <v/>
      </c>
      <c r="AJ6" s="306" t="str">
        <f ca="1">IFERROR(INDEX(B3:AG28,A6,MATCH(AJ2,B2:AG2,0)),"")</f>
        <v/>
      </c>
      <c r="AK6" s="306" t="str">
        <f ca="1">IFERROR(INDEX(B3:AG28,A6,MATCH(AK2,B2:AG2,0)),"")</f>
        <v/>
      </c>
      <c r="AL6" s="306" t="str">
        <f ca="1">IFERROR(INDEX(B3:AG28,A6,MATCH(AL2,B2:AG2,0)),"")</f>
        <v/>
      </c>
      <c r="AM6" s="306" t="str">
        <f ca="1">IFERROR(INDEX(B3:AG28,A6,MATCH(AM2,B2:AG2,0)),"")</f>
        <v/>
      </c>
      <c r="AN6" s="306" t="str">
        <f ca="1">IFERROR(INDEX(B3:AG28,A6,MATCH(AN2,B2:AG2,0)),"")</f>
        <v/>
      </c>
      <c r="AO6" s="306" t="str">
        <f ca="1">IFERROR(INDEX(B3:AG28,A6,MATCH(AO2,B2:AG2,0)),"")</f>
        <v/>
      </c>
      <c r="AP6" s="306" t="str">
        <f ca="1">IFERROR(INDEX(B3:AG28,A6,MATCH(AP2,B2:AG2,0)),"")</f>
        <v/>
      </c>
      <c r="AQ6" s="306" t="str">
        <f ca="1">IFERROR(INDEX(B3:AG28,A6,MATCH(AQ2,B2:AG2,0)),"")</f>
        <v/>
      </c>
      <c r="AR6" s="306" t="str">
        <f ca="1">IFERROR(INDEX(B3:AG28,A6,MATCH(AR2,B2:AG2,0)),"")</f>
        <v/>
      </c>
      <c r="AS6" s="306" t="str">
        <f ca="1">IFERROR(INDEX(B3:AG28,A6,MATCH(AS2,B2:AG2,0)),"")</f>
        <v/>
      </c>
      <c r="AT6" s="306" t="str">
        <f ca="1">IFERROR(INDEX(B3:AG28,A6,MATCH(AT2,B2:AG2,0)),"")</f>
        <v/>
      </c>
      <c r="AU6" s="306" t="str">
        <f ca="1">IFERROR(INDEX(B3:AG28,A6,MATCH(AU2,B2:AG2,0)),"")</f>
        <v/>
      </c>
      <c r="AV6" s="306" t="str">
        <f ca="1">IFERROR(INDEX(B3:AG28,A6,MATCH(AV2,B2:AG2,0)),"")</f>
        <v/>
      </c>
      <c r="AW6" s="306" t="str">
        <f ca="1">IFERROR(INDEX(B3:AG28,A6,MATCH(AW2,B2:AG2,0)),"")</f>
        <v/>
      </c>
      <c r="AX6" s="306" t="str">
        <f ca="1">IFERROR(INDEX(B3:AG28,A6,MATCH(AX2,B2:AG2,0)),"")</f>
        <v/>
      </c>
      <c r="AZ6" s="306" t="str">
        <f ca="1">IFERROR(INDEX(B3:AG28,A6,MATCH(AZ2,B2:AG2,0)),"")</f>
        <v/>
      </c>
      <c r="BA6" s="306" t="str">
        <f ca="1">IFERROR(INDEX(B3:AG28,A6,MATCH(BA2,B2:AG2,0)),"")</f>
        <v/>
      </c>
      <c r="BB6" s="306" t="str">
        <f ca="1">IFERROR(INDEX(B3:AG28,A6,MATCH(BB2,B2:AG2,0)),"")</f>
        <v/>
      </c>
      <c r="BC6" s="306" t="str">
        <f ca="1">IFERROR(INDEX(B3:AG28,A6,MATCH(BC2,B2:AG2,0)),"")</f>
        <v/>
      </c>
      <c r="BD6" s="306" t="str">
        <f ca="1">IFERROR(INDEX(B3:AG28,A6,MATCH(BD2,B2:AG2,0)),"")</f>
        <v/>
      </c>
      <c r="BE6" s="306" t="str">
        <f ca="1">IFERROR(INDEX(B3:AG28,A6,MATCH(BE2,B2:AG2,0)),"")</f>
        <v/>
      </c>
      <c r="BF6" s="306" t="str">
        <f ca="1">IFERROR(INDEX(B3:AG28,A6,MATCH(BF2,B2:AG2,0)),"")</f>
        <v/>
      </c>
      <c r="BG6" s="306" t="str">
        <f ca="1">IFERROR(INDEX(B3:AG28,A6,MATCH(BG2,B2:AG2,0)),"")</f>
        <v/>
      </c>
      <c r="BI6" s="306" t="str">
        <f ca="1">IFERROR(INDEX(B3:AG28,A6,MATCH(BI2,B2:AG2,0)),"")</f>
        <v/>
      </c>
      <c r="BJ6" s="306" t="str">
        <f ca="1">IFERROR(INDEX(B3:AG28,A6,MATCH(BJ2,B2:AG2,0)),"")</f>
        <v/>
      </c>
      <c r="BK6" s="306" t="str">
        <f ca="1">IFERROR(INDEX(B3:AG28,A6,MATCH(BK2,B2:AG2,0)),"")</f>
        <v/>
      </c>
      <c r="BL6" s="306" t="str">
        <f ca="1">IFERROR(INDEX(B3:AG28,A6,MATCH(BL2,B2:AG2,0)),"")</f>
        <v/>
      </c>
      <c r="BN6" s="306" t="str">
        <f ca="1">IFERROR(INDEX(B3:AG28,A6,MATCH(BN2,B2:AG2,0)),"")</f>
        <v/>
      </c>
      <c r="BO6" s="306" t="str">
        <f ca="1">IFERROR(INDEX(B3:AG28,A6,MATCH(BO2,B2:AG2,0)),"")</f>
        <v/>
      </c>
      <c r="BQ6" s="306" t="str">
        <f ca="1">IFERROR(INDEX(B3:AG28,A6,MATCH(BQ2,B2:AG2,0)),"")</f>
        <v/>
      </c>
      <c r="BR6" s="306" t="str">
        <f ca="1">IFERROR(INDEX(B3:AG28,A6,MATCH(BR2,B2:AG2,0)),"")</f>
        <v/>
      </c>
      <c r="BT6" s="306" t="str">
        <f t="shared" ca="1" si="3"/>
        <v>Senegal</v>
      </c>
      <c r="BW6" s="306" t="str">
        <f t="shared" si="1"/>
        <v>Boulaye Dia</v>
      </c>
      <c r="BX6" s="306">
        <f>COUNTIF('Group Stages'!J7:J102,BW6)</f>
        <v>0</v>
      </c>
      <c r="BY6" s="306">
        <f>COUNTIF('Group Stages'!K7:K102,BW6)</f>
        <v>0</v>
      </c>
      <c r="BZ6" s="306">
        <f>COUNTIF('Group Stages'!L7:L102,BW6)</f>
        <v>0</v>
      </c>
      <c r="CA6" s="306">
        <f>COUNTIF('Group Stages'!M7:M102,BW6)</f>
        <v>0</v>
      </c>
      <c r="CB6" s="306">
        <f>COUNTIF('Group Stages'!N7:N102,BW6)</f>
        <v>0</v>
      </c>
      <c r="CC6" s="306">
        <f>COUNTIF('Group Stages'!O7:O102,BW6)</f>
        <v>0</v>
      </c>
      <c r="CD6" s="306">
        <f>COUNTIF('Group Stages'!P7:P102,BW6)</f>
        <v>0</v>
      </c>
      <c r="CE6" s="306">
        <f>COUNTIF('Group Stages'!Q7:Q102,BW6)</f>
        <v>0</v>
      </c>
      <c r="CF6" s="306">
        <f>COUNTIF('Knock Out Stages'!K7:K50,BW6)</f>
        <v>0</v>
      </c>
      <c r="CG6" s="306">
        <f>COUNTIF('Knock Out Stages'!L7:L50,BW6)</f>
        <v>0</v>
      </c>
      <c r="CH6" s="306">
        <f>COUNTIF('Knock Out Stages'!M7:M50,BW6)</f>
        <v>0</v>
      </c>
      <c r="CI6" s="306">
        <f>COUNTIF('Knock Out Stages'!N7:N50,BW6)</f>
        <v>0</v>
      </c>
      <c r="CJ6" s="306">
        <f>COUNTIF('Knock Out Stages'!O7:O50,BW6)</f>
        <v>0</v>
      </c>
      <c r="CK6" s="306">
        <f>COUNTIF('Knock Out Stages'!P7:P50,BW6)</f>
        <v>0</v>
      </c>
      <c r="CL6" s="306">
        <f>COUNTIF('Knock Out Stages'!Q7:Q50,BW6)</f>
        <v>0</v>
      </c>
      <c r="CM6" s="306">
        <f>COUNTIF('Knock Out Stages'!R7:R50,BW6)</f>
        <v>0</v>
      </c>
      <c r="CN6" s="306">
        <f>IF(RIGHT('Group Stages'!$B$105,5)="T.com",SUM(BX6:CM6),0)</f>
        <v>0</v>
      </c>
      <c r="CO6" s="306">
        <f ca="1">RANK(CN6,CN3:CN834)+COUNTIF(CN3:CN6,CN6)-1</f>
        <v>4</v>
      </c>
      <c r="CP6" s="306" t="str">
        <f t="shared" ca="1" si="2"/>
        <v>Boulaye Dia (Senegal)</v>
      </c>
    </row>
    <row r="7" spans="1:94" x14ac:dyDescent="0.3">
      <c r="A7" s="306">
        <v>5</v>
      </c>
      <c r="B7" s="306" t="str">
        <f>'Player Database'!C10</f>
        <v>Cheikhou Kouyaté</v>
      </c>
      <c r="C7" s="306" t="str">
        <f>'Player Database'!D10</f>
        <v>Denzel Dumfries</v>
      </c>
      <c r="D7" s="306" t="str">
        <f>'Player Database'!E10</f>
        <v>Ali Assadalla</v>
      </c>
      <c r="E7" s="306" t="str">
        <f>'Player Database'!F10</f>
        <v>Ayrton Preciado</v>
      </c>
      <c r="F7" s="306" t="str">
        <f>'Player Database'!G10</f>
        <v>Conor Coady</v>
      </c>
      <c r="G7" s="306" t="str">
        <f>'Player Database'!H10</f>
        <v>Alireza Beiranvand</v>
      </c>
      <c r="H7" s="306" t="str">
        <f>'Player Database'!I10</f>
        <v>Christian Pulisic</v>
      </c>
      <c r="I7" s="306" t="str">
        <f>'Player Database'!J10</f>
        <v>Brennan Johnson</v>
      </c>
      <c r="J7" s="306" t="str">
        <f>'Player Database'!K10</f>
        <v>Emiliano Martínez</v>
      </c>
      <c r="K7" s="306" t="str">
        <f>'Player Database'!L10</f>
        <v>Abdulrahman Al-Aboud</v>
      </c>
      <c r="L7" s="306" t="str">
        <f>'Player Database'!M10</f>
        <v>César Montes</v>
      </c>
      <c r="M7" s="306" t="str">
        <f>'Player Database'!N10</f>
        <v>Damian Szymański</v>
      </c>
      <c r="N7" s="306" t="str">
        <f>'Player Database'!O10</f>
        <v>Christian Eriksen</v>
      </c>
      <c r="O7" s="306" t="str">
        <f>'Player Database'!P10</f>
        <v>Aymen Dahmen</v>
      </c>
      <c r="P7" s="306" t="str">
        <f>'Player Database'!Q10</f>
        <v>Benjamin Pavard</v>
      </c>
      <c r="Q7" s="306" t="str">
        <f>'Player Database'!R10</f>
        <v>Aziz Behich</v>
      </c>
      <c r="R7" s="306" t="str">
        <f>'Player Database'!S10</f>
        <v>İlkay Gündoğan</v>
      </c>
      <c r="S7" s="306" t="str">
        <f>'Player Database'!T10</f>
        <v>Daniel Schmidt</v>
      </c>
      <c r="T7" s="306" t="str">
        <f>'Player Database'!U10</f>
        <v>César Azpilicueta</v>
      </c>
      <c r="U7" s="306" t="str">
        <f>'Player Database'!V10</f>
        <v>Bryan Oviedo</v>
      </c>
      <c r="V7" s="306" t="str">
        <f>'Player Database'!W10</f>
        <v>Achraf Hakimi</v>
      </c>
      <c r="W7" s="306" t="str">
        <f>'Player Database'!X10</f>
        <v>Bruno Petković</v>
      </c>
      <c r="X7" s="306" t="str">
        <f>'Player Database'!Y10</f>
        <v>Dries Mertens</v>
      </c>
      <c r="Y7" s="306" t="str">
        <f>'Player Database'!Z10</f>
        <v>David Wotherspoon</v>
      </c>
      <c r="Z7" s="306" t="str">
        <f>'Player Database'!AA10</f>
        <v>Bremer</v>
      </c>
      <c r="AA7" s="306" t="str">
        <f>'Player Database'!AB10</f>
        <v>Dušan Vlahović</v>
      </c>
      <c r="AB7" s="306" t="str">
        <f>'Player Database'!AC10</f>
        <v>Djibril Sow</v>
      </c>
      <c r="AC7" s="306" t="str">
        <f>'Player Database'!AD10</f>
        <v>Christopher Wooh</v>
      </c>
      <c r="AD7" s="306" t="str">
        <f>'Player Database'!AE10</f>
        <v>Cristiano Ronaldo</v>
      </c>
      <c r="AE7" s="306" t="str">
        <f>'Player Database'!AF10</f>
        <v>André Ayew</v>
      </c>
      <c r="AF7" s="306" t="str">
        <f>'Player Database'!AG10</f>
        <v>Facundo Pellistri</v>
      </c>
      <c r="AG7" s="306" t="str">
        <f>'Player Database'!AH10</f>
        <v>Hwang In-beom</v>
      </c>
      <c r="AI7" s="306" t="str">
        <f ca="1">IFERROR(INDEX(B3:AG28,A7,MATCH(AI2,B2:AG2,0)),"")</f>
        <v/>
      </c>
      <c r="AJ7" s="306" t="str">
        <f ca="1">IFERROR(INDEX(B3:AG28,A7,MATCH(AJ2,B2:AG2,0)),"")</f>
        <v/>
      </c>
      <c r="AK7" s="306" t="str">
        <f ca="1">IFERROR(INDEX(B3:AG28,A7,MATCH(AK2,B2:AG2,0)),"")</f>
        <v/>
      </c>
      <c r="AL7" s="306" t="str">
        <f ca="1">IFERROR(INDEX(B3:AG28,A7,MATCH(AL2,B2:AG2,0)),"")</f>
        <v/>
      </c>
      <c r="AM7" s="306" t="str">
        <f ca="1">IFERROR(INDEX(B3:AG28,A7,MATCH(AM2,B2:AG2,0)),"")</f>
        <v/>
      </c>
      <c r="AN7" s="306" t="str">
        <f ca="1">IFERROR(INDEX(B3:AG28,A7,MATCH(AN2,B2:AG2,0)),"")</f>
        <v/>
      </c>
      <c r="AO7" s="306" t="str">
        <f ca="1">IFERROR(INDEX(B3:AG28,A7,MATCH(AO2,B2:AG2,0)),"")</f>
        <v/>
      </c>
      <c r="AP7" s="306" t="str">
        <f ca="1">IFERROR(INDEX(B3:AG28,A7,MATCH(AP2,B2:AG2,0)),"")</f>
        <v/>
      </c>
      <c r="AQ7" s="306" t="str">
        <f ca="1">IFERROR(INDEX(B3:AG28,A7,MATCH(AQ2,B2:AG2,0)),"")</f>
        <v/>
      </c>
      <c r="AR7" s="306" t="str">
        <f ca="1">IFERROR(INDEX(B3:AG28,A7,MATCH(AR2,B2:AG2,0)),"")</f>
        <v/>
      </c>
      <c r="AS7" s="306" t="str">
        <f ca="1">IFERROR(INDEX(B3:AG28,A7,MATCH(AS2,B2:AG2,0)),"")</f>
        <v/>
      </c>
      <c r="AT7" s="306" t="str">
        <f ca="1">IFERROR(INDEX(B3:AG28,A7,MATCH(AT2,B2:AG2,0)),"")</f>
        <v/>
      </c>
      <c r="AU7" s="306" t="str">
        <f ca="1">IFERROR(INDEX(B3:AG28,A7,MATCH(AU2,B2:AG2,0)),"")</f>
        <v/>
      </c>
      <c r="AV7" s="306" t="str">
        <f ca="1">IFERROR(INDEX(B3:AG28,A7,MATCH(AV2,B2:AG2,0)),"")</f>
        <v/>
      </c>
      <c r="AW7" s="306" t="str">
        <f ca="1">IFERROR(INDEX(B3:AG28,A7,MATCH(AW2,B2:AG2,0)),"")</f>
        <v/>
      </c>
      <c r="AX7" s="306" t="str">
        <f ca="1">IFERROR(INDEX(B3:AG28,A7,MATCH(AX2,B2:AG2,0)),"")</f>
        <v/>
      </c>
      <c r="AZ7" s="306" t="str">
        <f ca="1">IFERROR(INDEX(B3:AG28,A7,MATCH(AZ2,B2:AG2,0)),"")</f>
        <v/>
      </c>
      <c r="BA7" s="306" t="str">
        <f ca="1">IFERROR(INDEX(B3:AG28,A7,MATCH(BA2,B2:AG2,0)),"")</f>
        <v/>
      </c>
      <c r="BB7" s="306" t="str">
        <f ca="1">IFERROR(INDEX(B3:AG28,A7,MATCH(BB2,B2:AG2,0)),"")</f>
        <v/>
      </c>
      <c r="BC7" s="306" t="str">
        <f ca="1">IFERROR(INDEX(B3:AG28,A7,MATCH(BC2,B2:AG2,0)),"")</f>
        <v/>
      </c>
      <c r="BD7" s="306" t="str">
        <f ca="1">IFERROR(INDEX(B3:AG28,A7,MATCH(BD2,B2:AG2,0)),"")</f>
        <v/>
      </c>
      <c r="BE7" s="306" t="str">
        <f ca="1">IFERROR(INDEX(B3:AG28,A7,MATCH(BE2,B2:AG2,0)),"")</f>
        <v/>
      </c>
      <c r="BF7" s="306" t="str">
        <f ca="1">IFERROR(INDEX(B3:AG28,A7,MATCH(BF2,B2:AG2,0)),"")</f>
        <v/>
      </c>
      <c r="BG7" s="306" t="str">
        <f ca="1">IFERROR(INDEX(B3:AG28,A7,MATCH(BG2,B2:AG2,0)),"")</f>
        <v/>
      </c>
      <c r="BI7" s="306" t="str">
        <f ca="1">IFERROR(INDEX(B3:AG28,A7,MATCH(BI2,B2:AG2,0)),"")</f>
        <v/>
      </c>
      <c r="BJ7" s="306" t="str">
        <f ca="1">IFERROR(INDEX(B3:AG28,A7,MATCH(BJ2,B2:AG2,0)),"")</f>
        <v/>
      </c>
      <c r="BK7" s="306" t="str">
        <f ca="1">IFERROR(INDEX(B3:AG28,A7,MATCH(BK2,B2:AG2,0)),"")</f>
        <v/>
      </c>
      <c r="BL7" s="306" t="str">
        <f ca="1">IFERROR(INDEX(B3:AG28,A7,MATCH(BL2,B2:AG2,0)),"")</f>
        <v/>
      </c>
      <c r="BN7" s="306" t="str">
        <f ca="1">IFERROR(INDEX(B3:AG28,A7,MATCH(BN2,B2:AG2,0)),"")</f>
        <v/>
      </c>
      <c r="BO7" s="306" t="str">
        <f ca="1">IFERROR(INDEX(B3:AG28,A7,MATCH(BO2,B2:AG2,0)),"")</f>
        <v/>
      </c>
      <c r="BQ7" s="306" t="str">
        <f ca="1">IFERROR(INDEX(B3:AG28,A7,MATCH(BQ2,B2:AG2,0)),"")</f>
        <v/>
      </c>
      <c r="BR7" s="306" t="str">
        <f ca="1">IFERROR(INDEX(B3:AG28,A7,MATCH(BR2,B2:AG2,0)),"")</f>
        <v/>
      </c>
      <c r="BT7" s="306" t="str">
        <f t="shared" ca="1" si="3"/>
        <v>Senegal</v>
      </c>
      <c r="BW7" s="306" t="str">
        <f t="shared" si="1"/>
        <v>Cheikhou Kouyaté</v>
      </c>
      <c r="BX7" s="306">
        <f>COUNTIF('Group Stages'!J7:J102,BW7)</f>
        <v>0</v>
      </c>
      <c r="BY7" s="306">
        <f>COUNTIF('Group Stages'!K7:K102,BW7)</f>
        <v>0</v>
      </c>
      <c r="BZ7" s="306">
        <f>COUNTIF('Group Stages'!L7:L102,BW7)</f>
        <v>0</v>
      </c>
      <c r="CA7" s="306">
        <f>COUNTIF('Group Stages'!M7:M102,BW7)</f>
        <v>0</v>
      </c>
      <c r="CB7" s="306">
        <f>COUNTIF('Group Stages'!N7:N102,BW7)</f>
        <v>0</v>
      </c>
      <c r="CC7" s="306">
        <f>COUNTIF('Group Stages'!O7:O102,BW7)</f>
        <v>0</v>
      </c>
      <c r="CD7" s="306">
        <f>COUNTIF('Group Stages'!P7:P102,BW7)</f>
        <v>0</v>
      </c>
      <c r="CE7" s="306">
        <f>COUNTIF('Group Stages'!Q7:Q102,BW7)</f>
        <v>0</v>
      </c>
      <c r="CF7" s="306">
        <f>COUNTIF('Knock Out Stages'!K7:K50,BW7)</f>
        <v>0</v>
      </c>
      <c r="CG7" s="306">
        <f>COUNTIF('Knock Out Stages'!L7:L50,BW7)</f>
        <v>0</v>
      </c>
      <c r="CH7" s="306">
        <f>COUNTIF('Knock Out Stages'!M7:M50,BW7)</f>
        <v>0</v>
      </c>
      <c r="CI7" s="306">
        <f>COUNTIF('Knock Out Stages'!N7:N50,BW7)</f>
        <v>0</v>
      </c>
      <c r="CJ7" s="306">
        <f>COUNTIF('Knock Out Stages'!O7:O50,BW7)</f>
        <v>0</v>
      </c>
      <c r="CK7" s="306">
        <f>COUNTIF('Knock Out Stages'!P7:P50,BW7)</f>
        <v>0</v>
      </c>
      <c r="CL7" s="306">
        <f>COUNTIF('Knock Out Stages'!Q7:Q50,BW7)</f>
        <v>0</v>
      </c>
      <c r="CM7" s="306">
        <f>COUNTIF('Knock Out Stages'!R7:R50,BW7)</f>
        <v>0</v>
      </c>
      <c r="CN7" s="306">
        <f>IF(RIGHT('Group Stages'!$B$105,5)="T.com",SUM(BX7:CM7),0)</f>
        <v>0</v>
      </c>
      <c r="CO7" s="306">
        <f ca="1">RANK(CN7,CN3:CN834)+COUNTIF(CN3:CN7,CN7)-1</f>
        <v>5</v>
      </c>
      <c r="CP7" s="306" t="str">
        <f t="shared" ca="1" si="2"/>
        <v>Cheikhou Kouyaté (Senegal)</v>
      </c>
    </row>
    <row r="8" spans="1:94" x14ac:dyDescent="0.3">
      <c r="A8" s="306">
        <v>6</v>
      </c>
      <c r="B8" s="306" t="str">
        <f>'Player Database'!C11</f>
        <v>Édouard Mendy</v>
      </c>
      <c r="C8" s="306" t="str">
        <f>'Player Database'!D11</f>
        <v>Frenkie de Jong</v>
      </c>
      <c r="D8" s="306" t="str">
        <f>'Player Database'!E11</f>
        <v>Almoez Ali</v>
      </c>
      <c r="E8" s="306" t="str">
        <f>'Player Database'!F11</f>
        <v>Carlos Gruezo</v>
      </c>
      <c r="F8" s="306" t="str">
        <f>'Player Database'!G11</f>
        <v>Conor Gallagher</v>
      </c>
      <c r="G8" s="306" t="str">
        <f>'Player Database'!H11</f>
        <v>Alireza Jahanbakhsh</v>
      </c>
      <c r="H8" s="306" t="str">
        <f>'Player Database'!I11</f>
        <v>Cristian Roldan</v>
      </c>
      <c r="I8" s="306" t="str">
        <f>'Player Database'!J11</f>
        <v>Chris Gunter</v>
      </c>
      <c r="J8" s="306" t="str">
        <f>'Player Database'!K11</f>
        <v>Enzo Fernández</v>
      </c>
      <c r="K8" s="306" t="str">
        <f>'Player Database'!L11</f>
        <v>Ali Al-Bulaihi</v>
      </c>
      <c r="L8" s="306" t="str">
        <f>'Player Database'!M11</f>
        <v>Edson Álvarez</v>
      </c>
      <c r="M8" s="306" t="str">
        <f>'Player Database'!N11</f>
        <v>Grzegorz Krychowiak</v>
      </c>
      <c r="N8" s="306" t="str">
        <f>'Player Database'!O11</f>
        <v>Christian Nørgaard</v>
      </c>
      <c r="O8" s="306" t="str">
        <f>'Player Database'!P11</f>
        <v>Aymen Mathlouthi</v>
      </c>
      <c r="P8" s="306" t="str">
        <f>'Player Database'!Q11</f>
        <v>Benoit Badiashile</v>
      </c>
      <c r="Q8" s="306" t="str">
        <f>'Player Database'!R11</f>
        <v>Bailey Wright</v>
      </c>
      <c r="R8" s="306" t="str">
        <f>'Player Database'!S11</f>
        <v>Jamal Musiala</v>
      </c>
      <c r="S8" s="306" t="str">
        <f>'Player Database'!T11</f>
        <v>Eiji Kawashima</v>
      </c>
      <c r="T8" s="306" t="str">
        <f>'Player Database'!U11</f>
        <v>Dani Carvajal</v>
      </c>
      <c r="U8" s="306" t="str">
        <f>'Player Database'!V11</f>
        <v>Bryan Ruiz</v>
      </c>
      <c r="V8" s="306" t="str">
        <f>'Player Database'!W11</f>
        <v>Ahmed Reda Tagnaouti</v>
      </c>
      <c r="W8" s="306" t="str">
        <f>'Player Database'!X11</f>
        <v>Dejan Lovren</v>
      </c>
      <c r="X8" s="306" t="str">
        <f>'Player Database'!Y11</f>
        <v>Eden Hazard</v>
      </c>
      <c r="Y8" s="306" t="str">
        <f>'Player Database'!Z11</f>
        <v>Dayne St. Clair</v>
      </c>
      <c r="Z8" s="306" t="str">
        <f>'Player Database'!AA11</f>
        <v>Bruno Guimarães</v>
      </c>
      <c r="AA8" s="306" t="str">
        <f>'Player Database'!AB11</f>
        <v>Filip Đuričić</v>
      </c>
      <c r="AB8" s="306" t="str">
        <f>'Player Database'!AC11</f>
        <v>Edimilson Fernandes</v>
      </c>
      <c r="AC8" s="306" t="str">
        <f>'Player Database'!AD11</f>
        <v>Collins Fai</v>
      </c>
      <c r="AD8" s="306" t="str">
        <f>'Player Database'!AE11</f>
        <v>Danilo Pereira</v>
      </c>
      <c r="AE8" s="306" t="str">
        <f>'Player Database'!AF11</f>
        <v>Antoine Semenyo</v>
      </c>
      <c r="AF8" s="306" t="str">
        <f>'Player Database'!AG11</f>
        <v>Facundo Torres</v>
      </c>
      <c r="AG8" s="306" t="str">
        <f>'Player Database'!AH11</f>
        <v>Hwang Ui-jo</v>
      </c>
      <c r="AI8" s="306" t="str">
        <f ca="1">IFERROR(INDEX(B3:AG28,A8,MATCH(AI2,B2:AG2,0)),"")</f>
        <v/>
      </c>
      <c r="AJ8" s="306" t="str">
        <f ca="1">IFERROR(INDEX(B3:AG28,A8,MATCH(AJ2,B2:AG2,0)),"")</f>
        <v/>
      </c>
      <c r="AK8" s="306" t="str">
        <f ca="1">IFERROR(INDEX(B3:AG28,A8,MATCH(AK2,B2:AG2,0)),"")</f>
        <v/>
      </c>
      <c r="AL8" s="306" t="str">
        <f ca="1">IFERROR(INDEX(B3:AG28,A8,MATCH(AL2,B2:AG2,0)),"")</f>
        <v/>
      </c>
      <c r="AM8" s="306" t="str">
        <f ca="1">IFERROR(INDEX(B3:AG28,A8,MATCH(AM2,B2:AG2,0)),"")</f>
        <v/>
      </c>
      <c r="AN8" s="306" t="str">
        <f ca="1">IFERROR(INDEX(B3:AG28,A8,MATCH(AN2,B2:AG2,0)),"")</f>
        <v/>
      </c>
      <c r="AO8" s="306" t="str">
        <f ca="1">IFERROR(INDEX(B3:AG28,A8,MATCH(AO2,B2:AG2,0)),"")</f>
        <v/>
      </c>
      <c r="AP8" s="306" t="str">
        <f ca="1">IFERROR(INDEX(B3:AG28,A8,MATCH(AP2,B2:AG2,0)),"")</f>
        <v/>
      </c>
      <c r="AQ8" s="306" t="str">
        <f ca="1">IFERROR(INDEX(B3:AG28,A8,MATCH(AQ2,B2:AG2,0)),"")</f>
        <v/>
      </c>
      <c r="AR8" s="306" t="str">
        <f ca="1">IFERROR(INDEX(B3:AG28,A8,MATCH(AR2,B2:AG2,0)),"")</f>
        <v/>
      </c>
      <c r="AS8" s="306" t="str">
        <f ca="1">IFERROR(INDEX(B3:AG28,A8,MATCH(AS2,B2:AG2,0)),"")</f>
        <v/>
      </c>
      <c r="AT8" s="306" t="str">
        <f ca="1">IFERROR(INDEX(B3:AG28,A8,MATCH(AT2,B2:AG2,0)),"")</f>
        <v/>
      </c>
      <c r="AU8" s="306" t="str">
        <f ca="1">IFERROR(INDEX(B3:AG28,A8,MATCH(AU2,B2:AG2,0)),"")</f>
        <v/>
      </c>
      <c r="AV8" s="306" t="str">
        <f ca="1">IFERROR(INDEX(B3:AG28,A8,MATCH(AV2,B2:AG2,0)),"")</f>
        <v/>
      </c>
      <c r="AW8" s="306" t="str">
        <f ca="1">IFERROR(INDEX(B3:AG28,A8,MATCH(AW2,B2:AG2,0)),"")</f>
        <v/>
      </c>
      <c r="AX8" s="306" t="str">
        <f ca="1">IFERROR(INDEX(B3:AG28,A8,MATCH(AX2,B2:AG2,0)),"")</f>
        <v/>
      </c>
      <c r="AZ8" s="306" t="str">
        <f ca="1">IFERROR(INDEX(B3:AG28,A8,MATCH(AZ2,B2:AG2,0)),"")</f>
        <v/>
      </c>
      <c r="BA8" s="306" t="str">
        <f ca="1">IFERROR(INDEX(B3:AG28,A8,MATCH(BA2,B2:AG2,0)),"")</f>
        <v/>
      </c>
      <c r="BB8" s="306" t="str">
        <f ca="1">IFERROR(INDEX(B3:AG28,A8,MATCH(BB2,B2:AG2,0)),"")</f>
        <v/>
      </c>
      <c r="BC8" s="306" t="str">
        <f ca="1">IFERROR(INDEX(B3:AG28,A8,MATCH(BC2,B2:AG2,0)),"")</f>
        <v/>
      </c>
      <c r="BD8" s="306" t="str">
        <f ca="1">IFERROR(INDEX(B3:AG28,A8,MATCH(BD2,B2:AG2,0)),"")</f>
        <v/>
      </c>
      <c r="BE8" s="306" t="str">
        <f ca="1">IFERROR(INDEX(B3:AG28,A8,MATCH(BE2,B2:AG2,0)),"")</f>
        <v/>
      </c>
      <c r="BF8" s="306" t="str">
        <f ca="1">IFERROR(INDEX(B3:AG28,A8,MATCH(BF2,B2:AG2,0)),"")</f>
        <v/>
      </c>
      <c r="BG8" s="306" t="str">
        <f ca="1">IFERROR(INDEX(B3:AG28,A8,MATCH(BG2,B2:AG2,0)),"")</f>
        <v/>
      </c>
      <c r="BI8" s="306" t="str">
        <f ca="1">IFERROR(INDEX(B3:AG28,A8,MATCH(BI2,B2:AG2,0)),"")</f>
        <v/>
      </c>
      <c r="BJ8" s="306" t="str">
        <f ca="1">IFERROR(INDEX(B3:AG28,A8,MATCH(BJ2,B2:AG2,0)),"")</f>
        <v/>
      </c>
      <c r="BK8" s="306" t="str">
        <f ca="1">IFERROR(INDEX(B3:AG28,A8,MATCH(BK2,B2:AG2,0)),"")</f>
        <v/>
      </c>
      <c r="BL8" s="306" t="str">
        <f ca="1">IFERROR(INDEX(B3:AG28,A8,MATCH(BL2,B2:AG2,0)),"")</f>
        <v/>
      </c>
      <c r="BN8" s="306" t="str">
        <f ca="1">IFERROR(INDEX(B3:AG28,A8,MATCH(BN2,B2:AG2,0)),"")</f>
        <v/>
      </c>
      <c r="BO8" s="306" t="str">
        <f ca="1">IFERROR(INDEX(B3:AG28,A8,MATCH(BO2,B2:AG2,0)),"")</f>
        <v/>
      </c>
      <c r="BQ8" s="306" t="str">
        <f ca="1">IFERROR(INDEX(B3:AG28,A8,MATCH(BQ2,B2:AG2,0)),"")</f>
        <v/>
      </c>
      <c r="BR8" s="306" t="str">
        <f ca="1">IFERROR(INDEX(B3:AG28,A8,MATCH(BR2,B2:AG2,0)),"")</f>
        <v/>
      </c>
      <c r="BT8" s="306" t="str">
        <f t="shared" ca="1" si="3"/>
        <v>Senegal</v>
      </c>
      <c r="BW8" s="306" t="str">
        <f t="shared" si="1"/>
        <v>Édouard Mendy</v>
      </c>
      <c r="BX8" s="306">
        <f>COUNTIF('Group Stages'!J7:J102,BW8)</f>
        <v>0</v>
      </c>
      <c r="BY8" s="306">
        <f>COUNTIF('Group Stages'!K7:K102,BW8)</f>
        <v>0</v>
      </c>
      <c r="BZ8" s="306">
        <f>COUNTIF('Group Stages'!L7:L102,BW8)</f>
        <v>0</v>
      </c>
      <c r="CA8" s="306">
        <f>COUNTIF('Group Stages'!M7:M102,BW8)</f>
        <v>0</v>
      </c>
      <c r="CB8" s="306">
        <f>COUNTIF('Group Stages'!N7:N102,BW8)</f>
        <v>0</v>
      </c>
      <c r="CC8" s="306">
        <f>COUNTIF('Group Stages'!O7:O102,BW8)</f>
        <v>0</v>
      </c>
      <c r="CD8" s="306">
        <f>COUNTIF('Group Stages'!P7:P102,BW8)</f>
        <v>0</v>
      </c>
      <c r="CE8" s="306">
        <f>COUNTIF('Group Stages'!Q7:Q102,BW8)</f>
        <v>0</v>
      </c>
      <c r="CF8" s="306">
        <f>COUNTIF('Knock Out Stages'!K7:K50,BW8)</f>
        <v>0</v>
      </c>
      <c r="CG8" s="306">
        <f>COUNTIF('Knock Out Stages'!L7:L50,BW8)</f>
        <v>0</v>
      </c>
      <c r="CH8" s="306">
        <f>COUNTIF('Knock Out Stages'!M7:M50,BW8)</f>
        <v>0</v>
      </c>
      <c r="CI8" s="306">
        <f>COUNTIF('Knock Out Stages'!N7:N50,BW8)</f>
        <v>0</v>
      </c>
      <c r="CJ8" s="306">
        <f>COUNTIF('Knock Out Stages'!O7:O50,BW8)</f>
        <v>0</v>
      </c>
      <c r="CK8" s="306">
        <f>COUNTIF('Knock Out Stages'!P7:P50,BW8)</f>
        <v>0</v>
      </c>
      <c r="CL8" s="306">
        <f>COUNTIF('Knock Out Stages'!Q7:Q50,BW8)</f>
        <v>0</v>
      </c>
      <c r="CM8" s="306">
        <f>COUNTIF('Knock Out Stages'!R7:R50,BW8)</f>
        <v>0</v>
      </c>
      <c r="CN8" s="306">
        <f>IF(RIGHT('Group Stages'!$B$105,5)="T.com",SUM(BX8:CM8),0)</f>
        <v>0</v>
      </c>
      <c r="CO8" s="306">
        <f ca="1">RANK(CN8,CN3:CN834)+COUNTIF(CN3:CN8,CN8)-1</f>
        <v>6</v>
      </c>
      <c r="CP8" s="306" t="str">
        <f t="shared" ca="1" si="2"/>
        <v>Édouard Mendy (Senegal)</v>
      </c>
    </row>
    <row r="9" spans="1:94" x14ac:dyDescent="0.3">
      <c r="A9" s="306">
        <v>7</v>
      </c>
      <c r="B9" s="306" t="str">
        <f>'Player Database'!C12</f>
        <v>Famara Diédhiou</v>
      </c>
      <c r="C9" s="306" t="str">
        <f>'Player Database'!D12</f>
        <v>Jeremie Frimpong</v>
      </c>
      <c r="D9" s="306" t="str">
        <f>'Player Database'!E12</f>
        <v>Assim Madibo</v>
      </c>
      <c r="E9" s="306" t="str">
        <f>'Player Database'!F12</f>
        <v>Diego Palacios</v>
      </c>
      <c r="F9" s="306" t="str">
        <f>'Player Database'!G12</f>
        <v>Declan Rice</v>
      </c>
      <c r="G9" s="306" t="str">
        <f>'Player Database'!H12</f>
        <v>Amir Abedzadeh</v>
      </c>
      <c r="H9" s="306" t="str">
        <f>'Player Database'!I12</f>
        <v>DeAndre Yedlin</v>
      </c>
      <c r="I9" s="306" t="str">
        <f>'Player Database'!J12</f>
        <v>Chris Mepham</v>
      </c>
      <c r="J9" s="306" t="str">
        <f>'Player Database'!K12</f>
        <v>Exequiel Palacios</v>
      </c>
      <c r="K9" s="306" t="str">
        <f>'Player Database'!L12</f>
        <v>Ali Al-Hassan</v>
      </c>
      <c r="L9" s="306" t="str">
        <f>'Player Database'!M12</f>
        <v>Érick Gutiérrez</v>
      </c>
      <c r="M9" s="306" t="str">
        <f>'Player Database'!N12</f>
        <v>Jakub Kamiński</v>
      </c>
      <c r="N9" s="306" t="str">
        <f>'Player Database'!O12</f>
        <v>Daniel Wass</v>
      </c>
      <c r="O9" s="306" t="str">
        <f>'Player Database'!P12</f>
        <v>Bechir Ben Saïd</v>
      </c>
      <c r="P9" s="306" t="str">
        <f>'Player Database'!Q12</f>
        <v>Christopher Nkunku</v>
      </c>
      <c r="Q9" s="306" t="str">
        <f>'Player Database'!R12</f>
        <v>Cameron Devlin</v>
      </c>
      <c r="R9" s="306" t="str">
        <f>'Player Database'!S12</f>
        <v>Jonas Hofmann</v>
      </c>
      <c r="S9" s="306" t="str">
        <f>'Player Database'!T12</f>
        <v>Gaku Shibasaki</v>
      </c>
      <c r="T9" s="306" t="str">
        <f>'Player Database'!U12</f>
        <v>Dani Olmo</v>
      </c>
      <c r="U9" s="306" t="str">
        <f>'Player Database'!V12</f>
        <v>Carlos Martínez</v>
      </c>
      <c r="V9" s="306" t="str">
        <f>'Player Database'!W12</f>
        <v>Amine Harit</v>
      </c>
      <c r="W9" s="306" t="str">
        <f>'Player Database'!X12</f>
        <v>Domagoj Vida</v>
      </c>
      <c r="X9" s="306" t="str">
        <f>'Player Database'!Y12</f>
        <v>Hans Vanaken</v>
      </c>
      <c r="Y9" s="306" t="str">
        <f>'Player Database'!Z12</f>
        <v>Derek Cornelius</v>
      </c>
      <c r="Z9" s="306" t="str">
        <f>'Player Database'!AA12</f>
        <v>Casemiro</v>
      </c>
      <c r="AA9" s="306" t="str">
        <f>'Player Database'!AB12</f>
        <v>Filip Kostić</v>
      </c>
      <c r="AB9" s="306" t="str">
        <f>'Player Database'!AC12</f>
        <v>Eray Cömert</v>
      </c>
      <c r="AC9" s="306" t="str">
        <f>'Player Database'!AD12</f>
        <v>Devis Epassy</v>
      </c>
      <c r="AD9" s="306" t="str">
        <f>'Player Database'!AE12</f>
        <v>Diogo Costa</v>
      </c>
      <c r="AE9" s="306" t="str">
        <f>'Player Database'!AF12</f>
        <v>Baba Rahman</v>
      </c>
      <c r="AF9" s="306" t="str">
        <f>'Player Database'!AG12</f>
        <v>Federico Valverde</v>
      </c>
      <c r="AG9" s="306" t="str">
        <f>'Player Database'!AH12</f>
        <v>Jeong Woo-yeong</v>
      </c>
      <c r="AI9" s="306" t="str">
        <f ca="1">IFERROR(INDEX(B3:AG28,A9,MATCH(AI2,B2:AG2,0)),"")</f>
        <v/>
      </c>
      <c r="AJ9" s="306" t="str">
        <f ca="1">IFERROR(INDEX(B3:AG28,A9,MATCH(AJ2,B2:AG2,0)),"")</f>
        <v/>
      </c>
      <c r="AK9" s="306" t="str">
        <f ca="1">IFERROR(INDEX(B3:AG28,A9,MATCH(AK2,B2:AG2,0)),"")</f>
        <v/>
      </c>
      <c r="AL9" s="306" t="str">
        <f ca="1">IFERROR(INDEX(B3:AG28,A9,MATCH(AL2,B2:AG2,0)),"")</f>
        <v/>
      </c>
      <c r="AM9" s="306" t="str">
        <f ca="1">IFERROR(INDEX(B3:AG28,A9,MATCH(AM2,B2:AG2,0)),"")</f>
        <v/>
      </c>
      <c r="AN9" s="306" t="str">
        <f ca="1">IFERROR(INDEX(B3:AG28,A9,MATCH(AN2,B2:AG2,0)),"")</f>
        <v/>
      </c>
      <c r="AO9" s="306" t="str">
        <f ca="1">IFERROR(INDEX(B3:AG28,A9,MATCH(AO2,B2:AG2,0)),"")</f>
        <v/>
      </c>
      <c r="AP9" s="306" t="str">
        <f ca="1">IFERROR(INDEX(B3:AG28,A9,MATCH(AP2,B2:AG2,0)),"")</f>
        <v/>
      </c>
      <c r="AQ9" s="306" t="str">
        <f ca="1">IFERROR(INDEX(B3:AG28,A9,MATCH(AQ2,B2:AG2,0)),"")</f>
        <v/>
      </c>
      <c r="AR9" s="306" t="str">
        <f ca="1">IFERROR(INDEX(B3:AG28,A9,MATCH(AR2,B2:AG2,0)),"")</f>
        <v/>
      </c>
      <c r="AS9" s="306" t="str">
        <f ca="1">IFERROR(INDEX(B3:AG28,A9,MATCH(AS2,B2:AG2,0)),"")</f>
        <v/>
      </c>
      <c r="AT9" s="306" t="str">
        <f ca="1">IFERROR(INDEX(B3:AG28,A9,MATCH(AT2,B2:AG2,0)),"")</f>
        <v/>
      </c>
      <c r="AU9" s="306" t="str">
        <f ca="1">IFERROR(INDEX(B3:AG28,A9,MATCH(AU2,B2:AG2,0)),"")</f>
        <v/>
      </c>
      <c r="AV9" s="306" t="str">
        <f ca="1">IFERROR(INDEX(B3:AG28,A9,MATCH(AV2,B2:AG2,0)),"")</f>
        <v/>
      </c>
      <c r="AW9" s="306" t="str">
        <f ca="1">IFERROR(INDEX(B3:AG28,A9,MATCH(AW2,B2:AG2,0)),"")</f>
        <v/>
      </c>
      <c r="AX9" s="306" t="str">
        <f ca="1">IFERROR(INDEX(B3:AG28,A9,MATCH(AX2,B2:AG2,0)),"")</f>
        <v/>
      </c>
      <c r="AZ9" s="306" t="str">
        <f ca="1">IFERROR(INDEX(B3:AG28,A9,MATCH(AZ2,B2:AG2,0)),"")</f>
        <v/>
      </c>
      <c r="BA9" s="306" t="str">
        <f ca="1">IFERROR(INDEX(B3:AG28,A9,MATCH(BA2,B2:AG2,0)),"")</f>
        <v/>
      </c>
      <c r="BB9" s="306" t="str">
        <f ca="1">IFERROR(INDEX(B3:AG28,A9,MATCH(BB2,B2:AG2,0)),"")</f>
        <v/>
      </c>
      <c r="BC9" s="306" t="str">
        <f ca="1">IFERROR(INDEX(B3:AG28,A9,MATCH(BC2,B2:AG2,0)),"")</f>
        <v/>
      </c>
      <c r="BD9" s="306" t="str">
        <f ca="1">IFERROR(INDEX(B3:AG28,A9,MATCH(BD2,B2:AG2,0)),"")</f>
        <v/>
      </c>
      <c r="BE9" s="306" t="str">
        <f ca="1">IFERROR(INDEX(B3:AG28,A9,MATCH(BE2,B2:AG2,0)),"")</f>
        <v/>
      </c>
      <c r="BF9" s="306" t="str">
        <f ca="1">IFERROR(INDEX(B3:AG28,A9,MATCH(BF2,B2:AG2,0)),"")</f>
        <v/>
      </c>
      <c r="BG9" s="306" t="str">
        <f ca="1">IFERROR(INDEX(B3:AG28,A9,MATCH(BG2,B2:AG2,0)),"")</f>
        <v/>
      </c>
      <c r="BI9" s="306" t="str">
        <f ca="1">IFERROR(INDEX(B3:AG28,A9,MATCH(BI2,B2:AG2,0)),"")</f>
        <v/>
      </c>
      <c r="BJ9" s="306" t="str">
        <f ca="1">IFERROR(INDEX(B3:AG28,A9,MATCH(BJ2,B2:AG2,0)),"")</f>
        <v/>
      </c>
      <c r="BK9" s="306" t="str">
        <f ca="1">IFERROR(INDEX(B3:AG28,A9,MATCH(BK2,B2:AG2,0)),"")</f>
        <v/>
      </c>
      <c r="BL9" s="306" t="str">
        <f ca="1">IFERROR(INDEX(B3:AG28,A9,MATCH(BL2,B2:AG2,0)),"")</f>
        <v/>
      </c>
      <c r="BN9" s="306" t="str">
        <f ca="1">IFERROR(INDEX(B3:AG28,A9,MATCH(BN2,B2:AG2,0)),"")</f>
        <v/>
      </c>
      <c r="BO9" s="306" t="str">
        <f ca="1">IFERROR(INDEX(B3:AG28,A9,MATCH(BO2,B2:AG2,0)),"")</f>
        <v/>
      </c>
      <c r="BQ9" s="306" t="str">
        <f ca="1">IFERROR(INDEX(B3:AG28,A9,MATCH(BQ2,B2:AG2,0)),"")</f>
        <v/>
      </c>
      <c r="BR9" s="306" t="str">
        <f ca="1">IFERROR(INDEX(B3:AG28,A9,MATCH(BR2,B2:AG2,0)),"")</f>
        <v/>
      </c>
      <c r="BT9" s="306" t="str">
        <f t="shared" ca="1" si="3"/>
        <v>Senegal</v>
      </c>
      <c r="BW9" s="306" t="str">
        <f t="shared" si="1"/>
        <v>Famara Diédhiou</v>
      </c>
      <c r="BX9" s="306">
        <f>COUNTIF('Group Stages'!J7:J102,BW9)</f>
        <v>0</v>
      </c>
      <c r="BY9" s="306">
        <f>COUNTIF('Group Stages'!K7:K102,BW9)</f>
        <v>0</v>
      </c>
      <c r="BZ9" s="306">
        <f>COUNTIF('Group Stages'!L7:L102,BW9)</f>
        <v>0</v>
      </c>
      <c r="CA9" s="306">
        <f>COUNTIF('Group Stages'!M7:M102,BW9)</f>
        <v>0</v>
      </c>
      <c r="CB9" s="306">
        <f>COUNTIF('Group Stages'!N7:N102,BW9)</f>
        <v>0</v>
      </c>
      <c r="CC9" s="306">
        <f>COUNTIF('Group Stages'!O7:O102,BW9)</f>
        <v>0</v>
      </c>
      <c r="CD9" s="306">
        <f>COUNTIF('Group Stages'!P7:P102,BW9)</f>
        <v>0</v>
      </c>
      <c r="CE9" s="306">
        <f>COUNTIF('Group Stages'!Q7:Q102,BW9)</f>
        <v>0</v>
      </c>
      <c r="CF9" s="306">
        <f>COUNTIF('Knock Out Stages'!K7:K50,BW9)</f>
        <v>0</v>
      </c>
      <c r="CG9" s="306">
        <f>COUNTIF('Knock Out Stages'!L7:L50,BW9)</f>
        <v>0</v>
      </c>
      <c r="CH9" s="306">
        <f>COUNTIF('Knock Out Stages'!M7:M50,BW9)</f>
        <v>0</v>
      </c>
      <c r="CI9" s="306">
        <f>COUNTIF('Knock Out Stages'!N7:N50,BW9)</f>
        <v>0</v>
      </c>
      <c r="CJ9" s="306">
        <f>COUNTIF('Knock Out Stages'!O7:O50,BW9)</f>
        <v>0</v>
      </c>
      <c r="CK9" s="306">
        <f>COUNTIF('Knock Out Stages'!P7:P50,BW9)</f>
        <v>0</v>
      </c>
      <c r="CL9" s="306">
        <f>COUNTIF('Knock Out Stages'!Q7:Q50,BW9)</f>
        <v>0</v>
      </c>
      <c r="CM9" s="306">
        <f>COUNTIF('Knock Out Stages'!R7:R50,BW9)</f>
        <v>0</v>
      </c>
      <c r="CN9" s="306">
        <f>IF(RIGHT('Group Stages'!$B$105,5)="T.com",SUM(BX9:CM9),0)</f>
        <v>0</v>
      </c>
      <c r="CO9" s="306">
        <f ca="1">RANK(CN9,CN3:CN834)+COUNTIF(CN3:CN9,CN9)-1</f>
        <v>7</v>
      </c>
      <c r="CP9" s="306" t="str">
        <f t="shared" ca="1" si="2"/>
        <v>Famara Diédhiou (Senegal)</v>
      </c>
    </row>
    <row r="10" spans="1:94" x14ac:dyDescent="0.3">
      <c r="A10" s="306">
        <v>8</v>
      </c>
      <c r="B10" s="306" t="str">
        <f>'Player Database'!C13</f>
        <v>Fodé Ballo-Touré</v>
      </c>
      <c r="C10" s="306" t="str">
        <f>'Player Database'!D13</f>
        <v>Jurriën Timber</v>
      </c>
      <c r="D10" s="306" t="str">
        <f>'Player Database'!E13</f>
        <v>Bassam Al-Rawi</v>
      </c>
      <c r="E10" s="306" t="str">
        <f>'Player Database'!F13</f>
        <v>Djorkaeff Reasco</v>
      </c>
      <c r="F10" s="306" t="str">
        <f>'Player Database'!G13</f>
        <v>Eric Dier</v>
      </c>
      <c r="G10" s="306" t="str">
        <f>'Player Database'!H13</f>
        <v>Ehsan Hajsafi</v>
      </c>
      <c r="H10" s="306" t="str">
        <f>'Player Database'!I13</f>
        <v>Ethan Horvath</v>
      </c>
      <c r="I10" s="306" t="str">
        <f>'Player Database'!J13</f>
        <v>Connor Roberts</v>
      </c>
      <c r="J10" s="306" t="str">
        <f>'Player Database'!K13</f>
        <v>Franco Armani</v>
      </c>
      <c r="K10" s="306" t="str">
        <f>'Player Database'!L13</f>
        <v>Fahad Al-Muwallad</v>
      </c>
      <c r="L10" s="306" t="str">
        <f>'Player Database'!M13</f>
        <v>Gerardo Arteaga</v>
      </c>
      <c r="M10" s="306" t="str">
        <f>'Player Database'!N13</f>
        <v>Jakub Kiwior</v>
      </c>
      <c r="N10" s="306" t="str">
        <f>'Player Database'!O13</f>
        <v>Frederik Rønnow</v>
      </c>
      <c r="O10" s="306" t="str">
        <f>'Player Database'!P13</f>
        <v>Bilel Ifa</v>
      </c>
      <c r="P10" s="306" t="str">
        <f>'Player Database'!Q13</f>
        <v>Dayot Upamecano</v>
      </c>
      <c r="Q10" s="306" t="str">
        <f>'Player Database'!R13</f>
        <v>Craig Goodwin</v>
      </c>
      <c r="R10" s="306" t="str">
        <f>'Player Database'!S13</f>
        <v>Joshua Kimmich</v>
      </c>
      <c r="S10" s="306" t="str">
        <f>'Player Database'!T13</f>
        <v>Hidemasa Morita</v>
      </c>
      <c r="T10" s="306" t="str">
        <f>'Player Database'!U13</f>
        <v>David Raya</v>
      </c>
      <c r="U10" s="306" t="str">
        <f>'Player Database'!V13</f>
        <v>Celso Borges</v>
      </c>
      <c r="V10" s="306" t="str">
        <f>'Player Database'!W13</f>
        <v>Azzedine Ounahi</v>
      </c>
      <c r="W10" s="306" t="str">
        <f>'Player Database'!X13</f>
        <v>Dominik Livaković</v>
      </c>
      <c r="X10" s="306" t="str">
        <f>'Player Database'!Y13</f>
        <v>Jan Vertonghen</v>
      </c>
      <c r="Y10" s="306" t="str">
        <f>'Player Database'!Z13</f>
        <v>Iké Ugbo</v>
      </c>
      <c r="Z10" s="306" t="str">
        <f>'Player Database'!AA13</f>
        <v>Dani Alves</v>
      </c>
      <c r="AA10" s="306" t="str">
        <f>'Player Database'!AB13</f>
        <v>Filip Mladenović</v>
      </c>
      <c r="AB10" s="306" t="str">
        <f>'Player Database'!AC13</f>
        <v>Fabian Frei</v>
      </c>
      <c r="AC10" s="306" t="str">
        <f>'Player Database'!AD13</f>
        <v>Enzo Ebosse</v>
      </c>
      <c r="AD10" s="306" t="str">
        <f>'Player Database'!AE13</f>
        <v>Diogo Dalot</v>
      </c>
      <c r="AE10" s="306" t="str">
        <f>'Player Database'!AF13</f>
        <v>Daniel Afriyie</v>
      </c>
      <c r="AF10" s="306" t="str">
        <f>'Player Database'!AG13</f>
        <v>Fernando Muslera</v>
      </c>
      <c r="AG10" s="306" t="str">
        <f>'Player Database'!AH13</f>
        <v>Jo Hyeon-woo</v>
      </c>
      <c r="AI10" s="306" t="str">
        <f ca="1">IFERROR(INDEX(B3:AG28,A10,MATCH(AI2,B2:AG2,0)),"")</f>
        <v/>
      </c>
      <c r="AJ10" s="306" t="str">
        <f ca="1">IFERROR(INDEX(B3:AG28,A10,MATCH(AJ2,B2:AG2,0)),"")</f>
        <v/>
      </c>
      <c r="AK10" s="306" t="str">
        <f ca="1">IFERROR(INDEX(B3:AG28,A10,MATCH(AK2,B2:AG2,0)),"")</f>
        <v/>
      </c>
      <c r="AL10" s="306" t="str">
        <f ca="1">IFERROR(INDEX(B3:AG28,A10,MATCH(AL2,B2:AG2,0)),"")</f>
        <v/>
      </c>
      <c r="AM10" s="306" t="str">
        <f ca="1">IFERROR(INDEX(B3:AG28,A10,MATCH(AM2,B2:AG2,0)),"")</f>
        <v/>
      </c>
      <c r="AN10" s="306" t="str">
        <f ca="1">IFERROR(INDEX(B3:AG28,A10,MATCH(AN2,B2:AG2,0)),"")</f>
        <v/>
      </c>
      <c r="AO10" s="306" t="str">
        <f ca="1">IFERROR(INDEX(B3:AG28,A10,MATCH(AO2,B2:AG2,0)),"")</f>
        <v/>
      </c>
      <c r="AP10" s="306" t="str">
        <f ca="1">IFERROR(INDEX(B3:AG28,A10,MATCH(AP2,B2:AG2,0)),"")</f>
        <v/>
      </c>
      <c r="AQ10" s="306" t="str">
        <f ca="1">IFERROR(INDEX(B3:AG28,A10,MATCH(AQ2,B2:AG2,0)),"")</f>
        <v/>
      </c>
      <c r="AR10" s="306" t="str">
        <f ca="1">IFERROR(INDEX(B3:AG28,A10,MATCH(AR2,B2:AG2,0)),"")</f>
        <v/>
      </c>
      <c r="AS10" s="306" t="str">
        <f ca="1">IFERROR(INDEX(B3:AG28,A10,MATCH(AS2,B2:AG2,0)),"")</f>
        <v/>
      </c>
      <c r="AT10" s="306" t="str">
        <f ca="1">IFERROR(INDEX(B3:AG28,A10,MATCH(AT2,B2:AG2,0)),"")</f>
        <v/>
      </c>
      <c r="AU10" s="306" t="str">
        <f ca="1">IFERROR(INDEX(B3:AG28,A10,MATCH(AU2,B2:AG2,0)),"")</f>
        <v/>
      </c>
      <c r="AV10" s="306" t="str">
        <f ca="1">IFERROR(INDEX(B3:AG28,A10,MATCH(AV2,B2:AG2,0)),"")</f>
        <v/>
      </c>
      <c r="AW10" s="306" t="str">
        <f ca="1">IFERROR(INDEX(B3:AG28,A10,MATCH(AW2,B2:AG2,0)),"")</f>
        <v/>
      </c>
      <c r="AX10" s="306" t="str">
        <f ca="1">IFERROR(INDEX(B3:AG28,A10,MATCH(AX2,B2:AG2,0)),"")</f>
        <v/>
      </c>
      <c r="AZ10" s="306" t="str">
        <f ca="1">IFERROR(INDEX(B3:AG28,A10,MATCH(AZ2,B2:AG2,0)),"")</f>
        <v/>
      </c>
      <c r="BA10" s="306" t="str">
        <f ca="1">IFERROR(INDEX(B3:AG28,A10,MATCH(BA2,B2:AG2,0)),"")</f>
        <v/>
      </c>
      <c r="BB10" s="306" t="str">
        <f ca="1">IFERROR(INDEX(B3:AG28,A10,MATCH(BB2,B2:AG2,0)),"")</f>
        <v/>
      </c>
      <c r="BC10" s="306" t="str">
        <f ca="1">IFERROR(INDEX(B3:AG28,A10,MATCH(BC2,B2:AG2,0)),"")</f>
        <v/>
      </c>
      <c r="BD10" s="306" t="str">
        <f ca="1">IFERROR(INDEX(B3:AG28,A10,MATCH(BD2,B2:AG2,0)),"")</f>
        <v/>
      </c>
      <c r="BE10" s="306" t="str">
        <f ca="1">IFERROR(INDEX(B3:AG28,A10,MATCH(BE2,B2:AG2,0)),"")</f>
        <v/>
      </c>
      <c r="BF10" s="306" t="str">
        <f ca="1">IFERROR(INDEX(B3:AG28,A10,MATCH(BF2,B2:AG2,0)),"")</f>
        <v/>
      </c>
      <c r="BG10" s="306" t="str">
        <f ca="1">IFERROR(INDEX(B3:AG28,A10,MATCH(BG2,B2:AG2,0)),"")</f>
        <v/>
      </c>
      <c r="BI10" s="306" t="str">
        <f ca="1">IFERROR(INDEX(B3:AG28,A10,MATCH(BI2,B2:AG2,0)),"")</f>
        <v/>
      </c>
      <c r="BJ10" s="306" t="str">
        <f ca="1">IFERROR(INDEX(B3:AG28,A10,MATCH(BJ2,B2:AG2,0)),"")</f>
        <v/>
      </c>
      <c r="BK10" s="306" t="str">
        <f ca="1">IFERROR(INDEX(B3:AG28,A10,MATCH(BK2,B2:AG2,0)),"")</f>
        <v/>
      </c>
      <c r="BL10" s="306" t="str">
        <f ca="1">IFERROR(INDEX(B3:AG28,A10,MATCH(BL2,B2:AG2,0)),"")</f>
        <v/>
      </c>
      <c r="BN10" s="306" t="str">
        <f ca="1">IFERROR(INDEX(B3:AG28,A10,MATCH(BN2,B2:AG2,0)),"")</f>
        <v/>
      </c>
      <c r="BO10" s="306" t="str">
        <f ca="1">IFERROR(INDEX(B3:AG28,A10,MATCH(BO2,B2:AG2,0)),"")</f>
        <v/>
      </c>
      <c r="BQ10" s="306" t="str">
        <f ca="1">IFERROR(INDEX(B3:AG28,A10,MATCH(BQ2,B2:AG2,0)),"")</f>
        <v/>
      </c>
      <c r="BR10" s="306" t="str">
        <f ca="1">IFERROR(INDEX(B3:AG28,A10,MATCH(BR2,B2:AG2,0)),"")</f>
        <v/>
      </c>
      <c r="BT10" s="306" t="str">
        <f t="shared" ca="1" si="3"/>
        <v>Senegal</v>
      </c>
      <c r="BW10" s="306" t="str">
        <f t="shared" si="1"/>
        <v>Fodé Ballo-Touré</v>
      </c>
      <c r="BX10" s="306">
        <f>COUNTIF('Group Stages'!J7:J102,BW10)</f>
        <v>0</v>
      </c>
      <c r="BY10" s="306">
        <f>COUNTIF('Group Stages'!K7:K102,BW10)</f>
        <v>0</v>
      </c>
      <c r="BZ10" s="306">
        <f>COUNTIF('Group Stages'!L7:L102,BW10)</f>
        <v>0</v>
      </c>
      <c r="CA10" s="306">
        <f>COUNTIF('Group Stages'!M7:M102,BW10)</f>
        <v>0</v>
      </c>
      <c r="CB10" s="306">
        <f>COUNTIF('Group Stages'!N7:N102,BW10)</f>
        <v>0</v>
      </c>
      <c r="CC10" s="306">
        <f>COUNTIF('Group Stages'!O7:O102,BW10)</f>
        <v>0</v>
      </c>
      <c r="CD10" s="306">
        <f>COUNTIF('Group Stages'!P7:P102,BW10)</f>
        <v>0</v>
      </c>
      <c r="CE10" s="306">
        <f>COUNTIF('Group Stages'!Q7:Q102,BW10)</f>
        <v>0</v>
      </c>
      <c r="CF10" s="306">
        <f>COUNTIF('Knock Out Stages'!K7:K50,BW10)</f>
        <v>0</v>
      </c>
      <c r="CG10" s="306">
        <f>COUNTIF('Knock Out Stages'!L7:L50,BW10)</f>
        <v>0</v>
      </c>
      <c r="CH10" s="306">
        <f>COUNTIF('Knock Out Stages'!M7:M50,BW10)</f>
        <v>0</v>
      </c>
      <c r="CI10" s="306">
        <f>COUNTIF('Knock Out Stages'!N7:N50,BW10)</f>
        <v>0</v>
      </c>
      <c r="CJ10" s="306">
        <f>COUNTIF('Knock Out Stages'!O7:O50,BW10)</f>
        <v>0</v>
      </c>
      <c r="CK10" s="306">
        <f>COUNTIF('Knock Out Stages'!P7:P50,BW10)</f>
        <v>0</v>
      </c>
      <c r="CL10" s="306">
        <f>COUNTIF('Knock Out Stages'!Q7:Q50,BW10)</f>
        <v>0</v>
      </c>
      <c r="CM10" s="306">
        <f>COUNTIF('Knock Out Stages'!R7:R50,BW10)</f>
        <v>0</v>
      </c>
      <c r="CN10" s="306">
        <f>IF(RIGHT('Group Stages'!$B$105,5)="T.com",SUM(BX10:CM10),0)</f>
        <v>0</v>
      </c>
      <c r="CO10" s="306">
        <f ca="1">RANK(CN10,CN3:CN834)+COUNTIF(CN3:CN10,CN10)-1</f>
        <v>8</v>
      </c>
      <c r="CP10" s="306" t="str">
        <f t="shared" ca="1" si="2"/>
        <v>Fodé Ballo-Touré (Senegal)</v>
      </c>
    </row>
    <row r="11" spans="1:94" x14ac:dyDescent="0.3">
      <c r="A11" s="306">
        <v>9</v>
      </c>
      <c r="B11" s="306" t="str">
        <f>'Player Database'!C14</f>
        <v>Formose Mendy</v>
      </c>
      <c r="C11" s="306" t="str">
        <f>'Player Database'!D14</f>
        <v>Justin Bijlow</v>
      </c>
      <c r="D11" s="306" t="str">
        <f>'Player Database'!E14</f>
        <v>Boualem Khoukhi</v>
      </c>
      <c r="E11" s="306" t="str">
        <f>'Player Database'!F14</f>
        <v>Enner Valencia</v>
      </c>
      <c r="F11" s="306" t="str">
        <f>'Player Database'!G14</f>
        <v>Harry Kane</v>
      </c>
      <c r="G11" s="306" t="str">
        <f>'Player Database'!H14</f>
        <v>Hossein Hosseini</v>
      </c>
      <c r="H11" s="306" t="str">
        <f>'Player Database'!I14</f>
        <v>Giovanni Reyna</v>
      </c>
      <c r="I11" s="306" t="str">
        <f>'Player Database'!J14</f>
        <v>Daniel James</v>
      </c>
      <c r="J11" s="306" t="str">
        <f>'Player Database'!K14</f>
        <v>Germán Pezzella</v>
      </c>
      <c r="K11" s="306" t="str">
        <f>'Player Database'!L14</f>
        <v>Firas Al-Buraikan</v>
      </c>
      <c r="L11" s="306" t="str">
        <f>'Player Database'!M14</f>
        <v>Guillermo Ochoa</v>
      </c>
      <c r="M11" s="306" t="str">
        <f>'Player Database'!N14</f>
        <v>Jan Bednarek</v>
      </c>
      <c r="N11" s="306" t="str">
        <f>'Player Database'!O14</f>
        <v>Jens Stryger Larsen</v>
      </c>
      <c r="O11" s="306" t="str">
        <f>'Player Database'!P14</f>
        <v>Dylan Bronn</v>
      </c>
      <c r="P11" s="306" t="str">
        <f>'Player Database'!Q14</f>
        <v>Eduardo Camavinga</v>
      </c>
      <c r="Q11" s="306" t="str">
        <f>'Player Database'!R14</f>
        <v>Danny Vukovic</v>
      </c>
      <c r="R11" s="306" t="str">
        <f>'Player Database'!S14</f>
        <v>Julian Brandt</v>
      </c>
      <c r="S11" s="306" t="str">
        <f>'Player Database'!T14</f>
        <v>Hiroki Itō</v>
      </c>
      <c r="T11" s="306" t="str">
        <f>'Player Database'!U14</f>
        <v>Eric García</v>
      </c>
      <c r="U11" s="306" t="str">
        <f>'Player Database'!V14</f>
        <v>Daniel Chacón</v>
      </c>
      <c r="V11" s="306" t="str">
        <f>'Player Database'!W14</f>
        <v>Badr Benoun</v>
      </c>
      <c r="W11" s="306" t="str">
        <f>'Player Database'!X14</f>
        <v>Ivan Perišić</v>
      </c>
      <c r="X11" s="306" t="str">
        <f>'Player Database'!Y14</f>
        <v>Jérémy Doku</v>
      </c>
      <c r="Y11" s="306" t="str">
        <f>'Player Database'!Z14</f>
        <v>Ismaël Koné</v>
      </c>
      <c r="Z11" s="306" t="str">
        <f>'Player Database'!AA14</f>
        <v>Danilo</v>
      </c>
      <c r="AA11" s="306" t="str">
        <f>'Player Database'!AB14</f>
        <v>Ivan Ilić</v>
      </c>
      <c r="AB11" s="306" t="str">
        <f>'Player Database'!AC14</f>
        <v>Fabian Rieder</v>
      </c>
      <c r="AC11" s="306" t="str">
        <f>'Player Database'!AD14</f>
        <v>Eric Maxim Choupo-Moting</v>
      </c>
      <c r="AD11" s="306" t="str">
        <f>'Player Database'!AE14</f>
        <v>Gonçalo Ramos</v>
      </c>
      <c r="AE11" s="306" t="str">
        <f>'Player Database'!AF14</f>
        <v>Daniel Amartey</v>
      </c>
      <c r="AF11" s="306" t="str">
        <f>'Player Database'!AG14</f>
        <v>Giorgian de Arrascaeta</v>
      </c>
      <c r="AG11" s="306" t="str">
        <f>'Player Database'!AH14</f>
        <v>Jung Woo-young</v>
      </c>
      <c r="AI11" s="306" t="str">
        <f ca="1">IFERROR(INDEX(B3:AG28,A11,MATCH(AI2,B2:AG2,0)),"")</f>
        <v/>
      </c>
      <c r="AJ11" s="306" t="str">
        <f ca="1">IFERROR(INDEX(B3:AG28,A11,MATCH(AJ2,B2:AG2,0)),"")</f>
        <v/>
      </c>
      <c r="AK11" s="306" t="str">
        <f ca="1">IFERROR(INDEX(B3:AG28,A11,MATCH(AK2,B2:AG2,0)),"")</f>
        <v/>
      </c>
      <c r="AL11" s="306" t="str">
        <f ca="1">IFERROR(INDEX(B3:AG28,A11,MATCH(AL2,B2:AG2,0)),"")</f>
        <v/>
      </c>
      <c r="AM11" s="306" t="str">
        <f ca="1">IFERROR(INDEX(B3:AG28,A11,MATCH(AM2,B2:AG2,0)),"")</f>
        <v/>
      </c>
      <c r="AN11" s="306" t="str">
        <f ca="1">IFERROR(INDEX(B3:AG28,A11,MATCH(AN2,B2:AG2,0)),"")</f>
        <v/>
      </c>
      <c r="AO11" s="306" t="str">
        <f ca="1">IFERROR(INDEX(B3:AG28,A11,MATCH(AO2,B2:AG2,0)),"")</f>
        <v/>
      </c>
      <c r="AP11" s="306" t="str">
        <f ca="1">IFERROR(INDEX(B3:AG28,A11,MATCH(AP2,B2:AG2,0)),"")</f>
        <v/>
      </c>
      <c r="AQ11" s="306" t="str">
        <f ca="1">IFERROR(INDEX(B3:AG28,A11,MATCH(AQ2,B2:AG2,0)),"")</f>
        <v/>
      </c>
      <c r="AR11" s="306" t="str">
        <f ca="1">IFERROR(INDEX(B3:AG28,A11,MATCH(AR2,B2:AG2,0)),"")</f>
        <v/>
      </c>
      <c r="AS11" s="306" t="str">
        <f ca="1">IFERROR(INDEX(B3:AG28,A11,MATCH(AS2,B2:AG2,0)),"")</f>
        <v/>
      </c>
      <c r="AT11" s="306" t="str">
        <f ca="1">IFERROR(INDEX(B3:AG28,A11,MATCH(AT2,B2:AG2,0)),"")</f>
        <v/>
      </c>
      <c r="AU11" s="306" t="str">
        <f ca="1">IFERROR(INDEX(B3:AG28,A11,MATCH(AU2,B2:AG2,0)),"")</f>
        <v/>
      </c>
      <c r="AV11" s="306" t="str">
        <f ca="1">IFERROR(INDEX(B3:AG28,A11,MATCH(AV2,B2:AG2,0)),"")</f>
        <v/>
      </c>
      <c r="AW11" s="306" t="str">
        <f ca="1">IFERROR(INDEX(B3:AG28,A11,MATCH(AW2,B2:AG2,0)),"")</f>
        <v/>
      </c>
      <c r="AX11" s="306" t="str">
        <f ca="1">IFERROR(INDEX(B3:AG28,A11,MATCH(AX2,B2:AG2,0)),"")</f>
        <v/>
      </c>
      <c r="AZ11" s="306" t="str">
        <f ca="1">IFERROR(INDEX(B3:AG28,A11,MATCH(AZ2,B2:AG2,0)),"")</f>
        <v/>
      </c>
      <c r="BA11" s="306" t="str">
        <f ca="1">IFERROR(INDEX(B3:AG28,A11,MATCH(BA2,B2:AG2,0)),"")</f>
        <v/>
      </c>
      <c r="BB11" s="306" t="str">
        <f ca="1">IFERROR(INDEX(B3:AG28,A11,MATCH(BB2,B2:AG2,0)),"")</f>
        <v/>
      </c>
      <c r="BC11" s="306" t="str">
        <f ca="1">IFERROR(INDEX(B3:AG28,A11,MATCH(BC2,B2:AG2,0)),"")</f>
        <v/>
      </c>
      <c r="BD11" s="306" t="str">
        <f ca="1">IFERROR(INDEX(B3:AG28,A11,MATCH(BD2,B2:AG2,0)),"")</f>
        <v/>
      </c>
      <c r="BE11" s="306" t="str">
        <f ca="1">IFERROR(INDEX(B3:AG28,A11,MATCH(BE2,B2:AG2,0)),"")</f>
        <v/>
      </c>
      <c r="BF11" s="306" t="str">
        <f ca="1">IFERROR(INDEX(B3:AG28,A11,MATCH(BF2,B2:AG2,0)),"")</f>
        <v/>
      </c>
      <c r="BG11" s="306" t="str">
        <f ca="1">IFERROR(INDEX(B3:AG28,A11,MATCH(BG2,B2:AG2,0)),"")</f>
        <v/>
      </c>
      <c r="BI11" s="306" t="str">
        <f ca="1">IFERROR(INDEX(B3:AG28,A11,MATCH(BI2,B2:AG2,0)),"")</f>
        <v/>
      </c>
      <c r="BJ11" s="306" t="str">
        <f ca="1">IFERROR(INDEX(B3:AG28,A11,MATCH(BJ2,B2:AG2,0)),"")</f>
        <v/>
      </c>
      <c r="BK11" s="306" t="str">
        <f ca="1">IFERROR(INDEX(B3:AG28,A11,MATCH(BK2,B2:AG2,0)),"")</f>
        <v/>
      </c>
      <c r="BL11" s="306" t="str">
        <f ca="1">IFERROR(INDEX(B3:AG28,A11,MATCH(BL2,B2:AG2,0)),"")</f>
        <v/>
      </c>
      <c r="BN11" s="306" t="str">
        <f ca="1">IFERROR(INDEX(B3:AG28,A11,MATCH(BN2,B2:AG2,0)),"")</f>
        <v/>
      </c>
      <c r="BO11" s="306" t="str">
        <f ca="1">IFERROR(INDEX(B3:AG28,A11,MATCH(BO2,B2:AG2,0)),"")</f>
        <v/>
      </c>
      <c r="BQ11" s="306" t="str">
        <f ca="1">IFERROR(INDEX(B3:AG28,A11,MATCH(BQ2,B2:AG2,0)),"")</f>
        <v/>
      </c>
      <c r="BR11" s="306" t="str">
        <f ca="1">IFERROR(INDEX(B3:AG28,A11,MATCH(BR2,B2:AG2,0)),"")</f>
        <v/>
      </c>
      <c r="BT11" s="306" t="str">
        <f t="shared" ca="1" si="3"/>
        <v>Senegal</v>
      </c>
      <c r="BW11" s="306" t="str">
        <f t="shared" si="1"/>
        <v>Formose Mendy</v>
      </c>
      <c r="BX11" s="306">
        <f>COUNTIF('Group Stages'!J7:J102,BW11)</f>
        <v>0</v>
      </c>
      <c r="BY11" s="306">
        <f>COUNTIF('Group Stages'!K7:K102,BW11)</f>
        <v>0</v>
      </c>
      <c r="BZ11" s="306">
        <f>COUNTIF('Group Stages'!L7:L102,BW11)</f>
        <v>0</v>
      </c>
      <c r="CA11" s="306">
        <f>COUNTIF('Group Stages'!M7:M102,BW11)</f>
        <v>0</v>
      </c>
      <c r="CB11" s="306">
        <f>COUNTIF('Group Stages'!N7:N102,BW11)</f>
        <v>0</v>
      </c>
      <c r="CC11" s="306">
        <f>COUNTIF('Group Stages'!O7:O102,BW11)</f>
        <v>0</v>
      </c>
      <c r="CD11" s="306">
        <f>COUNTIF('Group Stages'!P7:P102,BW11)</f>
        <v>0</v>
      </c>
      <c r="CE11" s="306">
        <f>COUNTIF('Group Stages'!Q7:Q102,BW11)</f>
        <v>0</v>
      </c>
      <c r="CF11" s="306">
        <f>COUNTIF('Knock Out Stages'!K7:K50,BW11)</f>
        <v>0</v>
      </c>
      <c r="CG11" s="306">
        <f>COUNTIF('Knock Out Stages'!L7:L50,BW11)</f>
        <v>0</v>
      </c>
      <c r="CH11" s="306">
        <f>COUNTIF('Knock Out Stages'!M7:M50,BW11)</f>
        <v>0</v>
      </c>
      <c r="CI11" s="306">
        <f>COUNTIF('Knock Out Stages'!N7:N50,BW11)</f>
        <v>0</v>
      </c>
      <c r="CJ11" s="306">
        <f>COUNTIF('Knock Out Stages'!O7:O50,BW11)</f>
        <v>0</v>
      </c>
      <c r="CK11" s="306">
        <f>COUNTIF('Knock Out Stages'!P7:P50,BW11)</f>
        <v>0</v>
      </c>
      <c r="CL11" s="306">
        <f>COUNTIF('Knock Out Stages'!Q7:Q50,BW11)</f>
        <v>0</v>
      </c>
      <c r="CM11" s="306">
        <f>COUNTIF('Knock Out Stages'!R7:R50,BW11)</f>
        <v>0</v>
      </c>
      <c r="CN11" s="306">
        <f>IF(RIGHT('Group Stages'!$B$105,5)="T.com",SUM(BX11:CM11),0)</f>
        <v>0</v>
      </c>
      <c r="CO11" s="306">
        <f ca="1">RANK(CN11,CN3:CN834)+COUNTIF(CN3:CN11,CN11)-1</f>
        <v>9</v>
      </c>
      <c r="CP11" s="306" t="str">
        <f t="shared" ca="1" si="2"/>
        <v>Formose Mendy (Senegal)</v>
      </c>
    </row>
    <row r="12" spans="1:94" x14ac:dyDescent="0.3">
      <c r="A12" s="306">
        <v>10</v>
      </c>
      <c r="B12" s="306" t="str">
        <f>'Player Database'!C15</f>
        <v>Idrissa Gueye</v>
      </c>
      <c r="C12" s="306" t="str">
        <f>'Player Database'!D15</f>
        <v>Kenneth Taylor</v>
      </c>
      <c r="D12" s="306" t="str">
        <f>'Player Database'!E15</f>
        <v>Hassan Al-Haydos</v>
      </c>
      <c r="E12" s="306" t="str">
        <f>'Player Database'!F15</f>
        <v>Félix Torres</v>
      </c>
      <c r="F12" s="306" t="str">
        <f>'Player Database'!G15</f>
        <v>Harry Maguire</v>
      </c>
      <c r="G12" s="306" t="str">
        <f>'Player Database'!H15</f>
        <v>Hossein Kanaanizadegan</v>
      </c>
      <c r="H12" s="306" t="str">
        <f>'Player Database'!I15</f>
        <v>Haji Wright</v>
      </c>
      <c r="I12" s="306" t="str">
        <f>'Player Database'!J15</f>
        <v>Danny Ward</v>
      </c>
      <c r="J12" s="306" t="str">
        <f>'Player Database'!K15</f>
        <v>Gerónimo Rulli</v>
      </c>
      <c r="K12" s="306" t="str">
        <f>'Player Database'!L15</f>
        <v>Haitham Asiri</v>
      </c>
      <c r="L12" s="306" t="str">
        <f>'Player Database'!M15</f>
        <v>Héctor Herrera</v>
      </c>
      <c r="M12" s="306" t="str">
        <f>'Player Database'!N15</f>
        <v>Kamil Glik</v>
      </c>
      <c r="N12" s="306" t="str">
        <f>'Player Database'!O15</f>
        <v>Jesper Lindstrøm</v>
      </c>
      <c r="O12" s="306" t="str">
        <f>'Player Database'!P15</f>
        <v>Ellyes Skhiri</v>
      </c>
      <c r="P12" s="306" t="str">
        <f>'Player Database'!Q15</f>
        <v>Hugo Lloris</v>
      </c>
      <c r="Q12" s="306" t="str">
        <f>'Player Database'!R15</f>
        <v>Fran Karačić</v>
      </c>
      <c r="R12" s="306" t="str">
        <f>'Player Database'!S15</f>
        <v>Kai Havertz</v>
      </c>
      <c r="S12" s="306" t="str">
        <f>'Player Database'!T15</f>
        <v>Hiroki Sakai</v>
      </c>
      <c r="T12" s="306" t="str">
        <f>'Player Database'!U15</f>
        <v>Ferran Torres</v>
      </c>
      <c r="U12" s="306" t="str">
        <f>'Player Database'!V15</f>
        <v>Douglas López</v>
      </c>
      <c r="V12" s="306" t="str">
        <f>'Player Database'!W15</f>
        <v>Bilal El Khannous</v>
      </c>
      <c r="W12" s="306" t="str">
        <f>'Player Database'!X15</f>
        <v>Ivica Ivušić</v>
      </c>
      <c r="X12" s="306" t="str">
        <f>'Player Database'!Y15</f>
        <v>Kevin De Bruyne</v>
      </c>
      <c r="Y12" s="306" t="str">
        <f>'Player Database'!Z15</f>
        <v>James Pantemis</v>
      </c>
      <c r="Z12" s="306" t="str">
        <f>'Player Database'!AA15</f>
        <v>Éder Militão</v>
      </c>
      <c r="AA12" s="306" t="str">
        <f>'Player Database'!AB15</f>
        <v>Luka Jović</v>
      </c>
      <c r="AB12" s="306" t="str">
        <f>'Player Database'!AC15</f>
        <v>Fabian Schär</v>
      </c>
      <c r="AC12" s="306" t="str">
        <f>'Player Database'!AD15</f>
        <v>Gaël Ondoua</v>
      </c>
      <c r="AD12" s="306" t="str">
        <f>'Player Database'!AE15</f>
        <v>João Cancelo</v>
      </c>
      <c r="AE12" s="306" t="str">
        <f>'Player Database'!AF15</f>
        <v>Daniel-Kofi Kyereh</v>
      </c>
      <c r="AF12" s="306" t="str">
        <f>'Player Database'!AG15</f>
        <v>Guillermo Varela</v>
      </c>
      <c r="AG12" s="306" t="str">
        <f>'Player Database'!AH15</f>
        <v>Kim Jin-su</v>
      </c>
      <c r="AI12" s="306" t="str">
        <f ca="1">IFERROR(INDEX(B3:AG28,A12,MATCH(AI2,B2:AG2,0)),"")</f>
        <v/>
      </c>
      <c r="AJ12" s="306" t="str">
        <f ca="1">IFERROR(INDEX(B3:AG28,A12,MATCH(AJ2,B2:AG2,0)),"")</f>
        <v/>
      </c>
      <c r="AK12" s="306" t="str">
        <f ca="1">IFERROR(INDEX(B3:AG28,A12,MATCH(AK2,B2:AG2,0)),"")</f>
        <v/>
      </c>
      <c r="AL12" s="306" t="str">
        <f ca="1">IFERROR(INDEX(B3:AG28,A12,MATCH(AL2,B2:AG2,0)),"")</f>
        <v/>
      </c>
      <c r="AM12" s="306" t="str">
        <f ca="1">IFERROR(INDEX(B3:AG28,A12,MATCH(AM2,B2:AG2,0)),"")</f>
        <v/>
      </c>
      <c r="AN12" s="306" t="str">
        <f ca="1">IFERROR(INDEX(B3:AG28,A12,MATCH(AN2,B2:AG2,0)),"")</f>
        <v/>
      </c>
      <c r="AO12" s="306" t="str">
        <f ca="1">IFERROR(INDEX(B3:AG28,A12,MATCH(AO2,B2:AG2,0)),"")</f>
        <v/>
      </c>
      <c r="AP12" s="306" t="str">
        <f ca="1">IFERROR(INDEX(B3:AG28,A12,MATCH(AP2,B2:AG2,0)),"")</f>
        <v/>
      </c>
      <c r="AQ12" s="306" t="str">
        <f ca="1">IFERROR(INDEX(B3:AG28,A12,MATCH(AQ2,B2:AG2,0)),"")</f>
        <v/>
      </c>
      <c r="AR12" s="306" t="str">
        <f ca="1">IFERROR(INDEX(B3:AG28,A12,MATCH(AR2,B2:AG2,0)),"")</f>
        <v/>
      </c>
      <c r="AS12" s="306" t="str">
        <f ca="1">IFERROR(INDEX(B3:AG28,A12,MATCH(AS2,B2:AG2,0)),"")</f>
        <v/>
      </c>
      <c r="AT12" s="306" t="str">
        <f ca="1">IFERROR(INDEX(B3:AG28,A12,MATCH(AT2,B2:AG2,0)),"")</f>
        <v/>
      </c>
      <c r="AU12" s="306" t="str">
        <f ca="1">IFERROR(INDEX(B3:AG28,A12,MATCH(AU2,B2:AG2,0)),"")</f>
        <v/>
      </c>
      <c r="AV12" s="306" t="str">
        <f ca="1">IFERROR(INDEX(B3:AG28,A12,MATCH(AV2,B2:AG2,0)),"")</f>
        <v/>
      </c>
      <c r="AW12" s="306" t="str">
        <f ca="1">IFERROR(INDEX(B3:AG28,A12,MATCH(AW2,B2:AG2,0)),"")</f>
        <v/>
      </c>
      <c r="AX12" s="306" t="str">
        <f ca="1">IFERROR(INDEX(B3:AG28,A12,MATCH(AX2,B2:AG2,0)),"")</f>
        <v/>
      </c>
      <c r="AZ12" s="306" t="str">
        <f ca="1">IFERROR(INDEX(B3:AG28,A12,MATCH(AZ2,B2:AG2,0)),"")</f>
        <v/>
      </c>
      <c r="BA12" s="306" t="str">
        <f ca="1">IFERROR(INDEX(B3:AG28,A12,MATCH(BA2,B2:AG2,0)),"")</f>
        <v/>
      </c>
      <c r="BB12" s="306" t="str">
        <f ca="1">IFERROR(INDEX(B3:AG28,A12,MATCH(BB2,B2:AG2,0)),"")</f>
        <v/>
      </c>
      <c r="BC12" s="306" t="str">
        <f ca="1">IFERROR(INDEX(B3:AG28,A12,MATCH(BC2,B2:AG2,0)),"")</f>
        <v/>
      </c>
      <c r="BD12" s="306" t="str">
        <f ca="1">IFERROR(INDEX(B3:AG28,A12,MATCH(BD2,B2:AG2,0)),"")</f>
        <v/>
      </c>
      <c r="BE12" s="306" t="str">
        <f ca="1">IFERROR(INDEX(B3:AG28,A12,MATCH(BE2,B2:AG2,0)),"")</f>
        <v/>
      </c>
      <c r="BF12" s="306" t="str">
        <f ca="1">IFERROR(INDEX(B3:AG28,A12,MATCH(BF2,B2:AG2,0)),"")</f>
        <v/>
      </c>
      <c r="BG12" s="306" t="str">
        <f ca="1">IFERROR(INDEX(B3:AG28,A12,MATCH(BG2,B2:AG2,0)),"")</f>
        <v/>
      </c>
      <c r="BI12" s="306" t="str">
        <f ca="1">IFERROR(INDEX(B3:AG28,A12,MATCH(BI2,B2:AG2,0)),"")</f>
        <v/>
      </c>
      <c r="BJ12" s="306" t="str">
        <f ca="1">IFERROR(INDEX(B3:AG28,A12,MATCH(BJ2,B2:AG2,0)),"")</f>
        <v/>
      </c>
      <c r="BK12" s="306" t="str">
        <f ca="1">IFERROR(INDEX(B3:AG28,A12,MATCH(BK2,B2:AG2,0)),"")</f>
        <v/>
      </c>
      <c r="BL12" s="306" t="str">
        <f ca="1">IFERROR(INDEX(B3:AG28,A12,MATCH(BL2,B2:AG2,0)),"")</f>
        <v/>
      </c>
      <c r="BN12" s="306" t="str">
        <f ca="1">IFERROR(INDEX(B3:AG28,A12,MATCH(BN2,B2:AG2,0)),"")</f>
        <v/>
      </c>
      <c r="BO12" s="306" t="str">
        <f ca="1">IFERROR(INDEX(B3:AG28,A12,MATCH(BO2,B2:AG2,0)),"")</f>
        <v/>
      </c>
      <c r="BQ12" s="306" t="str">
        <f ca="1">IFERROR(INDEX(B3:AG28,A12,MATCH(BQ2,B2:AG2,0)),"")</f>
        <v/>
      </c>
      <c r="BR12" s="306" t="str">
        <f ca="1">IFERROR(INDEX(B3:AG28,A12,MATCH(BR2,B2:AG2,0)),"")</f>
        <v/>
      </c>
      <c r="BT12" s="306" t="str">
        <f t="shared" ca="1" si="3"/>
        <v>Senegal</v>
      </c>
      <c r="BW12" s="306" t="str">
        <f t="shared" si="1"/>
        <v>Idrissa Gueye</v>
      </c>
      <c r="BX12" s="306">
        <f>COUNTIF('Group Stages'!J7:J102,BW12)</f>
        <v>0</v>
      </c>
      <c r="BY12" s="306">
        <f>COUNTIF('Group Stages'!K7:K102,BW12)</f>
        <v>0</v>
      </c>
      <c r="BZ12" s="306">
        <f>COUNTIF('Group Stages'!L7:L102,BW12)</f>
        <v>0</v>
      </c>
      <c r="CA12" s="306">
        <f>COUNTIF('Group Stages'!M7:M102,BW12)</f>
        <v>0</v>
      </c>
      <c r="CB12" s="306">
        <f>COUNTIF('Group Stages'!N7:N102,BW12)</f>
        <v>0</v>
      </c>
      <c r="CC12" s="306">
        <f>COUNTIF('Group Stages'!O7:O102,BW12)</f>
        <v>0</v>
      </c>
      <c r="CD12" s="306">
        <f>COUNTIF('Group Stages'!P7:P102,BW12)</f>
        <v>0</v>
      </c>
      <c r="CE12" s="306">
        <f>COUNTIF('Group Stages'!Q7:Q102,BW12)</f>
        <v>0</v>
      </c>
      <c r="CF12" s="306">
        <f>COUNTIF('Knock Out Stages'!K7:K50,BW12)</f>
        <v>0</v>
      </c>
      <c r="CG12" s="306">
        <f>COUNTIF('Knock Out Stages'!L7:L50,BW12)</f>
        <v>0</v>
      </c>
      <c r="CH12" s="306">
        <f>COUNTIF('Knock Out Stages'!M7:M50,BW12)</f>
        <v>0</v>
      </c>
      <c r="CI12" s="306">
        <f>COUNTIF('Knock Out Stages'!N7:N50,BW12)</f>
        <v>0</v>
      </c>
      <c r="CJ12" s="306">
        <f>COUNTIF('Knock Out Stages'!O7:O50,BW12)</f>
        <v>0</v>
      </c>
      <c r="CK12" s="306">
        <f>COUNTIF('Knock Out Stages'!P7:P50,BW12)</f>
        <v>0</v>
      </c>
      <c r="CL12" s="306">
        <f>COUNTIF('Knock Out Stages'!Q7:Q50,BW12)</f>
        <v>0</v>
      </c>
      <c r="CM12" s="306">
        <f>COUNTIF('Knock Out Stages'!R7:R50,BW12)</f>
        <v>0</v>
      </c>
      <c r="CN12" s="306">
        <f>IF(RIGHT('Group Stages'!$B$105,5)="T.com",SUM(BX12:CM12),0)</f>
        <v>0</v>
      </c>
      <c r="CO12" s="306">
        <f ca="1">RANK(CN12,CN3:CN834)+COUNTIF(CN3:CN12,CN12)-1</f>
        <v>10</v>
      </c>
      <c r="CP12" s="306" t="str">
        <f t="shared" ca="1" si="2"/>
        <v>Idrissa Gueye (Senegal)</v>
      </c>
    </row>
    <row r="13" spans="1:94" x14ac:dyDescent="0.3">
      <c r="A13" s="306">
        <v>11</v>
      </c>
      <c r="B13" s="306" t="str">
        <f>'Player Database'!C16</f>
        <v>Iliman Ndiaye</v>
      </c>
      <c r="C13" s="306" t="str">
        <f>'Player Database'!D16</f>
        <v>Luuk de Jong</v>
      </c>
      <c r="D13" s="306" t="str">
        <f>'Player Database'!E16</f>
        <v>Homam Ahmed</v>
      </c>
      <c r="E13" s="306" t="str">
        <f>'Player Database'!F16</f>
        <v>Gonzalo Plata</v>
      </c>
      <c r="F13" s="306" t="str">
        <f>'Player Database'!G16</f>
        <v>Jack Grealish</v>
      </c>
      <c r="G13" s="306" t="str">
        <f>'Player Database'!H16</f>
        <v>Karim Ansarifard</v>
      </c>
      <c r="H13" s="306" t="str">
        <f>'Player Database'!I16</f>
        <v>Jesús Ferreira</v>
      </c>
      <c r="I13" s="306" t="str">
        <f>'Player Database'!J16</f>
        <v>Dylan Levitt</v>
      </c>
      <c r="J13" s="306" t="str">
        <f>'Player Database'!K16</f>
        <v>Gonzalo Montiel</v>
      </c>
      <c r="K13" s="306" t="str">
        <f>'Player Database'!L16</f>
        <v>Hassan Tambakti</v>
      </c>
      <c r="L13" s="306" t="str">
        <f>'Player Database'!M16</f>
        <v>Héctor Moreno</v>
      </c>
      <c r="M13" s="306" t="str">
        <f>'Player Database'!N16</f>
        <v>Kamil Grosicki</v>
      </c>
      <c r="N13" s="306" t="str">
        <f>'Player Database'!O16</f>
        <v>Joachim Andersen</v>
      </c>
      <c r="O13" s="306" t="str">
        <f>'Player Database'!P16</f>
        <v>Ferjani Sassi</v>
      </c>
      <c r="P13" s="306" t="str">
        <f>'Player Database'!Q16</f>
        <v>Ibrahima Konaté</v>
      </c>
      <c r="Q13" s="306" t="str">
        <f>'Player Database'!R16</f>
        <v>Garang Kuol</v>
      </c>
      <c r="R13" s="306" t="str">
        <f>'Player Database'!S16</f>
        <v>Karim Adeyemi</v>
      </c>
      <c r="S13" s="306" t="str">
        <f>'Player Database'!T16</f>
        <v>Junya Ito</v>
      </c>
      <c r="T13" s="306" t="str">
        <f>'Player Database'!U16</f>
        <v>Gavi</v>
      </c>
      <c r="U13" s="306" t="str">
        <f>'Player Database'!V16</f>
        <v>Esteban Alvarado</v>
      </c>
      <c r="V13" s="306" t="str">
        <f>'Player Database'!W16</f>
        <v>Hakim Ziyech</v>
      </c>
      <c r="W13" s="306" t="str">
        <f>'Player Database'!X16</f>
        <v>Ivo Grbić</v>
      </c>
      <c r="X13" s="306" t="str">
        <f>'Player Database'!Y16</f>
        <v>Koen Casteels</v>
      </c>
      <c r="Y13" s="306" t="str">
        <f>'Player Database'!Z16</f>
        <v>Joel Waterman</v>
      </c>
      <c r="Z13" s="306" t="str">
        <f>'Player Database'!AA16</f>
        <v>Ederson</v>
      </c>
      <c r="AA13" s="306" t="str">
        <f>'Player Database'!AB16</f>
        <v>Marko Dmitrović</v>
      </c>
      <c r="AB13" s="306" t="str">
        <f>'Player Database'!AC16</f>
        <v>Granit Xhaka</v>
      </c>
      <c r="AC13" s="306" t="str">
        <f>'Player Database'!AD16</f>
        <v>Georges-Kévin Nkoudou</v>
      </c>
      <c r="AD13" s="306" t="str">
        <f>'Player Database'!AE16</f>
        <v>João Félix</v>
      </c>
      <c r="AE13" s="306" t="str">
        <f>'Player Database'!AF16</f>
        <v>Denis Odoi</v>
      </c>
      <c r="AF13" s="306" t="str">
        <f>'Player Database'!AG16</f>
        <v>José Giménez</v>
      </c>
      <c r="AG13" s="306" t="str">
        <f>'Player Database'!AH16</f>
        <v>Kim Min-jae</v>
      </c>
      <c r="AI13" s="306" t="str">
        <f ca="1">IFERROR(INDEX(B3:AG28,A13,MATCH(AI2,B2:AG2,0)),"")</f>
        <v/>
      </c>
      <c r="AJ13" s="306" t="str">
        <f ca="1">IFERROR(INDEX(B3:AG28,A13,MATCH(AJ2,B2:AG2,0)),"")</f>
        <v/>
      </c>
      <c r="AK13" s="306" t="str">
        <f ca="1">IFERROR(INDEX(B3:AG28,A13,MATCH(AK2,B2:AG2,0)),"")</f>
        <v/>
      </c>
      <c r="AL13" s="306" t="str">
        <f ca="1">IFERROR(INDEX(B3:AG28,A13,MATCH(AL2,B2:AG2,0)),"")</f>
        <v/>
      </c>
      <c r="AM13" s="306" t="str">
        <f ca="1">IFERROR(INDEX(B3:AG28,A13,MATCH(AM2,B2:AG2,0)),"")</f>
        <v/>
      </c>
      <c r="AN13" s="306" t="str">
        <f ca="1">IFERROR(INDEX(B3:AG28,A13,MATCH(AN2,B2:AG2,0)),"")</f>
        <v/>
      </c>
      <c r="AO13" s="306" t="str">
        <f ca="1">IFERROR(INDEX(B3:AG28,A13,MATCH(AO2,B2:AG2,0)),"")</f>
        <v/>
      </c>
      <c r="AP13" s="306" t="str">
        <f ca="1">IFERROR(INDEX(B3:AG28,A13,MATCH(AP2,B2:AG2,0)),"")</f>
        <v/>
      </c>
      <c r="AQ13" s="306" t="str">
        <f ca="1">IFERROR(INDEX(B3:AG28,A13,MATCH(AQ2,B2:AG2,0)),"")</f>
        <v/>
      </c>
      <c r="AR13" s="306" t="str">
        <f ca="1">IFERROR(INDEX(B3:AG28,A13,MATCH(AR2,B2:AG2,0)),"")</f>
        <v/>
      </c>
      <c r="AS13" s="306" t="str">
        <f ca="1">IFERROR(INDEX(B3:AG28,A13,MATCH(AS2,B2:AG2,0)),"")</f>
        <v/>
      </c>
      <c r="AT13" s="306" t="str">
        <f ca="1">IFERROR(INDEX(B3:AG28,A13,MATCH(AT2,B2:AG2,0)),"")</f>
        <v/>
      </c>
      <c r="AU13" s="306" t="str">
        <f ca="1">IFERROR(INDEX(B3:AG28,A13,MATCH(AU2,B2:AG2,0)),"")</f>
        <v/>
      </c>
      <c r="AV13" s="306" t="str">
        <f ca="1">IFERROR(INDEX(B3:AG28,A13,MATCH(AV2,B2:AG2,0)),"")</f>
        <v/>
      </c>
      <c r="AW13" s="306" t="str">
        <f ca="1">IFERROR(INDEX(B3:AG28,A13,MATCH(AW2,B2:AG2,0)),"")</f>
        <v/>
      </c>
      <c r="AX13" s="306" t="str">
        <f ca="1">IFERROR(INDEX(B3:AG28,A13,MATCH(AX2,B2:AG2,0)),"")</f>
        <v/>
      </c>
      <c r="AZ13" s="306" t="str">
        <f ca="1">IFERROR(INDEX(B3:AG28,A13,MATCH(AZ2,B2:AG2,0)),"")</f>
        <v/>
      </c>
      <c r="BA13" s="306" t="str">
        <f ca="1">IFERROR(INDEX(B3:AG28,A13,MATCH(BA2,B2:AG2,0)),"")</f>
        <v/>
      </c>
      <c r="BB13" s="306" t="str">
        <f ca="1">IFERROR(INDEX(B3:AG28,A13,MATCH(BB2,B2:AG2,0)),"")</f>
        <v/>
      </c>
      <c r="BC13" s="306" t="str">
        <f ca="1">IFERROR(INDEX(B3:AG28,A13,MATCH(BC2,B2:AG2,0)),"")</f>
        <v/>
      </c>
      <c r="BD13" s="306" t="str">
        <f ca="1">IFERROR(INDEX(B3:AG28,A13,MATCH(BD2,B2:AG2,0)),"")</f>
        <v/>
      </c>
      <c r="BE13" s="306" t="str">
        <f ca="1">IFERROR(INDEX(B3:AG28,A13,MATCH(BE2,B2:AG2,0)),"")</f>
        <v/>
      </c>
      <c r="BF13" s="306" t="str">
        <f ca="1">IFERROR(INDEX(B3:AG28,A13,MATCH(BF2,B2:AG2,0)),"")</f>
        <v/>
      </c>
      <c r="BG13" s="306" t="str">
        <f ca="1">IFERROR(INDEX(B3:AG28,A13,MATCH(BG2,B2:AG2,0)),"")</f>
        <v/>
      </c>
      <c r="BI13" s="306" t="str">
        <f ca="1">IFERROR(INDEX(B3:AG28,A13,MATCH(BI2,B2:AG2,0)),"")</f>
        <v/>
      </c>
      <c r="BJ13" s="306" t="str">
        <f ca="1">IFERROR(INDEX(B3:AG28,A13,MATCH(BJ2,B2:AG2,0)),"")</f>
        <v/>
      </c>
      <c r="BK13" s="306" t="str">
        <f ca="1">IFERROR(INDEX(B3:AG28,A13,MATCH(BK2,B2:AG2,0)),"")</f>
        <v/>
      </c>
      <c r="BL13" s="306" t="str">
        <f ca="1">IFERROR(INDEX(B3:AG28,A13,MATCH(BL2,B2:AG2,0)),"")</f>
        <v/>
      </c>
      <c r="BN13" s="306" t="str">
        <f ca="1">IFERROR(INDEX(B3:AG28,A13,MATCH(BN2,B2:AG2,0)),"")</f>
        <v/>
      </c>
      <c r="BO13" s="306" t="str">
        <f ca="1">IFERROR(INDEX(B3:AG28,A13,MATCH(BO2,B2:AG2,0)),"")</f>
        <v/>
      </c>
      <c r="BQ13" s="306" t="str">
        <f ca="1">IFERROR(INDEX(B3:AG28,A13,MATCH(BQ2,B2:AG2,0)),"")</f>
        <v/>
      </c>
      <c r="BR13" s="306" t="str">
        <f ca="1">IFERROR(INDEX(B3:AG28,A13,MATCH(BR2,B2:AG2,0)),"")</f>
        <v/>
      </c>
      <c r="BT13" s="306" t="str">
        <f t="shared" ca="1" si="3"/>
        <v>Senegal</v>
      </c>
      <c r="BW13" s="306" t="str">
        <f t="shared" si="1"/>
        <v>Iliman Ndiaye</v>
      </c>
      <c r="BX13" s="306">
        <f>COUNTIF('Group Stages'!J7:J102,BW13)</f>
        <v>0</v>
      </c>
      <c r="BY13" s="306">
        <f>COUNTIF('Group Stages'!K7:K102,BW13)</f>
        <v>0</v>
      </c>
      <c r="BZ13" s="306">
        <f>COUNTIF('Group Stages'!L7:L102,BW13)</f>
        <v>0</v>
      </c>
      <c r="CA13" s="306">
        <f>COUNTIF('Group Stages'!M7:M102,BW13)</f>
        <v>0</v>
      </c>
      <c r="CB13" s="306">
        <f>COUNTIF('Group Stages'!N7:N102,BW13)</f>
        <v>0</v>
      </c>
      <c r="CC13" s="306">
        <f>COUNTIF('Group Stages'!O7:O102,BW13)</f>
        <v>0</v>
      </c>
      <c r="CD13" s="306">
        <f>COUNTIF('Group Stages'!P7:P102,BW13)</f>
        <v>0</v>
      </c>
      <c r="CE13" s="306">
        <f>COUNTIF('Group Stages'!Q7:Q102,BW13)</f>
        <v>0</v>
      </c>
      <c r="CF13" s="306">
        <f>COUNTIF('Knock Out Stages'!K7:K50,BW13)</f>
        <v>0</v>
      </c>
      <c r="CG13" s="306">
        <f>COUNTIF('Knock Out Stages'!L7:L50,BW13)</f>
        <v>0</v>
      </c>
      <c r="CH13" s="306">
        <f>COUNTIF('Knock Out Stages'!M7:M50,BW13)</f>
        <v>0</v>
      </c>
      <c r="CI13" s="306">
        <f>COUNTIF('Knock Out Stages'!N7:N50,BW13)</f>
        <v>0</v>
      </c>
      <c r="CJ13" s="306">
        <f>COUNTIF('Knock Out Stages'!O7:O50,BW13)</f>
        <v>0</v>
      </c>
      <c r="CK13" s="306">
        <f>COUNTIF('Knock Out Stages'!P7:P50,BW13)</f>
        <v>0</v>
      </c>
      <c r="CL13" s="306">
        <f>COUNTIF('Knock Out Stages'!Q7:Q50,BW13)</f>
        <v>0</v>
      </c>
      <c r="CM13" s="306">
        <f>COUNTIF('Knock Out Stages'!R7:R50,BW13)</f>
        <v>0</v>
      </c>
      <c r="CN13" s="306">
        <f>IF(RIGHT('Group Stages'!$B$105,5)="T.com",SUM(BX13:CM13),0)</f>
        <v>0</v>
      </c>
      <c r="CO13" s="306">
        <f ca="1">RANK(CN13,CN3:CN834)+COUNTIF(CN3:CN13,CN13)-1</f>
        <v>11</v>
      </c>
      <c r="CP13" s="306" t="str">
        <f t="shared" ca="1" si="2"/>
        <v>Iliman Ndiaye (Senegal)</v>
      </c>
    </row>
    <row r="14" spans="1:94" x14ac:dyDescent="0.3">
      <c r="A14" s="306">
        <v>12</v>
      </c>
      <c r="B14" s="306" t="str">
        <f>'Player Database'!C17</f>
        <v>Ismail Jakobs</v>
      </c>
      <c r="C14" s="306" t="str">
        <f>'Player Database'!D17</f>
        <v>Marten de Roon</v>
      </c>
      <c r="D14" s="306" t="str">
        <f>'Player Database'!E17</f>
        <v>Ismaeel Mohammad</v>
      </c>
      <c r="E14" s="306" t="str">
        <f>'Player Database'!F17</f>
        <v>Hernán Galíndez</v>
      </c>
      <c r="F14" s="306" t="str">
        <f>'Player Database'!G17</f>
        <v>James Maddison</v>
      </c>
      <c r="G14" s="306" t="str">
        <f>'Player Database'!H17</f>
        <v>Majid Hosseini</v>
      </c>
      <c r="H14" s="306" t="str">
        <f>'Player Database'!I17</f>
        <v>Joe Scally</v>
      </c>
      <c r="I14" s="306" t="str">
        <f>'Player Database'!J17</f>
        <v>Ethan Ampadu</v>
      </c>
      <c r="J14" s="306" t="str">
        <f>'Player Database'!K17</f>
        <v>Guido Rodríguez</v>
      </c>
      <c r="K14" s="306" t="str">
        <f>'Player Database'!L17</f>
        <v>Hattan Bahebri</v>
      </c>
      <c r="L14" s="306" t="str">
        <f>'Player Database'!M17</f>
        <v>Henry Martín</v>
      </c>
      <c r="M14" s="306" t="str">
        <f>'Player Database'!N17</f>
        <v>Karol Świderski</v>
      </c>
      <c r="N14" s="306" t="str">
        <f>'Player Database'!O17</f>
        <v>Joakim Mæhle</v>
      </c>
      <c r="O14" s="306" t="str">
        <f>'Player Database'!P17</f>
        <v>Ghailene Chaalali</v>
      </c>
      <c r="P14" s="306" t="str">
        <f>'Player Database'!Q17</f>
        <v>Jordan Veretout</v>
      </c>
      <c r="Q14" s="306" t="str">
        <f>'Player Database'!R17</f>
        <v>Harry Souttar</v>
      </c>
      <c r="R14" s="306" t="str">
        <f>'Player Database'!S17</f>
        <v>Kevin Trapp</v>
      </c>
      <c r="S14" s="306" t="str">
        <f>'Player Database'!T17</f>
        <v>Kaoru Mitoma</v>
      </c>
      <c r="T14" s="306" t="str">
        <f>'Player Database'!U17</f>
        <v>Hugo Guillamón</v>
      </c>
      <c r="U14" s="306" t="str">
        <f>'Player Database'!V17</f>
        <v>Francisco Calvo</v>
      </c>
      <c r="V14" s="306" t="str">
        <f>'Player Database'!W17</f>
        <v>Ilias Chair</v>
      </c>
      <c r="W14" s="306" t="str">
        <f>'Player Database'!X17</f>
        <v>Josip Juranović</v>
      </c>
      <c r="X14" s="306" t="str">
        <f>'Player Database'!Y17</f>
        <v>Leander Dendoncker</v>
      </c>
      <c r="Y14" s="306" t="str">
        <f>'Player Database'!Z17</f>
        <v>Jonathan David</v>
      </c>
      <c r="Z14" s="306" t="str">
        <f>'Player Database'!AA17</f>
        <v>Éverton Ribeiro</v>
      </c>
      <c r="AA14" s="306" t="str">
        <f>'Player Database'!AB17</f>
        <v>Marko Grujić</v>
      </c>
      <c r="AB14" s="306" t="str">
        <f>'Player Database'!AC17</f>
        <v>Gregor Kobel</v>
      </c>
      <c r="AC14" s="306" t="str">
        <f>'Player Database'!AD17</f>
        <v>Jean-Charles Castelletto</v>
      </c>
      <c r="AD14" s="306" t="str">
        <f>'Player Database'!AE17</f>
        <v>João Mário</v>
      </c>
      <c r="AE14" s="306" t="str">
        <f>'Player Database'!AF17</f>
        <v>Elisha Owusu</v>
      </c>
      <c r="AF14" s="306" t="str">
        <f>'Player Database'!AG17</f>
        <v>José Luis Rodríguez</v>
      </c>
      <c r="AG14" s="306" t="str">
        <f>'Player Database'!AH17</f>
        <v>Kim Moon-hwan</v>
      </c>
      <c r="AI14" s="306" t="str">
        <f ca="1">IFERROR(INDEX(B3:AG28,A14,MATCH(AI2,B2:AG2,0)),"")</f>
        <v/>
      </c>
      <c r="AJ14" s="306" t="str">
        <f ca="1">IFERROR(INDEX(B3:AG28,A14,MATCH(AJ2,B2:AG2,0)),"")</f>
        <v/>
      </c>
      <c r="AK14" s="306" t="str">
        <f ca="1">IFERROR(INDEX(B3:AG28,A14,MATCH(AK2,B2:AG2,0)),"")</f>
        <v/>
      </c>
      <c r="AL14" s="306" t="str">
        <f ca="1">IFERROR(INDEX(B3:AG28,A14,MATCH(AL2,B2:AG2,0)),"")</f>
        <v/>
      </c>
      <c r="AM14" s="306" t="str">
        <f ca="1">IFERROR(INDEX(B3:AG28,A14,MATCH(AM2,B2:AG2,0)),"")</f>
        <v/>
      </c>
      <c r="AN14" s="306" t="str">
        <f ca="1">IFERROR(INDEX(B3:AG28,A14,MATCH(AN2,B2:AG2,0)),"")</f>
        <v/>
      </c>
      <c r="AO14" s="306" t="str">
        <f ca="1">IFERROR(INDEX(B3:AG28,A14,MATCH(AO2,B2:AG2,0)),"")</f>
        <v/>
      </c>
      <c r="AP14" s="306" t="str">
        <f ca="1">IFERROR(INDEX(B3:AG28,A14,MATCH(AP2,B2:AG2,0)),"")</f>
        <v/>
      </c>
      <c r="AQ14" s="306" t="str">
        <f ca="1">IFERROR(INDEX(B3:AG28,A14,MATCH(AQ2,B2:AG2,0)),"")</f>
        <v/>
      </c>
      <c r="AR14" s="306" t="str">
        <f ca="1">IFERROR(INDEX(B3:AG28,A14,MATCH(AR2,B2:AG2,0)),"")</f>
        <v/>
      </c>
      <c r="AS14" s="306" t="str">
        <f ca="1">IFERROR(INDEX(B3:AG28,A14,MATCH(AS2,B2:AG2,0)),"")</f>
        <v/>
      </c>
      <c r="AT14" s="306" t="str">
        <f ca="1">IFERROR(INDEX(B3:AG28,A14,MATCH(AT2,B2:AG2,0)),"")</f>
        <v/>
      </c>
      <c r="AU14" s="306" t="str">
        <f ca="1">IFERROR(INDEX(B3:AG28,A14,MATCH(AU2,B2:AG2,0)),"")</f>
        <v/>
      </c>
      <c r="AV14" s="306" t="str">
        <f ca="1">IFERROR(INDEX(B3:AG28,A14,MATCH(AV2,B2:AG2,0)),"")</f>
        <v/>
      </c>
      <c r="AW14" s="306" t="str">
        <f ca="1">IFERROR(INDEX(B3:AG28,A14,MATCH(AW2,B2:AG2,0)),"")</f>
        <v/>
      </c>
      <c r="AX14" s="306" t="str">
        <f ca="1">IFERROR(INDEX(B3:AG28,A14,MATCH(AX2,B2:AG2,0)),"")</f>
        <v/>
      </c>
      <c r="AZ14" s="306" t="str">
        <f ca="1">IFERROR(INDEX(B3:AG28,A14,MATCH(AZ2,B2:AG2,0)),"")</f>
        <v/>
      </c>
      <c r="BA14" s="306" t="str">
        <f ca="1">IFERROR(INDEX(B3:AG28,A14,MATCH(BA2,B2:AG2,0)),"")</f>
        <v/>
      </c>
      <c r="BB14" s="306" t="str">
        <f ca="1">IFERROR(INDEX(B3:AG28,A14,MATCH(BB2,B2:AG2,0)),"")</f>
        <v/>
      </c>
      <c r="BC14" s="306" t="str">
        <f ca="1">IFERROR(INDEX(B3:AG28,A14,MATCH(BC2,B2:AG2,0)),"")</f>
        <v/>
      </c>
      <c r="BD14" s="306" t="str">
        <f ca="1">IFERROR(INDEX(B3:AG28,A14,MATCH(BD2,B2:AG2,0)),"")</f>
        <v/>
      </c>
      <c r="BE14" s="306" t="str">
        <f ca="1">IFERROR(INDEX(B3:AG28,A14,MATCH(BE2,B2:AG2,0)),"")</f>
        <v/>
      </c>
      <c r="BF14" s="306" t="str">
        <f ca="1">IFERROR(INDEX(B3:AG28,A14,MATCH(BF2,B2:AG2,0)),"")</f>
        <v/>
      </c>
      <c r="BG14" s="306" t="str">
        <f ca="1">IFERROR(INDEX(B3:AG28,A14,MATCH(BG2,B2:AG2,0)),"")</f>
        <v/>
      </c>
      <c r="BI14" s="306" t="str">
        <f ca="1">IFERROR(INDEX(B3:AG28,A14,MATCH(BI2,B2:AG2,0)),"")</f>
        <v/>
      </c>
      <c r="BJ14" s="306" t="str">
        <f ca="1">IFERROR(INDEX(B3:AG28,A14,MATCH(BJ2,B2:AG2,0)),"")</f>
        <v/>
      </c>
      <c r="BK14" s="306" t="str">
        <f ca="1">IFERROR(INDEX(B3:AG28,A14,MATCH(BK2,B2:AG2,0)),"")</f>
        <v/>
      </c>
      <c r="BL14" s="306" t="str">
        <f ca="1">IFERROR(INDEX(B3:AG28,A14,MATCH(BL2,B2:AG2,0)),"")</f>
        <v/>
      </c>
      <c r="BN14" s="306" t="str">
        <f ca="1">IFERROR(INDEX(B3:AG28,A14,MATCH(BN2,B2:AG2,0)),"")</f>
        <v/>
      </c>
      <c r="BO14" s="306" t="str">
        <f ca="1">IFERROR(INDEX(B3:AG28,A14,MATCH(BO2,B2:AG2,0)),"")</f>
        <v/>
      </c>
      <c r="BQ14" s="306" t="str">
        <f ca="1">IFERROR(INDEX(B3:AG28,A14,MATCH(BQ2,B2:AG2,0)),"")</f>
        <v/>
      </c>
      <c r="BR14" s="306" t="str">
        <f ca="1">IFERROR(INDEX(B3:AG28,A14,MATCH(BR2,B2:AG2,0)),"")</f>
        <v/>
      </c>
      <c r="BT14" s="306" t="str">
        <f t="shared" ca="1" si="3"/>
        <v>Senegal</v>
      </c>
      <c r="BW14" s="306" t="str">
        <f t="shared" si="1"/>
        <v>Ismail Jakobs</v>
      </c>
      <c r="BX14" s="306">
        <f>COUNTIF('Group Stages'!J7:J102,BW14)</f>
        <v>0</v>
      </c>
      <c r="BY14" s="306">
        <f>COUNTIF('Group Stages'!K7:K102,BW14)</f>
        <v>0</v>
      </c>
      <c r="BZ14" s="306">
        <f>COUNTIF('Group Stages'!L7:L102,BW14)</f>
        <v>0</v>
      </c>
      <c r="CA14" s="306">
        <f>COUNTIF('Group Stages'!M7:M102,BW14)</f>
        <v>0</v>
      </c>
      <c r="CB14" s="306">
        <f>COUNTIF('Group Stages'!N7:N102,BW14)</f>
        <v>0</v>
      </c>
      <c r="CC14" s="306">
        <f>COUNTIF('Group Stages'!O7:O102,BW14)</f>
        <v>0</v>
      </c>
      <c r="CD14" s="306">
        <f>COUNTIF('Group Stages'!P7:P102,BW14)</f>
        <v>0</v>
      </c>
      <c r="CE14" s="306">
        <f>COUNTIF('Group Stages'!Q7:Q102,BW14)</f>
        <v>0</v>
      </c>
      <c r="CF14" s="306">
        <f>COUNTIF('Knock Out Stages'!K7:K50,BW14)</f>
        <v>0</v>
      </c>
      <c r="CG14" s="306">
        <f>COUNTIF('Knock Out Stages'!L7:L50,BW14)</f>
        <v>0</v>
      </c>
      <c r="CH14" s="306">
        <f>COUNTIF('Knock Out Stages'!M7:M50,BW14)</f>
        <v>0</v>
      </c>
      <c r="CI14" s="306">
        <f>COUNTIF('Knock Out Stages'!N7:N50,BW14)</f>
        <v>0</v>
      </c>
      <c r="CJ14" s="306">
        <f>COUNTIF('Knock Out Stages'!O7:O50,BW14)</f>
        <v>0</v>
      </c>
      <c r="CK14" s="306">
        <f>COUNTIF('Knock Out Stages'!P7:P50,BW14)</f>
        <v>0</v>
      </c>
      <c r="CL14" s="306">
        <f>COUNTIF('Knock Out Stages'!Q7:Q50,BW14)</f>
        <v>0</v>
      </c>
      <c r="CM14" s="306">
        <f>COUNTIF('Knock Out Stages'!R7:R50,BW14)</f>
        <v>0</v>
      </c>
      <c r="CN14" s="306">
        <f>IF(RIGHT('Group Stages'!$B$105,5)="T.com",SUM(BX14:CM14),0)</f>
        <v>0</v>
      </c>
      <c r="CO14" s="306">
        <f ca="1">RANK(CN14,CN3:CN834)+COUNTIF(CN3:CN14,CN14)-1</f>
        <v>12</v>
      </c>
      <c r="CP14" s="306" t="str">
        <f t="shared" ca="1" si="2"/>
        <v>Ismail Jakobs (Senegal)</v>
      </c>
    </row>
    <row r="15" spans="1:94" x14ac:dyDescent="0.3">
      <c r="A15" s="306">
        <v>13</v>
      </c>
      <c r="B15" s="306" t="str">
        <f>'Player Database'!C18</f>
        <v>Ismaïla Sarr</v>
      </c>
      <c r="C15" s="306" t="str">
        <f>'Player Database'!D18</f>
        <v>Matthijs de Ligt</v>
      </c>
      <c r="D15" s="306" t="str">
        <f>'Player Database'!E18</f>
        <v>Jassem Gaber</v>
      </c>
      <c r="E15" s="306" t="str">
        <f>'Player Database'!F18</f>
        <v>Jackson Porozo</v>
      </c>
      <c r="F15" s="306" t="str">
        <f>'Player Database'!G18</f>
        <v>John Stones</v>
      </c>
      <c r="G15" s="306" t="str">
        <f>'Player Database'!H18</f>
        <v>Mehdi Taremi</v>
      </c>
      <c r="H15" s="306" t="str">
        <f>'Player Database'!I18</f>
        <v>Jordan Morris</v>
      </c>
      <c r="I15" s="306" t="str">
        <f>'Player Database'!J18</f>
        <v>Gareth Bale</v>
      </c>
      <c r="J15" s="306" t="str">
        <f>'Player Database'!K18</f>
        <v>Joaquín Correa</v>
      </c>
      <c r="K15" s="306" t="str">
        <f>'Player Database'!L18</f>
        <v>Mohamed Kanno</v>
      </c>
      <c r="L15" s="306" t="str">
        <f>'Player Database'!M18</f>
        <v>Hirving Lozano</v>
      </c>
      <c r="M15" s="306" t="str">
        <f>'Player Database'!N18</f>
        <v>Krystian Bielik</v>
      </c>
      <c r="N15" s="306" t="str">
        <f>'Player Database'!O18</f>
        <v>Jonas Wind</v>
      </c>
      <c r="O15" s="306" t="str">
        <f>'Player Database'!P18</f>
        <v>Hannibal Mejbri</v>
      </c>
      <c r="P15" s="306" t="str">
        <f>'Player Database'!Q18</f>
        <v>Jules Koundé</v>
      </c>
      <c r="Q15" s="306" t="str">
        <f>'Player Database'!R18</f>
        <v>Jackson Irvine</v>
      </c>
      <c r="R15" s="306" t="str">
        <f>'Player Database'!S18</f>
        <v>Leon Goretzka</v>
      </c>
      <c r="S15" s="306" t="str">
        <f>'Player Database'!T18</f>
        <v>Kō Itakura</v>
      </c>
      <c r="T15" s="306" t="str">
        <f>'Player Database'!U18</f>
        <v>Jordi Alba</v>
      </c>
      <c r="U15" s="306" t="str">
        <f>'Player Database'!V18</f>
        <v>Gerson Torres</v>
      </c>
      <c r="V15" s="306" t="str">
        <f>'Player Database'!W18</f>
        <v>Jawad El Yamiq</v>
      </c>
      <c r="W15" s="306" t="str">
        <f>'Player Database'!X18</f>
        <v>Josip Stanišić</v>
      </c>
      <c r="X15" s="306" t="str">
        <f>'Player Database'!Y18</f>
        <v>Leandro Trossard</v>
      </c>
      <c r="Y15" s="306" t="str">
        <f>'Player Database'!Z18</f>
        <v>Jonathan Osorio</v>
      </c>
      <c r="Z15" s="306" t="str">
        <f>'Player Database'!AA18</f>
        <v>Fabinho</v>
      </c>
      <c r="AA15" s="306" t="str">
        <f>'Player Database'!AB18</f>
        <v>Miloš Veljković</v>
      </c>
      <c r="AB15" s="306" t="str">
        <f>'Player Database'!AC18</f>
        <v>Haris Seferovic</v>
      </c>
      <c r="AC15" s="306" t="str">
        <f>'Player Database'!AD18</f>
        <v>Jean-Pierre Nsame</v>
      </c>
      <c r="AD15" s="306" t="str">
        <f>'Player Database'!AE18</f>
        <v>João Palhinha</v>
      </c>
      <c r="AE15" s="306" t="str">
        <f>'Player Database'!AF18</f>
        <v>Gideon Mensah</v>
      </c>
      <c r="AF15" s="306" t="str">
        <f>'Player Database'!AG18</f>
        <v>Lucas Torreira</v>
      </c>
      <c r="AG15" s="306" t="str">
        <f>'Player Database'!AH18</f>
        <v>Kim Seung-gyu</v>
      </c>
      <c r="AI15" s="306" t="str">
        <f ca="1">IFERROR(INDEX(B3:AG28,A15,MATCH(AI2,B2:AG2,0)),"")</f>
        <v/>
      </c>
      <c r="AJ15" s="306" t="str">
        <f ca="1">IFERROR(INDEX(B3:AG28,A15,MATCH(AJ2,B2:AG2,0)),"")</f>
        <v/>
      </c>
      <c r="AK15" s="306" t="str">
        <f ca="1">IFERROR(INDEX(B3:AG28,A15,MATCH(AK2,B2:AG2,0)),"")</f>
        <v/>
      </c>
      <c r="AL15" s="306" t="str">
        <f ca="1">IFERROR(INDEX(B3:AG28,A15,MATCH(AL2,B2:AG2,0)),"")</f>
        <v/>
      </c>
      <c r="AM15" s="306" t="str">
        <f ca="1">IFERROR(INDEX(B3:AG28,A15,MATCH(AM2,B2:AG2,0)),"")</f>
        <v/>
      </c>
      <c r="AN15" s="306" t="str">
        <f ca="1">IFERROR(INDEX(B3:AG28,A15,MATCH(AN2,B2:AG2,0)),"")</f>
        <v/>
      </c>
      <c r="AO15" s="306" t="str">
        <f ca="1">IFERROR(INDEX(B3:AG28,A15,MATCH(AO2,B2:AG2,0)),"")</f>
        <v/>
      </c>
      <c r="AP15" s="306" t="str">
        <f ca="1">IFERROR(INDEX(B3:AG28,A15,MATCH(AP2,B2:AG2,0)),"")</f>
        <v/>
      </c>
      <c r="AQ15" s="306" t="str">
        <f ca="1">IFERROR(INDEX(B3:AG28,A15,MATCH(AQ2,B2:AG2,0)),"")</f>
        <v/>
      </c>
      <c r="AR15" s="306" t="str">
        <f ca="1">IFERROR(INDEX(B3:AG28,A15,MATCH(AR2,B2:AG2,0)),"")</f>
        <v/>
      </c>
      <c r="AS15" s="306" t="str">
        <f ca="1">IFERROR(INDEX(B3:AG28,A15,MATCH(AS2,B2:AG2,0)),"")</f>
        <v/>
      </c>
      <c r="AT15" s="306" t="str">
        <f ca="1">IFERROR(INDEX(B3:AG28,A15,MATCH(AT2,B2:AG2,0)),"")</f>
        <v/>
      </c>
      <c r="AU15" s="306" t="str">
        <f ca="1">IFERROR(INDEX(B3:AG28,A15,MATCH(AU2,B2:AG2,0)),"")</f>
        <v/>
      </c>
      <c r="AV15" s="306" t="str">
        <f ca="1">IFERROR(INDEX(B3:AG28,A15,MATCH(AV2,B2:AG2,0)),"")</f>
        <v/>
      </c>
      <c r="AW15" s="306" t="str">
        <f ca="1">IFERROR(INDEX(B3:AG28,A15,MATCH(AW2,B2:AG2,0)),"")</f>
        <v/>
      </c>
      <c r="AX15" s="306" t="str">
        <f ca="1">IFERROR(INDEX(B3:AG28,A15,MATCH(AX2,B2:AG2,0)),"")</f>
        <v/>
      </c>
      <c r="AZ15" s="306" t="str">
        <f ca="1">IFERROR(INDEX(B3:AG28,A15,MATCH(AZ2,B2:AG2,0)),"")</f>
        <v/>
      </c>
      <c r="BA15" s="306" t="str">
        <f ca="1">IFERROR(INDEX(B3:AG28,A15,MATCH(BA2,B2:AG2,0)),"")</f>
        <v/>
      </c>
      <c r="BB15" s="306" t="str">
        <f ca="1">IFERROR(INDEX(B3:AG28,A15,MATCH(BB2,B2:AG2,0)),"")</f>
        <v/>
      </c>
      <c r="BC15" s="306" t="str">
        <f ca="1">IFERROR(INDEX(B3:AG28,A15,MATCH(BC2,B2:AG2,0)),"")</f>
        <v/>
      </c>
      <c r="BD15" s="306" t="str">
        <f ca="1">IFERROR(INDEX(B3:AG28,A15,MATCH(BD2,B2:AG2,0)),"")</f>
        <v/>
      </c>
      <c r="BE15" s="306" t="str">
        <f ca="1">IFERROR(INDEX(B3:AG28,A15,MATCH(BE2,B2:AG2,0)),"")</f>
        <v/>
      </c>
      <c r="BF15" s="306" t="str">
        <f ca="1">IFERROR(INDEX(B3:AG28,A15,MATCH(BF2,B2:AG2,0)),"")</f>
        <v/>
      </c>
      <c r="BG15" s="306" t="str">
        <f ca="1">IFERROR(INDEX(B3:AG28,A15,MATCH(BG2,B2:AG2,0)),"")</f>
        <v/>
      </c>
      <c r="BI15" s="306" t="str">
        <f ca="1">IFERROR(INDEX(B3:AG28,A15,MATCH(BI2,B2:AG2,0)),"")</f>
        <v/>
      </c>
      <c r="BJ15" s="306" t="str">
        <f ca="1">IFERROR(INDEX(B3:AG28,A15,MATCH(BJ2,B2:AG2,0)),"")</f>
        <v/>
      </c>
      <c r="BK15" s="306" t="str">
        <f ca="1">IFERROR(INDEX(B3:AG28,A15,MATCH(BK2,B2:AG2,0)),"")</f>
        <v/>
      </c>
      <c r="BL15" s="306" t="str">
        <f ca="1">IFERROR(INDEX(B3:AG28,A15,MATCH(BL2,B2:AG2,0)),"")</f>
        <v/>
      </c>
      <c r="BN15" s="306" t="str">
        <f ca="1">IFERROR(INDEX(B3:AG28,A15,MATCH(BN2,B2:AG2,0)),"")</f>
        <v/>
      </c>
      <c r="BO15" s="306" t="str">
        <f ca="1">IFERROR(INDEX(B3:AG28,A15,MATCH(BO2,B2:AG2,0)),"")</f>
        <v/>
      </c>
      <c r="BQ15" s="306" t="str">
        <f ca="1">IFERROR(INDEX(B3:AG28,A15,MATCH(BQ2,B2:AG2,0)),"")</f>
        <v/>
      </c>
      <c r="BR15" s="306" t="str">
        <f ca="1">IFERROR(INDEX(B3:AG28,A15,MATCH(BR2,B2:AG2,0)),"")</f>
        <v/>
      </c>
      <c r="BT15" s="306" t="str">
        <f t="shared" ca="1" si="3"/>
        <v>Senegal</v>
      </c>
      <c r="BW15" s="306" t="str">
        <f t="shared" si="1"/>
        <v>Ismaïla Sarr</v>
      </c>
      <c r="BX15" s="306">
        <f>COUNTIF('Group Stages'!J7:J102,BW15)</f>
        <v>0</v>
      </c>
      <c r="BY15" s="306">
        <f>COUNTIF('Group Stages'!K7:K102,BW15)</f>
        <v>0</v>
      </c>
      <c r="BZ15" s="306">
        <f>COUNTIF('Group Stages'!L7:L102,BW15)</f>
        <v>0</v>
      </c>
      <c r="CA15" s="306">
        <f>COUNTIF('Group Stages'!M7:M102,BW15)</f>
        <v>0</v>
      </c>
      <c r="CB15" s="306">
        <f>COUNTIF('Group Stages'!N7:N102,BW15)</f>
        <v>0</v>
      </c>
      <c r="CC15" s="306">
        <f>COUNTIF('Group Stages'!O7:O102,BW15)</f>
        <v>0</v>
      </c>
      <c r="CD15" s="306">
        <f>COUNTIF('Group Stages'!P7:P102,BW15)</f>
        <v>0</v>
      </c>
      <c r="CE15" s="306">
        <f>COUNTIF('Group Stages'!Q7:Q102,BW15)</f>
        <v>0</v>
      </c>
      <c r="CF15" s="306">
        <f>COUNTIF('Knock Out Stages'!K7:K50,BW15)</f>
        <v>0</v>
      </c>
      <c r="CG15" s="306">
        <f>COUNTIF('Knock Out Stages'!L7:L50,BW15)</f>
        <v>0</v>
      </c>
      <c r="CH15" s="306">
        <f>COUNTIF('Knock Out Stages'!M7:M50,BW15)</f>
        <v>0</v>
      </c>
      <c r="CI15" s="306">
        <f>COUNTIF('Knock Out Stages'!N7:N50,BW15)</f>
        <v>0</v>
      </c>
      <c r="CJ15" s="306">
        <f>COUNTIF('Knock Out Stages'!O7:O50,BW15)</f>
        <v>0</v>
      </c>
      <c r="CK15" s="306">
        <f>COUNTIF('Knock Out Stages'!P7:P50,BW15)</f>
        <v>0</v>
      </c>
      <c r="CL15" s="306">
        <f>COUNTIF('Knock Out Stages'!Q7:Q50,BW15)</f>
        <v>0</v>
      </c>
      <c r="CM15" s="306">
        <f>COUNTIF('Knock Out Stages'!R7:R50,BW15)</f>
        <v>0</v>
      </c>
      <c r="CN15" s="306">
        <f>IF(RIGHT('Group Stages'!$B$105,5)="T.com",SUM(BX15:CM15),0)</f>
        <v>0</v>
      </c>
      <c r="CO15" s="306">
        <f ca="1">RANK(CN15,CN3:CN834)+COUNTIF(CN3:CN15,CN15)-1</f>
        <v>13</v>
      </c>
      <c r="CP15" s="306" t="str">
        <f t="shared" ca="1" si="2"/>
        <v>Ismaïla Sarr (Senegal)</v>
      </c>
    </row>
    <row r="16" spans="1:94" x14ac:dyDescent="0.3">
      <c r="A16" s="306">
        <v>14</v>
      </c>
      <c r="B16" s="306" t="str">
        <f>'Player Database'!C19</f>
        <v>Kalidou Koulibaly</v>
      </c>
      <c r="C16" s="306" t="str">
        <f>'Player Database'!D19</f>
        <v>Memphis Depay</v>
      </c>
      <c r="D16" s="306" t="str">
        <f>'Player Database'!E19</f>
        <v>Karim Boudiaf</v>
      </c>
      <c r="E16" s="306" t="str">
        <f>'Player Database'!F19</f>
        <v>Jeremy Sarmiento</v>
      </c>
      <c r="F16" s="306" t="str">
        <f>'Player Database'!G19</f>
        <v>Jordan Henderson</v>
      </c>
      <c r="G16" s="306" t="str">
        <f>'Player Database'!H19</f>
        <v>Mehdi Torabi</v>
      </c>
      <c r="H16" s="306" t="str">
        <f>'Player Database'!I19</f>
        <v>Josh Sargent</v>
      </c>
      <c r="I16" s="306" t="str">
        <f>'Player Database'!J19</f>
        <v>Harry Wilson</v>
      </c>
      <c r="J16" s="306" t="str">
        <f>'Player Database'!K19</f>
        <v>Juan Foyth</v>
      </c>
      <c r="K16" s="306" t="str">
        <f>'Player Database'!L19</f>
        <v>Mohammed Al Rubaie</v>
      </c>
      <c r="L16" s="306" t="str">
        <f>'Player Database'!M19</f>
        <v>Jesús Gallardo</v>
      </c>
      <c r="M16" s="306" t="str">
        <f>'Player Database'!N19</f>
        <v>Krzysztof Piątek</v>
      </c>
      <c r="N16" s="306" t="str">
        <f>'Player Database'!O19</f>
        <v>Kasper Dolberg</v>
      </c>
      <c r="O16" s="306" t="str">
        <f>'Player Database'!P19</f>
        <v>Issam Jebali</v>
      </c>
      <c r="P16" s="306" t="str">
        <f>'Player Database'!Q19</f>
        <v>Karim Benzema</v>
      </c>
      <c r="Q16" s="306" t="str">
        <f>'Player Database'!R19</f>
        <v>Jamie Maclaren</v>
      </c>
      <c r="R16" s="306" t="str">
        <f>'Player Database'!S19</f>
        <v>Leroy Sané</v>
      </c>
      <c r="S16" s="306" t="str">
        <f>'Player Database'!T19</f>
        <v>Maya Yoshida</v>
      </c>
      <c r="T16" s="306" t="str">
        <f>'Player Database'!U19</f>
        <v>José Gayà</v>
      </c>
      <c r="U16" s="306" t="str">
        <f>'Player Database'!V19</f>
        <v>Jewison Bennette</v>
      </c>
      <c r="V16" s="306" t="str">
        <f>'Player Database'!W19</f>
        <v>Munir Mohamedi</v>
      </c>
      <c r="W16" s="306" t="str">
        <f>'Player Database'!X19</f>
        <v>Josip Šutalo</v>
      </c>
      <c r="X16" s="306" t="str">
        <f>'Player Database'!Y19</f>
        <v>Loïs Openda</v>
      </c>
      <c r="Y16" s="306" t="str">
        <f>'Player Database'!Z19</f>
        <v>Junior Hoilett</v>
      </c>
      <c r="Z16" s="306" t="str">
        <f>'Player Database'!AA19</f>
        <v>Fred</v>
      </c>
      <c r="AA16" s="306" t="str">
        <f>'Player Database'!AB19</f>
        <v>Nemanja Gudelj</v>
      </c>
      <c r="AB16" s="306" t="str">
        <f>'Player Database'!AC19</f>
        <v>Jonas Omlin</v>
      </c>
      <c r="AC16" s="306" t="str">
        <f>'Player Database'!AD19</f>
        <v>Jerome Ngom Mbekeli</v>
      </c>
      <c r="AD16" s="306" t="str">
        <f>'Player Database'!AE19</f>
        <v>José Sá</v>
      </c>
      <c r="AE16" s="306" t="str">
        <f>'Player Database'!AF19</f>
        <v>Ibrahim Danlad</v>
      </c>
      <c r="AF16" s="306" t="str">
        <f>'Player Database'!AG19</f>
        <v>Luis Suárez</v>
      </c>
      <c r="AG16" s="306" t="str">
        <f>'Player Database'!AH19</f>
        <v>Kim Tae-hwan</v>
      </c>
      <c r="AI16" s="306" t="str">
        <f ca="1">IFERROR(INDEX(B3:AG28,A16,MATCH(AI2,B2:AG2,0)),"")</f>
        <v/>
      </c>
      <c r="AJ16" s="306" t="str">
        <f ca="1">IFERROR(INDEX(B3:AG28,A16,MATCH(AJ2,B2:AG2,0)),"")</f>
        <v/>
      </c>
      <c r="AK16" s="306" t="str">
        <f ca="1">IFERROR(INDEX(B3:AG28,A16,MATCH(AK2,B2:AG2,0)),"")</f>
        <v/>
      </c>
      <c r="AL16" s="306" t="str">
        <f ca="1">IFERROR(INDEX(B3:AG28,A16,MATCH(AL2,B2:AG2,0)),"")</f>
        <v/>
      </c>
      <c r="AM16" s="306" t="str">
        <f ca="1">IFERROR(INDEX(B3:AG28,A16,MATCH(AM2,B2:AG2,0)),"")</f>
        <v/>
      </c>
      <c r="AN16" s="306" t="str">
        <f ca="1">IFERROR(INDEX(B3:AG28,A16,MATCH(AN2,B2:AG2,0)),"")</f>
        <v/>
      </c>
      <c r="AO16" s="306" t="str">
        <f ca="1">IFERROR(INDEX(B3:AG28,A16,MATCH(AO2,B2:AG2,0)),"")</f>
        <v/>
      </c>
      <c r="AP16" s="306" t="str">
        <f ca="1">IFERROR(INDEX(B3:AG28,A16,MATCH(AP2,B2:AG2,0)),"")</f>
        <v/>
      </c>
      <c r="AQ16" s="306" t="str">
        <f ca="1">IFERROR(INDEX(B3:AG28,A16,MATCH(AQ2,B2:AG2,0)),"")</f>
        <v/>
      </c>
      <c r="AR16" s="306" t="str">
        <f ca="1">IFERROR(INDEX(B3:AG28,A16,MATCH(AR2,B2:AG2,0)),"")</f>
        <v/>
      </c>
      <c r="AS16" s="306" t="str">
        <f ca="1">IFERROR(INDEX(B3:AG28,A16,MATCH(AS2,B2:AG2,0)),"")</f>
        <v/>
      </c>
      <c r="AT16" s="306" t="str">
        <f ca="1">IFERROR(INDEX(B3:AG28,A16,MATCH(AT2,B2:AG2,0)),"")</f>
        <v/>
      </c>
      <c r="AU16" s="306" t="str">
        <f ca="1">IFERROR(INDEX(B3:AG28,A16,MATCH(AU2,B2:AG2,0)),"")</f>
        <v/>
      </c>
      <c r="AV16" s="306" t="str">
        <f ca="1">IFERROR(INDEX(B3:AG28,A16,MATCH(AV2,B2:AG2,0)),"")</f>
        <v/>
      </c>
      <c r="AW16" s="306" t="str">
        <f ca="1">IFERROR(INDEX(B3:AG28,A16,MATCH(AW2,B2:AG2,0)),"")</f>
        <v/>
      </c>
      <c r="AX16" s="306" t="str">
        <f ca="1">IFERROR(INDEX(B3:AG28,A16,MATCH(AX2,B2:AG2,0)),"")</f>
        <v/>
      </c>
      <c r="AZ16" s="306" t="str">
        <f ca="1">IFERROR(INDEX(B3:AG28,A16,MATCH(AZ2,B2:AG2,0)),"")</f>
        <v/>
      </c>
      <c r="BA16" s="306" t="str">
        <f ca="1">IFERROR(INDEX(B3:AG28,A16,MATCH(BA2,B2:AG2,0)),"")</f>
        <v/>
      </c>
      <c r="BB16" s="306" t="str">
        <f ca="1">IFERROR(INDEX(B3:AG28,A16,MATCH(BB2,B2:AG2,0)),"")</f>
        <v/>
      </c>
      <c r="BC16" s="306" t="str">
        <f ca="1">IFERROR(INDEX(B3:AG28,A16,MATCH(BC2,B2:AG2,0)),"")</f>
        <v/>
      </c>
      <c r="BD16" s="306" t="str">
        <f ca="1">IFERROR(INDEX(B3:AG28,A16,MATCH(BD2,B2:AG2,0)),"")</f>
        <v/>
      </c>
      <c r="BE16" s="306" t="str">
        <f ca="1">IFERROR(INDEX(B3:AG28,A16,MATCH(BE2,B2:AG2,0)),"")</f>
        <v/>
      </c>
      <c r="BF16" s="306" t="str">
        <f ca="1">IFERROR(INDEX(B3:AG28,A16,MATCH(BF2,B2:AG2,0)),"")</f>
        <v/>
      </c>
      <c r="BG16" s="306" t="str">
        <f ca="1">IFERROR(INDEX(B3:AG28,A16,MATCH(BG2,B2:AG2,0)),"")</f>
        <v/>
      </c>
      <c r="BI16" s="306" t="str">
        <f ca="1">IFERROR(INDEX(B3:AG28,A16,MATCH(BI2,B2:AG2,0)),"")</f>
        <v/>
      </c>
      <c r="BJ16" s="306" t="str">
        <f ca="1">IFERROR(INDEX(B3:AG28,A16,MATCH(BJ2,B2:AG2,0)),"")</f>
        <v/>
      </c>
      <c r="BK16" s="306" t="str">
        <f ca="1">IFERROR(INDEX(B3:AG28,A16,MATCH(BK2,B2:AG2,0)),"")</f>
        <v/>
      </c>
      <c r="BL16" s="306" t="str">
        <f ca="1">IFERROR(INDEX(B3:AG28,A16,MATCH(BL2,B2:AG2,0)),"")</f>
        <v/>
      </c>
      <c r="BN16" s="306" t="str">
        <f ca="1">IFERROR(INDEX(B3:AG28,A16,MATCH(BN2,B2:AG2,0)),"")</f>
        <v/>
      </c>
      <c r="BO16" s="306" t="str">
        <f ca="1">IFERROR(INDEX(B3:AG28,A16,MATCH(BO2,B2:AG2,0)),"")</f>
        <v/>
      </c>
      <c r="BQ16" s="306" t="str">
        <f ca="1">IFERROR(INDEX(B3:AG28,A16,MATCH(BQ2,B2:AG2,0)),"")</f>
        <v/>
      </c>
      <c r="BR16" s="306" t="str">
        <f ca="1">IFERROR(INDEX(B3:AG28,A16,MATCH(BR2,B2:AG2,0)),"")</f>
        <v/>
      </c>
      <c r="BT16" s="306" t="str">
        <f t="shared" ca="1" si="3"/>
        <v>Senegal</v>
      </c>
      <c r="BW16" s="306" t="str">
        <f t="shared" si="1"/>
        <v>Kalidou Koulibaly</v>
      </c>
      <c r="BX16" s="306">
        <f>COUNTIF('Group Stages'!J7:J102,BW16)</f>
        <v>0</v>
      </c>
      <c r="BY16" s="306">
        <f>COUNTIF('Group Stages'!K7:K102,BW16)</f>
        <v>0</v>
      </c>
      <c r="BZ16" s="306">
        <f>COUNTIF('Group Stages'!L7:L102,BW16)</f>
        <v>0</v>
      </c>
      <c r="CA16" s="306">
        <f>COUNTIF('Group Stages'!M7:M102,BW16)</f>
        <v>0</v>
      </c>
      <c r="CB16" s="306">
        <f>COUNTIF('Group Stages'!N7:N102,BW16)</f>
        <v>0</v>
      </c>
      <c r="CC16" s="306">
        <f>COUNTIF('Group Stages'!O7:O102,BW16)</f>
        <v>0</v>
      </c>
      <c r="CD16" s="306">
        <f>COUNTIF('Group Stages'!P7:P102,BW16)</f>
        <v>0</v>
      </c>
      <c r="CE16" s="306">
        <f>COUNTIF('Group Stages'!Q7:Q102,BW16)</f>
        <v>0</v>
      </c>
      <c r="CF16" s="306">
        <f>COUNTIF('Knock Out Stages'!K7:K50,BW16)</f>
        <v>0</v>
      </c>
      <c r="CG16" s="306">
        <f>COUNTIF('Knock Out Stages'!L7:L50,BW16)</f>
        <v>0</v>
      </c>
      <c r="CH16" s="306">
        <f>COUNTIF('Knock Out Stages'!M7:M50,BW16)</f>
        <v>0</v>
      </c>
      <c r="CI16" s="306">
        <f>COUNTIF('Knock Out Stages'!N7:N50,BW16)</f>
        <v>0</v>
      </c>
      <c r="CJ16" s="306">
        <f>COUNTIF('Knock Out Stages'!O7:O50,BW16)</f>
        <v>0</v>
      </c>
      <c r="CK16" s="306">
        <f>COUNTIF('Knock Out Stages'!P7:P50,BW16)</f>
        <v>0</v>
      </c>
      <c r="CL16" s="306">
        <f>COUNTIF('Knock Out Stages'!Q7:Q50,BW16)</f>
        <v>0</v>
      </c>
      <c r="CM16" s="306">
        <f>COUNTIF('Knock Out Stages'!R7:R50,BW16)</f>
        <v>0</v>
      </c>
      <c r="CN16" s="306">
        <f>IF(RIGHT('Group Stages'!$B$105,5)="T.com",SUM(BX16:CM16),0)</f>
        <v>0</v>
      </c>
      <c r="CO16" s="306">
        <f ca="1">RANK(CN16,CN3:CN834)+COUNTIF(CN3:CN16,CN16)-1</f>
        <v>14</v>
      </c>
      <c r="CP16" s="306" t="str">
        <f t="shared" ca="1" si="2"/>
        <v>Kalidou Koulibaly (Senegal)</v>
      </c>
    </row>
    <row r="17" spans="1:94" x14ac:dyDescent="0.3">
      <c r="A17" s="306">
        <v>15</v>
      </c>
      <c r="B17" s="306" t="str">
        <f>'Player Database'!C20</f>
        <v>Krépin Diatta</v>
      </c>
      <c r="C17" s="306" t="str">
        <f>'Player Database'!D20</f>
        <v>Nathan Aké</v>
      </c>
      <c r="D17" s="306" t="str">
        <f>'Player Database'!E20</f>
        <v>Khalid Muneer</v>
      </c>
      <c r="E17" s="306" t="str">
        <f>'Player Database'!F20</f>
        <v>José Cifuentes</v>
      </c>
      <c r="F17" s="306" t="str">
        <f>'Player Database'!G20</f>
        <v>Jordan Pickford</v>
      </c>
      <c r="G17" s="306" t="str">
        <f>'Player Database'!H20</f>
        <v>Milad Mohammadi</v>
      </c>
      <c r="H17" s="306" t="str">
        <f>'Player Database'!I20</f>
        <v>Kellyn Acosta</v>
      </c>
      <c r="I17" s="306" t="str">
        <f>'Player Database'!J20</f>
        <v>Joe Allen</v>
      </c>
      <c r="J17" s="306" t="str">
        <f>'Player Database'!K20</f>
        <v>Julián Álvarez</v>
      </c>
      <c r="K17" s="306" t="str">
        <f>'Player Database'!L20</f>
        <v>Mohammed Al-Breik</v>
      </c>
      <c r="L17" s="306" t="str">
        <f>'Player Database'!M20</f>
        <v>Johan Vásquez</v>
      </c>
      <c r="M17" s="306" t="str">
        <f>'Player Database'!N20</f>
        <v>Łukasz Skorupski</v>
      </c>
      <c r="N17" s="306" t="str">
        <f>'Player Database'!O20</f>
        <v>Kasper Schmeichel</v>
      </c>
      <c r="O17" s="306" t="str">
        <f>'Player Database'!P20</f>
        <v>Mohamed Ali Ben Romdhane</v>
      </c>
      <c r="P17" s="306" t="str">
        <f>'Player Database'!Q20</f>
        <v>Kingsley Coman</v>
      </c>
      <c r="Q17" s="306" t="str">
        <f>'Player Database'!R20</f>
        <v>Jason Cummings</v>
      </c>
      <c r="R17" s="306" t="str">
        <f>'Player Database'!S20</f>
        <v>Lukas Klostermann</v>
      </c>
      <c r="S17" s="306" t="str">
        <f>'Player Database'!T20</f>
        <v>Miki Yamane</v>
      </c>
      <c r="T17" s="306" t="str">
        <f>'Player Database'!U20</f>
        <v>Koke</v>
      </c>
      <c r="U17" s="306" t="str">
        <f>'Player Database'!V20</f>
        <v>Joel Campbell</v>
      </c>
      <c r="V17" s="306" t="str">
        <f>'Player Database'!W20</f>
        <v>Nayef Aguerd</v>
      </c>
      <c r="W17" s="306" t="str">
        <f>'Player Database'!X20</f>
        <v>Joško Gvardiol</v>
      </c>
      <c r="X17" s="306" t="str">
        <f>'Player Database'!Y20</f>
        <v>Michy Batshuayi</v>
      </c>
      <c r="Y17" s="306" t="str">
        <f>'Player Database'!Z20</f>
        <v>Kamal Miller</v>
      </c>
      <c r="Z17" s="306" t="str">
        <f>'Player Database'!AA20</f>
        <v>Gabriel Jesus</v>
      </c>
      <c r="AA17" s="306" t="str">
        <f>'Player Database'!AB20</f>
        <v>Nemanja Maksimović</v>
      </c>
      <c r="AB17" s="306" t="str">
        <f>'Player Database'!AC20</f>
        <v>Manuel Akanji</v>
      </c>
      <c r="AC17" s="306" t="str">
        <f>'Player Database'!AD20</f>
        <v>Karl Toko Ekambi</v>
      </c>
      <c r="AD17" s="306" t="str">
        <f>'Player Database'!AE20</f>
        <v>Matheus Nunes</v>
      </c>
      <c r="AE17" s="306" t="str">
        <f>'Player Database'!AF20</f>
        <v>Iñaki Williams</v>
      </c>
      <c r="AF17" s="306" t="str">
        <f>'Player Database'!AG20</f>
        <v>Manuel Ugarte</v>
      </c>
      <c r="AG17" s="306" t="str">
        <f>'Player Database'!AH20</f>
        <v>Kim Young-gwon</v>
      </c>
      <c r="AI17" s="306" t="str">
        <f ca="1">IFERROR(INDEX(B3:AG28,A17,MATCH(AI2,B2:AG2,0)),"")</f>
        <v/>
      </c>
      <c r="AJ17" s="306" t="str">
        <f ca="1">IFERROR(INDEX(B3:AG28,A17,MATCH(AJ2,B2:AG2,0)),"")</f>
        <v/>
      </c>
      <c r="AK17" s="306" t="str">
        <f ca="1">IFERROR(INDEX(B3:AG28,A17,MATCH(AK2,B2:AG2,0)),"")</f>
        <v/>
      </c>
      <c r="AL17" s="306" t="str">
        <f ca="1">IFERROR(INDEX(B3:AG28,A17,MATCH(AL2,B2:AG2,0)),"")</f>
        <v/>
      </c>
      <c r="AM17" s="306" t="str">
        <f ca="1">IFERROR(INDEX(B3:AG28,A17,MATCH(AM2,B2:AG2,0)),"")</f>
        <v/>
      </c>
      <c r="AN17" s="306" t="str">
        <f ca="1">IFERROR(INDEX(B3:AG28,A17,MATCH(AN2,B2:AG2,0)),"")</f>
        <v/>
      </c>
      <c r="AO17" s="306" t="str">
        <f ca="1">IFERROR(INDEX(B3:AG28,A17,MATCH(AO2,B2:AG2,0)),"")</f>
        <v/>
      </c>
      <c r="AP17" s="306" t="str">
        <f ca="1">IFERROR(INDEX(B3:AG28,A17,MATCH(AP2,B2:AG2,0)),"")</f>
        <v/>
      </c>
      <c r="AQ17" s="306" t="str">
        <f ca="1">IFERROR(INDEX(B3:AG28,A17,MATCH(AQ2,B2:AG2,0)),"")</f>
        <v/>
      </c>
      <c r="AR17" s="306" t="str">
        <f ca="1">IFERROR(INDEX(B3:AG28,A17,MATCH(AR2,B2:AG2,0)),"")</f>
        <v/>
      </c>
      <c r="AS17" s="306" t="str">
        <f ca="1">IFERROR(INDEX(B3:AG28,A17,MATCH(AS2,B2:AG2,0)),"")</f>
        <v/>
      </c>
      <c r="AT17" s="306" t="str">
        <f ca="1">IFERROR(INDEX(B3:AG28,A17,MATCH(AT2,B2:AG2,0)),"")</f>
        <v/>
      </c>
      <c r="AU17" s="306" t="str">
        <f ca="1">IFERROR(INDEX(B3:AG28,A17,MATCH(AU2,B2:AG2,0)),"")</f>
        <v/>
      </c>
      <c r="AV17" s="306" t="str">
        <f ca="1">IFERROR(INDEX(B3:AG28,A17,MATCH(AV2,B2:AG2,0)),"")</f>
        <v/>
      </c>
      <c r="AW17" s="306" t="str">
        <f ca="1">IFERROR(INDEX(B3:AG28,A17,MATCH(AW2,B2:AG2,0)),"")</f>
        <v/>
      </c>
      <c r="AX17" s="306" t="str">
        <f ca="1">IFERROR(INDEX(B3:AG28,A17,MATCH(AX2,B2:AG2,0)),"")</f>
        <v/>
      </c>
      <c r="AZ17" s="306" t="str">
        <f ca="1">IFERROR(INDEX(B3:AG28,A17,MATCH(AZ2,B2:AG2,0)),"")</f>
        <v/>
      </c>
      <c r="BA17" s="306" t="str">
        <f ca="1">IFERROR(INDEX(B3:AG28,A17,MATCH(BA2,B2:AG2,0)),"")</f>
        <v/>
      </c>
      <c r="BB17" s="306" t="str">
        <f ca="1">IFERROR(INDEX(B3:AG28,A17,MATCH(BB2,B2:AG2,0)),"")</f>
        <v/>
      </c>
      <c r="BC17" s="306" t="str">
        <f ca="1">IFERROR(INDEX(B3:AG28,A17,MATCH(BC2,B2:AG2,0)),"")</f>
        <v/>
      </c>
      <c r="BD17" s="306" t="str">
        <f ca="1">IFERROR(INDEX(B3:AG28,A17,MATCH(BD2,B2:AG2,0)),"")</f>
        <v/>
      </c>
      <c r="BE17" s="306" t="str">
        <f ca="1">IFERROR(INDEX(B3:AG28,A17,MATCH(BE2,B2:AG2,0)),"")</f>
        <v/>
      </c>
      <c r="BF17" s="306" t="str">
        <f ca="1">IFERROR(INDEX(B3:AG28,A17,MATCH(BF2,B2:AG2,0)),"")</f>
        <v/>
      </c>
      <c r="BG17" s="306" t="str">
        <f ca="1">IFERROR(INDEX(B3:AG28,A17,MATCH(BG2,B2:AG2,0)),"")</f>
        <v/>
      </c>
      <c r="BI17" s="306" t="str">
        <f ca="1">IFERROR(INDEX(B3:AG28,A17,MATCH(BI2,B2:AG2,0)),"")</f>
        <v/>
      </c>
      <c r="BJ17" s="306" t="str">
        <f ca="1">IFERROR(INDEX(B3:AG28,A17,MATCH(BJ2,B2:AG2,0)),"")</f>
        <v/>
      </c>
      <c r="BK17" s="306" t="str">
        <f ca="1">IFERROR(INDEX(B3:AG28,A17,MATCH(BK2,B2:AG2,0)),"")</f>
        <v/>
      </c>
      <c r="BL17" s="306" t="str">
        <f ca="1">IFERROR(INDEX(B3:AG28,A17,MATCH(BL2,B2:AG2,0)),"")</f>
        <v/>
      </c>
      <c r="BN17" s="306" t="str">
        <f ca="1">IFERROR(INDEX(B3:AG28,A17,MATCH(BN2,B2:AG2,0)),"")</f>
        <v/>
      </c>
      <c r="BO17" s="306" t="str">
        <f ca="1">IFERROR(INDEX(B3:AG28,A17,MATCH(BO2,B2:AG2,0)),"")</f>
        <v/>
      </c>
      <c r="BQ17" s="306" t="str">
        <f ca="1">IFERROR(INDEX(B3:AG28,A17,MATCH(BQ2,B2:AG2,0)),"")</f>
        <v/>
      </c>
      <c r="BR17" s="306" t="str">
        <f ca="1">IFERROR(INDEX(B3:AG28,A17,MATCH(BR2,B2:AG2,0)),"")</f>
        <v/>
      </c>
      <c r="BT17" s="306" t="str">
        <f t="shared" ca="1" si="3"/>
        <v>Senegal</v>
      </c>
      <c r="BW17" s="306" t="str">
        <f t="shared" si="1"/>
        <v>Krépin Diatta</v>
      </c>
      <c r="BX17" s="306">
        <f>COUNTIF('Group Stages'!J7:J102,BW17)</f>
        <v>0</v>
      </c>
      <c r="BY17" s="306">
        <f>COUNTIF('Group Stages'!K7:K102,BW17)</f>
        <v>0</v>
      </c>
      <c r="BZ17" s="306">
        <f>COUNTIF('Group Stages'!L7:L102,BW17)</f>
        <v>0</v>
      </c>
      <c r="CA17" s="306">
        <f>COUNTIF('Group Stages'!M7:M102,BW17)</f>
        <v>0</v>
      </c>
      <c r="CB17" s="306">
        <f>COUNTIF('Group Stages'!N7:N102,BW17)</f>
        <v>0</v>
      </c>
      <c r="CC17" s="306">
        <f>COUNTIF('Group Stages'!O7:O102,BW17)</f>
        <v>0</v>
      </c>
      <c r="CD17" s="306">
        <f>COUNTIF('Group Stages'!P7:P102,BW17)</f>
        <v>0</v>
      </c>
      <c r="CE17" s="306">
        <f>COUNTIF('Group Stages'!Q7:Q102,BW17)</f>
        <v>0</v>
      </c>
      <c r="CF17" s="306">
        <f>COUNTIF('Knock Out Stages'!K7:K50,BW17)</f>
        <v>0</v>
      </c>
      <c r="CG17" s="306">
        <f>COUNTIF('Knock Out Stages'!L7:L50,BW17)</f>
        <v>0</v>
      </c>
      <c r="CH17" s="306">
        <f>COUNTIF('Knock Out Stages'!M7:M50,BW17)</f>
        <v>0</v>
      </c>
      <c r="CI17" s="306">
        <f>COUNTIF('Knock Out Stages'!N7:N50,BW17)</f>
        <v>0</v>
      </c>
      <c r="CJ17" s="306">
        <f>COUNTIF('Knock Out Stages'!O7:O50,BW17)</f>
        <v>0</v>
      </c>
      <c r="CK17" s="306">
        <f>COUNTIF('Knock Out Stages'!P7:P50,BW17)</f>
        <v>0</v>
      </c>
      <c r="CL17" s="306">
        <f>COUNTIF('Knock Out Stages'!Q7:Q50,BW17)</f>
        <v>0</v>
      </c>
      <c r="CM17" s="306">
        <f>COUNTIF('Knock Out Stages'!R7:R50,BW17)</f>
        <v>0</v>
      </c>
      <c r="CN17" s="306">
        <f>IF(RIGHT('Group Stages'!$B$105,5)="T.com",SUM(BX17:CM17),0)</f>
        <v>0</v>
      </c>
      <c r="CO17" s="306">
        <f ca="1">RANK(CN17,CN3:CN834)+COUNTIF(CN3:CN17,CN17)-1</f>
        <v>15</v>
      </c>
      <c r="CP17" s="306" t="str">
        <f t="shared" ca="1" si="2"/>
        <v>Krépin Diatta (Senegal)</v>
      </c>
    </row>
    <row r="18" spans="1:94" x14ac:dyDescent="0.3">
      <c r="A18" s="306">
        <v>16</v>
      </c>
      <c r="B18" s="306" t="str">
        <f>'Player Database'!C21</f>
        <v>Mamadou Loum</v>
      </c>
      <c r="C18" s="306" t="str">
        <f>'Player Database'!D21</f>
        <v>Noa Lang</v>
      </c>
      <c r="D18" s="306" t="str">
        <f>'Player Database'!E21</f>
        <v>Meshaal Barsham</v>
      </c>
      <c r="E18" s="306" t="str">
        <f>'Player Database'!F21</f>
        <v>Kevin Rodríguez</v>
      </c>
      <c r="F18" s="306" t="str">
        <f>'Player Database'!G21</f>
        <v>Jude Bellingham</v>
      </c>
      <c r="G18" s="306" t="str">
        <f>'Player Database'!H21</f>
        <v>Morteza Pouraliganji</v>
      </c>
      <c r="H18" s="306" t="str">
        <f>'Player Database'!I21</f>
        <v>Luca de la Torre</v>
      </c>
      <c r="I18" s="306" t="str">
        <f>'Player Database'!J21</f>
        <v>Joe Morrell</v>
      </c>
      <c r="J18" s="306" t="str">
        <f>'Player Database'!K21</f>
        <v>Lautaro Martínez</v>
      </c>
      <c r="K18" s="306" t="str">
        <f>'Player Database'!L21</f>
        <v>Mohammed Al-Owais</v>
      </c>
      <c r="L18" s="306" t="str">
        <f>'Player Database'!M21</f>
        <v>Jorge Sánchez</v>
      </c>
      <c r="M18" s="306" t="str">
        <f>'Player Database'!N21</f>
        <v>Mateusz Wieteska</v>
      </c>
      <c r="N18" s="306" t="str">
        <f>'Player Database'!O21</f>
        <v>Martin Braithwaite</v>
      </c>
      <c r="O18" s="306" t="str">
        <f>'Player Database'!P21</f>
        <v>Mohamed Dräger</v>
      </c>
      <c r="P18" s="306" t="str">
        <f>'Player Database'!Q21</f>
        <v>Kylian Mbappé</v>
      </c>
      <c r="Q18" s="306" t="str">
        <f>'Player Database'!R21</f>
        <v>Joel King</v>
      </c>
      <c r="R18" s="306" t="str">
        <f>'Player Database'!S21</f>
        <v>Manuel Neuer</v>
      </c>
      <c r="S18" s="306" t="str">
        <f>'Player Database'!T21</f>
        <v>Ritsu Doan</v>
      </c>
      <c r="T18" s="306" t="str">
        <f>'Player Database'!U21</f>
        <v>Marco Asensio</v>
      </c>
      <c r="U18" s="306" t="str">
        <f>'Player Database'!V21</f>
        <v>Johan Venegas</v>
      </c>
      <c r="V18" s="306" t="str">
        <f>'Player Database'!W21</f>
        <v>Noussair Mazraoui</v>
      </c>
      <c r="W18" s="306" t="str">
        <f>'Player Database'!X21</f>
        <v>Kristijan Jakić</v>
      </c>
      <c r="X18" s="306" t="str">
        <f>'Player Database'!Y21</f>
        <v>Romelu Lukaku</v>
      </c>
      <c r="Y18" s="306" t="str">
        <f>'Player Database'!Z21</f>
        <v>Liam Fraser</v>
      </c>
      <c r="Z18" s="306" t="str">
        <f>'Player Database'!AA21</f>
        <v>Gabriel Martinelli</v>
      </c>
      <c r="AA18" s="306" t="str">
        <f>'Player Database'!AB21</f>
        <v>Nemanja Radonjić</v>
      </c>
      <c r="AB18" s="306" t="str">
        <f>'Player Database'!AC21</f>
        <v>Michel Aebischer</v>
      </c>
      <c r="AC18" s="306" t="str">
        <f>'Player Database'!AD21</f>
        <v>Marou Souaibou</v>
      </c>
      <c r="AD18" s="306" t="str">
        <f>'Player Database'!AE21</f>
        <v>Nuno Mendes</v>
      </c>
      <c r="AE18" s="306" t="str">
        <f>'Player Database'!AF21</f>
        <v>Jordan Ayew</v>
      </c>
      <c r="AF18" s="306" t="str">
        <f>'Player Database'!AG21</f>
        <v>Martín Cáceres</v>
      </c>
      <c r="AG18" s="306" t="str">
        <f>'Player Database'!AH21</f>
        <v>Kwon Chang-hoon</v>
      </c>
      <c r="AI18" s="306" t="str">
        <f ca="1">IFERROR(INDEX(B3:AG28,A18,MATCH(AI2,B2:AG2,0)),"")</f>
        <v/>
      </c>
      <c r="AJ18" s="306" t="str">
        <f ca="1">IFERROR(INDEX(B3:AG28,A18,MATCH(AJ2,B2:AG2,0)),"")</f>
        <v/>
      </c>
      <c r="AK18" s="306" t="str">
        <f ca="1">IFERROR(INDEX(B3:AG28,A18,MATCH(AK2,B2:AG2,0)),"")</f>
        <v/>
      </c>
      <c r="AL18" s="306" t="str">
        <f ca="1">IFERROR(INDEX(B3:AG28,A18,MATCH(AL2,B2:AG2,0)),"")</f>
        <v/>
      </c>
      <c r="AM18" s="306" t="str">
        <f ca="1">IFERROR(INDEX(B3:AG28,A18,MATCH(AM2,B2:AG2,0)),"")</f>
        <v/>
      </c>
      <c r="AN18" s="306" t="str">
        <f ca="1">IFERROR(INDEX(B3:AG28,A18,MATCH(AN2,B2:AG2,0)),"")</f>
        <v/>
      </c>
      <c r="AO18" s="306" t="str">
        <f ca="1">IFERROR(INDEX(B3:AG28,A18,MATCH(AO2,B2:AG2,0)),"")</f>
        <v/>
      </c>
      <c r="AP18" s="306" t="str">
        <f ca="1">IFERROR(INDEX(B3:AG28,A18,MATCH(AP2,B2:AG2,0)),"")</f>
        <v/>
      </c>
      <c r="AQ18" s="306" t="str">
        <f ca="1">IFERROR(INDEX(B3:AG28,A18,MATCH(AQ2,B2:AG2,0)),"")</f>
        <v/>
      </c>
      <c r="AR18" s="306" t="str">
        <f ca="1">IFERROR(INDEX(B3:AG28,A18,MATCH(AR2,B2:AG2,0)),"")</f>
        <v/>
      </c>
      <c r="AS18" s="306" t="str">
        <f ca="1">IFERROR(INDEX(B3:AG28,A18,MATCH(AS2,B2:AG2,0)),"")</f>
        <v/>
      </c>
      <c r="AT18" s="306" t="str">
        <f ca="1">IFERROR(INDEX(B3:AG28,A18,MATCH(AT2,B2:AG2,0)),"")</f>
        <v/>
      </c>
      <c r="AU18" s="306" t="str">
        <f ca="1">IFERROR(INDEX(B3:AG28,A18,MATCH(AU2,B2:AG2,0)),"")</f>
        <v/>
      </c>
      <c r="AV18" s="306" t="str">
        <f ca="1">IFERROR(INDEX(B3:AG28,A18,MATCH(AV2,B2:AG2,0)),"")</f>
        <v/>
      </c>
      <c r="AW18" s="306" t="str">
        <f ca="1">IFERROR(INDEX(B3:AG28,A18,MATCH(AW2,B2:AG2,0)),"")</f>
        <v/>
      </c>
      <c r="AX18" s="306" t="str">
        <f ca="1">IFERROR(INDEX(B3:AG28,A18,MATCH(AX2,B2:AG2,0)),"")</f>
        <v/>
      </c>
      <c r="AZ18" s="306" t="str">
        <f ca="1">IFERROR(INDEX(B3:AG28,A18,MATCH(AZ2,B2:AG2,0)),"")</f>
        <v/>
      </c>
      <c r="BA18" s="306" t="str">
        <f ca="1">IFERROR(INDEX(B3:AG28,A18,MATCH(BA2,B2:AG2,0)),"")</f>
        <v/>
      </c>
      <c r="BB18" s="306" t="str">
        <f ca="1">IFERROR(INDEX(B3:AG28,A18,MATCH(BB2,B2:AG2,0)),"")</f>
        <v/>
      </c>
      <c r="BC18" s="306" t="str">
        <f ca="1">IFERROR(INDEX(B3:AG28,A18,MATCH(BC2,B2:AG2,0)),"")</f>
        <v/>
      </c>
      <c r="BD18" s="306" t="str">
        <f ca="1">IFERROR(INDEX(B3:AG28,A18,MATCH(BD2,B2:AG2,0)),"")</f>
        <v/>
      </c>
      <c r="BE18" s="306" t="str">
        <f ca="1">IFERROR(INDEX(B3:AG28,A18,MATCH(BE2,B2:AG2,0)),"")</f>
        <v/>
      </c>
      <c r="BF18" s="306" t="str">
        <f ca="1">IFERROR(INDEX(B3:AG28,A18,MATCH(BF2,B2:AG2,0)),"")</f>
        <v/>
      </c>
      <c r="BG18" s="306" t="str">
        <f ca="1">IFERROR(INDEX(B3:AG28,A18,MATCH(BG2,B2:AG2,0)),"")</f>
        <v/>
      </c>
      <c r="BI18" s="306" t="str">
        <f ca="1">IFERROR(INDEX(B3:AG28,A18,MATCH(BI2,B2:AG2,0)),"")</f>
        <v/>
      </c>
      <c r="BJ18" s="306" t="str">
        <f ca="1">IFERROR(INDEX(B3:AG28,A18,MATCH(BJ2,B2:AG2,0)),"")</f>
        <v/>
      </c>
      <c r="BK18" s="306" t="str">
        <f ca="1">IFERROR(INDEX(B3:AG28,A18,MATCH(BK2,B2:AG2,0)),"")</f>
        <v/>
      </c>
      <c r="BL18" s="306" t="str">
        <f ca="1">IFERROR(INDEX(B3:AG28,A18,MATCH(BL2,B2:AG2,0)),"")</f>
        <v/>
      </c>
      <c r="BN18" s="306" t="str">
        <f ca="1">IFERROR(INDEX(B3:AG28,A18,MATCH(BN2,B2:AG2,0)),"")</f>
        <v/>
      </c>
      <c r="BO18" s="306" t="str">
        <f ca="1">IFERROR(INDEX(B3:AG28,A18,MATCH(BO2,B2:AG2,0)),"")</f>
        <v/>
      </c>
      <c r="BQ18" s="306" t="str">
        <f ca="1">IFERROR(INDEX(B3:AG28,A18,MATCH(BQ2,B2:AG2,0)),"")</f>
        <v/>
      </c>
      <c r="BR18" s="306" t="str">
        <f ca="1">IFERROR(INDEX(B3:AG28,A18,MATCH(BR2,B2:AG2,0)),"")</f>
        <v/>
      </c>
      <c r="BT18" s="306" t="str">
        <f t="shared" ca="1" si="3"/>
        <v>Senegal</v>
      </c>
      <c r="BW18" s="306" t="str">
        <f t="shared" si="1"/>
        <v>Mamadou Loum</v>
      </c>
      <c r="BX18" s="306">
        <f>COUNTIF('Group Stages'!J7:J102,BW18)</f>
        <v>0</v>
      </c>
      <c r="BY18" s="306">
        <f>COUNTIF('Group Stages'!K7:K102,BW18)</f>
        <v>0</v>
      </c>
      <c r="BZ18" s="306">
        <f>COUNTIF('Group Stages'!L7:L102,BW18)</f>
        <v>0</v>
      </c>
      <c r="CA18" s="306">
        <f>COUNTIF('Group Stages'!M7:M102,BW18)</f>
        <v>0</v>
      </c>
      <c r="CB18" s="306">
        <f>COUNTIF('Group Stages'!N7:N102,BW18)</f>
        <v>0</v>
      </c>
      <c r="CC18" s="306">
        <f>COUNTIF('Group Stages'!O7:O102,BW18)</f>
        <v>0</v>
      </c>
      <c r="CD18" s="306">
        <f>COUNTIF('Group Stages'!P7:P102,BW18)</f>
        <v>0</v>
      </c>
      <c r="CE18" s="306">
        <f>COUNTIF('Group Stages'!Q7:Q102,BW18)</f>
        <v>0</v>
      </c>
      <c r="CF18" s="306">
        <f>COUNTIF('Knock Out Stages'!K7:K50,BW18)</f>
        <v>0</v>
      </c>
      <c r="CG18" s="306">
        <f>COUNTIF('Knock Out Stages'!L7:L50,BW18)</f>
        <v>0</v>
      </c>
      <c r="CH18" s="306">
        <f>COUNTIF('Knock Out Stages'!M7:M50,BW18)</f>
        <v>0</v>
      </c>
      <c r="CI18" s="306">
        <f>COUNTIF('Knock Out Stages'!N7:N50,BW18)</f>
        <v>0</v>
      </c>
      <c r="CJ18" s="306">
        <f>COUNTIF('Knock Out Stages'!O7:O50,BW18)</f>
        <v>0</v>
      </c>
      <c r="CK18" s="306">
        <f>COUNTIF('Knock Out Stages'!P7:P50,BW18)</f>
        <v>0</v>
      </c>
      <c r="CL18" s="306">
        <f>COUNTIF('Knock Out Stages'!Q7:Q50,BW18)</f>
        <v>0</v>
      </c>
      <c r="CM18" s="306">
        <f>COUNTIF('Knock Out Stages'!R7:R50,BW18)</f>
        <v>0</v>
      </c>
      <c r="CN18" s="306">
        <f>IF(RIGHT('Group Stages'!$B$105,5)="T.com",SUM(BX18:CM18),0)</f>
        <v>0</v>
      </c>
      <c r="CO18" s="306">
        <f ca="1">RANK(CN18,CN3:CN834)+COUNTIF(CN3:CN18,CN18)-1</f>
        <v>16</v>
      </c>
      <c r="CP18" s="306" t="str">
        <f t="shared" ca="1" si="2"/>
        <v>Mamadou Loum (Senegal)</v>
      </c>
    </row>
    <row r="19" spans="1:94" x14ac:dyDescent="0.3">
      <c r="A19" s="306">
        <v>17</v>
      </c>
      <c r="B19" s="306" t="str">
        <f>'Player Database'!C22</f>
        <v>Moustapha Name</v>
      </c>
      <c r="C19" s="306" t="str">
        <f>'Player Database'!D22</f>
        <v>Remko Pasveer</v>
      </c>
      <c r="D19" s="306" t="str">
        <f>'Player Database'!E22</f>
        <v>Mohammed Muntari</v>
      </c>
      <c r="E19" s="306" t="str">
        <f>'Player Database'!F22</f>
        <v>Michael Estrada</v>
      </c>
      <c r="F19" s="306" t="str">
        <f>'Player Database'!G22</f>
        <v>Kalvin Phillips</v>
      </c>
      <c r="G19" s="306" t="str">
        <f>'Player Database'!H22</f>
        <v>Payam Niazmand</v>
      </c>
      <c r="H19" s="306" t="str">
        <f>'Player Database'!I22</f>
        <v>Matt Turner</v>
      </c>
      <c r="I19" s="306" t="str">
        <f>'Player Database'!J22</f>
        <v>Joe Rodon</v>
      </c>
      <c r="J19" s="306" t="str">
        <f>'Player Database'!K22</f>
        <v>Leandro Paredes</v>
      </c>
      <c r="K19" s="306" t="str">
        <f>'Player Database'!L22</f>
        <v>Nasser Al-Dawsari</v>
      </c>
      <c r="L19" s="306" t="str">
        <f>'Player Database'!M22</f>
        <v>Kevin Álvarez</v>
      </c>
      <c r="M19" s="306" t="str">
        <f>'Player Database'!N22</f>
        <v>Matty Cash</v>
      </c>
      <c r="N19" s="306" t="str">
        <f>'Player Database'!O22</f>
        <v>Mathias Jensen</v>
      </c>
      <c r="O19" s="306" t="str">
        <f>'Player Database'!P22</f>
        <v>Montassar Talbi</v>
      </c>
      <c r="P19" s="306" t="str">
        <f>'Player Database'!Q22</f>
        <v>Lucas Hernandez</v>
      </c>
      <c r="Q19" s="306" t="str">
        <f>'Player Database'!R22</f>
        <v>Keanu Baccus</v>
      </c>
      <c r="R19" s="306" t="str">
        <f>'Player Database'!S22</f>
        <v>Marc-André ter Stegen</v>
      </c>
      <c r="S19" s="306" t="str">
        <f>'Player Database'!T22</f>
        <v>Shōgo Taniguchi</v>
      </c>
      <c r="T19" s="306" t="str">
        <f>'Player Database'!U22</f>
        <v>Marcos Llorente</v>
      </c>
      <c r="U19" s="306" t="str">
        <f>'Player Database'!V22</f>
        <v>Juan Pablo Vargas</v>
      </c>
      <c r="V19" s="306" t="str">
        <f>'Player Database'!W22</f>
        <v>Romain Saïss</v>
      </c>
      <c r="W19" s="306" t="str">
        <f>'Player Database'!X22</f>
        <v>Lovro Majer</v>
      </c>
      <c r="X19" s="306" t="str">
        <f>'Player Database'!Y22</f>
        <v>Simon Mignolet</v>
      </c>
      <c r="Y19" s="306" t="str">
        <f>'Player Database'!Z22</f>
        <v>Liam Millar</v>
      </c>
      <c r="Z19" s="306" t="str">
        <f>'Player Database'!AA22</f>
        <v>Lucas Paquetá</v>
      </c>
      <c r="AA19" s="306" t="str">
        <f>'Player Database'!AB22</f>
        <v>Nikola Milenković</v>
      </c>
      <c r="AB19" s="306" t="str">
        <f>'Player Database'!AC22</f>
        <v>Nico Elvedi</v>
      </c>
      <c r="AC19" s="306" t="str">
        <f>'Player Database'!AD22</f>
        <v>Martin Hongla</v>
      </c>
      <c r="AD19" s="306" t="str">
        <f>'Player Database'!AE22</f>
        <v>Otávio</v>
      </c>
      <c r="AE19" s="306" t="str">
        <f>'Player Database'!AF22</f>
        <v>Joseph Aidoo</v>
      </c>
      <c r="AF19" s="306" t="str">
        <f>'Player Database'!AG22</f>
        <v>Mathías Olivera</v>
      </c>
      <c r="AG19" s="306" t="str">
        <f>'Player Database'!AH22</f>
        <v>Kwon Kyung-won</v>
      </c>
      <c r="AI19" s="306" t="str">
        <f ca="1">IFERROR(INDEX(B3:AG28,A19,MATCH(AI2,B2:AG2,0)),"")</f>
        <v/>
      </c>
      <c r="AJ19" s="306" t="str">
        <f ca="1">IFERROR(INDEX(B3:AG28,A19,MATCH(AJ2,B2:AG2,0)),"")</f>
        <v/>
      </c>
      <c r="AK19" s="306" t="str">
        <f ca="1">IFERROR(INDEX(B3:AG28,A19,MATCH(AK2,B2:AG2,0)),"")</f>
        <v/>
      </c>
      <c r="AL19" s="306" t="str">
        <f ca="1">IFERROR(INDEX(B3:AG28,A19,MATCH(AL2,B2:AG2,0)),"")</f>
        <v/>
      </c>
      <c r="AM19" s="306" t="str">
        <f ca="1">IFERROR(INDEX(B3:AG28,A19,MATCH(AM2,B2:AG2,0)),"")</f>
        <v/>
      </c>
      <c r="AN19" s="306" t="str">
        <f ca="1">IFERROR(INDEX(B3:AG28,A19,MATCH(AN2,B2:AG2,0)),"")</f>
        <v/>
      </c>
      <c r="AO19" s="306" t="str">
        <f ca="1">IFERROR(INDEX(B3:AG28,A19,MATCH(AO2,B2:AG2,0)),"")</f>
        <v/>
      </c>
      <c r="AP19" s="306" t="str">
        <f ca="1">IFERROR(INDEX(B3:AG28,A19,MATCH(AP2,B2:AG2,0)),"")</f>
        <v/>
      </c>
      <c r="AQ19" s="306" t="str">
        <f ca="1">IFERROR(INDEX(B3:AG28,A19,MATCH(AQ2,B2:AG2,0)),"")</f>
        <v/>
      </c>
      <c r="AR19" s="306" t="str">
        <f ca="1">IFERROR(INDEX(B3:AG28,A19,MATCH(AR2,B2:AG2,0)),"")</f>
        <v/>
      </c>
      <c r="AS19" s="306" t="str">
        <f ca="1">IFERROR(INDEX(B3:AG28,A19,MATCH(AS2,B2:AG2,0)),"")</f>
        <v/>
      </c>
      <c r="AT19" s="306" t="str">
        <f ca="1">IFERROR(INDEX(B3:AG28,A19,MATCH(AT2,B2:AG2,0)),"")</f>
        <v/>
      </c>
      <c r="AU19" s="306" t="str">
        <f ca="1">IFERROR(INDEX(B3:AG28,A19,MATCH(AU2,B2:AG2,0)),"")</f>
        <v/>
      </c>
      <c r="AV19" s="306" t="str">
        <f ca="1">IFERROR(INDEX(B3:AG28,A19,MATCH(AV2,B2:AG2,0)),"")</f>
        <v/>
      </c>
      <c r="AW19" s="306" t="str">
        <f ca="1">IFERROR(INDEX(B3:AG28,A19,MATCH(AW2,B2:AG2,0)),"")</f>
        <v/>
      </c>
      <c r="AX19" s="306" t="str">
        <f ca="1">IFERROR(INDEX(B3:AG28,A19,MATCH(AX2,B2:AG2,0)),"")</f>
        <v/>
      </c>
      <c r="AZ19" s="306" t="str">
        <f ca="1">IFERROR(INDEX(B3:AG28,A19,MATCH(AZ2,B2:AG2,0)),"")</f>
        <v/>
      </c>
      <c r="BA19" s="306" t="str">
        <f ca="1">IFERROR(INDEX(B3:AG28,A19,MATCH(BA2,B2:AG2,0)),"")</f>
        <v/>
      </c>
      <c r="BB19" s="306" t="str">
        <f ca="1">IFERROR(INDEX(B3:AG28,A19,MATCH(BB2,B2:AG2,0)),"")</f>
        <v/>
      </c>
      <c r="BC19" s="306" t="str">
        <f ca="1">IFERROR(INDEX(B3:AG28,A19,MATCH(BC2,B2:AG2,0)),"")</f>
        <v/>
      </c>
      <c r="BD19" s="306" t="str">
        <f ca="1">IFERROR(INDEX(B3:AG28,A19,MATCH(BD2,B2:AG2,0)),"")</f>
        <v/>
      </c>
      <c r="BE19" s="306" t="str">
        <f ca="1">IFERROR(INDEX(B3:AG28,A19,MATCH(BE2,B2:AG2,0)),"")</f>
        <v/>
      </c>
      <c r="BF19" s="306" t="str">
        <f ca="1">IFERROR(INDEX(B3:AG28,A19,MATCH(BF2,B2:AG2,0)),"")</f>
        <v/>
      </c>
      <c r="BG19" s="306" t="str">
        <f ca="1">IFERROR(INDEX(B3:AG28,A19,MATCH(BG2,B2:AG2,0)),"")</f>
        <v/>
      </c>
      <c r="BI19" s="306" t="str">
        <f ca="1">IFERROR(INDEX(B3:AG28,A19,MATCH(BI2,B2:AG2,0)),"")</f>
        <v/>
      </c>
      <c r="BJ19" s="306" t="str">
        <f ca="1">IFERROR(INDEX(B3:AG28,A19,MATCH(BJ2,B2:AG2,0)),"")</f>
        <v/>
      </c>
      <c r="BK19" s="306" t="str">
        <f ca="1">IFERROR(INDEX(B3:AG28,A19,MATCH(BK2,B2:AG2,0)),"")</f>
        <v/>
      </c>
      <c r="BL19" s="306" t="str">
        <f ca="1">IFERROR(INDEX(B3:AG28,A19,MATCH(BL2,B2:AG2,0)),"")</f>
        <v/>
      </c>
      <c r="BN19" s="306" t="str">
        <f ca="1">IFERROR(INDEX(B3:AG28,A19,MATCH(BN2,B2:AG2,0)),"")</f>
        <v/>
      </c>
      <c r="BO19" s="306" t="str">
        <f ca="1">IFERROR(INDEX(B3:AG28,A19,MATCH(BO2,B2:AG2,0)),"")</f>
        <v/>
      </c>
      <c r="BQ19" s="306" t="str">
        <f ca="1">IFERROR(INDEX(B3:AG28,A19,MATCH(BQ2,B2:AG2,0)),"")</f>
        <v/>
      </c>
      <c r="BR19" s="306" t="str">
        <f ca="1">IFERROR(INDEX(B3:AG28,A19,MATCH(BR2,B2:AG2,0)),"")</f>
        <v/>
      </c>
      <c r="BT19" s="306" t="str">
        <f t="shared" ca="1" si="3"/>
        <v>Senegal</v>
      </c>
      <c r="BW19" s="306" t="str">
        <f t="shared" si="1"/>
        <v>Moustapha Name</v>
      </c>
      <c r="BX19" s="306">
        <f>COUNTIF('Group Stages'!J7:J102,BW19)</f>
        <v>0</v>
      </c>
      <c r="BY19" s="306">
        <f>COUNTIF('Group Stages'!K7:K102,BW19)</f>
        <v>0</v>
      </c>
      <c r="BZ19" s="306">
        <f>COUNTIF('Group Stages'!L7:L102,BW19)</f>
        <v>0</v>
      </c>
      <c r="CA19" s="306">
        <f>COUNTIF('Group Stages'!M7:M102,BW19)</f>
        <v>0</v>
      </c>
      <c r="CB19" s="306">
        <f>COUNTIF('Group Stages'!N7:N102,BW19)</f>
        <v>0</v>
      </c>
      <c r="CC19" s="306">
        <f>COUNTIF('Group Stages'!O7:O102,BW19)</f>
        <v>0</v>
      </c>
      <c r="CD19" s="306">
        <f>COUNTIF('Group Stages'!P7:P102,BW19)</f>
        <v>0</v>
      </c>
      <c r="CE19" s="306">
        <f>COUNTIF('Group Stages'!Q7:Q102,BW19)</f>
        <v>0</v>
      </c>
      <c r="CF19" s="306">
        <f>COUNTIF('Knock Out Stages'!K7:K50,BW19)</f>
        <v>0</v>
      </c>
      <c r="CG19" s="306">
        <f>COUNTIF('Knock Out Stages'!L7:L50,BW19)</f>
        <v>0</v>
      </c>
      <c r="CH19" s="306">
        <f>COUNTIF('Knock Out Stages'!M7:M50,BW19)</f>
        <v>0</v>
      </c>
      <c r="CI19" s="306">
        <f>COUNTIF('Knock Out Stages'!N7:N50,BW19)</f>
        <v>0</v>
      </c>
      <c r="CJ19" s="306">
        <f>COUNTIF('Knock Out Stages'!O7:O50,BW19)</f>
        <v>0</v>
      </c>
      <c r="CK19" s="306">
        <f>COUNTIF('Knock Out Stages'!P7:P50,BW19)</f>
        <v>0</v>
      </c>
      <c r="CL19" s="306">
        <f>COUNTIF('Knock Out Stages'!Q7:Q50,BW19)</f>
        <v>0</v>
      </c>
      <c r="CM19" s="306">
        <f>COUNTIF('Knock Out Stages'!R7:R50,BW19)</f>
        <v>0</v>
      </c>
      <c r="CN19" s="306">
        <f>IF(RIGHT('Group Stages'!$B$105,5)="T.com",SUM(BX19:CM19),0)</f>
        <v>0</v>
      </c>
      <c r="CO19" s="306">
        <f ca="1">RANK(CN19,CN3:CN834)+COUNTIF(CN3:CN19,CN19)-1</f>
        <v>17</v>
      </c>
      <c r="CP19" s="306" t="str">
        <f t="shared" ca="1" si="2"/>
        <v>Moustapha Name (Senegal)</v>
      </c>
    </row>
    <row r="20" spans="1:94" x14ac:dyDescent="0.3">
      <c r="A20" s="306">
        <v>18</v>
      </c>
      <c r="B20" s="306" t="str">
        <f>'Player Database'!C23</f>
        <v>Nampalys Mendy</v>
      </c>
      <c r="C20" s="306" t="str">
        <f>'Player Database'!D23</f>
        <v>Stefan de Vrij</v>
      </c>
      <c r="D20" s="306" t="str">
        <f>'Player Database'!E23</f>
        <v>Mohammed Waad</v>
      </c>
      <c r="E20" s="306" t="str">
        <f>'Player Database'!F23</f>
        <v>Moisés Caicedo</v>
      </c>
      <c r="F20" s="306" t="str">
        <f>'Player Database'!G23</f>
        <v>Kieran Trippier</v>
      </c>
      <c r="G20" s="306" t="str">
        <f>'Player Database'!H23</f>
        <v>Ramin Rezaeian</v>
      </c>
      <c r="H20" s="306" t="str">
        <f>'Player Database'!I23</f>
        <v>Sean Johnson</v>
      </c>
      <c r="I20" s="306" t="str">
        <f>'Player Database'!J23</f>
        <v>Jonny Williams</v>
      </c>
      <c r="J20" s="306" t="str">
        <f>'Player Database'!K23</f>
        <v>Lionel Messi</v>
      </c>
      <c r="K20" s="306" t="str">
        <f>'Player Database'!L23</f>
        <v>Nawaf Al-Aqidi</v>
      </c>
      <c r="L20" s="306" t="str">
        <f>'Player Database'!M23</f>
        <v>Luis Chávez</v>
      </c>
      <c r="M20" s="306" t="str">
        <f>'Player Database'!N23</f>
        <v>Michał Skóraś</v>
      </c>
      <c r="N20" s="306" t="str">
        <f>'Player Database'!O23</f>
        <v>Mikkel Damsgaard</v>
      </c>
      <c r="O20" s="306" t="str">
        <f>'Player Database'!P23</f>
        <v>Mouez Hassen</v>
      </c>
      <c r="P20" s="306" t="str">
        <f>'Player Database'!Q23</f>
        <v>Matteo Guendouzi</v>
      </c>
      <c r="Q20" s="306" t="str">
        <f>'Player Database'!R23</f>
        <v>Kye Rowles</v>
      </c>
      <c r="R20" s="306" t="str">
        <f>'Player Database'!S23</f>
        <v>Mario Götze</v>
      </c>
      <c r="S20" s="306" t="str">
        <f>'Player Database'!T23</f>
        <v>Shūichi Gonda</v>
      </c>
      <c r="T20" s="306" t="str">
        <f>'Player Database'!U23</f>
        <v>Nico Williams</v>
      </c>
      <c r="U20" s="306" t="str">
        <f>'Player Database'!V23</f>
        <v>Kendall Waston</v>
      </c>
      <c r="V20" s="306" t="str">
        <f>'Player Database'!W23</f>
        <v>Selim Amallah</v>
      </c>
      <c r="W20" s="306" t="str">
        <f>'Player Database'!X23</f>
        <v>Luka Modrić</v>
      </c>
      <c r="X20" s="306" t="str">
        <f>'Player Database'!Y23</f>
        <v>Thibaut Courtois</v>
      </c>
      <c r="Y20" s="306" t="str">
        <f>'Player Database'!Z23</f>
        <v>Lucas Cavallini</v>
      </c>
      <c r="Z20" s="306" t="str">
        <f>'Player Database'!AA23</f>
        <v>Marquinhos</v>
      </c>
      <c r="AA20" s="306" t="str">
        <f>'Player Database'!AB23</f>
        <v>Predrag Rajković</v>
      </c>
      <c r="AB20" s="306" t="str">
        <f>'Player Database'!AC23</f>
        <v>Noah Okafor</v>
      </c>
      <c r="AC20" s="306" t="str">
        <f>'Player Database'!AD23</f>
        <v>Nicolas Nkoulou</v>
      </c>
      <c r="AD20" s="306" t="str">
        <f>'Player Database'!AE23</f>
        <v>Pepe</v>
      </c>
      <c r="AE20" s="306" t="str">
        <f>'Player Database'!AF23</f>
        <v>Kamal Sowah</v>
      </c>
      <c r="AF20" s="306" t="str">
        <f>'Player Database'!AG23</f>
        <v>Matías Vecino</v>
      </c>
      <c r="AG20" s="306" t="str">
        <f>'Player Database'!AH23</f>
        <v>Lee Jae-sung</v>
      </c>
      <c r="AI20" s="306" t="str">
        <f ca="1">IFERROR(INDEX(B3:AG28,A20,MATCH(AI2,B2:AG2,0)),"")</f>
        <v/>
      </c>
      <c r="AJ20" s="306" t="str">
        <f ca="1">IFERROR(INDEX(B3:AG28,A20,MATCH(AJ2,B2:AG2,0)),"")</f>
        <v/>
      </c>
      <c r="AK20" s="306" t="str">
        <f ca="1">IFERROR(INDEX(B3:AG28,A20,MATCH(AK2,B2:AG2,0)),"")</f>
        <v/>
      </c>
      <c r="AL20" s="306" t="str">
        <f ca="1">IFERROR(INDEX(B3:AG28,A20,MATCH(AL2,B2:AG2,0)),"")</f>
        <v/>
      </c>
      <c r="AM20" s="306" t="str">
        <f ca="1">IFERROR(INDEX(B3:AG28,A20,MATCH(AM2,B2:AG2,0)),"")</f>
        <v/>
      </c>
      <c r="AN20" s="306" t="str">
        <f ca="1">IFERROR(INDEX(B3:AG28,A20,MATCH(AN2,B2:AG2,0)),"")</f>
        <v/>
      </c>
      <c r="AO20" s="306" t="str">
        <f ca="1">IFERROR(INDEX(B3:AG28,A20,MATCH(AO2,B2:AG2,0)),"")</f>
        <v/>
      </c>
      <c r="AP20" s="306" t="str">
        <f ca="1">IFERROR(INDEX(B3:AG28,A20,MATCH(AP2,B2:AG2,0)),"")</f>
        <v/>
      </c>
      <c r="AQ20" s="306" t="str">
        <f ca="1">IFERROR(INDEX(B3:AG28,A20,MATCH(AQ2,B2:AG2,0)),"")</f>
        <v/>
      </c>
      <c r="AR20" s="306" t="str">
        <f ca="1">IFERROR(INDEX(B3:AG28,A20,MATCH(AR2,B2:AG2,0)),"")</f>
        <v/>
      </c>
      <c r="AS20" s="306" t="str">
        <f ca="1">IFERROR(INDEX(B3:AG28,A20,MATCH(AS2,B2:AG2,0)),"")</f>
        <v/>
      </c>
      <c r="AT20" s="306" t="str">
        <f ca="1">IFERROR(INDEX(B3:AG28,A20,MATCH(AT2,B2:AG2,0)),"")</f>
        <v/>
      </c>
      <c r="AU20" s="306" t="str">
        <f ca="1">IFERROR(INDEX(B3:AG28,A20,MATCH(AU2,B2:AG2,0)),"")</f>
        <v/>
      </c>
      <c r="AV20" s="306" t="str">
        <f ca="1">IFERROR(INDEX(B3:AG28,A20,MATCH(AV2,B2:AG2,0)),"")</f>
        <v/>
      </c>
      <c r="AW20" s="306" t="str">
        <f ca="1">IFERROR(INDEX(B3:AG28,A20,MATCH(AW2,B2:AG2,0)),"")</f>
        <v/>
      </c>
      <c r="AX20" s="306" t="str">
        <f ca="1">IFERROR(INDEX(B3:AG28,A20,MATCH(AX2,B2:AG2,0)),"")</f>
        <v/>
      </c>
      <c r="AZ20" s="306" t="str">
        <f ca="1">IFERROR(INDEX(B3:AG28,A20,MATCH(AZ2,B2:AG2,0)),"")</f>
        <v/>
      </c>
      <c r="BA20" s="306" t="str">
        <f ca="1">IFERROR(INDEX(B3:AG28,A20,MATCH(BA2,B2:AG2,0)),"")</f>
        <v/>
      </c>
      <c r="BB20" s="306" t="str">
        <f ca="1">IFERROR(INDEX(B3:AG28,A20,MATCH(BB2,B2:AG2,0)),"")</f>
        <v/>
      </c>
      <c r="BC20" s="306" t="str">
        <f ca="1">IFERROR(INDEX(B3:AG28,A20,MATCH(BC2,B2:AG2,0)),"")</f>
        <v/>
      </c>
      <c r="BD20" s="306" t="str">
        <f ca="1">IFERROR(INDEX(B3:AG28,A20,MATCH(BD2,B2:AG2,0)),"")</f>
        <v/>
      </c>
      <c r="BE20" s="306" t="str">
        <f ca="1">IFERROR(INDEX(B3:AG28,A20,MATCH(BE2,B2:AG2,0)),"")</f>
        <v/>
      </c>
      <c r="BF20" s="306" t="str">
        <f ca="1">IFERROR(INDEX(B3:AG28,A20,MATCH(BF2,B2:AG2,0)),"")</f>
        <v/>
      </c>
      <c r="BG20" s="306" t="str">
        <f ca="1">IFERROR(INDEX(B3:AG28,A20,MATCH(BG2,B2:AG2,0)),"")</f>
        <v/>
      </c>
      <c r="BI20" s="306" t="str">
        <f ca="1">IFERROR(INDEX(B3:AG28,A20,MATCH(BI2,B2:AG2,0)),"")</f>
        <v/>
      </c>
      <c r="BJ20" s="306" t="str">
        <f ca="1">IFERROR(INDEX(B3:AG28,A20,MATCH(BJ2,B2:AG2,0)),"")</f>
        <v/>
      </c>
      <c r="BK20" s="306" t="str">
        <f ca="1">IFERROR(INDEX(B3:AG28,A20,MATCH(BK2,B2:AG2,0)),"")</f>
        <v/>
      </c>
      <c r="BL20" s="306" t="str">
        <f ca="1">IFERROR(INDEX(B3:AG28,A20,MATCH(BL2,B2:AG2,0)),"")</f>
        <v/>
      </c>
      <c r="BN20" s="306" t="str">
        <f ca="1">IFERROR(INDEX(B3:AG28,A20,MATCH(BN2,B2:AG2,0)),"")</f>
        <v/>
      </c>
      <c r="BO20" s="306" t="str">
        <f ca="1">IFERROR(INDEX(B3:AG28,A20,MATCH(BO2,B2:AG2,0)),"")</f>
        <v/>
      </c>
      <c r="BQ20" s="306" t="str">
        <f ca="1">IFERROR(INDEX(B3:AG28,A20,MATCH(BQ2,B2:AG2,0)),"")</f>
        <v/>
      </c>
      <c r="BR20" s="306" t="str">
        <f ca="1">IFERROR(INDEX(B3:AG28,A20,MATCH(BR2,B2:AG2,0)),"")</f>
        <v/>
      </c>
      <c r="BT20" s="306" t="str">
        <f t="shared" ca="1" si="3"/>
        <v>Senegal</v>
      </c>
      <c r="BW20" s="306" t="str">
        <f t="shared" si="1"/>
        <v>Nampalys Mendy</v>
      </c>
      <c r="BX20" s="306">
        <f>COUNTIF('Group Stages'!J7:J102,BW20)</f>
        <v>0</v>
      </c>
      <c r="BY20" s="306">
        <f>COUNTIF('Group Stages'!K7:K102,BW20)</f>
        <v>0</v>
      </c>
      <c r="BZ20" s="306">
        <f>COUNTIF('Group Stages'!L7:L102,BW20)</f>
        <v>0</v>
      </c>
      <c r="CA20" s="306">
        <f>COUNTIF('Group Stages'!M7:M102,BW20)</f>
        <v>0</v>
      </c>
      <c r="CB20" s="306">
        <f>COUNTIF('Group Stages'!N7:N102,BW20)</f>
        <v>0</v>
      </c>
      <c r="CC20" s="306">
        <f>COUNTIF('Group Stages'!O7:O102,BW20)</f>
        <v>0</v>
      </c>
      <c r="CD20" s="306">
        <f>COUNTIF('Group Stages'!P7:P102,BW20)</f>
        <v>0</v>
      </c>
      <c r="CE20" s="306">
        <f>COUNTIF('Group Stages'!Q7:Q102,BW20)</f>
        <v>0</v>
      </c>
      <c r="CF20" s="306">
        <f>COUNTIF('Knock Out Stages'!K7:K50,BW20)</f>
        <v>0</v>
      </c>
      <c r="CG20" s="306">
        <f>COUNTIF('Knock Out Stages'!L7:L50,BW20)</f>
        <v>0</v>
      </c>
      <c r="CH20" s="306">
        <f>COUNTIF('Knock Out Stages'!M7:M50,BW20)</f>
        <v>0</v>
      </c>
      <c r="CI20" s="306">
        <f>COUNTIF('Knock Out Stages'!N7:N50,BW20)</f>
        <v>0</v>
      </c>
      <c r="CJ20" s="306">
        <f>COUNTIF('Knock Out Stages'!O7:O50,BW20)</f>
        <v>0</v>
      </c>
      <c r="CK20" s="306">
        <f>COUNTIF('Knock Out Stages'!P7:P50,BW20)</f>
        <v>0</v>
      </c>
      <c r="CL20" s="306">
        <f>COUNTIF('Knock Out Stages'!Q7:Q50,BW20)</f>
        <v>0</v>
      </c>
      <c r="CM20" s="306">
        <f>COUNTIF('Knock Out Stages'!R7:R50,BW20)</f>
        <v>0</v>
      </c>
      <c r="CN20" s="306">
        <f>IF(RIGHT('Group Stages'!$B$105,5)="T.com",SUM(BX20:CM20),0)</f>
        <v>0</v>
      </c>
      <c r="CO20" s="306">
        <f ca="1">RANK(CN20,CN3:CN834)+COUNTIF(CN3:CN20,CN20)-1</f>
        <v>18</v>
      </c>
      <c r="CP20" s="306" t="str">
        <f t="shared" ca="1" si="2"/>
        <v>Nampalys Mendy (Senegal)</v>
      </c>
    </row>
    <row r="21" spans="1:94" x14ac:dyDescent="0.3">
      <c r="A21" s="306">
        <v>19</v>
      </c>
      <c r="B21" s="306" t="str">
        <f>'Player Database'!C24</f>
        <v>Nicolas Jackson</v>
      </c>
      <c r="C21" s="306" t="str">
        <f>'Player Database'!D24</f>
        <v>Steven Berghuis</v>
      </c>
      <c r="D21" s="306" t="str">
        <f>'Player Database'!E24</f>
        <v>Mostafa Tarek</v>
      </c>
      <c r="E21" s="306" t="str">
        <f>'Player Database'!F24</f>
        <v>Moisés Ramírez</v>
      </c>
      <c r="F21" s="306" t="str">
        <f>'Player Database'!G24</f>
        <v>Kyle Walker</v>
      </c>
      <c r="G21" s="306" t="str">
        <f>'Player Database'!H24</f>
        <v>Rouzbeh Cheshmi</v>
      </c>
      <c r="H21" s="306" t="str">
        <f>'Player Database'!I24</f>
        <v>Sergiño Dest</v>
      </c>
      <c r="I21" s="306" t="str">
        <f>'Player Database'!J24</f>
        <v>Kieffer Moore</v>
      </c>
      <c r="J21" s="306" t="str">
        <f>'Player Database'!K24</f>
        <v>Lisandro Martínez</v>
      </c>
      <c r="K21" s="306" t="str">
        <f>'Player Database'!L24</f>
        <v>Riyadh Sharahili</v>
      </c>
      <c r="L21" s="306" t="str">
        <f>'Player Database'!M24</f>
        <v>Luis Romo</v>
      </c>
      <c r="M21" s="306" t="str">
        <f>'Player Database'!N24</f>
        <v>Nicola Zalewski</v>
      </c>
      <c r="N21" s="306" t="str">
        <f>'Player Database'!O24</f>
        <v>Oliver Christensen</v>
      </c>
      <c r="O21" s="306" t="str">
        <f>'Player Database'!P24</f>
        <v>Nader Ghandri</v>
      </c>
      <c r="P21" s="306" t="str">
        <f>'Player Database'!Q24</f>
        <v>Olivier Giroud</v>
      </c>
      <c r="Q21" s="306" t="str">
        <f>'Player Database'!R24</f>
        <v>Martin Boyle</v>
      </c>
      <c r="R21" s="306" t="str">
        <f>'Player Database'!S24</f>
        <v>Matthias Ginter</v>
      </c>
      <c r="S21" s="306" t="str">
        <f>'Player Database'!T24</f>
        <v>Shūto Machino</v>
      </c>
      <c r="T21" s="306" t="str">
        <f>'Player Database'!U24</f>
        <v>Pablo Sarabia</v>
      </c>
      <c r="U21" s="306" t="str">
        <f>'Player Database'!V24</f>
        <v>Keylor Navas</v>
      </c>
      <c r="V21" s="306" t="str">
        <f>'Player Database'!W24</f>
        <v>Sofiane Boufal</v>
      </c>
      <c r="W21" s="306" t="str">
        <f>'Player Database'!X24</f>
        <v>Luka Sučić</v>
      </c>
      <c r="X21" s="306" t="str">
        <f>'Player Database'!Y24</f>
        <v>Thomas Meunier</v>
      </c>
      <c r="Y21" s="306" t="str">
        <f>'Player Database'!Z24</f>
        <v>Mark-Anthony Kaye</v>
      </c>
      <c r="Z21" s="306" t="str">
        <f>'Player Database'!AA24</f>
        <v>Neymar</v>
      </c>
      <c r="AA21" s="306" t="str">
        <f>'Player Database'!AB24</f>
        <v>Saša Lukić</v>
      </c>
      <c r="AB21" s="306" t="str">
        <f>'Player Database'!AC24</f>
        <v>Philipp Köhn</v>
      </c>
      <c r="AC21" s="306" t="str">
        <f>'Player Database'!AD24</f>
        <v>Nouhou Tolo</v>
      </c>
      <c r="AD21" s="306" t="str">
        <f>'Player Database'!AE24</f>
        <v>Rafael Leão</v>
      </c>
      <c r="AE21" s="306" t="str">
        <f>'Player Database'!AF24</f>
        <v>Kamaldeen Sulemana</v>
      </c>
      <c r="AF21" s="306" t="str">
        <f>'Player Database'!AG24</f>
        <v>Matías Viña</v>
      </c>
      <c r="AG21" s="306" t="str">
        <f>'Player Database'!AH24</f>
        <v>Lee Kang-in</v>
      </c>
      <c r="AI21" s="306" t="str">
        <f ca="1">IFERROR(INDEX(B3:AG28,A21,MATCH(AI2,B2:AG2,0)),"")</f>
        <v/>
      </c>
      <c r="AJ21" s="306" t="str">
        <f ca="1">IFERROR(INDEX(B3:AG28,A21,MATCH(AJ2,B2:AG2,0)),"")</f>
        <v/>
      </c>
      <c r="AK21" s="306" t="str">
        <f ca="1">IFERROR(INDEX(B3:AG28,A21,MATCH(AK2,B2:AG2,0)),"")</f>
        <v/>
      </c>
      <c r="AL21" s="306" t="str">
        <f ca="1">IFERROR(INDEX(B3:AG28,A21,MATCH(AL2,B2:AG2,0)),"")</f>
        <v/>
      </c>
      <c r="AM21" s="306" t="str">
        <f ca="1">IFERROR(INDEX(B3:AG28,A21,MATCH(AM2,B2:AG2,0)),"")</f>
        <v/>
      </c>
      <c r="AN21" s="306" t="str">
        <f ca="1">IFERROR(INDEX(B3:AG28,A21,MATCH(AN2,B2:AG2,0)),"")</f>
        <v/>
      </c>
      <c r="AO21" s="306" t="str">
        <f ca="1">IFERROR(INDEX(B3:AG28,A21,MATCH(AO2,B2:AG2,0)),"")</f>
        <v/>
      </c>
      <c r="AP21" s="306" t="str">
        <f ca="1">IFERROR(INDEX(B3:AG28,A21,MATCH(AP2,B2:AG2,0)),"")</f>
        <v/>
      </c>
      <c r="AQ21" s="306" t="str">
        <f ca="1">IFERROR(INDEX(B3:AG28,A21,MATCH(AQ2,B2:AG2,0)),"")</f>
        <v/>
      </c>
      <c r="AR21" s="306" t="str">
        <f ca="1">IFERROR(INDEX(B3:AG28,A21,MATCH(AR2,B2:AG2,0)),"")</f>
        <v/>
      </c>
      <c r="AS21" s="306" t="str">
        <f ca="1">IFERROR(INDEX(B3:AG28,A21,MATCH(AS2,B2:AG2,0)),"")</f>
        <v/>
      </c>
      <c r="AT21" s="306" t="str">
        <f ca="1">IFERROR(INDEX(B3:AG28,A21,MATCH(AT2,B2:AG2,0)),"")</f>
        <v/>
      </c>
      <c r="AU21" s="306" t="str">
        <f ca="1">IFERROR(INDEX(B3:AG28,A21,MATCH(AU2,B2:AG2,0)),"")</f>
        <v/>
      </c>
      <c r="AV21" s="306" t="str">
        <f ca="1">IFERROR(INDEX(B3:AG28,A21,MATCH(AV2,B2:AG2,0)),"")</f>
        <v/>
      </c>
      <c r="AW21" s="306" t="str">
        <f ca="1">IFERROR(INDEX(B3:AG28,A21,MATCH(AW2,B2:AG2,0)),"")</f>
        <v/>
      </c>
      <c r="AX21" s="306" t="str">
        <f ca="1">IFERROR(INDEX(B3:AG28,A21,MATCH(AX2,B2:AG2,0)),"")</f>
        <v/>
      </c>
      <c r="AZ21" s="306" t="str">
        <f ca="1">IFERROR(INDEX(B3:AG28,A21,MATCH(AZ2,B2:AG2,0)),"")</f>
        <v/>
      </c>
      <c r="BA21" s="306" t="str">
        <f ca="1">IFERROR(INDEX(B3:AG28,A21,MATCH(BA2,B2:AG2,0)),"")</f>
        <v/>
      </c>
      <c r="BB21" s="306" t="str">
        <f ca="1">IFERROR(INDEX(B3:AG28,A21,MATCH(BB2,B2:AG2,0)),"")</f>
        <v/>
      </c>
      <c r="BC21" s="306" t="str">
        <f ca="1">IFERROR(INDEX(B3:AG28,A21,MATCH(BC2,B2:AG2,0)),"")</f>
        <v/>
      </c>
      <c r="BD21" s="306" t="str">
        <f ca="1">IFERROR(INDEX(B3:AG28,A21,MATCH(BD2,B2:AG2,0)),"")</f>
        <v/>
      </c>
      <c r="BE21" s="306" t="str">
        <f ca="1">IFERROR(INDEX(B3:AG28,A21,MATCH(BE2,B2:AG2,0)),"")</f>
        <v/>
      </c>
      <c r="BF21" s="306" t="str">
        <f ca="1">IFERROR(INDEX(B3:AG28,A21,MATCH(BF2,B2:AG2,0)),"")</f>
        <v/>
      </c>
      <c r="BG21" s="306" t="str">
        <f ca="1">IFERROR(INDEX(B3:AG28,A21,MATCH(BG2,B2:AG2,0)),"")</f>
        <v/>
      </c>
      <c r="BI21" s="306" t="str">
        <f ca="1">IFERROR(INDEX(B3:AG28,A21,MATCH(BI2,B2:AG2,0)),"")</f>
        <v/>
      </c>
      <c r="BJ21" s="306" t="str">
        <f ca="1">IFERROR(INDEX(B3:AG28,A21,MATCH(BJ2,B2:AG2,0)),"")</f>
        <v/>
      </c>
      <c r="BK21" s="306" t="str">
        <f ca="1">IFERROR(INDEX(B3:AG28,A21,MATCH(BK2,B2:AG2,0)),"")</f>
        <v/>
      </c>
      <c r="BL21" s="306" t="str">
        <f ca="1">IFERROR(INDEX(B3:AG28,A21,MATCH(BL2,B2:AG2,0)),"")</f>
        <v/>
      </c>
      <c r="BN21" s="306" t="str">
        <f ca="1">IFERROR(INDEX(B3:AG28,A21,MATCH(BN2,B2:AG2,0)),"")</f>
        <v/>
      </c>
      <c r="BO21" s="306" t="str">
        <f ca="1">IFERROR(INDEX(B3:AG28,A21,MATCH(BO2,B2:AG2,0)),"")</f>
        <v/>
      </c>
      <c r="BQ21" s="306" t="str">
        <f ca="1">IFERROR(INDEX(B3:AG28,A21,MATCH(BQ2,B2:AG2,0)),"")</f>
        <v/>
      </c>
      <c r="BR21" s="306" t="str">
        <f ca="1">IFERROR(INDEX(B3:AG28,A21,MATCH(BR2,B2:AG2,0)),"")</f>
        <v/>
      </c>
      <c r="BT21" s="306" t="str">
        <f t="shared" ca="1" si="3"/>
        <v>Senegal</v>
      </c>
      <c r="BW21" s="306" t="str">
        <f t="shared" si="1"/>
        <v>Nicolas Jackson</v>
      </c>
      <c r="BX21" s="306">
        <f>COUNTIF('Group Stages'!J7:J102,BW21)</f>
        <v>0</v>
      </c>
      <c r="BY21" s="306">
        <f>COUNTIF('Group Stages'!K7:K102,BW21)</f>
        <v>0</v>
      </c>
      <c r="BZ21" s="306">
        <f>COUNTIF('Group Stages'!L7:L102,BW21)</f>
        <v>0</v>
      </c>
      <c r="CA21" s="306">
        <f>COUNTIF('Group Stages'!M7:M102,BW21)</f>
        <v>0</v>
      </c>
      <c r="CB21" s="306">
        <f>COUNTIF('Group Stages'!N7:N102,BW21)</f>
        <v>0</v>
      </c>
      <c r="CC21" s="306">
        <f>COUNTIF('Group Stages'!O7:O102,BW21)</f>
        <v>0</v>
      </c>
      <c r="CD21" s="306">
        <f>COUNTIF('Group Stages'!P7:P102,BW21)</f>
        <v>0</v>
      </c>
      <c r="CE21" s="306">
        <f>COUNTIF('Group Stages'!Q7:Q102,BW21)</f>
        <v>0</v>
      </c>
      <c r="CF21" s="306">
        <f>COUNTIF('Knock Out Stages'!K7:K50,BW21)</f>
        <v>0</v>
      </c>
      <c r="CG21" s="306">
        <f>COUNTIF('Knock Out Stages'!L7:L50,BW21)</f>
        <v>0</v>
      </c>
      <c r="CH21" s="306">
        <f>COUNTIF('Knock Out Stages'!M7:M50,BW21)</f>
        <v>0</v>
      </c>
      <c r="CI21" s="306">
        <f>COUNTIF('Knock Out Stages'!N7:N50,BW21)</f>
        <v>0</v>
      </c>
      <c r="CJ21" s="306">
        <f>COUNTIF('Knock Out Stages'!O7:O50,BW21)</f>
        <v>0</v>
      </c>
      <c r="CK21" s="306">
        <f>COUNTIF('Knock Out Stages'!P7:P50,BW21)</f>
        <v>0</v>
      </c>
      <c r="CL21" s="306">
        <f>COUNTIF('Knock Out Stages'!Q7:Q50,BW21)</f>
        <v>0</v>
      </c>
      <c r="CM21" s="306">
        <f>COUNTIF('Knock Out Stages'!R7:R50,BW21)</f>
        <v>0</v>
      </c>
      <c r="CN21" s="306">
        <f>IF(RIGHT('Group Stages'!$B$105,5)="T.com",SUM(BX21:CM21),0)</f>
        <v>0</v>
      </c>
      <c r="CO21" s="306">
        <f ca="1">RANK(CN21,CN3:CN834)+COUNTIF(CN3:CN21,CN21)-1</f>
        <v>19</v>
      </c>
      <c r="CP21" s="306" t="str">
        <f t="shared" ca="1" si="2"/>
        <v>Nicolas Jackson (Senegal)</v>
      </c>
    </row>
    <row r="22" spans="1:94" x14ac:dyDescent="0.3">
      <c r="A22" s="306">
        <v>20</v>
      </c>
      <c r="B22" s="306" t="str">
        <f>'Player Database'!C25</f>
        <v>Pape Abou Cissé</v>
      </c>
      <c r="C22" s="306" t="str">
        <f>'Player Database'!D25</f>
        <v>Steven Bergwijn</v>
      </c>
      <c r="D22" s="306" t="str">
        <f>'Player Database'!E25</f>
        <v>Musab Kheder</v>
      </c>
      <c r="E22" s="306" t="str">
        <f>'Player Database'!F25</f>
        <v>Pervis Estupiñán</v>
      </c>
      <c r="F22" s="306" t="str">
        <f>'Player Database'!G25</f>
        <v>Luke Shaw</v>
      </c>
      <c r="G22" s="306" t="str">
        <f>'Player Database'!H25</f>
        <v>Sadegh Moharrami</v>
      </c>
      <c r="H22" s="306" t="str">
        <f>'Player Database'!I25</f>
        <v>Shaq Moore</v>
      </c>
      <c r="I22" s="306" t="str">
        <f>'Player Database'!J25</f>
        <v>Mark Harris</v>
      </c>
      <c r="J22" s="306" t="str">
        <f>'Player Database'!K25</f>
        <v>Marcos Acuña</v>
      </c>
      <c r="K22" s="306" t="str">
        <f>'Player Database'!L25</f>
        <v>Saleh Al-Shehri</v>
      </c>
      <c r="L22" s="306" t="str">
        <f>'Player Database'!M25</f>
        <v>Néstor Araujo</v>
      </c>
      <c r="M22" s="306" t="str">
        <f>'Player Database'!N25</f>
        <v>Piotr Zieliński</v>
      </c>
      <c r="N22" s="306" t="str">
        <f>'Player Database'!O25</f>
        <v>Pierre-Emile Højbjerg</v>
      </c>
      <c r="O22" s="306" t="str">
        <f>'Player Database'!P25</f>
        <v>Naïm Sliti</v>
      </c>
      <c r="P22" s="306" t="str">
        <f>'Player Database'!Q25</f>
        <v>Ousmane Dembélé</v>
      </c>
      <c r="Q22" s="306" t="str">
        <f>'Player Database'!R25</f>
        <v>Mathew Leckie</v>
      </c>
      <c r="R22" s="306" t="str">
        <f>'Player Database'!S25</f>
        <v>Niclas Füllkrug</v>
      </c>
      <c r="S22" s="306" t="str">
        <f>'Player Database'!T25</f>
        <v>Takefusa Kubo</v>
      </c>
      <c r="T22" s="306" t="str">
        <f>'Player Database'!U25</f>
        <v>Pau Torres</v>
      </c>
      <c r="U22" s="306" t="str">
        <f>'Player Database'!V25</f>
        <v>Keysher Fuller</v>
      </c>
      <c r="V22" s="306" t="str">
        <f>'Player Database'!W25</f>
        <v>Sofyan Amrabat</v>
      </c>
      <c r="W22" s="306" t="str">
        <f>'Player Database'!X25</f>
        <v>Marcelo Brozović</v>
      </c>
      <c r="X22" s="306" t="str">
        <f>'Player Database'!Y25</f>
        <v>Thorgan Hazard</v>
      </c>
      <c r="Y22" s="306" t="str">
        <f>'Player Database'!Z25</f>
        <v>Milan Borjan</v>
      </c>
      <c r="Z22" s="306" t="str">
        <f>'Player Database'!AA25</f>
        <v>Pedro</v>
      </c>
      <c r="AA22" s="306" t="str">
        <f>'Player Database'!AB25</f>
        <v>Sergej Milinković-Savić</v>
      </c>
      <c r="AB22" s="306" t="str">
        <f>'Player Database'!AC25</f>
        <v>Remo Freuler</v>
      </c>
      <c r="AC22" s="306" t="str">
        <f>'Player Database'!AD25</f>
        <v>Olivier Mbaizo</v>
      </c>
      <c r="AD22" s="306" t="str">
        <f>'Player Database'!AE25</f>
        <v>Raphaël Guerreiro</v>
      </c>
      <c r="AE22" s="306" t="str">
        <f>'Player Database'!AF25</f>
        <v>Lawrence Ati-Zigi</v>
      </c>
      <c r="AF22" s="306" t="str">
        <f>'Player Database'!AG25</f>
        <v>Maxi Gómez</v>
      </c>
      <c r="AG22" s="306" t="str">
        <f>'Player Database'!AH25</f>
        <v>Na Sang-ho</v>
      </c>
      <c r="AI22" s="306" t="str">
        <f ca="1">IFERROR(INDEX(B3:AG28,A22,MATCH(AI2,B2:AG2,0)),"")</f>
        <v/>
      </c>
      <c r="AJ22" s="306" t="str">
        <f ca="1">IFERROR(INDEX(B3:AG28,A22,MATCH(AJ2,B2:AG2,0)),"")</f>
        <v/>
      </c>
      <c r="AK22" s="306" t="str">
        <f ca="1">IFERROR(INDEX(B3:AG28,A22,MATCH(AK2,B2:AG2,0)),"")</f>
        <v/>
      </c>
      <c r="AL22" s="306" t="str">
        <f ca="1">IFERROR(INDEX(B3:AG28,A22,MATCH(AL2,B2:AG2,0)),"")</f>
        <v/>
      </c>
      <c r="AM22" s="306" t="str">
        <f ca="1">IFERROR(INDEX(B3:AG28,A22,MATCH(AM2,B2:AG2,0)),"")</f>
        <v/>
      </c>
      <c r="AN22" s="306" t="str">
        <f ca="1">IFERROR(INDEX(B3:AG28,A22,MATCH(AN2,B2:AG2,0)),"")</f>
        <v/>
      </c>
      <c r="AO22" s="306" t="str">
        <f ca="1">IFERROR(INDEX(B3:AG28,A22,MATCH(AO2,B2:AG2,0)),"")</f>
        <v/>
      </c>
      <c r="AP22" s="306" t="str">
        <f ca="1">IFERROR(INDEX(B3:AG28,A22,MATCH(AP2,B2:AG2,0)),"")</f>
        <v/>
      </c>
      <c r="AQ22" s="306" t="str">
        <f ca="1">IFERROR(INDEX(B3:AG28,A22,MATCH(AQ2,B2:AG2,0)),"")</f>
        <v/>
      </c>
      <c r="AR22" s="306" t="str">
        <f ca="1">IFERROR(INDEX(B3:AG28,A22,MATCH(AR2,B2:AG2,0)),"")</f>
        <v/>
      </c>
      <c r="AS22" s="306" t="str">
        <f ca="1">IFERROR(INDEX(B3:AG28,A22,MATCH(AS2,B2:AG2,0)),"")</f>
        <v/>
      </c>
      <c r="AT22" s="306" t="str">
        <f ca="1">IFERROR(INDEX(B3:AG28,A22,MATCH(AT2,B2:AG2,0)),"")</f>
        <v/>
      </c>
      <c r="AU22" s="306" t="str">
        <f ca="1">IFERROR(INDEX(B3:AG28,A22,MATCH(AU2,B2:AG2,0)),"")</f>
        <v/>
      </c>
      <c r="AV22" s="306" t="str">
        <f ca="1">IFERROR(INDEX(B3:AG28,A22,MATCH(AV2,B2:AG2,0)),"")</f>
        <v/>
      </c>
      <c r="AW22" s="306" t="str">
        <f ca="1">IFERROR(INDEX(B3:AG28,A22,MATCH(AW2,B2:AG2,0)),"")</f>
        <v/>
      </c>
      <c r="AX22" s="306" t="str">
        <f ca="1">IFERROR(INDEX(B3:AG28,A22,MATCH(AX2,B2:AG2,0)),"")</f>
        <v/>
      </c>
      <c r="AZ22" s="306" t="str">
        <f ca="1">IFERROR(INDEX(B3:AG28,A22,MATCH(AZ2,B2:AG2,0)),"")</f>
        <v/>
      </c>
      <c r="BA22" s="306" t="str">
        <f ca="1">IFERROR(INDEX(B3:AG28,A22,MATCH(BA2,B2:AG2,0)),"")</f>
        <v/>
      </c>
      <c r="BB22" s="306" t="str">
        <f ca="1">IFERROR(INDEX(B3:AG28,A22,MATCH(BB2,B2:AG2,0)),"")</f>
        <v/>
      </c>
      <c r="BC22" s="306" t="str">
        <f ca="1">IFERROR(INDEX(B3:AG28,A22,MATCH(BC2,B2:AG2,0)),"")</f>
        <v/>
      </c>
      <c r="BD22" s="306" t="str">
        <f ca="1">IFERROR(INDEX(B3:AG28,A22,MATCH(BD2,B2:AG2,0)),"")</f>
        <v/>
      </c>
      <c r="BE22" s="306" t="str">
        <f ca="1">IFERROR(INDEX(B3:AG28,A22,MATCH(BE2,B2:AG2,0)),"")</f>
        <v/>
      </c>
      <c r="BF22" s="306" t="str">
        <f ca="1">IFERROR(INDEX(B3:AG28,A22,MATCH(BF2,B2:AG2,0)),"")</f>
        <v/>
      </c>
      <c r="BG22" s="306" t="str">
        <f ca="1">IFERROR(INDEX(B3:AG28,A22,MATCH(BG2,B2:AG2,0)),"")</f>
        <v/>
      </c>
      <c r="BI22" s="306" t="str">
        <f ca="1">IFERROR(INDEX(B3:AG28,A22,MATCH(BI2,B2:AG2,0)),"")</f>
        <v/>
      </c>
      <c r="BJ22" s="306" t="str">
        <f ca="1">IFERROR(INDEX(B3:AG28,A22,MATCH(BJ2,B2:AG2,0)),"")</f>
        <v/>
      </c>
      <c r="BK22" s="306" t="str">
        <f ca="1">IFERROR(INDEX(B3:AG28,A22,MATCH(BK2,B2:AG2,0)),"")</f>
        <v/>
      </c>
      <c r="BL22" s="306" t="str">
        <f ca="1">IFERROR(INDEX(B3:AG28,A22,MATCH(BL2,B2:AG2,0)),"")</f>
        <v/>
      </c>
      <c r="BN22" s="306" t="str">
        <f ca="1">IFERROR(INDEX(B3:AG28,A22,MATCH(BN2,B2:AG2,0)),"")</f>
        <v/>
      </c>
      <c r="BO22" s="306" t="str">
        <f ca="1">IFERROR(INDEX(B3:AG28,A22,MATCH(BO2,B2:AG2,0)),"")</f>
        <v/>
      </c>
      <c r="BQ22" s="306" t="str">
        <f ca="1">IFERROR(INDEX(B3:AG28,A22,MATCH(BQ2,B2:AG2,0)),"")</f>
        <v/>
      </c>
      <c r="BR22" s="306" t="str">
        <f ca="1">IFERROR(INDEX(B3:AG28,A22,MATCH(BR2,B2:AG2,0)),"")</f>
        <v/>
      </c>
      <c r="BT22" s="306" t="str">
        <f t="shared" ca="1" si="3"/>
        <v>Senegal</v>
      </c>
      <c r="BW22" s="306" t="str">
        <f>B22</f>
        <v>Pape Abou Cissé</v>
      </c>
      <c r="BX22" s="306">
        <f>COUNTIF('Group Stages'!J7:J102,BW22)</f>
        <v>0</v>
      </c>
      <c r="BY22" s="306">
        <f>COUNTIF('Group Stages'!K7:K102,BW22)</f>
        <v>0</v>
      </c>
      <c r="BZ22" s="306">
        <f>COUNTIF('Group Stages'!L7:L102,BW22)</f>
        <v>0</v>
      </c>
      <c r="CA22" s="306">
        <f>COUNTIF('Group Stages'!M7:M102,BW22)</f>
        <v>0</v>
      </c>
      <c r="CB22" s="306">
        <f>COUNTIF('Group Stages'!N7:N102,BW22)</f>
        <v>0</v>
      </c>
      <c r="CC22" s="306">
        <f>COUNTIF('Group Stages'!O7:O102,BW22)</f>
        <v>0</v>
      </c>
      <c r="CD22" s="306">
        <f>COUNTIF('Group Stages'!P7:P102,BW22)</f>
        <v>0</v>
      </c>
      <c r="CE22" s="306">
        <f>COUNTIF('Group Stages'!Q7:Q102,BW22)</f>
        <v>0</v>
      </c>
      <c r="CF22" s="306">
        <f>COUNTIF('Knock Out Stages'!K7:K50,BW22)</f>
        <v>0</v>
      </c>
      <c r="CG22" s="306">
        <f>COUNTIF('Knock Out Stages'!L7:L50,BW22)</f>
        <v>0</v>
      </c>
      <c r="CH22" s="306">
        <f>COUNTIF('Knock Out Stages'!M7:M50,BW22)</f>
        <v>0</v>
      </c>
      <c r="CI22" s="306">
        <f>COUNTIF('Knock Out Stages'!N7:N50,BW22)</f>
        <v>0</v>
      </c>
      <c r="CJ22" s="306">
        <f>COUNTIF('Knock Out Stages'!O7:O50,BW22)</f>
        <v>0</v>
      </c>
      <c r="CK22" s="306">
        <f>COUNTIF('Knock Out Stages'!P7:P50,BW22)</f>
        <v>0</v>
      </c>
      <c r="CL22" s="306">
        <f>COUNTIF('Knock Out Stages'!Q7:Q50,BW22)</f>
        <v>0</v>
      </c>
      <c r="CM22" s="306">
        <f>COUNTIF('Knock Out Stages'!R7:R50,BW22)</f>
        <v>0</v>
      </c>
      <c r="CN22" s="306">
        <f>IF(RIGHT('Group Stages'!$B$105,5)="T.com",SUM(BX22:CM22),0)</f>
        <v>0</v>
      </c>
      <c r="CO22" s="306">
        <f ca="1">RANK(CN22,CN3:CN834)+COUNTIF(CN3:CN22,CN22)-1</f>
        <v>20</v>
      </c>
      <c r="CP22" s="306" t="str">
        <f t="shared" ca="1" si="2"/>
        <v>Pape Abou Cissé (Senegal)</v>
      </c>
    </row>
    <row r="23" spans="1:94" x14ac:dyDescent="0.3">
      <c r="A23" s="306">
        <v>21</v>
      </c>
      <c r="B23" s="306" t="str">
        <f>'Player Database'!C26</f>
        <v>Pape Gueye</v>
      </c>
      <c r="C23" s="306" t="str">
        <f>'Player Database'!D26</f>
        <v>Teun Koopmeiners</v>
      </c>
      <c r="D23" s="306" t="str">
        <f>'Player Database'!E26</f>
        <v>Naif Al-Hadhrami</v>
      </c>
      <c r="E23" s="306" t="str">
        <f>'Player Database'!F26</f>
        <v>Piero Hincapié</v>
      </c>
      <c r="F23" s="306" t="str">
        <f>'Player Database'!G26</f>
        <v>Marcus Rashford</v>
      </c>
      <c r="G23" s="306" t="str">
        <f>'Player Database'!H26</f>
        <v>Saeid Ezatolahi</v>
      </c>
      <c r="H23" s="306" t="str">
        <f>'Player Database'!I26</f>
        <v>Tim Ream</v>
      </c>
      <c r="I23" s="306" t="str">
        <f>'Player Database'!J26</f>
        <v>Matthew Smith</v>
      </c>
      <c r="J23" s="306" t="str">
        <f>'Player Database'!K26</f>
        <v>Nahuel Molina</v>
      </c>
      <c r="K23" s="306" t="str">
        <f>'Player Database'!L26</f>
        <v>Salem Al-Dawsari</v>
      </c>
      <c r="L23" s="306" t="str">
        <f>'Player Database'!M26</f>
        <v>Orbelín Pineda</v>
      </c>
      <c r="M23" s="306" t="str">
        <f>'Player Database'!N26</f>
        <v>Przemysław Frankowski</v>
      </c>
      <c r="N23" s="306" t="str">
        <f>'Player Database'!O26</f>
        <v>Rasmus Kristensen</v>
      </c>
      <c r="O23" s="306" t="str">
        <f>'Player Database'!P26</f>
        <v>Seifeddine Jaziri</v>
      </c>
      <c r="P23" s="306" t="str">
        <f>'Player Database'!Q26</f>
        <v>Presnel Kimpembe</v>
      </c>
      <c r="Q23" s="306" t="str">
        <f>'Player Database'!R26</f>
        <v>Mathew Ryan</v>
      </c>
      <c r="R23" s="306" t="str">
        <f>'Player Database'!S26</f>
        <v>Nico Schlotterbeck</v>
      </c>
      <c r="S23" s="306" t="str">
        <f>'Player Database'!T26</f>
        <v>Takehiro Tomiyasu</v>
      </c>
      <c r="T23" s="306" t="str">
        <f>'Player Database'!U26</f>
        <v>Pedri</v>
      </c>
      <c r="U23" s="306" t="str">
        <f>'Player Database'!V26</f>
        <v>Óscar Duarte</v>
      </c>
      <c r="V23" s="306" t="str">
        <f>'Player Database'!W26</f>
        <v>Walid Cheddira</v>
      </c>
      <c r="W23" s="306" t="str">
        <f>'Player Database'!X26</f>
        <v>Mario Pašalić</v>
      </c>
      <c r="X23" s="306" t="str">
        <f>'Player Database'!Y26</f>
        <v>Timothy Castagne</v>
      </c>
      <c r="Y23" s="306" t="str">
        <f>'Player Database'!Z26</f>
        <v>Richie Laryea</v>
      </c>
      <c r="Z23" s="306" t="str">
        <f>'Player Database'!AA26</f>
        <v>Raphinha</v>
      </c>
      <c r="AA23" s="306" t="str">
        <f>'Player Database'!AB26</f>
        <v>Srđan Babić</v>
      </c>
      <c r="AB23" s="306" t="str">
        <f>'Player Database'!AC26</f>
        <v>Renato Steffen</v>
      </c>
      <c r="AC23" s="306" t="str">
        <f>'Player Database'!AD26</f>
        <v>Olivier Ntcham</v>
      </c>
      <c r="AD23" s="306" t="str">
        <f>'Player Database'!AE26</f>
        <v>Ricardo Horta</v>
      </c>
      <c r="AE23" s="306" t="str">
        <f>'Player Database'!AF26</f>
        <v>Mohammed Kudus</v>
      </c>
      <c r="AF23" s="306" t="str">
        <f>'Player Database'!AG26</f>
        <v>Nicolás de la Cruz</v>
      </c>
      <c r="AG23" s="306" t="str">
        <f>'Player Database'!AH26</f>
        <v>Paik Seung-ho</v>
      </c>
      <c r="AI23" s="306" t="str">
        <f ca="1">IFERROR(INDEX(B3:AG28,A23,MATCH(AI2,B2:AG2,0)),"")</f>
        <v/>
      </c>
      <c r="AJ23" s="306" t="str">
        <f ca="1">IFERROR(INDEX(B3:AG28,A23,MATCH(AJ2,B2:AG2,0)),"")</f>
        <v/>
      </c>
      <c r="AK23" s="306" t="str">
        <f ca="1">IFERROR(INDEX(B3:AG28,A23,MATCH(AK2,B2:AG2,0)),"")</f>
        <v/>
      </c>
      <c r="AL23" s="306" t="str">
        <f ca="1">IFERROR(INDEX(B3:AG28,A23,MATCH(AL2,B2:AG2,0)),"")</f>
        <v/>
      </c>
      <c r="AM23" s="306" t="str">
        <f ca="1">IFERROR(INDEX(B3:AG28,A23,MATCH(AM2,B2:AG2,0)),"")</f>
        <v/>
      </c>
      <c r="AN23" s="306" t="str">
        <f ca="1">IFERROR(INDEX(B3:AG28,A23,MATCH(AN2,B2:AG2,0)),"")</f>
        <v/>
      </c>
      <c r="AO23" s="306" t="str">
        <f ca="1">IFERROR(INDEX(B3:AG28,A23,MATCH(AO2,B2:AG2,0)),"")</f>
        <v/>
      </c>
      <c r="AP23" s="306" t="str">
        <f ca="1">IFERROR(INDEX(B3:AG28,A23,MATCH(AP2,B2:AG2,0)),"")</f>
        <v/>
      </c>
      <c r="AQ23" s="306" t="str">
        <f ca="1">IFERROR(INDEX(B3:AG28,A23,MATCH(AQ2,B2:AG2,0)),"")</f>
        <v/>
      </c>
      <c r="AR23" s="306" t="str">
        <f ca="1">IFERROR(INDEX(B3:AG28,A23,MATCH(AR2,B2:AG2,0)),"")</f>
        <v/>
      </c>
      <c r="AS23" s="306" t="str">
        <f ca="1">IFERROR(INDEX(B3:AG28,A23,MATCH(AS2,B2:AG2,0)),"")</f>
        <v/>
      </c>
      <c r="AT23" s="306" t="str">
        <f ca="1">IFERROR(INDEX(B3:AG28,A23,MATCH(AT2,B2:AG2,0)),"")</f>
        <v/>
      </c>
      <c r="AU23" s="306" t="str">
        <f ca="1">IFERROR(INDEX(B3:AG28,A23,MATCH(AU2,B2:AG2,0)),"")</f>
        <v/>
      </c>
      <c r="AV23" s="306" t="str">
        <f ca="1">IFERROR(INDEX(B3:AG28,A23,MATCH(AV2,B2:AG2,0)),"")</f>
        <v/>
      </c>
      <c r="AW23" s="306" t="str">
        <f ca="1">IFERROR(INDEX(B3:AG28,A23,MATCH(AW2,B2:AG2,0)),"")</f>
        <v/>
      </c>
      <c r="AX23" s="306" t="str">
        <f ca="1">IFERROR(INDEX(B3:AG28,A23,MATCH(AX2,B2:AG2,0)),"")</f>
        <v/>
      </c>
      <c r="AZ23" s="306" t="str">
        <f ca="1">IFERROR(INDEX(B3:AG28,A23,MATCH(AZ2,B2:AG2,0)),"")</f>
        <v/>
      </c>
      <c r="BA23" s="306" t="str">
        <f ca="1">IFERROR(INDEX(B3:AG28,A23,MATCH(BA2,B2:AG2,0)),"")</f>
        <v/>
      </c>
      <c r="BB23" s="306" t="str">
        <f ca="1">IFERROR(INDEX(B3:AG28,A23,MATCH(BB2,B2:AG2,0)),"")</f>
        <v/>
      </c>
      <c r="BC23" s="306" t="str">
        <f ca="1">IFERROR(INDEX(B3:AG28,A23,MATCH(BC2,B2:AG2,0)),"")</f>
        <v/>
      </c>
      <c r="BD23" s="306" t="str">
        <f ca="1">IFERROR(INDEX(B3:AG28,A23,MATCH(BD2,B2:AG2,0)),"")</f>
        <v/>
      </c>
      <c r="BE23" s="306" t="str">
        <f ca="1">IFERROR(INDEX(B3:AG28,A23,MATCH(BE2,B2:AG2,0)),"")</f>
        <v/>
      </c>
      <c r="BF23" s="306" t="str">
        <f ca="1">IFERROR(INDEX(B3:AG28,A23,MATCH(BF2,B2:AG2,0)),"")</f>
        <v/>
      </c>
      <c r="BG23" s="306" t="str">
        <f ca="1">IFERROR(INDEX(B3:AG28,A23,MATCH(BG2,B2:AG2,0)),"")</f>
        <v/>
      </c>
      <c r="BI23" s="306" t="str">
        <f ca="1">IFERROR(INDEX(B3:AG28,A23,MATCH(BI2,B2:AG2,0)),"")</f>
        <v/>
      </c>
      <c r="BJ23" s="306" t="str">
        <f ca="1">IFERROR(INDEX(B3:AG28,A23,MATCH(BJ2,B2:AG2,0)),"")</f>
        <v/>
      </c>
      <c r="BK23" s="306" t="str">
        <f ca="1">IFERROR(INDEX(B3:AG28,A23,MATCH(BK2,B2:AG2,0)),"")</f>
        <v/>
      </c>
      <c r="BL23" s="306" t="str">
        <f ca="1">IFERROR(INDEX(B3:AG28,A23,MATCH(BL2,B2:AG2,0)),"")</f>
        <v/>
      </c>
      <c r="BN23" s="306" t="str">
        <f ca="1">IFERROR(INDEX(B3:AG28,A23,MATCH(BN2,B2:AG2,0)),"")</f>
        <v/>
      </c>
      <c r="BO23" s="306" t="str">
        <f ca="1">IFERROR(INDEX(B3:AG28,A23,MATCH(BO2,B2:AG2,0)),"")</f>
        <v/>
      </c>
      <c r="BQ23" s="306" t="str">
        <f ca="1">IFERROR(INDEX(B3:AG28,A23,MATCH(BQ2,B2:AG2,0)),"")</f>
        <v/>
      </c>
      <c r="BR23" s="306" t="str">
        <f ca="1">IFERROR(INDEX(B3:AG28,A23,MATCH(BR2,B2:AG2,0)),"")</f>
        <v/>
      </c>
      <c r="BT23" s="306" t="str">
        <f t="shared" ca="1" si="3"/>
        <v>Senegal</v>
      </c>
      <c r="BW23" s="306" t="str">
        <f t="shared" si="1"/>
        <v>Pape Gueye</v>
      </c>
      <c r="BX23" s="306">
        <f>COUNTIF('Group Stages'!J7:J102,BW23)</f>
        <v>0</v>
      </c>
      <c r="BY23" s="306">
        <f>COUNTIF('Group Stages'!K7:K102,BW23)</f>
        <v>0</v>
      </c>
      <c r="BZ23" s="306">
        <f>COUNTIF('Group Stages'!L7:L102,BW23)</f>
        <v>0</v>
      </c>
      <c r="CA23" s="306">
        <f>COUNTIF('Group Stages'!M7:M102,BW23)</f>
        <v>0</v>
      </c>
      <c r="CB23" s="306">
        <f>COUNTIF('Group Stages'!N7:N102,BW23)</f>
        <v>0</v>
      </c>
      <c r="CC23" s="306">
        <f>COUNTIF('Group Stages'!O7:O102,BW23)</f>
        <v>0</v>
      </c>
      <c r="CD23" s="306">
        <f>COUNTIF('Group Stages'!P7:P102,BW23)</f>
        <v>0</v>
      </c>
      <c r="CE23" s="306">
        <f>COUNTIF('Group Stages'!Q7:Q102,BW23)</f>
        <v>0</v>
      </c>
      <c r="CF23" s="306">
        <f>COUNTIF('Knock Out Stages'!K7:K50,BW23)</f>
        <v>0</v>
      </c>
      <c r="CG23" s="306">
        <f>COUNTIF('Knock Out Stages'!L7:L50,BW23)</f>
        <v>0</v>
      </c>
      <c r="CH23" s="306">
        <f>COUNTIF('Knock Out Stages'!M7:M50,BW23)</f>
        <v>0</v>
      </c>
      <c r="CI23" s="306">
        <f>COUNTIF('Knock Out Stages'!N7:N50,BW23)</f>
        <v>0</v>
      </c>
      <c r="CJ23" s="306">
        <f>COUNTIF('Knock Out Stages'!O7:O50,BW23)</f>
        <v>0</v>
      </c>
      <c r="CK23" s="306">
        <f>COUNTIF('Knock Out Stages'!P7:P50,BW23)</f>
        <v>0</v>
      </c>
      <c r="CL23" s="306">
        <f>COUNTIF('Knock Out Stages'!Q7:Q50,BW23)</f>
        <v>0</v>
      </c>
      <c r="CM23" s="306">
        <f>COUNTIF('Knock Out Stages'!R7:R50,BW23)</f>
        <v>0</v>
      </c>
      <c r="CN23" s="306">
        <f>IF(RIGHT('Group Stages'!$B$105,5)="T.com",SUM(BX23:CM23),0)</f>
        <v>0</v>
      </c>
      <c r="CO23" s="306">
        <f ca="1">RANK(CN23,CN3:CN834)+COUNTIF(CN3:CN23,CN23)-1</f>
        <v>21</v>
      </c>
      <c r="CP23" s="306" t="str">
        <f t="shared" ca="1" si="2"/>
        <v>Pape Gueye (Senegal)</v>
      </c>
    </row>
    <row r="24" spans="1:94" x14ac:dyDescent="0.3">
      <c r="A24" s="306">
        <v>22</v>
      </c>
      <c r="B24" s="306" t="str">
        <f>'Player Database'!C27</f>
        <v>Pape Matar Sarr</v>
      </c>
      <c r="C24" s="306" t="str">
        <f>'Player Database'!D27</f>
        <v>Tyrell Malacia</v>
      </c>
      <c r="D24" s="306" t="str">
        <f>'Player Database'!E27</f>
        <v>Ró-Ró</v>
      </c>
      <c r="E24" s="306" t="str">
        <f>'Player Database'!F27</f>
        <v>Robert Arboleda</v>
      </c>
      <c r="F24" s="306" t="str">
        <f>'Player Database'!G27</f>
        <v>Mason Mount</v>
      </c>
      <c r="G24" s="306" t="str">
        <f>'Player Database'!H27</f>
        <v>Saman Ghoddos</v>
      </c>
      <c r="H24" s="306" t="str">
        <f>'Player Database'!I27</f>
        <v>Timothy Weah</v>
      </c>
      <c r="I24" s="306" t="str">
        <f>'Player Database'!J27</f>
        <v>Neco Williams</v>
      </c>
      <c r="J24" s="306" t="str">
        <f>'Player Database'!K27</f>
        <v>Nicolás González</v>
      </c>
      <c r="K24" s="306" t="str">
        <f>'Player Database'!L27</f>
        <v>Salman Al-Faraj</v>
      </c>
      <c r="L24" s="306" t="str">
        <f>'Player Database'!M27</f>
        <v>Raúl Jiménez</v>
      </c>
      <c r="M24" s="306" t="str">
        <f>'Player Database'!N27</f>
        <v>Robert Gumny</v>
      </c>
      <c r="N24" s="306" t="str">
        <f>'Player Database'!O27</f>
        <v>Robert Skov</v>
      </c>
      <c r="O24" s="306" t="str">
        <f>'Player Database'!P27</f>
        <v>Taha Yassine Khenissi</v>
      </c>
      <c r="P24" s="306" t="str">
        <f>'Player Database'!Q27</f>
        <v>Raphaël Varane</v>
      </c>
      <c r="Q24" s="306" t="str">
        <f>'Player Database'!R27</f>
        <v>Miloš Degenek</v>
      </c>
      <c r="R24" s="306" t="str">
        <f>'Player Database'!S27</f>
        <v>Niklas Süle</v>
      </c>
      <c r="S24" s="306" t="str">
        <f>'Player Database'!T27</f>
        <v>Takuma Asano</v>
      </c>
      <c r="T24" s="306" t="str">
        <f>'Player Database'!U27</f>
        <v>Robert Sánchez</v>
      </c>
      <c r="U24" s="306" t="str">
        <f>'Player Database'!V27</f>
        <v>Patrick Sequeira</v>
      </c>
      <c r="V24" s="306" t="str">
        <f>'Player Database'!W27</f>
        <v>Yahia Attiyat Allah</v>
      </c>
      <c r="W24" s="306" t="str">
        <f>'Player Database'!X27</f>
        <v>Marko Livaja</v>
      </c>
      <c r="X24" s="306" t="str">
        <f>'Player Database'!Y27</f>
        <v>Toby Alderweireld</v>
      </c>
      <c r="Y24" s="306" t="str">
        <f>'Player Database'!Z27</f>
        <v>Sam Adekugbe</v>
      </c>
      <c r="Z24" s="306" t="str">
        <f>'Player Database'!AA27</f>
        <v>Richarlison</v>
      </c>
      <c r="AA24" s="306" t="str">
        <f>'Player Database'!AB27</f>
        <v>Stefan Mitrović</v>
      </c>
      <c r="AB24" s="306" t="str">
        <f>'Player Database'!AC27</f>
        <v>Ricardo Rodriguez</v>
      </c>
      <c r="AC24" s="306" t="str">
        <f>'Player Database'!AD27</f>
        <v>Oumar Gonzalez</v>
      </c>
      <c r="AD24" s="306" t="str">
        <f>'Player Database'!AE27</f>
        <v>Rúben Dias</v>
      </c>
      <c r="AE24" s="306" t="str">
        <f>'Player Database'!AF27</f>
        <v>Mohammed Salisu</v>
      </c>
      <c r="AF24" s="306" t="str">
        <f>'Player Database'!AG27</f>
        <v>Rodrigo Bentancur</v>
      </c>
      <c r="AG24" s="306" t="str">
        <f>'Player Database'!AH27</f>
        <v>Son Heung-min</v>
      </c>
      <c r="AI24" s="306" t="str">
        <f ca="1">IFERROR(INDEX(B3:AG28,A24,MATCH(AI2,B2:AG2,0)),"")</f>
        <v/>
      </c>
      <c r="AJ24" s="306" t="str">
        <f ca="1">IFERROR(INDEX(B3:AG28,A24,MATCH(AJ2,B2:AG2,0)),"")</f>
        <v/>
      </c>
      <c r="AK24" s="306" t="str">
        <f ca="1">IFERROR(INDEX(B3:AG28,A24,MATCH(AK2,B2:AG2,0)),"")</f>
        <v/>
      </c>
      <c r="AL24" s="306" t="str">
        <f ca="1">IFERROR(INDEX(B3:AG28,A24,MATCH(AL2,B2:AG2,0)),"")</f>
        <v/>
      </c>
      <c r="AM24" s="306" t="str">
        <f ca="1">IFERROR(INDEX(B3:AG28,A24,MATCH(AM2,B2:AG2,0)),"")</f>
        <v/>
      </c>
      <c r="AN24" s="306" t="str">
        <f ca="1">IFERROR(INDEX(B3:AG28,A24,MATCH(AN2,B2:AG2,0)),"")</f>
        <v/>
      </c>
      <c r="AO24" s="306" t="str">
        <f ca="1">IFERROR(INDEX(B3:AG28,A24,MATCH(AO2,B2:AG2,0)),"")</f>
        <v/>
      </c>
      <c r="AP24" s="306" t="str">
        <f ca="1">IFERROR(INDEX(B3:AG28,A24,MATCH(AP2,B2:AG2,0)),"")</f>
        <v/>
      </c>
      <c r="AQ24" s="306" t="str">
        <f ca="1">IFERROR(INDEX(B3:AG28,A24,MATCH(AQ2,B2:AG2,0)),"")</f>
        <v/>
      </c>
      <c r="AR24" s="306" t="str">
        <f ca="1">IFERROR(INDEX(B3:AG28,A24,MATCH(AR2,B2:AG2,0)),"")</f>
        <v/>
      </c>
      <c r="AS24" s="306" t="str">
        <f ca="1">IFERROR(INDEX(B3:AG28,A24,MATCH(AS2,B2:AG2,0)),"")</f>
        <v/>
      </c>
      <c r="AT24" s="306" t="str">
        <f ca="1">IFERROR(INDEX(B3:AG28,A24,MATCH(AT2,B2:AG2,0)),"")</f>
        <v/>
      </c>
      <c r="AU24" s="306" t="str">
        <f ca="1">IFERROR(INDEX(B3:AG28,A24,MATCH(AU2,B2:AG2,0)),"")</f>
        <v/>
      </c>
      <c r="AV24" s="306" t="str">
        <f ca="1">IFERROR(INDEX(B3:AG28,A24,MATCH(AV2,B2:AG2,0)),"")</f>
        <v/>
      </c>
      <c r="AW24" s="306" t="str">
        <f ca="1">IFERROR(INDEX(B3:AG28,A24,MATCH(AW2,B2:AG2,0)),"")</f>
        <v/>
      </c>
      <c r="AX24" s="306" t="str">
        <f ca="1">IFERROR(INDEX(B3:AG28,A24,MATCH(AX2,B2:AG2,0)),"")</f>
        <v/>
      </c>
      <c r="AZ24" s="306" t="str">
        <f ca="1">IFERROR(INDEX(B3:AG28,A24,MATCH(AZ2,B2:AG2,0)),"")</f>
        <v/>
      </c>
      <c r="BA24" s="306" t="str">
        <f ca="1">IFERROR(INDEX(B3:AG28,A24,MATCH(BA2,B2:AG2,0)),"")</f>
        <v/>
      </c>
      <c r="BB24" s="306" t="str">
        <f ca="1">IFERROR(INDEX(B3:AG28,A24,MATCH(BB2,B2:AG2,0)),"")</f>
        <v/>
      </c>
      <c r="BC24" s="306" t="str">
        <f ca="1">IFERROR(INDEX(B3:AG28,A24,MATCH(BC2,B2:AG2,0)),"")</f>
        <v/>
      </c>
      <c r="BD24" s="306" t="str">
        <f ca="1">IFERROR(INDEX(B3:AG28,A24,MATCH(BD2,B2:AG2,0)),"")</f>
        <v/>
      </c>
      <c r="BE24" s="306" t="str">
        <f ca="1">IFERROR(INDEX(B3:AG28,A24,MATCH(BE2,B2:AG2,0)),"")</f>
        <v/>
      </c>
      <c r="BF24" s="306" t="str">
        <f ca="1">IFERROR(INDEX(B3:AG28,A24,MATCH(BF2,B2:AG2,0)),"")</f>
        <v/>
      </c>
      <c r="BG24" s="306" t="str">
        <f ca="1">IFERROR(INDEX(B3:AG28,A24,MATCH(BG2,B2:AG2,0)),"")</f>
        <v/>
      </c>
      <c r="BI24" s="306" t="str">
        <f ca="1">IFERROR(INDEX(B3:AG28,A24,MATCH(BI2,B2:AG2,0)),"")</f>
        <v/>
      </c>
      <c r="BJ24" s="306" t="str">
        <f ca="1">IFERROR(INDEX(B3:AG28,A24,MATCH(BJ2,B2:AG2,0)),"")</f>
        <v/>
      </c>
      <c r="BK24" s="306" t="str">
        <f ca="1">IFERROR(INDEX(B3:AG28,A24,MATCH(BK2,B2:AG2,0)),"")</f>
        <v/>
      </c>
      <c r="BL24" s="306" t="str">
        <f ca="1">IFERROR(INDEX(B3:AG28,A24,MATCH(BL2,B2:AG2,0)),"")</f>
        <v/>
      </c>
      <c r="BN24" s="306" t="str">
        <f ca="1">IFERROR(INDEX(B3:AG28,A24,MATCH(BN2,B2:AG2,0)),"")</f>
        <v/>
      </c>
      <c r="BO24" s="306" t="str">
        <f ca="1">IFERROR(INDEX(B3:AG28,A24,MATCH(BO2,B2:AG2,0)),"")</f>
        <v/>
      </c>
      <c r="BQ24" s="306" t="str">
        <f ca="1">IFERROR(INDEX(B3:AG28,A24,MATCH(BQ2,B2:AG2,0)),"")</f>
        <v/>
      </c>
      <c r="BR24" s="306" t="str">
        <f ca="1">IFERROR(INDEX(B3:AG28,A24,MATCH(BR2,B2:AG2,0)),"")</f>
        <v/>
      </c>
      <c r="BT24" s="306" t="str">
        <f t="shared" ca="1" si="3"/>
        <v>Senegal</v>
      </c>
      <c r="BW24" s="306" t="str">
        <f t="shared" si="1"/>
        <v>Pape Matar Sarr</v>
      </c>
      <c r="BX24" s="306">
        <f>COUNTIF('Group Stages'!J7:J102,BW24)</f>
        <v>0</v>
      </c>
      <c r="BY24" s="306">
        <f>COUNTIF('Group Stages'!K7:K102,BW24)</f>
        <v>0</v>
      </c>
      <c r="BZ24" s="306">
        <f>COUNTIF('Group Stages'!L7:L102,BW24)</f>
        <v>0</v>
      </c>
      <c r="CA24" s="306">
        <f>COUNTIF('Group Stages'!M7:M102,BW24)</f>
        <v>0</v>
      </c>
      <c r="CB24" s="306">
        <f>COUNTIF('Group Stages'!N7:N102,BW24)</f>
        <v>0</v>
      </c>
      <c r="CC24" s="306">
        <f>COUNTIF('Group Stages'!O7:O102,BW24)</f>
        <v>0</v>
      </c>
      <c r="CD24" s="306">
        <f>COUNTIF('Group Stages'!P7:P102,BW24)</f>
        <v>0</v>
      </c>
      <c r="CE24" s="306">
        <f>COUNTIF('Group Stages'!Q7:Q102,BW24)</f>
        <v>0</v>
      </c>
      <c r="CF24" s="306">
        <f>COUNTIF('Knock Out Stages'!K7:K50,BW24)</f>
        <v>0</v>
      </c>
      <c r="CG24" s="306">
        <f>COUNTIF('Knock Out Stages'!L7:L50,BW24)</f>
        <v>0</v>
      </c>
      <c r="CH24" s="306">
        <f>COUNTIF('Knock Out Stages'!M7:M50,BW24)</f>
        <v>0</v>
      </c>
      <c r="CI24" s="306">
        <f>COUNTIF('Knock Out Stages'!N7:N50,BW24)</f>
        <v>0</v>
      </c>
      <c r="CJ24" s="306">
        <f>COUNTIF('Knock Out Stages'!O7:O50,BW24)</f>
        <v>0</v>
      </c>
      <c r="CK24" s="306">
        <f>COUNTIF('Knock Out Stages'!P7:P50,BW24)</f>
        <v>0</v>
      </c>
      <c r="CL24" s="306">
        <f>COUNTIF('Knock Out Stages'!Q7:Q50,BW24)</f>
        <v>0</v>
      </c>
      <c r="CM24" s="306">
        <f>COUNTIF('Knock Out Stages'!R7:R50,BW24)</f>
        <v>0</v>
      </c>
      <c r="CN24" s="306">
        <f>IF(RIGHT('Group Stages'!$B$105,5)="T.com",SUM(BX24:CM24),0)</f>
        <v>0</v>
      </c>
      <c r="CO24" s="306">
        <f ca="1">RANK(CN24,CN3:CN834)+COUNTIF(CN3:CN24,CN24)-1</f>
        <v>22</v>
      </c>
      <c r="CP24" s="306" t="str">
        <f t="shared" ca="1" si="2"/>
        <v>Pape Matar Sarr (Senegal)</v>
      </c>
    </row>
    <row r="25" spans="1:94" x14ac:dyDescent="0.3">
      <c r="A25" s="306">
        <v>23</v>
      </c>
      <c r="B25" s="306" t="str">
        <f>'Player Database'!C28</f>
        <v>Pathé Ciss</v>
      </c>
      <c r="C25" s="306" t="str">
        <f>'Player Database'!D28</f>
        <v>Vincent Janssen</v>
      </c>
      <c r="D25" s="306" t="str">
        <f>'Player Database'!E28</f>
        <v>Saad Al Sheeb</v>
      </c>
      <c r="E25" s="306" t="str">
        <f>'Player Database'!F28</f>
        <v>Romario Ibarra</v>
      </c>
      <c r="F25" s="306" t="str">
        <f>'Player Database'!G28</f>
        <v>Nick Pope</v>
      </c>
      <c r="G25" s="306" t="str">
        <f>'Player Database'!H28</f>
        <v>Sardar Azmoun</v>
      </c>
      <c r="H25" s="306" t="str">
        <f>'Player Database'!I28</f>
        <v>Tyler Adams</v>
      </c>
      <c r="I25" s="306" t="str">
        <f>'Player Database'!J28</f>
        <v>Rubin Colwill</v>
      </c>
      <c r="J25" s="306" t="str">
        <f>'Player Database'!K28</f>
        <v>Nicolás Otamendi</v>
      </c>
      <c r="K25" s="306" t="str">
        <f>'Player Database'!L28</f>
        <v>Sami Al-Najei</v>
      </c>
      <c r="L25" s="306" t="str">
        <f>'Player Database'!M28</f>
        <v>Roberto Alvarado</v>
      </c>
      <c r="M25" s="306" t="str">
        <f>'Player Database'!N28</f>
        <v>Robert Lewandowski</v>
      </c>
      <c r="N25" s="306" t="str">
        <f>'Player Database'!O28</f>
        <v>Simon Kjær</v>
      </c>
      <c r="O25" s="306" t="str">
        <f>'Player Database'!P28</f>
        <v>Wahbi Khazri</v>
      </c>
      <c r="P25" s="306" t="str">
        <f>'Player Database'!Q28</f>
        <v>Steve Mandanda</v>
      </c>
      <c r="Q25" s="306" t="str">
        <f>'Player Database'!R28</f>
        <v>Mitchell Duke</v>
      </c>
      <c r="R25" s="306" t="str">
        <f>'Player Database'!S28</f>
        <v>Serge Gnabry</v>
      </c>
      <c r="S25" s="306" t="str">
        <f>'Player Database'!T28</f>
        <v>Takumi Minamino</v>
      </c>
      <c r="T25" s="306" t="str">
        <f>'Player Database'!U28</f>
        <v>Rodri</v>
      </c>
      <c r="U25" s="306" t="str">
        <f>'Player Database'!V28</f>
        <v>Roan Wilson</v>
      </c>
      <c r="V25" s="306" t="str">
        <f>'Player Database'!W28</f>
        <v>Yahya Jabrane</v>
      </c>
      <c r="W25" s="306" t="str">
        <f>'Player Database'!X28</f>
        <v>Martin Erlić</v>
      </c>
      <c r="X25" s="306" t="str">
        <f>'Player Database'!Y28</f>
        <v>Wout Faes</v>
      </c>
      <c r="Y25" s="306" t="str">
        <f>'Player Database'!Z28</f>
        <v>Samuel Piette</v>
      </c>
      <c r="Z25" s="306" t="str">
        <f>'Player Database'!AA28</f>
        <v>Rodrygo</v>
      </c>
      <c r="AA25" s="306" t="str">
        <f>'Player Database'!AB28</f>
        <v>Strahinja Eraković</v>
      </c>
      <c r="AB25" s="306" t="str">
        <f>'Player Database'!AC28</f>
        <v>Ruben Vargas</v>
      </c>
      <c r="AC25" s="306" t="str">
        <f>'Player Database'!AD28</f>
        <v>Pierre Kunde</v>
      </c>
      <c r="AD25" s="306" t="str">
        <f>'Player Database'!AE28</f>
        <v>Rúben Neves</v>
      </c>
      <c r="AE25" s="306" t="str">
        <f>'Player Database'!AF28</f>
        <v>Osman Bukari</v>
      </c>
      <c r="AF25" s="306" t="str">
        <f>'Player Database'!AG28</f>
        <v>Ronald Araújo</v>
      </c>
      <c r="AG25" s="306" t="str">
        <f>'Player Database'!AH28</f>
        <v>Son Jun-ho</v>
      </c>
      <c r="AI25" s="306" t="str">
        <f ca="1">IFERROR(INDEX(B3:AG28,A25,MATCH(AI2,B2:AG2,0)),"")</f>
        <v/>
      </c>
      <c r="AJ25" s="306" t="str">
        <f ca="1">IFERROR(INDEX(B3:AG28,A25,MATCH(AJ2,B2:AG2,0)),"")</f>
        <v/>
      </c>
      <c r="AK25" s="306" t="str">
        <f ca="1">IFERROR(INDEX(B3:AG28,A25,MATCH(AK2,B2:AG2,0)),"")</f>
        <v/>
      </c>
      <c r="AL25" s="306" t="str">
        <f ca="1">IFERROR(INDEX(B3:AG28,A25,MATCH(AL2,B2:AG2,0)),"")</f>
        <v/>
      </c>
      <c r="AM25" s="306" t="str">
        <f ca="1">IFERROR(INDEX(B3:AG28,A25,MATCH(AM2,B2:AG2,0)),"")</f>
        <v/>
      </c>
      <c r="AN25" s="306" t="str">
        <f ca="1">IFERROR(INDEX(B3:AG28,A25,MATCH(AN2,B2:AG2,0)),"")</f>
        <v/>
      </c>
      <c r="AO25" s="306" t="str">
        <f ca="1">IFERROR(INDEX(B3:AG28,A25,MATCH(AO2,B2:AG2,0)),"")</f>
        <v/>
      </c>
      <c r="AP25" s="306" t="str">
        <f ca="1">IFERROR(INDEX(B3:AG28,A25,MATCH(AP2,B2:AG2,0)),"")</f>
        <v/>
      </c>
      <c r="AQ25" s="306" t="str">
        <f ca="1">IFERROR(INDEX(B3:AG28,A25,MATCH(AQ2,B2:AG2,0)),"")</f>
        <v/>
      </c>
      <c r="AR25" s="306" t="str">
        <f ca="1">IFERROR(INDEX(B3:AG28,A25,MATCH(AR2,B2:AG2,0)),"")</f>
        <v/>
      </c>
      <c r="AS25" s="306" t="str">
        <f ca="1">IFERROR(INDEX(B3:AG28,A25,MATCH(AS2,B2:AG2,0)),"")</f>
        <v/>
      </c>
      <c r="AT25" s="306" t="str">
        <f ca="1">IFERROR(INDEX(B3:AG28,A25,MATCH(AT2,B2:AG2,0)),"")</f>
        <v/>
      </c>
      <c r="AU25" s="306" t="str">
        <f ca="1">IFERROR(INDEX(B3:AG28,A25,MATCH(AU2,B2:AG2,0)),"")</f>
        <v/>
      </c>
      <c r="AV25" s="306" t="str">
        <f ca="1">IFERROR(INDEX(B3:AG28,A25,MATCH(AV2,B2:AG2,0)),"")</f>
        <v/>
      </c>
      <c r="AW25" s="306" t="str">
        <f ca="1">IFERROR(INDEX(B3:AG28,A25,MATCH(AW2,B2:AG2,0)),"")</f>
        <v/>
      </c>
      <c r="AX25" s="306" t="str">
        <f ca="1">IFERROR(INDEX(B3:AG28,A25,MATCH(AX2,B2:AG2,0)),"")</f>
        <v/>
      </c>
      <c r="AZ25" s="306" t="str">
        <f ca="1">IFERROR(INDEX(B3:AG28,A25,MATCH(AZ2,B2:AG2,0)),"")</f>
        <v/>
      </c>
      <c r="BA25" s="306" t="str">
        <f ca="1">IFERROR(INDEX(B3:AG28,A25,MATCH(BA2,B2:AG2,0)),"")</f>
        <v/>
      </c>
      <c r="BB25" s="306" t="str">
        <f ca="1">IFERROR(INDEX(B3:AG28,A25,MATCH(BB2,B2:AG2,0)),"")</f>
        <v/>
      </c>
      <c r="BC25" s="306" t="str">
        <f ca="1">IFERROR(INDEX(B3:AG28,A25,MATCH(BC2,B2:AG2,0)),"")</f>
        <v/>
      </c>
      <c r="BD25" s="306" t="str">
        <f ca="1">IFERROR(INDEX(B3:AG28,A25,MATCH(BD2,B2:AG2,0)),"")</f>
        <v/>
      </c>
      <c r="BE25" s="306" t="str">
        <f ca="1">IFERROR(INDEX(B3:AG28,A25,MATCH(BE2,B2:AG2,0)),"")</f>
        <v/>
      </c>
      <c r="BF25" s="306" t="str">
        <f ca="1">IFERROR(INDEX(B3:AG28,A25,MATCH(BF2,B2:AG2,0)),"")</f>
        <v/>
      </c>
      <c r="BG25" s="306" t="str">
        <f ca="1">IFERROR(INDEX(B3:AG28,A25,MATCH(BG2,B2:AG2,0)),"")</f>
        <v/>
      </c>
      <c r="BI25" s="306" t="str">
        <f ca="1">IFERROR(INDEX(B3:AG28,A25,MATCH(BI2,B2:AG2,0)),"")</f>
        <v/>
      </c>
      <c r="BJ25" s="306" t="str">
        <f ca="1">IFERROR(INDEX(B3:AG28,A25,MATCH(BJ2,B2:AG2,0)),"")</f>
        <v/>
      </c>
      <c r="BK25" s="306" t="str">
        <f ca="1">IFERROR(INDEX(B3:AG28,A25,MATCH(BK2,B2:AG2,0)),"")</f>
        <v/>
      </c>
      <c r="BL25" s="306" t="str">
        <f ca="1">IFERROR(INDEX(B3:AG28,A25,MATCH(BL2,B2:AG2,0)),"")</f>
        <v/>
      </c>
      <c r="BN25" s="306" t="str">
        <f ca="1">IFERROR(INDEX(B3:AG28,A25,MATCH(BN2,B2:AG2,0)),"")</f>
        <v/>
      </c>
      <c r="BO25" s="306" t="str">
        <f ca="1">IFERROR(INDEX(B3:AG28,A25,MATCH(BO2,B2:AG2,0)),"")</f>
        <v/>
      </c>
      <c r="BQ25" s="306" t="str">
        <f ca="1">IFERROR(INDEX(B3:AG28,A25,MATCH(BQ2,B2:AG2,0)),"")</f>
        <v/>
      </c>
      <c r="BR25" s="306" t="str">
        <f ca="1">IFERROR(INDEX(B3:AG28,A25,MATCH(BR2,B2:AG2,0)),"")</f>
        <v/>
      </c>
      <c r="BT25" s="306" t="str">
        <f t="shared" ca="1" si="3"/>
        <v>Senegal</v>
      </c>
      <c r="BW25" s="306" t="str">
        <f t="shared" si="1"/>
        <v>Pathé Ciss</v>
      </c>
      <c r="BX25" s="306">
        <f>COUNTIF('Group Stages'!J7:J102,BW25)</f>
        <v>0</v>
      </c>
      <c r="BY25" s="306">
        <f>COUNTIF('Group Stages'!K7:K102,BW25)</f>
        <v>0</v>
      </c>
      <c r="BZ25" s="306">
        <f>COUNTIF('Group Stages'!L7:L102,BW25)</f>
        <v>0</v>
      </c>
      <c r="CA25" s="306">
        <f>COUNTIF('Group Stages'!M7:M102,BW25)</f>
        <v>0</v>
      </c>
      <c r="CB25" s="306">
        <f>COUNTIF('Group Stages'!N7:N102,BW25)</f>
        <v>0</v>
      </c>
      <c r="CC25" s="306">
        <f>COUNTIF('Group Stages'!O7:O102,BW25)</f>
        <v>0</v>
      </c>
      <c r="CD25" s="306">
        <f>COUNTIF('Group Stages'!P7:P102,BW25)</f>
        <v>0</v>
      </c>
      <c r="CE25" s="306">
        <f>COUNTIF('Group Stages'!Q7:Q102,BW25)</f>
        <v>0</v>
      </c>
      <c r="CF25" s="306">
        <f>COUNTIF('Knock Out Stages'!K7:K50,BW25)</f>
        <v>0</v>
      </c>
      <c r="CG25" s="306">
        <f>COUNTIF('Knock Out Stages'!L7:L50,BW25)</f>
        <v>0</v>
      </c>
      <c r="CH25" s="306">
        <f>COUNTIF('Knock Out Stages'!M7:M50,BW25)</f>
        <v>0</v>
      </c>
      <c r="CI25" s="306">
        <f>COUNTIF('Knock Out Stages'!N7:N50,BW25)</f>
        <v>0</v>
      </c>
      <c r="CJ25" s="306">
        <f>COUNTIF('Knock Out Stages'!O7:O50,BW25)</f>
        <v>0</v>
      </c>
      <c r="CK25" s="306">
        <f>COUNTIF('Knock Out Stages'!P7:P50,BW25)</f>
        <v>0</v>
      </c>
      <c r="CL25" s="306">
        <f>COUNTIF('Knock Out Stages'!Q7:Q50,BW25)</f>
        <v>0</v>
      </c>
      <c r="CM25" s="306">
        <f>COUNTIF('Knock Out Stages'!R7:R50,BW25)</f>
        <v>0</v>
      </c>
      <c r="CN25" s="306">
        <f>IF(RIGHT('Group Stages'!$B$105,5)="T.com",SUM(BX25:CM25),0)</f>
        <v>0</v>
      </c>
      <c r="CO25" s="306">
        <f ca="1">RANK(CN25,CN3:CN834)+COUNTIF(CN3:CN25,CN25)-1</f>
        <v>23</v>
      </c>
      <c r="CP25" s="306" t="str">
        <f t="shared" ca="1" si="2"/>
        <v>Pathé Ciss (Senegal)</v>
      </c>
    </row>
    <row r="26" spans="1:94" x14ac:dyDescent="0.3">
      <c r="A26" s="306">
        <v>24</v>
      </c>
      <c r="B26" s="306" t="str">
        <f>'Player Database'!C29</f>
        <v>Sadio Mané</v>
      </c>
      <c r="C26" s="306" t="str">
        <f>'Player Database'!D29</f>
        <v>Virgil van Dijk</v>
      </c>
      <c r="D26" s="306" t="str">
        <f>'Player Database'!E29</f>
        <v>Salem Al-Hajri</v>
      </c>
      <c r="E26" s="306" t="str">
        <f>'Player Database'!F29</f>
        <v>Sebas Méndez</v>
      </c>
      <c r="F26" s="306" t="str">
        <f>'Player Database'!G29</f>
        <v>Phil Foden</v>
      </c>
      <c r="G26" s="306" t="str">
        <f>'Player Database'!H29</f>
        <v>Shojae Khalilzadeh</v>
      </c>
      <c r="H26" s="306" t="str">
        <f>'Player Database'!I29</f>
        <v>Walker Zimmerman</v>
      </c>
      <c r="I26" s="306" t="str">
        <f>'Player Database'!J29</f>
        <v>Sorba Thomas</v>
      </c>
      <c r="J26" s="306" t="str">
        <f>'Player Database'!K29</f>
        <v>Nicolás Tagliafico</v>
      </c>
      <c r="K26" s="306" t="str">
        <f>'Player Database'!L29</f>
        <v>Saud Abdulhamid</v>
      </c>
      <c r="L26" s="306" t="str">
        <f>'Player Database'!M29</f>
        <v>Rodolfo Cota</v>
      </c>
      <c r="M26" s="306" t="str">
        <f>'Player Database'!N29</f>
        <v>Sebastian Szymański</v>
      </c>
      <c r="N26" s="306" t="str">
        <f>'Player Database'!O29</f>
        <v>Thomas Delaney</v>
      </c>
      <c r="O26" s="306" t="str">
        <f>'Player Database'!P29</f>
        <v>Wajdi Kechrida</v>
      </c>
      <c r="P26" s="306" t="str">
        <f>'Player Database'!Q29</f>
        <v>Theo Hernandez</v>
      </c>
      <c r="Q26" s="306" t="str">
        <f>'Player Database'!R29</f>
        <v>Nathaniel Atkinson</v>
      </c>
      <c r="R26" s="306" t="str">
        <f>'Player Database'!S29</f>
        <v>Thilo Kehrer</v>
      </c>
      <c r="S26" s="306" t="str">
        <f>'Player Database'!T29</f>
        <v>Wataru Endo</v>
      </c>
      <c r="T26" s="306" t="str">
        <f>'Player Database'!U29</f>
        <v>Sergio Busquets</v>
      </c>
      <c r="U26" s="306" t="str">
        <f>'Player Database'!V29</f>
        <v>Rónald Matarrita</v>
      </c>
      <c r="V26" s="306" t="str">
        <f>'Player Database'!W29</f>
        <v>Yassine Bounou</v>
      </c>
      <c r="W26" s="306" t="str">
        <f>'Player Database'!X29</f>
        <v>Mateo Kovačić</v>
      </c>
      <c r="X26" s="306" t="str">
        <f>'Player Database'!Y29</f>
        <v>Yannick Carrasco</v>
      </c>
      <c r="Y26" s="306" t="str">
        <f>'Player Database'!Z29</f>
        <v>Stephen Eustáquio</v>
      </c>
      <c r="Z26" s="306" t="str">
        <f>'Player Database'!AA29</f>
        <v>Thiago Silva</v>
      </c>
      <c r="AA26" s="306" t="str">
        <f>'Player Database'!AB29</f>
        <v>Strahinja Pavlović</v>
      </c>
      <c r="AB26" s="306" t="str">
        <f>'Player Database'!AC29</f>
        <v>Silvan Widmer</v>
      </c>
      <c r="AC26" s="306" t="str">
        <f>'Player Database'!AD29</f>
        <v>Samuel Gouet</v>
      </c>
      <c r="AD26" s="306" t="str">
        <f>'Player Database'!AE29</f>
        <v>Rui Patrício</v>
      </c>
      <c r="AE26" s="306" t="str">
        <f>'Player Database'!AF29</f>
        <v>Salis Abdul Samed</v>
      </c>
      <c r="AF26" s="306" t="str">
        <f>'Player Database'!AG29</f>
        <v>Sebastián Coates</v>
      </c>
      <c r="AG26" s="306" t="str">
        <f>'Player Database'!AH29</f>
        <v>Song Bum-keun</v>
      </c>
      <c r="AI26" s="306" t="str">
        <f ca="1">IFERROR(INDEX(B3:AG28,A26,MATCH(AI2,B2:AG2,0)),"")</f>
        <v/>
      </c>
      <c r="AJ26" s="306" t="str">
        <f ca="1">IFERROR(INDEX(B3:AG28,A26,MATCH(AJ2,B2:AG2,0)),"")</f>
        <v/>
      </c>
      <c r="AK26" s="306" t="str">
        <f ca="1">IFERROR(INDEX(B3:AG28,A26,MATCH(AK2,B2:AG2,0)),"")</f>
        <v/>
      </c>
      <c r="AL26" s="306" t="str">
        <f ca="1">IFERROR(INDEX(B3:AG28,A26,MATCH(AL2,B2:AG2,0)),"")</f>
        <v/>
      </c>
      <c r="AM26" s="306" t="str">
        <f ca="1">IFERROR(INDEX(B3:AG28,A26,MATCH(AM2,B2:AG2,0)),"")</f>
        <v/>
      </c>
      <c r="AN26" s="306" t="str">
        <f ca="1">IFERROR(INDEX(B3:AG28,A26,MATCH(AN2,B2:AG2,0)),"")</f>
        <v/>
      </c>
      <c r="AO26" s="306" t="str">
        <f ca="1">IFERROR(INDEX(B3:AG28,A26,MATCH(AO2,B2:AG2,0)),"")</f>
        <v/>
      </c>
      <c r="AP26" s="306" t="str">
        <f ca="1">IFERROR(INDEX(B3:AG28,A26,MATCH(AP2,B2:AG2,0)),"")</f>
        <v/>
      </c>
      <c r="AQ26" s="306" t="str">
        <f ca="1">IFERROR(INDEX(B3:AG28,A26,MATCH(AQ2,B2:AG2,0)),"")</f>
        <v/>
      </c>
      <c r="AR26" s="306" t="str">
        <f ca="1">IFERROR(INDEX(B3:AG28,A26,MATCH(AR2,B2:AG2,0)),"")</f>
        <v/>
      </c>
      <c r="AS26" s="306" t="str">
        <f ca="1">IFERROR(INDEX(B3:AG28,A26,MATCH(AS2,B2:AG2,0)),"")</f>
        <v/>
      </c>
      <c r="AT26" s="306" t="str">
        <f ca="1">IFERROR(INDEX(B3:AG28,A26,MATCH(AT2,B2:AG2,0)),"")</f>
        <v/>
      </c>
      <c r="AU26" s="306" t="str">
        <f ca="1">IFERROR(INDEX(B3:AG28,A26,MATCH(AU2,B2:AG2,0)),"")</f>
        <v/>
      </c>
      <c r="AV26" s="306" t="str">
        <f ca="1">IFERROR(INDEX(B3:AG28,A26,MATCH(AV2,B2:AG2,0)),"")</f>
        <v/>
      </c>
      <c r="AW26" s="306" t="str">
        <f ca="1">IFERROR(INDEX(B3:AG28,A26,MATCH(AW2,B2:AG2,0)),"")</f>
        <v/>
      </c>
      <c r="AX26" s="306" t="str">
        <f ca="1">IFERROR(INDEX(B3:AG28,A26,MATCH(AX2,B2:AG2,0)),"")</f>
        <v/>
      </c>
      <c r="AZ26" s="306" t="str">
        <f ca="1">IFERROR(INDEX(B3:AG28,A26,MATCH(AZ2,B2:AG2,0)),"")</f>
        <v/>
      </c>
      <c r="BA26" s="306" t="str">
        <f ca="1">IFERROR(INDEX(B3:AG28,A26,MATCH(BA2,B2:AG2,0)),"")</f>
        <v/>
      </c>
      <c r="BB26" s="306" t="str">
        <f ca="1">IFERROR(INDEX(B3:AG28,A26,MATCH(BB2,B2:AG2,0)),"")</f>
        <v/>
      </c>
      <c r="BC26" s="306" t="str">
        <f ca="1">IFERROR(INDEX(B3:AG28,A26,MATCH(BC2,B2:AG2,0)),"")</f>
        <v/>
      </c>
      <c r="BD26" s="306" t="str">
        <f ca="1">IFERROR(INDEX(B3:AG28,A26,MATCH(BD2,B2:AG2,0)),"")</f>
        <v/>
      </c>
      <c r="BE26" s="306" t="str">
        <f ca="1">IFERROR(INDEX(B3:AG28,A26,MATCH(BE2,B2:AG2,0)),"")</f>
        <v/>
      </c>
      <c r="BF26" s="306" t="str">
        <f ca="1">IFERROR(INDEX(B3:AG28,A26,MATCH(BF2,B2:AG2,0)),"")</f>
        <v/>
      </c>
      <c r="BG26" s="306" t="str">
        <f ca="1">IFERROR(INDEX(B3:AG28,A26,MATCH(BG2,B2:AG2,0)),"")</f>
        <v/>
      </c>
      <c r="BI26" s="306" t="str">
        <f ca="1">IFERROR(INDEX(B3:AG28,A26,MATCH(BI2,B2:AG2,0)),"")</f>
        <v/>
      </c>
      <c r="BJ26" s="306" t="str">
        <f ca="1">IFERROR(INDEX(B3:AG28,A26,MATCH(BJ2,B2:AG2,0)),"")</f>
        <v/>
      </c>
      <c r="BK26" s="306" t="str">
        <f ca="1">IFERROR(INDEX(B3:AG28,A26,MATCH(BK2,B2:AG2,0)),"")</f>
        <v/>
      </c>
      <c r="BL26" s="306" t="str">
        <f ca="1">IFERROR(INDEX(B3:AG28,A26,MATCH(BL2,B2:AG2,0)),"")</f>
        <v/>
      </c>
      <c r="BN26" s="306" t="str">
        <f ca="1">IFERROR(INDEX(B3:AG28,A26,MATCH(BN2,B2:AG2,0)),"")</f>
        <v/>
      </c>
      <c r="BO26" s="306" t="str">
        <f ca="1">IFERROR(INDEX(B3:AG28,A26,MATCH(BO2,B2:AG2,0)),"")</f>
        <v/>
      </c>
      <c r="BQ26" s="306" t="str">
        <f ca="1">IFERROR(INDEX(B3:AG28,A26,MATCH(BQ2,B2:AG2,0)),"")</f>
        <v/>
      </c>
      <c r="BR26" s="306" t="str">
        <f ca="1">IFERROR(INDEX(B3:AG28,A26,MATCH(BR2,B2:AG2,0)),"")</f>
        <v/>
      </c>
      <c r="BT26" s="306" t="str">
        <f t="shared" ca="1" si="3"/>
        <v>Senegal</v>
      </c>
      <c r="BW26" s="306" t="str">
        <f t="shared" si="1"/>
        <v>Sadio Mané</v>
      </c>
      <c r="BX26" s="306">
        <f>COUNTIF('Group Stages'!J7:J102,BW26)</f>
        <v>0</v>
      </c>
      <c r="BY26" s="306">
        <f>COUNTIF('Group Stages'!K7:K102,BW26)</f>
        <v>0</v>
      </c>
      <c r="BZ26" s="306">
        <f>COUNTIF('Group Stages'!L7:L102,BW26)</f>
        <v>0</v>
      </c>
      <c r="CA26" s="306">
        <f>COUNTIF('Group Stages'!M7:M102,BW26)</f>
        <v>0</v>
      </c>
      <c r="CB26" s="306">
        <f>COUNTIF('Group Stages'!N7:N102,BW26)</f>
        <v>0</v>
      </c>
      <c r="CC26" s="306">
        <f>COUNTIF('Group Stages'!O7:O102,BW26)</f>
        <v>0</v>
      </c>
      <c r="CD26" s="306">
        <f>COUNTIF('Group Stages'!P7:P102,BW26)</f>
        <v>0</v>
      </c>
      <c r="CE26" s="306">
        <f>COUNTIF('Group Stages'!Q7:Q102,BW26)</f>
        <v>0</v>
      </c>
      <c r="CF26" s="306">
        <f>COUNTIF('Knock Out Stages'!K7:K50,BW26)</f>
        <v>0</v>
      </c>
      <c r="CG26" s="306">
        <f>COUNTIF('Knock Out Stages'!L7:L50,BW26)</f>
        <v>0</v>
      </c>
      <c r="CH26" s="306">
        <f>COUNTIF('Knock Out Stages'!M7:M50,BW26)</f>
        <v>0</v>
      </c>
      <c r="CI26" s="306">
        <f>COUNTIF('Knock Out Stages'!N7:N50,BW26)</f>
        <v>0</v>
      </c>
      <c r="CJ26" s="306">
        <f>COUNTIF('Knock Out Stages'!O7:O50,BW26)</f>
        <v>0</v>
      </c>
      <c r="CK26" s="306">
        <f>COUNTIF('Knock Out Stages'!P7:P50,BW26)</f>
        <v>0</v>
      </c>
      <c r="CL26" s="306">
        <f>COUNTIF('Knock Out Stages'!Q7:Q50,BW26)</f>
        <v>0</v>
      </c>
      <c r="CM26" s="306">
        <f>COUNTIF('Knock Out Stages'!R7:R50,BW26)</f>
        <v>0</v>
      </c>
      <c r="CN26" s="306">
        <f>IF(RIGHT('Group Stages'!$B$105,5)="T.com",SUM(BX26:CM26),0)</f>
        <v>0</v>
      </c>
      <c r="CO26" s="306">
        <f ca="1">RANK(CN26,CN3:CN834)+COUNTIF(CN3:CN26,CN26)-1</f>
        <v>24</v>
      </c>
      <c r="CP26" s="306" t="str">
        <f t="shared" ca="1" si="2"/>
        <v>Sadio Mané (Senegal)</v>
      </c>
    </row>
    <row r="27" spans="1:94" x14ac:dyDescent="0.3">
      <c r="A27" s="306">
        <v>25</v>
      </c>
      <c r="B27" s="306" t="str">
        <f>'Player Database'!C30</f>
        <v>Seny Dieng</v>
      </c>
      <c r="C27" s="306" t="str">
        <f>'Player Database'!D30</f>
        <v>Wout Weghorst</v>
      </c>
      <c r="D27" s="306" t="str">
        <f>'Player Database'!E30</f>
        <v>Tarek Salman</v>
      </c>
      <c r="E27" s="306" t="str">
        <f>'Player Database'!F30</f>
        <v>William Pacho</v>
      </c>
      <c r="F27" s="306" t="str">
        <f>'Player Database'!G30</f>
        <v>Raheem Sterling</v>
      </c>
      <c r="G27" s="306" t="str">
        <f>'Player Database'!H30</f>
        <v>Vahid Amiri</v>
      </c>
      <c r="H27" s="306" t="str">
        <f>'Player Database'!I30</f>
        <v>Weston McKennie</v>
      </c>
      <c r="I27" s="306" t="str">
        <f>'Player Database'!J30</f>
        <v>Tom Lockyer</v>
      </c>
      <c r="J27" s="306" t="str">
        <f>'Player Database'!K30</f>
        <v>Paulo Dybala</v>
      </c>
      <c r="K27" s="306" t="str">
        <f>'Player Database'!L30</f>
        <v>Sultan Al-Ghanam</v>
      </c>
      <c r="L27" s="306" t="str">
        <f>'Player Database'!M30</f>
        <v>Rogelio Funes Mori</v>
      </c>
      <c r="M27" s="306" t="str">
        <f>'Player Database'!N30</f>
        <v>Szymon Żurkowski</v>
      </c>
      <c r="N27" s="306" t="str">
        <f>'Player Database'!O30</f>
        <v>Victor Nelsson</v>
      </c>
      <c r="O27" s="306" t="str">
        <f>'Player Database'!P30</f>
        <v>Yassine Meriah</v>
      </c>
      <c r="P27" s="306" t="str">
        <f>'Player Database'!Q30</f>
        <v>William Saliba</v>
      </c>
      <c r="Q27" s="306" t="str">
        <f>'Player Database'!R30</f>
        <v>Riley McGree</v>
      </c>
      <c r="R27" s="306" t="str">
        <f>'Player Database'!S30</f>
        <v>Thomas Müller</v>
      </c>
      <c r="S27" s="306" t="str">
        <f>'Player Database'!T30</f>
        <v>Yūki Sōma</v>
      </c>
      <c r="T27" s="306" t="str">
        <f>'Player Database'!U30</f>
        <v>Unai Simón</v>
      </c>
      <c r="U27" s="306" t="str">
        <f>'Player Database'!V30</f>
        <v>Yeltsin Tejeda</v>
      </c>
      <c r="V27" s="306" t="str">
        <f>'Player Database'!W30</f>
        <v>Youssef En-Nesyri</v>
      </c>
      <c r="W27" s="306" t="str">
        <f>'Player Database'!X30</f>
        <v>Mislav Oršić</v>
      </c>
      <c r="X27" s="306" t="str">
        <f>'Player Database'!Y30</f>
        <v>Youri Tielemans</v>
      </c>
      <c r="Y27" s="306" t="str">
        <f>'Player Database'!Z30</f>
        <v>Steven Vitória</v>
      </c>
      <c r="Z27" s="306" t="str">
        <f>'Player Database'!AA30</f>
        <v>Vinícius Júnior</v>
      </c>
      <c r="AA27" s="306" t="str">
        <f>'Player Database'!AB30</f>
        <v>Uroš Račić</v>
      </c>
      <c r="AB27" s="306" t="str">
        <f>'Player Database'!AC30</f>
        <v>Xherdan Shaqiri</v>
      </c>
      <c r="AC27" s="306" t="str">
        <f>'Player Database'!AD30</f>
        <v>Simon Ngapandouetnbu</v>
      </c>
      <c r="AD27" s="306" t="str">
        <f>'Player Database'!AE30</f>
        <v>Vitinha</v>
      </c>
      <c r="AE27" s="306" t="str">
        <f>'Player Database'!AF30</f>
        <v>Tariq Lamptey</v>
      </c>
      <c r="AF27" s="306" t="str">
        <f>'Player Database'!AG30</f>
        <v>Sebastián Sosa</v>
      </c>
      <c r="AG27" s="306" t="str">
        <f>'Player Database'!AH30</f>
        <v>Song Min-kyu</v>
      </c>
      <c r="AI27" s="306" t="str">
        <f ca="1">IFERROR(INDEX(B3:AG28,A27,MATCH(AI2,B2:AG2,0)),"")</f>
        <v/>
      </c>
      <c r="AJ27" s="306" t="str">
        <f ca="1">IFERROR(INDEX(B3:AG28,A27,MATCH(AJ2,B2:AG2,0)),"")</f>
        <v/>
      </c>
      <c r="AK27" s="306" t="str">
        <f ca="1">IFERROR(INDEX(B3:AG28,A27,MATCH(AK2,B2:AG2,0)),"")</f>
        <v/>
      </c>
      <c r="AL27" s="306" t="str">
        <f ca="1">IFERROR(INDEX(B3:AG28,A27,MATCH(AL2,B2:AG2,0)),"")</f>
        <v/>
      </c>
      <c r="AM27" s="306" t="str">
        <f ca="1">IFERROR(INDEX(B3:AG28,A27,MATCH(AM2,B2:AG2,0)),"")</f>
        <v/>
      </c>
      <c r="AN27" s="306" t="str">
        <f ca="1">IFERROR(INDEX(B3:AG28,A27,MATCH(AN2,B2:AG2,0)),"")</f>
        <v/>
      </c>
      <c r="AO27" s="306" t="str">
        <f ca="1">IFERROR(INDEX(B3:AG28,A27,MATCH(AO2,B2:AG2,0)),"")</f>
        <v/>
      </c>
      <c r="AP27" s="306" t="str">
        <f ca="1">IFERROR(INDEX(B3:AG28,A27,MATCH(AP2,B2:AG2,0)),"")</f>
        <v/>
      </c>
      <c r="AQ27" s="306" t="str">
        <f ca="1">IFERROR(INDEX(B3:AG28,A27,MATCH(AQ2,B2:AG2,0)),"")</f>
        <v/>
      </c>
      <c r="AR27" s="306" t="str">
        <f ca="1">IFERROR(INDEX(B3:AG28,A27,MATCH(AR2,B2:AG2,0)),"")</f>
        <v/>
      </c>
      <c r="AS27" s="306" t="str">
        <f ca="1">IFERROR(INDEX(B3:AG28,A27,MATCH(AS2,B2:AG2,0)),"")</f>
        <v/>
      </c>
      <c r="AT27" s="306" t="str">
        <f ca="1">IFERROR(INDEX(B3:AG28,A27,MATCH(AT2,B2:AG2,0)),"")</f>
        <v/>
      </c>
      <c r="AU27" s="306" t="str">
        <f ca="1">IFERROR(INDEX(B3:AG28,A27,MATCH(AU2,B2:AG2,0)),"")</f>
        <v/>
      </c>
      <c r="AV27" s="306" t="str">
        <f ca="1">IFERROR(INDEX(B3:AG28,A27,MATCH(AV2,B2:AG2,0)),"")</f>
        <v/>
      </c>
      <c r="AW27" s="306" t="str">
        <f ca="1">IFERROR(INDEX(B3:AG28,A27,MATCH(AW2,B2:AG2,0)),"")</f>
        <v/>
      </c>
      <c r="AX27" s="306" t="str">
        <f ca="1">IFERROR(INDEX(B3:AG28,A27,MATCH(AX2,B2:AG2,0)),"")</f>
        <v/>
      </c>
      <c r="AZ27" s="306" t="str">
        <f ca="1">IFERROR(INDEX(B3:AG28,A27,MATCH(AZ2,B2:AG2,0)),"")</f>
        <v/>
      </c>
      <c r="BA27" s="306" t="str">
        <f ca="1">IFERROR(INDEX(B3:AG28,A27,MATCH(BA2,B2:AG2,0)),"")</f>
        <v/>
      </c>
      <c r="BB27" s="306" t="str">
        <f ca="1">IFERROR(INDEX(B3:AG28,A27,MATCH(BB2,B2:AG2,0)),"")</f>
        <v/>
      </c>
      <c r="BC27" s="306" t="str">
        <f ca="1">IFERROR(INDEX(B3:AG28,A27,MATCH(BC2,B2:AG2,0)),"")</f>
        <v/>
      </c>
      <c r="BD27" s="306" t="str">
        <f ca="1">IFERROR(INDEX(B3:AG28,A27,MATCH(BD2,B2:AG2,0)),"")</f>
        <v/>
      </c>
      <c r="BE27" s="306" t="str">
        <f ca="1">IFERROR(INDEX(B3:AG28,A27,MATCH(BE2,B2:AG2,0)),"")</f>
        <v/>
      </c>
      <c r="BF27" s="306" t="str">
        <f ca="1">IFERROR(INDEX(B3:AG28,A27,MATCH(BF2,B2:AG2,0)),"")</f>
        <v/>
      </c>
      <c r="BG27" s="306" t="str">
        <f ca="1">IFERROR(INDEX(B3:AG28,A27,MATCH(BG2,B2:AG2,0)),"")</f>
        <v/>
      </c>
      <c r="BI27" s="306" t="str">
        <f ca="1">IFERROR(INDEX(B3:AG28,A27,MATCH(BI2,B2:AG2,0)),"")</f>
        <v/>
      </c>
      <c r="BJ27" s="306" t="str">
        <f ca="1">IFERROR(INDEX(B3:AG28,A27,MATCH(BJ2,B2:AG2,0)),"")</f>
        <v/>
      </c>
      <c r="BK27" s="306" t="str">
        <f ca="1">IFERROR(INDEX(B3:AG28,A27,MATCH(BK2,B2:AG2,0)),"")</f>
        <v/>
      </c>
      <c r="BL27" s="306" t="str">
        <f ca="1">IFERROR(INDEX(B3:AG28,A27,MATCH(BL2,B2:AG2,0)),"")</f>
        <v/>
      </c>
      <c r="BN27" s="306" t="str">
        <f ca="1">IFERROR(INDEX(B3:AG28,A27,MATCH(BN2,B2:AG2,0)),"")</f>
        <v/>
      </c>
      <c r="BO27" s="306" t="str">
        <f ca="1">IFERROR(INDEX(B3:AG28,A27,MATCH(BO2,B2:AG2,0)),"")</f>
        <v/>
      </c>
      <c r="BQ27" s="306" t="str">
        <f ca="1">IFERROR(INDEX(B3:AG28,A27,MATCH(BQ2,B2:AG2,0)),"")</f>
        <v/>
      </c>
      <c r="BR27" s="306" t="str">
        <f ca="1">IFERROR(INDEX(B3:AG28,A27,MATCH(BR2,B2:AG2,0)),"")</f>
        <v/>
      </c>
      <c r="BT27" s="306" t="str">
        <f t="shared" ca="1" si="3"/>
        <v>Senegal</v>
      </c>
      <c r="BW27" s="306" t="str">
        <f t="shared" si="1"/>
        <v>Seny Dieng</v>
      </c>
      <c r="BX27" s="306">
        <f>COUNTIF('Group Stages'!J7:J102,BW27)</f>
        <v>0</v>
      </c>
      <c r="BY27" s="306">
        <f>COUNTIF('Group Stages'!K7:K102,BW27)</f>
        <v>0</v>
      </c>
      <c r="BZ27" s="306">
        <f>COUNTIF('Group Stages'!L7:L102,BW27)</f>
        <v>0</v>
      </c>
      <c r="CA27" s="306">
        <f>COUNTIF('Group Stages'!M7:M102,BW27)</f>
        <v>0</v>
      </c>
      <c r="CB27" s="306">
        <f>COUNTIF('Group Stages'!N7:N102,BW27)</f>
        <v>0</v>
      </c>
      <c r="CC27" s="306">
        <f>COUNTIF('Group Stages'!O7:O102,BW27)</f>
        <v>0</v>
      </c>
      <c r="CD27" s="306">
        <f>COUNTIF('Group Stages'!P7:P102,BW27)</f>
        <v>0</v>
      </c>
      <c r="CE27" s="306">
        <f>COUNTIF('Group Stages'!Q7:Q102,BW27)</f>
        <v>0</v>
      </c>
      <c r="CF27" s="306">
        <f>COUNTIF('Knock Out Stages'!K7:K50,BW27)</f>
        <v>0</v>
      </c>
      <c r="CG27" s="306">
        <f>COUNTIF('Knock Out Stages'!L7:L50,BW27)</f>
        <v>0</v>
      </c>
      <c r="CH27" s="306">
        <f>COUNTIF('Knock Out Stages'!M7:M50,BW27)</f>
        <v>0</v>
      </c>
      <c r="CI27" s="306">
        <f>COUNTIF('Knock Out Stages'!N7:N50,BW27)</f>
        <v>0</v>
      </c>
      <c r="CJ27" s="306">
        <f>COUNTIF('Knock Out Stages'!O7:O50,BW27)</f>
        <v>0</v>
      </c>
      <c r="CK27" s="306">
        <f>COUNTIF('Knock Out Stages'!P7:P50,BW27)</f>
        <v>0</v>
      </c>
      <c r="CL27" s="306">
        <f>COUNTIF('Knock Out Stages'!Q7:Q50,BW27)</f>
        <v>0</v>
      </c>
      <c r="CM27" s="306">
        <f>COUNTIF('Knock Out Stages'!R7:R50,BW27)</f>
        <v>0</v>
      </c>
      <c r="CN27" s="306">
        <f>IF(RIGHT('Group Stages'!$B$105,5)="T.com",SUM(BX27:CM27),0)</f>
        <v>0</v>
      </c>
      <c r="CO27" s="306">
        <f ca="1">RANK(CN27,CN3:CN834)+COUNTIF(CN3:CN27,CN27)-1</f>
        <v>25</v>
      </c>
      <c r="CP27" s="306" t="str">
        <f t="shared" ca="1" si="2"/>
        <v>Seny Dieng (Senegal)</v>
      </c>
    </row>
    <row r="28" spans="1:94" x14ac:dyDescent="0.3">
      <c r="A28" s="306">
        <v>26</v>
      </c>
      <c r="B28" s="306" t="str">
        <f>'Player Database'!C31</f>
        <v>Youssouf Sabaly</v>
      </c>
      <c r="C28" s="306" t="str">
        <f>'Player Database'!D31</f>
        <v>Xavi Simons</v>
      </c>
      <c r="D28" s="306" t="str">
        <f>'Player Database'!E31</f>
        <v>Yousef Hassan</v>
      </c>
      <c r="E28" s="306" t="str">
        <f>'Player Database'!F31</f>
        <v>Xavier Arreaga</v>
      </c>
      <c r="F28" s="306" t="str">
        <f>'Player Database'!G31</f>
        <v>Trent Alexander-Arnold</v>
      </c>
      <c r="G28" s="306">
        <f>'Player Database'!H31</f>
        <v>0</v>
      </c>
      <c r="H28" s="306" t="str">
        <f>'Player Database'!I31</f>
        <v>Yunus Musah</v>
      </c>
      <c r="I28" s="306" t="str">
        <f>'Player Database'!J31</f>
        <v>Wayne Hennessey</v>
      </c>
      <c r="J28" s="306" t="str">
        <f>'Player Database'!K31</f>
        <v>Rodrigo De Paul</v>
      </c>
      <c r="K28" s="306" t="str">
        <f>'Player Database'!L31</f>
        <v>Yasser Al-Shahrani</v>
      </c>
      <c r="L28" s="306" t="str">
        <f>'Player Database'!M31</f>
        <v>Uriel Antuna</v>
      </c>
      <c r="M28" s="306" t="str">
        <f>'Player Database'!N31</f>
        <v>Wojciech Szczęsny</v>
      </c>
      <c r="N28" s="306" t="str">
        <f>'Player Database'!O31</f>
        <v>Yussuf Poulsen</v>
      </c>
      <c r="O28" s="306" t="str">
        <f>'Player Database'!P31</f>
        <v>Youssef Msakni</v>
      </c>
      <c r="P28" s="306" t="str">
        <f>'Player Database'!Q31</f>
        <v>Youssouf Fofana</v>
      </c>
      <c r="Q28" s="306" t="str">
        <f>'Player Database'!R31</f>
        <v>Thomas Deng</v>
      </c>
      <c r="R28" s="306" t="str">
        <f>'Player Database'!S31</f>
        <v>Youssoufa Moukoko</v>
      </c>
      <c r="S28" s="306" t="str">
        <f>'Player Database'!T31</f>
        <v>Yūto Nagatomo</v>
      </c>
      <c r="T28" s="306" t="str">
        <f>'Player Database'!U31</f>
        <v>Yeremy Pino</v>
      </c>
      <c r="U28" s="306" t="str">
        <f>'Player Database'!V31</f>
        <v>Youstin Salas</v>
      </c>
      <c r="V28" s="306" t="str">
        <f>'Player Database'!W31</f>
        <v>Zakaria Aboukhlal</v>
      </c>
      <c r="W28" s="306" t="str">
        <f>'Player Database'!X31</f>
        <v>Nikola Vlašić</v>
      </c>
      <c r="X28" s="306" t="str">
        <f>'Player Database'!Y31</f>
        <v>Zeno Debast</v>
      </c>
      <c r="Y28" s="306" t="str">
        <f>'Player Database'!Z31</f>
        <v>Tajon Buchanan</v>
      </c>
      <c r="Z28" s="306" t="str">
        <f>'Player Database'!AA31</f>
        <v>Weverton</v>
      </c>
      <c r="AA28" s="306" t="str">
        <f>'Player Database'!AB31</f>
        <v>Vanja Milinković-Savić</v>
      </c>
      <c r="AB28" s="306" t="str">
        <f>'Player Database'!AC31</f>
        <v>Yann Sommer</v>
      </c>
      <c r="AC28" s="306" t="str">
        <f>'Player Database'!AD31</f>
        <v>Vincent Aboubakar</v>
      </c>
      <c r="AD28" s="306" t="str">
        <f>'Player Database'!AE31</f>
        <v>William Carvalho</v>
      </c>
      <c r="AE28" s="306" t="str">
        <f>'Player Database'!AF31</f>
        <v>Thomas Partey</v>
      </c>
      <c r="AF28" s="306" t="str">
        <f>'Player Database'!AG31</f>
        <v>Sergio Rochet</v>
      </c>
      <c r="AG28" s="306" t="str">
        <f>'Player Database'!AH31</f>
        <v>Yoon Jong-gyu</v>
      </c>
      <c r="AI28" s="306" t="str">
        <f ca="1">IFERROR(INDEX(B3:AG28,A28,MATCH(AI2,B2:AG2,0)),"")</f>
        <v/>
      </c>
      <c r="AJ28" s="306" t="str">
        <f ca="1">IFERROR(INDEX(B3:AG28,A28,MATCH(AJ2,B2:AG2,0)),"")</f>
        <v/>
      </c>
      <c r="AK28" s="306" t="str">
        <f ca="1">IFERROR(INDEX(B3:AG28,A28,MATCH(AK2,B2:AG2,0)),"")</f>
        <v/>
      </c>
      <c r="AL28" s="306" t="str">
        <f ca="1">IFERROR(INDEX(B3:AG28,A28,MATCH(AL2,B2:AG2,0)),"")</f>
        <v/>
      </c>
      <c r="AM28" s="306" t="str">
        <f ca="1">IFERROR(INDEX(B3:AG28,A28,MATCH(AM2,B2:AG2,0)),"")</f>
        <v/>
      </c>
      <c r="AN28" s="306" t="str">
        <f ca="1">IFERROR(INDEX(B3:AG28,A28,MATCH(AN2,B2:AG2,0)),"")</f>
        <v/>
      </c>
      <c r="AO28" s="306" t="str">
        <f ca="1">IFERROR(INDEX(B3:AG28,A28,MATCH(AO2,B2:AG2,0)),"")</f>
        <v/>
      </c>
      <c r="AP28" s="306" t="str">
        <f ca="1">IFERROR(INDEX(B3:AG28,A28,MATCH(AP2,B2:AG2,0)),"")</f>
        <v/>
      </c>
      <c r="AQ28" s="306" t="str">
        <f ca="1">IFERROR(INDEX(B3:AG28,A28,MATCH(AQ2,B2:AG2,0)),"")</f>
        <v/>
      </c>
      <c r="AR28" s="306" t="str">
        <f ca="1">IFERROR(INDEX(B3:AG28,A28,MATCH(AR2,B2:AG2,0)),"")</f>
        <v/>
      </c>
      <c r="AS28" s="306" t="str">
        <f ca="1">IFERROR(INDEX(B3:AG28,A28,MATCH(AS2,B2:AG2,0)),"")</f>
        <v/>
      </c>
      <c r="AT28" s="306" t="str">
        <f ca="1">IFERROR(INDEX(B3:AG28,A28,MATCH(AT2,B2:AG2,0)),"")</f>
        <v/>
      </c>
      <c r="AU28" s="306" t="str">
        <f ca="1">IFERROR(INDEX(B3:AG28,A28,MATCH(AU2,B2:AG2,0)),"")</f>
        <v/>
      </c>
      <c r="AV28" s="306" t="str">
        <f ca="1">IFERROR(INDEX(B3:AG28,A28,MATCH(AV2,B2:AG2,0)),"")</f>
        <v/>
      </c>
      <c r="AW28" s="306" t="str">
        <f ca="1">IFERROR(INDEX(B3:AG28,A28,MATCH(AW2,B2:AG2,0)),"")</f>
        <v/>
      </c>
      <c r="AX28" s="306" t="str">
        <f ca="1">IFERROR(INDEX(B3:AG28,A28,MATCH(AX2,B2:AG2,0)),"")</f>
        <v/>
      </c>
      <c r="AZ28" s="306" t="str">
        <f ca="1">IFERROR(INDEX(B3:AG28,A28,MATCH(AZ2,B2:AG2,0)),"")</f>
        <v/>
      </c>
      <c r="BA28" s="306" t="str">
        <f ca="1">IFERROR(INDEX(B3:AG28,A28,MATCH(BA2,B2:AG2,0)),"")</f>
        <v/>
      </c>
      <c r="BB28" s="306" t="str">
        <f ca="1">IFERROR(INDEX(B3:AG28,A28,MATCH(BB2,B2:AG2,0)),"")</f>
        <v/>
      </c>
      <c r="BC28" s="306" t="str">
        <f ca="1">IFERROR(INDEX(B3:AG28,A28,MATCH(BC2,B2:AG2,0)),"")</f>
        <v/>
      </c>
      <c r="BD28" s="306" t="str">
        <f ca="1">IFERROR(INDEX(B3:AG28,A28,MATCH(BD2,B2:AG2,0)),"")</f>
        <v/>
      </c>
      <c r="BE28" s="306" t="str">
        <f ca="1">IFERROR(INDEX(B3:AG28,A28,MATCH(BE2,B2:AG2,0)),"")</f>
        <v/>
      </c>
      <c r="BF28" s="306" t="str">
        <f ca="1">IFERROR(INDEX(B3:AG28,A28,MATCH(BF2,B2:AG2,0)),"")</f>
        <v/>
      </c>
      <c r="BG28" s="306" t="str">
        <f ca="1">IFERROR(INDEX(B3:AG28,A28,MATCH(BG2,B2:AG2,0)),"")</f>
        <v/>
      </c>
      <c r="BI28" s="306" t="str">
        <f ca="1">IFERROR(INDEX(B3:AG28,A28,MATCH(BI2,B2:AG2,0)),"")</f>
        <v/>
      </c>
      <c r="BJ28" s="306" t="str">
        <f ca="1">IFERROR(INDEX(B3:AG28,A28,MATCH(BJ2,B2:AG2,0)),"")</f>
        <v/>
      </c>
      <c r="BK28" s="306" t="str">
        <f ca="1">IFERROR(INDEX(B3:AG28,A28,MATCH(BK2,B2:AG2,0)),"")</f>
        <v/>
      </c>
      <c r="BL28" s="306" t="str">
        <f ca="1">IFERROR(INDEX(B3:AG28,A28,MATCH(BL2,B2:AG2,0)),"")</f>
        <v/>
      </c>
      <c r="BN28" s="306" t="str">
        <f ca="1">IFERROR(INDEX(B3:AG28,A28,MATCH(BN2,B2:AG2,0)),"")</f>
        <v/>
      </c>
      <c r="BO28" s="306" t="str">
        <f ca="1">IFERROR(INDEX(B3:AG28,A28,MATCH(BO2,B2:AG2,0)),"")</f>
        <v/>
      </c>
      <c r="BQ28" s="306" t="str">
        <f ca="1">IFERROR(INDEX(B3:AG28,A28,MATCH(BQ2,B2:AG2,0)),"")</f>
        <v/>
      </c>
      <c r="BR28" s="306" t="str">
        <f ca="1">IFERROR(INDEX(B3:AG28,A28,MATCH(BR2,B2:AG2,0)),"")</f>
        <v/>
      </c>
      <c r="BT28" s="306" t="str">
        <f t="shared" ca="1" si="3"/>
        <v>Senegal</v>
      </c>
      <c r="BW28" s="306" t="str">
        <f t="shared" si="1"/>
        <v>Youssouf Sabaly</v>
      </c>
      <c r="BX28" s="306">
        <f>COUNTIF('Group Stages'!J7:J102,BW28)</f>
        <v>0</v>
      </c>
      <c r="BY28" s="306">
        <f>COUNTIF('Group Stages'!K7:K102,BW28)</f>
        <v>0</v>
      </c>
      <c r="BZ28" s="306">
        <f>COUNTIF('Group Stages'!L7:L102,BW28)</f>
        <v>0</v>
      </c>
      <c r="CA28" s="306">
        <f>COUNTIF('Group Stages'!M7:M102,BW28)</f>
        <v>0</v>
      </c>
      <c r="CB28" s="306">
        <f>COUNTIF('Group Stages'!N7:N102,BW28)</f>
        <v>0</v>
      </c>
      <c r="CC28" s="306">
        <f>COUNTIF('Group Stages'!O7:O102,BW28)</f>
        <v>0</v>
      </c>
      <c r="CD28" s="306">
        <f>COUNTIF('Group Stages'!P7:P102,BW28)</f>
        <v>0</v>
      </c>
      <c r="CE28" s="306">
        <f>COUNTIF('Group Stages'!Q7:Q102,BW28)</f>
        <v>0</v>
      </c>
      <c r="CF28" s="306">
        <f>COUNTIF('Knock Out Stages'!K7:K50,BW28)</f>
        <v>0</v>
      </c>
      <c r="CG28" s="306">
        <f>COUNTIF('Knock Out Stages'!L7:L50,BW28)</f>
        <v>0</v>
      </c>
      <c r="CH28" s="306">
        <f>COUNTIF('Knock Out Stages'!M7:M50,BW28)</f>
        <v>0</v>
      </c>
      <c r="CI28" s="306">
        <f>COUNTIF('Knock Out Stages'!N7:N50,BW28)</f>
        <v>0</v>
      </c>
      <c r="CJ28" s="306">
        <f>COUNTIF('Knock Out Stages'!O7:O50,BW28)</f>
        <v>0</v>
      </c>
      <c r="CK28" s="306">
        <f>COUNTIF('Knock Out Stages'!P7:P50,BW28)</f>
        <v>0</v>
      </c>
      <c r="CL28" s="306">
        <f>COUNTIF('Knock Out Stages'!Q7:Q50,BW28)</f>
        <v>0</v>
      </c>
      <c r="CM28" s="306">
        <f>COUNTIF('Knock Out Stages'!R7:R50,BW28)</f>
        <v>0</v>
      </c>
      <c r="CN28" s="306">
        <f>IF(RIGHT('Group Stages'!$B$105,5)="T.com",SUM(BX28:CM28),0)</f>
        <v>0</v>
      </c>
      <c r="CO28" s="306">
        <f ca="1">RANK(CN28,CN3:CN834)+COUNTIF(CN3:CN28,CN28)-1</f>
        <v>26</v>
      </c>
      <c r="CP28" s="306" t="str">
        <f t="shared" ca="1" si="2"/>
        <v>Youssouf Sabaly (Senegal)</v>
      </c>
    </row>
    <row r="29" spans="1:94" x14ac:dyDescent="0.3">
      <c r="A29" s="306">
        <f t="shared" ref="A29:A54" si="4">A3</f>
        <v>1</v>
      </c>
      <c r="B29" s="306" t="str">
        <f t="shared" ref="B29:B54" si="5">C3&amp;" (og)"</f>
        <v>Andries Noppert (og)</v>
      </c>
      <c r="C29" s="306" t="str">
        <f t="shared" ref="C29:C54" si="6">B3&amp;" (og)"</f>
        <v>Abdou Diallo (og)</v>
      </c>
      <c r="D29" s="306" t="str">
        <f t="shared" ref="D29:D54" si="7">B3&amp;" (og)"</f>
        <v>Abdou Diallo (og)</v>
      </c>
      <c r="E29" s="306" t="str">
        <f t="shared" ref="E29:E54" si="8">B3&amp;" (og)"</f>
        <v>Abdou Diallo (og)</v>
      </c>
      <c r="F29" s="306" t="str">
        <f t="shared" ref="F29:F54" si="9">G3&amp;" (og)"</f>
        <v>Abolfazl Jalali (og)</v>
      </c>
      <c r="G29" s="306" t="str">
        <f t="shared" ref="G29:G54" si="10">F3&amp;" (og)"</f>
        <v>Aaron Ramsdale (og)</v>
      </c>
      <c r="H29" s="306" t="str">
        <f t="shared" ref="H29:H54" si="11">F3&amp;" (og)"</f>
        <v>Aaron Ramsdale (og)</v>
      </c>
      <c r="I29" s="306" t="str">
        <f t="shared" ref="I29:I54" si="12">F3&amp;" (og)"</f>
        <v>Aaron Ramsdale (og)</v>
      </c>
      <c r="J29" s="306" t="str">
        <f t="shared" ref="J29:J54" si="13">K3&amp;" (og)"</f>
        <v>Abdulelah Al-Amri (og)</v>
      </c>
      <c r="K29" s="306" t="str">
        <f t="shared" ref="K29:K54" si="14">J3&amp;" (og)"</f>
        <v>Alejandro Gómez (og)</v>
      </c>
      <c r="L29" s="306" t="str">
        <f t="shared" ref="L29:L54" si="15">J3&amp;" (og)"</f>
        <v>Alejandro Gómez (og)</v>
      </c>
      <c r="M29" s="306" t="str">
        <f t="shared" ref="M29:M54" si="16">J3&amp;" (og)"</f>
        <v>Alejandro Gómez (og)</v>
      </c>
      <c r="N29" s="306" t="str">
        <f t="shared" ref="N29:N54" si="17">O3&amp;" (og)"</f>
        <v>Aïssa Laïdouni (og)</v>
      </c>
      <c r="O29" s="306" t="str">
        <f t="shared" ref="O29:O54" si="18">N3&amp;" (og)"</f>
        <v>Alexander Bah (og)</v>
      </c>
      <c r="P29" s="306" t="str">
        <f t="shared" ref="P29:P54" si="19">N3&amp;" (og)"</f>
        <v>Alexander Bah (og)</v>
      </c>
      <c r="Q29" s="306" t="str">
        <f t="shared" ref="Q29:Q54" si="20">N3&amp;" (og)"</f>
        <v>Alexander Bah (og)</v>
      </c>
      <c r="R29" s="306" t="str">
        <f t="shared" ref="R29:R54" si="21">S3&amp;" (og)"</f>
        <v>Ao Tanaka (og)</v>
      </c>
      <c r="S29" s="306" t="str">
        <f t="shared" ref="S29:S54" si="22">R3&amp;" (og)"</f>
        <v>Antonio Rüdiger (og)</v>
      </c>
      <c r="T29" s="306" t="str">
        <f t="shared" ref="T29:T54" si="23">R3&amp;" (og)"</f>
        <v>Antonio Rüdiger (og)</v>
      </c>
      <c r="U29" s="306" t="str">
        <f t="shared" ref="U29:U54" si="24">R3&amp;" (og)"</f>
        <v>Antonio Rüdiger (og)</v>
      </c>
      <c r="V29" s="306" t="str">
        <f t="shared" ref="V29:V54" si="25">W3&amp;" (og)"</f>
        <v>Andrej Kramarić (og)</v>
      </c>
      <c r="W29" s="306" t="str">
        <f t="shared" ref="W29:W54" si="26">V3&amp;" (og)"</f>
        <v>Abde Ezzalzouli (og)</v>
      </c>
      <c r="X29" s="306" t="str">
        <f t="shared" ref="X29:X54" si="27">V3&amp;" (og)"</f>
        <v>Abde Ezzalzouli (og)</v>
      </c>
      <c r="Y29" s="306" t="str">
        <f t="shared" ref="Y29:Y54" si="28">V3&amp;" (og)"</f>
        <v>Abde Ezzalzouli (og)</v>
      </c>
      <c r="Z29" s="306" t="str">
        <f t="shared" ref="Z29:Z54" si="29">AA3&amp;" (og)"</f>
        <v>Aleksandar Mitrović (og)</v>
      </c>
      <c r="AA29" s="306" t="str">
        <f t="shared" ref="AA29:AA54" si="30">Z3&amp;" (og)"</f>
        <v>Alex Sandro (og)</v>
      </c>
      <c r="AB29" s="306" t="str">
        <f t="shared" ref="AB29:AB54" si="31">Z3&amp;" (og)"</f>
        <v>Alex Sandro (og)</v>
      </c>
      <c r="AC29" s="306" t="str">
        <f t="shared" ref="AC29:AC54" si="32">Z3&amp;" (og)"</f>
        <v>Alex Sandro (og)</v>
      </c>
      <c r="AD29" s="306" t="str">
        <f t="shared" ref="AD29:AD54" si="33">AE3&amp;" (og)"</f>
        <v>Abdul Fatawu Issahaku (og)</v>
      </c>
      <c r="AE29" s="306" t="str">
        <f t="shared" ref="AE29:AE54" si="34">AD3&amp;" (og)"</f>
        <v>André Silva (og)</v>
      </c>
      <c r="AF29" s="306" t="str">
        <f t="shared" ref="AF29:AF54" si="35">AD3&amp;" (og)"</f>
        <v>André Silva (og)</v>
      </c>
      <c r="AG29" s="306" t="str">
        <f t="shared" ref="AG29:AG54" si="36">AD3&amp;" (og)"</f>
        <v>André Silva (og)</v>
      </c>
      <c r="AI29" s="306" t="str">
        <f t="shared" ref="AI29:AI54" ca="1" si="37">AJ3&amp;" (og)"</f>
        <v xml:space="preserve"> (og)</v>
      </c>
      <c r="AJ29" s="306" t="str">
        <f t="shared" ref="AJ29:AJ54" ca="1" si="38">AI3&amp;" (og)"</f>
        <v xml:space="preserve"> (og)</v>
      </c>
      <c r="AK29" s="306" t="str">
        <f t="shared" ref="AK29:AK54" ca="1" si="39">AL3&amp;" (og)"</f>
        <v xml:space="preserve"> (og)</v>
      </c>
      <c r="AL29" s="306" t="str">
        <f t="shared" ref="AL29:AL54" ca="1" si="40">AK3&amp;" (og)"</f>
        <v xml:space="preserve"> (og)</v>
      </c>
      <c r="AM29" s="306" t="str">
        <f t="shared" ref="AM29:AM54" ca="1" si="41">AN3&amp;" (og)"</f>
        <v xml:space="preserve"> (og)</v>
      </c>
      <c r="AN29" s="306" t="str">
        <f t="shared" ref="AN29:AN54" ca="1" si="42">AM3&amp;" (og)"</f>
        <v xml:space="preserve"> (og)</v>
      </c>
      <c r="AO29" s="306" t="str">
        <f t="shared" ref="AO29:AO54" ca="1" si="43">AP3&amp;" (og)"</f>
        <v xml:space="preserve"> (og)</v>
      </c>
      <c r="AP29" s="306" t="str">
        <f t="shared" ref="AP29:AP54" ca="1" si="44">AO3&amp;" (og)"</f>
        <v xml:space="preserve"> (og)</v>
      </c>
      <c r="AQ29" s="306" t="str">
        <f t="shared" ref="AQ29:AQ54" ca="1" si="45">AR3&amp;" (og)"</f>
        <v xml:space="preserve"> (og)</v>
      </c>
      <c r="AR29" s="306" t="str">
        <f t="shared" ref="AR29:AR54" ca="1" si="46">AQ3&amp;" (og)"</f>
        <v xml:space="preserve"> (og)</v>
      </c>
      <c r="AS29" s="306" t="str">
        <f t="shared" ref="AS29:AS54" ca="1" si="47">AT3&amp;" (og)"</f>
        <v xml:space="preserve"> (og)</v>
      </c>
      <c r="AT29" s="306" t="str">
        <f t="shared" ref="AT29:AT54" ca="1" si="48">AS3&amp;" (og)"</f>
        <v xml:space="preserve"> (og)</v>
      </c>
      <c r="AU29" s="306" t="str">
        <f t="shared" ref="AU29:AU54" ca="1" si="49">AV3&amp;" (og)"</f>
        <v xml:space="preserve"> (og)</v>
      </c>
      <c r="AV29" s="306" t="str">
        <f t="shared" ref="AV29:AV54" ca="1" si="50">AU3&amp;" (og)"</f>
        <v xml:space="preserve"> (og)</v>
      </c>
      <c r="AW29" s="306" t="str">
        <f t="shared" ref="AW29:AW54" ca="1" si="51">AX3&amp;" (og)"</f>
        <v xml:space="preserve"> (og)</v>
      </c>
      <c r="AX29" s="306" t="str">
        <f t="shared" ref="AX29:AX54" ca="1" si="52">AW3&amp;" (og)"</f>
        <v xml:space="preserve"> (og)</v>
      </c>
      <c r="AZ29" s="306" t="str">
        <f t="shared" ref="AZ29:AZ54" ca="1" si="53">BA3&amp;" (og)"</f>
        <v xml:space="preserve"> (og)</v>
      </c>
      <c r="BA29" s="306" t="str">
        <f t="shared" ref="BA29:BA54" ca="1" si="54">AZ3&amp;" (og)"</f>
        <v xml:space="preserve"> (og)</v>
      </c>
      <c r="BB29" s="306" t="str">
        <f t="shared" ref="BB29:BB54" ca="1" si="55">BC3&amp;" (og)"</f>
        <v xml:space="preserve"> (og)</v>
      </c>
      <c r="BC29" s="306" t="str">
        <f t="shared" ref="BC29:BC54" ca="1" si="56">BB3&amp;" (og)"</f>
        <v xml:space="preserve"> (og)</v>
      </c>
      <c r="BD29" s="306" t="str">
        <f t="shared" ref="BD29:BD54" ca="1" si="57">BE3&amp;" (og)"</f>
        <v xml:space="preserve"> (og)</v>
      </c>
      <c r="BE29" s="306" t="str">
        <f t="shared" ref="BE29:BE54" ca="1" si="58">BD3&amp;" (og)"</f>
        <v xml:space="preserve"> (og)</v>
      </c>
      <c r="BF29" s="306" t="str">
        <f t="shared" ref="BF29:BF54" ca="1" si="59">BG3&amp;" (og)"</f>
        <v xml:space="preserve"> (og)</v>
      </c>
      <c r="BG29" s="306" t="str">
        <f t="shared" ref="BG29:BG54" ca="1" si="60">BF3&amp;" (og)"</f>
        <v xml:space="preserve"> (og)</v>
      </c>
      <c r="BI29" s="306" t="str">
        <f t="shared" ref="BI29:BI54" ca="1" si="61">BJ3&amp;" (og)"</f>
        <v xml:space="preserve"> (og)</v>
      </c>
      <c r="BJ29" s="306" t="str">
        <f t="shared" ref="BJ29:BJ54" ca="1" si="62">BI3&amp;" (og)"</f>
        <v xml:space="preserve"> (og)</v>
      </c>
      <c r="BK29" s="306" t="str">
        <f t="shared" ref="BK29:BK54" ca="1" si="63">BL3&amp;" (og)"</f>
        <v xml:space="preserve"> (og)</v>
      </c>
      <c r="BL29" s="306" t="str">
        <f t="shared" ref="BL29:BL54" ca="1" si="64">BK3&amp;" (og)"</f>
        <v xml:space="preserve"> (og)</v>
      </c>
      <c r="BN29" s="306" t="str">
        <f t="shared" ref="BN29:BN54" ca="1" si="65">BO3&amp;" (og)"</f>
        <v xml:space="preserve"> (og)</v>
      </c>
      <c r="BO29" s="306" t="str">
        <f t="shared" ref="BO29:BO54" ca="1" si="66">BN3&amp;" (og)"</f>
        <v xml:space="preserve"> (og)</v>
      </c>
      <c r="BQ29" s="306" t="str">
        <f t="shared" ref="BQ29:BQ54" ca="1" si="67">BR3&amp;" (og)"</f>
        <v xml:space="preserve"> (og)</v>
      </c>
      <c r="BR29" s="306" t="str">
        <f t="shared" ref="BR29:BR54" ca="1" si="68">BQ3&amp;" (og)"</f>
        <v xml:space="preserve"> (og)</v>
      </c>
      <c r="BT29" s="306" t="str">
        <f ca="1">OFFSET(C2,BU29,BV29)</f>
        <v>Netherlands</v>
      </c>
      <c r="BU29" s="306">
        <v>0</v>
      </c>
      <c r="BV29" s="306">
        <v>0</v>
      </c>
      <c r="BW29" s="306" t="str">
        <f ca="1">OFFSET(C3,BU29,BV29)</f>
        <v>Andries Noppert</v>
      </c>
      <c r="BX29" s="306">
        <f ca="1">COUNTIF('Group Stages'!J7:J102,BW29)</f>
        <v>0</v>
      </c>
      <c r="BY29" s="306">
        <f ca="1">COUNTIF('Group Stages'!K7:K102,BW29)</f>
        <v>0</v>
      </c>
      <c r="BZ29" s="306">
        <f ca="1">COUNTIF('Group Stages'!L7:L102,BW29)</f>
        <v>0</v>
      </c>
      <c r="CA29" s="306">
        <f ca="1">COUNTIF('Group Stages'!M7:M102,BW29)</f>
        <v>0</v>
      </c>
      <c r="CB29" s="306">
        <f ca="1">COUNTIF('Group Stages'!N7:N102,BW29)</f>
        <v>0</v>
      </c>
      <c r="CC29" s="306">
        <f ca="1">COUNTIF('Group Stages'!O7:O102,BW29)</f>
        <v>0</v>
      </c>
      <c r="CD29" s="306">
        <f ca="1">COUNTIF('Group Stages'!P7:P102,BW29)</f>
        <v>0</v>
      </c>
      <c r="CE29" s="306">
        <f ca="1">COUNTIF('Group Stages'!Q7:Q102,BW29)</f>
        <v>0</v>
      </c>
      <c r="CF29" s="306">
        <f ca="1">COUNTIF('Knock Out Stages'!K7:K50,BW29)</f>
        <v>0</v>
      </c>
      <c r="CG29" s="306">
        <f ca="1">COUNTIF('Knock Out Stages'!L7:L50,BW29)</f>
        <v>0</v>
      </c>
      <c r="CH29" s="306">
        <f ca="1">COUNTIF('Knock Out Stages'!M7:M50,BW29)</f>
        <v>0</v>
      </c>
      <c r="CI29" s="306">
        <f ca="1">COUNTIF('Knock Out Stages'!N7:N50,BW29)</f>
        <v>0</v>
      </c>
      <c r="CJ29" s="306">
        <f ca="1">COUNTIF('Knock Out Stages'!O7:O50,BW29)</f>
        <v>0</v>
      </c>
      <c r="CK29" s="306">
        <f ca="1">COUNTIF('Knock Out Stages'!P7:P50,BW29)</f>
        <v>0</v>
      </c>
      <c r="CL29" s="306">
        <f ca="1">COUNTIF('Knock Out Stages'!Q7:Q50,BW29)</f>
        <v>0</v>
      </c>
      <c r="CM29" s="306">
        <f ca="1">COUNTIF('Knock Out Stages'!R7:R50,BW29)</f>
        <v>0</v>
      </c>
      <c r="CN29" s="306">
        <f ca="1">IF(RIGHT('Group Stages'!$B$105,5)="T.com",SUM(BX29:CM29),0)</f>
        <v>0</v>
      </c>
      <c r="CO29" s="306">
        <f ca="1">RANK(CN29,CN3:CN834)+COUNTIF(CN3:CN29,CN29)-1</f>
        <v>27</v>
      </c>
      <c r="CP29" s="306" t="str">
        <f t="shared" ca="1" si="2"/>
        <v>Andries Noppert (Netherlands)</v>
      </c>
    </row>
    <row r="30" spans="1:94" x14ac:dyDescent="0.3">
      <c r="A30" s="306">
        <f t="shared" si="4"/>
        <v>2</v>
      </c>
      <c r="B30" s="306" t="str">
        <f t="shared" si="5"/>
        <v>Cody Gakpo (og)</v>
      </c>
      <c r="C30" s="306" t="str">
        <f t="shared" si="6"/>
        <v>Alfred Gomis (og)</v>
      </c>
      <c r="D30" s="306" t="str">
        <f t="shared" si="7"/>
        <v>Alfred Gomis (og)</v>
      </c>
      <c r="E30" s="306" t="str">
        <f t="shared" si="8"/>
        <v>Alfred Gomis (og)</v>
      </c>
      <c r="F30" s="306" t="str">
        <f t="shared" si="9"/>
        <v>Ahmad Nourollahi (og)</v>
      </c>
      <c r="G30" s="306" t="str">
        <f t="shared" si="10"/>
        <v>Ben White (og)</v>
      </c>
      <c r="H30" s="306" t="str">
        <f t="shared" si="11"/>
        <v>Ben White (og)</v>
      </c>
      <c r="I30" s="306" t="str">
        <f t="shared" si="12"/>
        <v>Ben White (og)</v>
      </c>
      <c r="J30" s="306" t="str">
        <f t="shared" si="13"/>
        <v>Abdulellah Al-Malki (og)</v>
      </c>
      <c r="K30" s="306" t="str">
        <f t="shared" si="14"/>
        <v>Alexis Mac Allister (og)</v>
      </c>
      <c r="L30" s="306" t="str">
        <f t="shared" si="15"/>
        <v>Alexis Mac Allister (og)</v>
      </c>
      <c r="M30" s="306" t="str">
        <f t="shared" si="16"/>
        <v>Alexis Mac Allister (og)</v>
      </c>
      <c r="N30" s="306" t="str">
        <f t="shared" si="17"/>
        <v>Ali Abdi (og)</v>
      </c>
      <c r="O30" s="306" t="str">
        <f t="shared" si="18"/>
        <v>Andreas Christensen (og)</v>
      </c>
      <c r="P30" s="306" t="str">
        <f t="shared" si="19"/>
        <v>Andreas Christensen (og)</v>
      </c>
      <c r="Q30" s="306" t="str">
        <f t="shared" si="20"/>
        <v>Andreas Christensen (og)</v>
      </c>
      <c r="R30" s="306" t="str">
        <f t="shared" si="21"/>
        <v>Ayase Ueda (og)</v>
      </c>
      <c r="S30" s="306" t="str">
        <f t="shared" si="22"/>
        <v>Armel Bella-Kotchap (og)</v>
      </c>
      <c r="T30" s="306" t="str">
        <f t="shared" si="23"/>
        <v>Armel Bella-Kotchap (og)</v>
      </c>
      <c r="U30" s="306" t="str">
        <f t="shared" si="24"/>
        <v>Armel Bella-Kotchap (og)</v>
      </c>
      <c r="V30" s="306" t="str">
        <f t="shared" si="25"/>
        <v>Ante Budimir (og)</v>
      </c>
      <c r="W30" s="306" t="str">
        <f t="shared" si="26"/>
        <v>Abdelhamid Sabiri (og)</v>
      </c>
      <c r="X30" s="306" t="str">
        <f t="shared" si="27"/>
        <v>Abdelhamid Sabiri (og)</v>
      </c>
      <c r="Y30" s="306" t="str">
        <f t="shared" si="28"/>
        <v>Abdelhamid Sabiri (og)</v>
      </c>
      <c r="Z30" s="306" t="str">
        <f t="shared" si="29"/>
        <v>Andrija Živković (og)</v>
      </c>
      <c r="AA30" s="306" t="str">
        <f t="shared" si="30"/>
        <v>Alex Telles (og)</v>
      </c>
      <c r="AB30" s="306" t="str">
        <f t="shared" si="31"/>
        <v>Alex Telles (og)</v>
      </c>
      <c r="AC30" s="306" t="str">
        <f t="shared" si="32"/>
        <v>Alex Telles (og)</v>
      </c>
      <c r="AD30" s="306" t="str">
        <f t="shared" si="33"/>
        <v>Abdul Manaf Nurudeen (og)</v>
      </c>
      <c r="AE30" s="306" t="str">
        <f t="shared" si="34"/>
        <v>António Silva (og)</v>
      </c>
      <c r="AF30" s="306" t="str">
        <f t="shared" si="35"/>
        <v>António Silva (og)</v>
      </c>
      <c r="AG30" s="306" t="str">
        <f t="shared" si="36"/>
        <v>António Silva (og)</v>
      </c>
      <c r="AI30" s="306" t="str">
        <f t="shared" ca="1" si="37"/>
        <v xml:space="preserve"> (og)</v>
      </c>
      <c r="AJ30" s="306" t="str">
        <f t="shared" ca="1" si="38"/>
        <v xml:space="preserve"> (og)</v>
      </c>
      <c r="AK30" s="306" t="str">
        <f t="shared" ca="1" si="39"/>
        <v xml:space="preserve"> (og)</v>
      </c>
      <c r="AL30" s="306" t="str">
        <f t="shared" ca="1" si="40"/>
        <v xml:space="preserve"> (og)</v>
      </c>
      <c r="AM30" s="306" t="str">
        <f t="shared" ca="1" si="41"/>
        <v xml:space="preserve"> (og)</v>
      </c>
      <c r="AN30" s="306" t="str">
        <f t="shared" ca="1" si="42"/>
        <v xml:space="preserve"> (og)</v>
      </c>
      <c r="AO30" s="306" t="str">
        <f t="shared" ca="1" si="43"/>
        <v xml:space="preserve"> (og)</v>
      </c>
      <c r="AP30" s="306" t="str">
        <f t="shared" ca="1" si="44"/>
        <v xml:space="preserve"> (og)</v>
      </c>
      <c r="AQ30" s="306" t="str">
        <f t="shared" ca="1" si="45"/>
        <v xml:space="preserve"> (og)</v>
      </c>
      <c r="AR30" s="306" t="str">
        <f t="shared" ca="1" si="46"/>
        <v xml:space="preserve"> (og)</v>
      </c>
      <c r="AS30" s="306" t="str">
        <f t="shared" ca="1" si="47"/>
        <v xml:space="preserve"> (og)</v>
      </c>
      <c r="AT30" s="306" t="str">
        <f t="shared" ca="1" si="48"/>
        <v xml:space="preserve"> (og)</v>
      </c>
      <c r="AU30" s="306" t="str">
        <f t="shared" ca="1" si="49"/>
        <v xml:space="preserve"> (og)</v>
      </c>
      <c r="AV30" s="306" t="str">
        <f t="shared" ca="1" si="50"/>
        <v xml:space="preserve"> (og)</v>
      </c>
      <c r="AW30" s="306" t="str">
        <f t="shared" ca="1" si="51"/>
        <v xml:space="preserve"> (og)</v>
      </c>
      <c r="AX30" s="306" t="str">
        <f t="shared" ca="1" si="52"/>
        <v xml:space="preserve"> (og)</v>
      </c>
      <c r="AZ30" s="306" t="str">
        <f t="shared" ca="1" si="53"/>
        <v xml:space="preserve"> (og)</v>
      </c>
      <c r="BA30" s="306" t="str">
        <f t="shared" ca="1" si="54"/>
        <v xml:space="preserve"> (og)</v>
      </c>
      <c r="BB30" s="306" t="str">
        <f t="shared" ca="1" si="55"/>
        <v xml:space="preserve"> (og)</v>
      </c>
      <c r="BC30" s="306" t="str">
        <f t="shared" ca="1" si="56"/>
        <v xml:space="preserve"> (og)</v>
      </c>
      <c r="BD30" s="306" t="str">
        <f t="shared" ca="1" si="57"/>
        <v xml:space="preserve"> (og)</v>
      </c>
      <c r="BE30" s="306" t="str">
        <f t="shared" ca="1" si="58"/>
        <v xml:space="preserve"> (og)</v>
      </c>
      <c r="BF30" s="306" t="str">
        <f t="shared" ca="1" si="59"/>
        <v xml:space="preserve"> (og)</v>
      </c>
      <c r="BG30" s="306" t="str">
        <f t="shared" ca="1" si="60"/>
        <v xml:space="preserve"> (og)</v>
      </c>
      <c r="BI30" s="306" t="str">
        <f t="shared" ca="1" si="61"/>
        <v xml:space="preserve"> (og)</v>
      </c>
      <c r="BJ30" s="306" t="str">
        <f t="shared" ca="1" si="62"/>
        <v xml:space="preserve"> (og)</v>
      </c>
      <c r="BK30" s="306" t="str">
        <f t="shared" ca="1" si="63"/>
        <v xml:space="preserve"> (og)</v>
      </c>
      <c r="BL30" s="306" t="str">
        <f t="shared" ca="1" si="64"/>
        <v xml:space="preserve"> (og)</v>
      </c>
      <c r="BN30" s="306" t="str">
        <f t="shared" ca="1" si="65"/>
        <v xml:space="preserve"> (og)</v>
      </c>
      <c r="BO30" s="306" t="str">
        <f t="shared" ca="1" si="66"/>
        <v xml:space="preserve"> (og)</v>
      </c>
      <c r="BQ30" s="306" t="str">
        <f t="shared" ca="1" si="67"/>
        <v xml:space="preserve"> (og)</v>
      </c>
      <c r="BR30" s="306" t="str">
        <f t="shared" ca="1" si="68"/>
        <v xml:space="preserve"> (og)</v>
      </c>
      <c r="BT30" s="306" t="str">
        <f ca="1">BT29</f>
        <v>Netherlands</v>
      </c>
      <c r="BU30" s="306">
        <v>1</v>
      </c>
      <c r="BV30" s="306">
        <v>0</v>
      </c>
      <c r="BW30" s="306" t="str">
        <f ca="1">OFFSET(C3,BU30,BV30)</f>
        <v>Cody Gakpo</v>
      </c>
      <c r="BX30" s="306">
        <f ca="1">COUNTIF('Group Stages'!J7:J102,BW30)</f>
        <v>0</v>
      </c>
      <c r="BY30" s="306">
        <f ca="1">COUNTIF('Group Stages'!K7:K102,BW30)</f>
        <v>0</v>
      </c>
      <c r="BZ30" s="306">
        <f ca="1">COUNTIF('Group Stages'!L7:L102,BW30)</f>
        <v>0</v>
      </c>
      <c r="CA30" s="306">
        <f ca="1">COUNTIF('Group Stages'!M7:M102,BW30)</f>
        <v>0</v>
      </c>
      <c r="CB30" s="306">
        <f ca="1">COUNTIF('Group Stages'!N7:N102,BW30)</f>
        <v>0</v>
      </c>
      <c r="CC30" s="306">
        <f ca="1">COUNTIF('Group Stages'!O7:O102,BW30)</f>
        <v>0</v>
      </c>
      <c r="CD30" s="306">
        <f ca="1">COUNTIF('Group Stages'!P7:P102,BW30)</f>
        <v>0</v>
      </c>
      <c r="CE30" s="306">
        <f ca="1">COUNTIF('Group Stages'!Q7:Q102,BW30)</f>
        <v>0</v>
      </c>
      <c r="CF30" s="306">
        <f ca="1">COUNTIF('Knock Out Stages'!K7:K50,BW30)</f>
        <v>0</v>
      </c>
      <c r="CG30" s="306">
        <f ca="1">COUNTIF('Knock Out Stages'!L7:L50,BW30)</f>
        <v>0</v>
      </c>
      <c r="CH30" s="306">
        <f ca="1">COUNTIF('Knock Out Stages'!M7:M50,BW30)</f>
        <v>0</v>
      </c>
      <c r="CI30" s="306">
        <f ca="1">COUNTIF('Knock Out Stages'!N7:N50,BW30)</f>
        <v>0</v>
      </c>
      <c r="CJ30" s="306">
        <f ca="1">COUNTIF('Knock Out Stages'!O7:O50,BW30)</f>
        <v>0</v>
      </c>
      <c r="CK30" s="306">
        <f ca="1">COUNTIF('Knock Out Stages'!P7:P50,BW30)</f>
        <v>0</v>
      </c>
      <c r="CL30" s="306">
        <f ca="1">COUNTIF('Knock Out Stages'!Q7:Q50,BW30)</f>
        <v>0</v>
      </c>
      <c r="CM30" s="306">
        <f ca="1">COUNTIF('Knock Out Stages'!R7:R50,BW30)</f>
        <v>0</v>
      </c>
      <c r="CN30" s="306">
        <f ca="1">IF(RIGHT('Group Stages'!$B$105,5)="T.com",SUM(BX30:CM30),0)</f>
        <v>0</v>
      </c>
      <c r="CO30" s="306">
        <f ca="1">RANK(CN30,CN3:CN834)+COUNTIF(CN3:CN30,CN30)-1</f>
        <v>28</v>
      </c>
      <c r="CP30" s="306" t="str">
        <f t="shared" ca="1" si="2"/>
        <v>Cody Gakpo (Netherlands)</v>
      </c>
    </row>
    <row r="31" spans="1:94" x14ac:dyDescent="0.3">
      <c r="A31" s="306">
        <f t="shared" si="4"/>
        <v>3</v>
      </c>
      <c r="B31" s="306" t="str">
        <f t="shared" si="5"/>
        <v>Daley Blind (og)</v>
      </c>
      <c r="C31" s="306" t="str">
        <f t="shared" si="6"/>
        <v>Bamba Dieng (og)</v>
      </c>
      <c r="D31" s="306" t="str">
        <f t="shared" si="7"/>
        <v>Bamba Dieng (og)</v>
      </c>
      <c r="E31" s="306" t="str">
        <f t="shared" si="8"/>
        <v>Bamba Dieng (og)</v>
      </c>
      <c r="F31" s="306" t="str">
        <f t="shared" si="9"/>
        <v>Ali Gholizadeh (og)</v>
      </c>
      <c r="G31" s="306" t="str">
        <f t="shared" si="10"/>
        <v>Bukayo Saka (og)</v>
      </c>
      <c r="H31" s="306" t="str">
        <f t="shared" si="11"/>
        <v>Bukayo Saka (og)</v>
      </c>
      <c r="I31" s="306" t="str">
        <f t="shared" si="12"/>
        <v>Bukayo Saka (og)</v>
      </c>
      <c r="J31" s="306" t="str">
        <f t="shared" si="13"/>
        <v>Abdullah Madu (og)</v>
      </c>
      <c r="K31" s="306" t="str">
        <f t="shared" si="14"/>
        <v>Ángel Di María (og)</v>
      </c>
      <c r="L31" s="306" t="str">
        <f t="shared" si="15"/>
        <v>Ángel Di María (og)</v>
      </c>
      <c r="M31" s="306" t="str">
        <f t="shared" si="16"/>
        <v>Ángel Di María (og)</v>
      </c>
      <c r="N31" s="306" t="str">
        <f t="shared" si="17"/>
        <v>Ali Maâloul (og)</v>
      </c>
      <c r="O31" s="306" t="str">
        <f t="shared" si="18"/>
        <v>Andreas Cornelius (og)</v>
      </c>
      <c r="P31" s="306" t="str">
        <f t="shared" si="19"/>
        <v>Andreas Cornelius (og)</v>
      </c>
      <c r="Q31" s="306" t="str">
        <f t="shared" si="20"/>
        <v>Andreas Cornelius (og)</v>
      </c>
      <c r="R31" s="306" t="str">
        <f t="shared" si="21"/>
        <v>Daichi Kamada (og)</v>
      </c>
      <c r="S31" s="306" t="str">
        <f t="shared" si="22"/>
        <v>Christian Günter (og)</v>
      </c>
      <c r="T31" s="306" t="str">
        <f t="shared" si="23"/>
        <v>Christian Günter (og)</v>
      </c>
      <c r="U31" s="306" t="str">
        <f t="shared" si="24"/>
        <v>Christian Günter (og)</v>
      </c>
      <c r="V31" s="306" t="str">
        <f t="shared" si="25"/>
        <v>Borna Barišić (og)</v>
      </c>
      <c r="W31" s="306" t="str">
        <f t="shared" si="26"/>
        <v>Abderrazak Hamdallah (og)</v>
      </c>
      <c r="X31" s="306" t="str">
        <f t="shared" si="27"/>
        <v>Abderrazak Hamdallah (og)</v>
      </c>
      <c r="Y31" s="306" t="str">
        <f t="shared" si="28"/>
        <v>Abderrazak Hamdallah (og)</v>
      </c>
      <c r="Z31" s="306" t="str">
        <f t="shared" si="29"/>
        <v>Darko Lazović (og)</v>
      </c>
      <c r="AA31" s="306" t="str">
        <f t="shared" si="30"/>
        <v>Alisson (og)</v>
      </c>
      <c r="AB31" s="306" t="str">
        <f t="shared" si="31"/>
        <v>Alisson (og)</v>
      </c>
      <c r="AC31" s="306" t="str">
        <f t="shared" si="32"/>
        <v>Alisson (og)</v>
      </c>
      <c r="AD31" s="306" t="str">
        <f t="shared" si="33"/>
        <v>Alexander Djiku (og)</v>
      </c>
      <c r="AE31" s="306" t="str">
        <f t="shared" si="34"/>
        <v>Bernardo Silva (og)</v>
      </c>
      <c r="AF31" s="306" t="str">
        <f t="shared" si="35"/>
        <v>Bernardo Silva (og)</v>
      </c>
      <c r="AG31" s="306" t="str">
        <f t="shared" si="36"/>
        <v>Bernardo Silva (og)</v>
      </c>
      <c r="AI31" s="306" t="str">
        <f t="shared" ca="1" si="37"/>
        <v xml:space="preserve"> (og)</v>
      </c>
      <c r="AJ31" s="306" t="str">
        <f t="shared" ca="1" si="38"/>
        <v xml:space="preserve"> (og)</v>
      </c>
      <c r="AK31" s="306" t="str">
        <f t="shared" ca="1" si="39"/>
        <v xml:space="preserve"> (og)</v>
      </c>
      <c r="AL31" s="306" t="str">
        <f t="shared" ca="1" si="40"/>
        <v xml:space="preserve"> (og)</v>
      </c>
      <c r="AM31" s="306" t="str">
        <f t="shared" ca="1" si="41"/>
        <v xml:space="preserve"> (og)</v>
      </c>
      <c r="AN31" s="306" t="str">
        <f t="shared" ca="1" si="42"/>
        <v xml:space="preserve"> (og)</v>
      </c>
      <c r="AO31" s="306" t="str">
        <f t="shared" ca="1" si="43"/>
        <v xml:space="preserve"> (og)</v>
      </c>
      <c r="AP31" s="306" t="str">
        <f t="shared" ca="1" si="44"/>
        <v xml:space="preserve"> (og)</v>
      </c>
      <c r="AQ31" s="306" t="str">
        <f t="shared" ca="1" si="45"/>
        <v xml:space="preserve"> (og)</v>
      </c>
      <c r="AR31" s="306" t="str">
        <f t="shared" ca="1" si="46"/>
        <v xml:space="preserve"> (og)</v>
      </c>
      <c r="AS31" s="306" t="str">
        <f t="shared" ca="1" si="47"/>
        <v xml:space="preserve"> (og)</v>
      </c>
      <c r="AT31" s="306" t="str">
        <f t="shared" ca="1" si="48"/>
        <v xml:space="preserve"> (og)</v>
      </c>
      <c r="AU31" s="306" t="str">
        <f t="shared" ca="1" si="49"/>
        <v xml:space="preserve"> (og)</v>
      </c>
      <c r="AV31" s="306" t="str">
        <f t="shared" ca="1" si="50"/>
        <v xml:space="preserve"> (og)</v>
      </c>
      <c r="AW31" s="306" t="str">
        <f t="shared" ca="1" si="51"/>
        <v xml:space="preserve"> (og)</v>
      </c>
      <c r="AX31" s="306" t="str">
        <f t="shared" ca="1" si="52"/>
        <v xml:space="preserve"> (og)</v>
      </c>
      <c r="AZ31" s="306" t="str">
        <f t="shared" ca="1" si="53"/>
        <v xml:space="preserve"> (og)</v>
      </c>
      <c r="BA31" s="306" t="str">
        <f t="shared" ca="1" si="54"/>
        <v xml:space="preserve"> (og)</v>
      </c>
      <c r="BB31" s="306" t="str">
        <f t="shared" ca="1" si="55"/>
        <v xml:space="preserve"> (og)</v>
      </c>
      <c r="BC31" s="306" t="str">
        <f t="shared" ca="1" si="56"/>
        <v xml:space="preserve"> (og)</v>
      </c>
      <c r="BD31" s="306" t="str">
        <f t="shared" ca="1" si="57"/>
        <v xml:space="preserve"> (og)</v>
      </c>
      <c r="BE31" s="306" t="str">
        <f t="shared" ca="1" si="58"/>
        <v xml:space="preserve"> (og)</v>
      </c>
      <c r="BF31" s="306" t="str">
        <f t="shared" ca="1" si="59"/>
        <v xml:space="preserve"> (og)</v>
      </c>
      <c r="BG31" s="306" t="str">
        <f t="shared" ca="1" si="60"/>
        <v xml:space="preserve"> (og)</v>
      </c>
      <c r="BI31" s="306" t="str">
        <f t="shared" ca="1" si="61"/>
        <v xml:space="preserve"> (og)</v>
      </c>
      <c r="BJ31" s="306" t="str">
        <f t="shared" ca="1" si="62"/>
        <v xml:space="preserve"> (og)</v>
      </c>
      <c r="BK31" s="306" t="str">
        <f t="shared" ca="1" si="63"/>
        <v xml:space="preserve"> (og)</v>
      </c>
      <c r="BL31" s="306" t="str">
        <f t="shared" ca="1" si="64"/>
        <v xml:space="preserve"> (og)</v>
      </c>
      <c r="BN31" s="306" t="str">
        <f t="shared" ca="1" si="65"/>
        <v xml:space="preserve"> (og)</v>
      </c>
      <c r="BO31" s="306" t="str">
        <f t="shared" ca="1" si="66"/>
        <v xml:space="preserve"> (og)</v>
      </c>
      <c r="BQ31" s="306" t="str">
        <f t="shared" ca="1" si="67"/>
        <v xml:space="preserve"> (og)</v>
      </c>
      <c r="BR31" s="306" t="str">
        <f t="shared" ca="1" si="68"/>
        <v xml:space="preserve"> (og)</v>
      </c>
      <c r="BT31" s="306" t="str">
        <f t="shared" ref="BT31:BT54" ca="1" si="69">BT30</f>
        <v>Netherlands</v>
      </c>
      <c r="BU31" s="306">
        <v>2</v>
      </c>
      <c r="BV31" s="306">
        <v>0</v>
      </c>
      <c r="BW31" s="306" t="str">
        <f ca="1">OFFSET(C3,BU31,BV31)</f>
        <v>Daley Blind</v>
      </c>
      <c r="BX31" s="306">
        <f ca="1">COUNTIF('Group Stages'!J7:J102,BW31)</f>
        <v>0</v>
      </c>
      <c r="BY31" s="306">
        <f ca="1">COUNTIF('Group Stages'!K7:K102,BW31)</f>
        <v>0</v>
      </c>
      <c r="BZ31" s="306">
        <f ca="1">COUNTIF('Group Stages'!L7:L102,BW31)</f>
        <v>0</v>
      </c>
      <c r="CA31" s="306">
        <f ca="1">COUNTIF('Group Stages'!M7:M102,BW31)</f>
        <v>0</v>
      </c>
      <c r="CB31" s="306">
        <f ca="1">COUNTIF('Group Stages'!N7:N102,BW31)</f>
        <v>0</v>
      </c>
      <c r="CC31" s="306">
        <f ca="1">COUNTIF('Group Stages'!O7:O102,BW31)</f>
        <v>0</v>
      </c>
      <c r="CD31" s="306">
        <f ca="1">COUNTIF('Group Stages'!P7:P102,BW31)</f>
        <v>0</v>
      </c>
      <c r="CE31" s="306">
        <f ca="1">COUNTIF('Group Stages'!Q7:Q102,BW31)</f>
        <v>0</v>
      </c>
      <c r="CF31" s="306">
        <f ca="1">COUNTIF('Knock Out Stages'!K7:K50,BW31)</f>
        <v>0</v>
      </c>
      <c r="CG31" s="306">
        <f ca="1">COUNTIF('Knock Out Stages'!L7:L50,BW31)</f>
        <v>0</v>
      </c>
      <c r="CH31" s="306">
        <f ca="1">COUNTIF('Knock Out Stages'!M7:M50,BW31)</f>
        <v>0</v>
      </c>
      <c r="CI31" s="306">
        <f ca="1">COUNTIF('Knock Out Stages'!N7:N50,BW31)</f>
        <v>0</v>
      </c>
      <c r="CJ31" s="306">
        <f ca="1">COUNTIF('Knock Out Stages'!O7:O50,BW31)</f>
        <v>0</v>
      </c>
      <c r="CK31" s="306">
        <f ca="1">COUNTIF('Knock Out Stages'!P7:P50,BW31)</f>
        <v>0</v>
      </c>
      <c r="CL31" s="306">
        <f ca="1">COUNTIF('Knock Out Stages'!Q7:Q50,BW31)</f>
        <v>0</v>
      </c>
      <c r="CM31" s="306">
        <f ca="1">COUNTIF('Knock Out Stages'!R7:R50,BW31)</f>
        <v>0</v>
      </c>
      <c r="CN31" s="306">
        <f ca="1">IF(RIGHT('Group Stages'!$B$105,5)="T.com",SUM(BX31:CM31),0)</f>
        <v>0</v>
      </c>
      <c r="CO31" s="306">
        <f ca="1">RANK(CN31,CN3:CN834)+COUNTIF(CN3:CN31,CN31)-1</f>
        <v>29</v>
      </c>
      <c r="CP31" s="306" t="str">
        <f t="shared" ca="1" si="2"/>
        <v>Daley Blind (Netherlands)</v>
      </c>
    </row>
    <row r="32" spans="1:94" x14ac:dyDescent="0.3">
      <c r="A32" s="306">
        <f t="shared" si="4"/>
        <v>4</v>
      </c>
      <c r="B32" s="306" t="str">
        <f t="shared" si="5"/>
        <v>Davy Klaassen (og)</v>
      </c>
      <c r="C32" s="306" t="str">
        <f t="shared" si="6"/>
        <v>Boulaye Dia (og)</v>
      </c>
      <c r="D32" s="306" t="str">
        <f t="shared" si="7"/>
        <v>Boulaye Dia (og)</v>
      </c>
      <c r="E32" s="306" t="str">
        <f t="shared" si="8"/>
        <v>Boulaye Dia (og)</v>
      </c>
      <c r="F32" s="306" t="str">
        <f t="shared" si="9"/>
        <v>Ali Karimi (og)</v>
      </c>
      <c r="G32" s="306" t="str">
        <f t="shared" si="10"/>
        <v>Callum Wilson (og)</v>
      </c>
      <c r="H32" s="306" t="str">
        <f t="shared" si="11"/>
        <v>Callum Wilson (og)</v>
      </c>
      <c r="I32" s="306" t="str">
        <f t="shared" si="12"/>
        <v>Callum Wilson (og)</v>
      </c>
      <c r="J32" s="306" t="str">
        <f t="shared" si="13"/>
        <v>Abdullah Otayf (og)</v>
      </c>
      <c r="K32" s="306" t="str">
        <f t="shared" si="14"/>
        <v>Cristian Romero (og)</v>
      </c>
      <c r="L32" s="306" t="str">
        <f t="shared" si="15"/>
        <v>Cristian Romero (og)</v>
      </c>
      <c r="M32" s="306" t="str">
        <f t="shared" si="16"/>
        <v>Cristian Romero (og)</v>
      </c>
      <c r="N32" s="306" t="str">
        <f t="shared" si="17"/>
        <v>Anis Ben Slimane (og)</v>
      </c>
      <c r="O32" s="306" t="str">
        <f t="shared" si="18"/>
        <v>Andreas Skov Olsen (og)</v>
      </c>
      <c r="P32" s="306" t="str">
        <f t="shared" si="19"/>
        <v>Andreas Skov Olsen (og)</v>
      </c>
      <c r="Q32" s="306" t="str">
        <f t="shared" si="20"/>
        <v>Andreas Skov Olsen (og)</v>
      </c>
      <c r="R32" s="306" t="str">
        <f t="shared" si="21"/>
        <v>Daizen Maeda (og)</v>
      </c>
      <c r="S32" s="306" t="str">
        <f t="shared" si="22"/>
        <v>David Raum (og)</v>
      </c>
      <c r="T32" s="306" t="str">
        <f t="shared" si="23"/>
        <v>David Raum (og)</v>
      </c>
      <c r="U32" s="306" t="str">
        <f t="shared" si="24"/>
        <v>David Raum (og)</v>
      </c>
      <c r="V32" s="306" t="str">
        <f t="shared" si="25"/>
        <v>Borna Sosa (og)</v>
      </c>
      <c r="W32" s="306" t="str">
        <f t="shared" si="26"/>
        <v>Achraf Dari (og)</v>
      </c>
      <c r="X32" s="306" t="str">
        <f t="shared" si="27"/>
        <v>Achraf Dari (og)</v>
      </c>
      <c r="Y32" s="306" t="str">
        <f t="shared" si="28"/>
        <v>Achraf Dari (og)</v>
      </c>
      <c r="Z32" s="306" t="str">
        <f t="shared" si="29"/>
        <v>Dušan Tadić (og)</v>
      </c>
      <c r="AA32" s="306" t="str">
        <f t="shared" si="30"/>
        <v>Antony (og)</v>
      </c>
      <c r="AB32" s="306" t="str">
        <f t="shared" si="31"/>
        <v>Antony (og)</v>
      </c>
      <c r="AC32" s="306" t="str">
        <f t="shared" si="32"/>
        <v>Antony (og)</v>
      </c>
      <c r="AD32" s="306" t="str">
        <f t="shared" si="33"/>
        <v>Alidu Seidu (og)</v>
      </c>
      <c r="AE32" s="306" t="str">
        <f t="shared" si="34"/>
        <v>Bruno Fernandes (og)</v>
      </c>
      <c r="AF32" s="306" t="str">
        <f t="shared" si="35"/>
        <v>Bruno Fernandes (og)</v>
      </c>
      <c r="AG32" s="306" t="str">
        <f t="shared" si="36"/>
        <v>Bruno Fernandes (og)</v>
      </c>
      <c r="AI32" s="306" t="str">
        <f t="shared" ca="1" si="37"/>
        <v xml:space="preserve"> (og)</v>
      </c>
      <c r="AJ32" s="306" t="str">
        <f t="shared" ca="1" si="38"/>
        <v xml:space="preserve"> (og)</v>
      </c>
      <c r="AK32" s="306" t="str">
        <f t="shared" ca="1" si="39"/>
        <v xml:space="preserve"> (og)</v>
      </c>
      <c r="AL32" s="306" t="str">
        <f t="shared" ca="1" si="40"/>
        <v xml:space="preserve"> (og)</v>
      </c>
      <c r="AM32" s="306" t="str">
        <f t="shared" ca="1" si="41"/>
        <v xml:space="preserve"> (og)</v>
      </c>
      <c r="AN32" s="306" t="str">
        <f t="shared" ca="1" si="42"/>
        <v xml:space="preserve"> (og)</v>
      </c>
      <c r="AO32" s="306" t="str">
        <f t="shared" ca="1" si="43"/>
        <v xml:space="preserve"> (og)</v>
      </c>
      <c r="AP32" s="306" t="str">
        <f t="shared" ca="1" si="44"/>
        <v xml:space="preserve"> (og)</v>
      </c>
      <c r="AQ32" s="306" t="str">
        <f t="shared" ca="1" si="45"/>
        <v xml:space="preserve"> (og)</v>
      </c>
      <c r="AR32" s="306" t="str">
        <f t="shared" ca="1" si="46"/>
        <v xml:space="preserve"> (og)</v>
      </c>
      <c r="AS32" s="306" t="str">
        <f t="shared" ca="1" si="47"/>
        <v xml:space="preserve"> (og)</v>
      </c>
      <c r="AT32" s="306" t="str">
        <f t="shared" ca="1" si="48"/>
        <v xml:space="preserve"> (og)</v>
      </c>
      <c r="AU32" s="306" t="str">
        <f t="shared" ca="1" si="49"/>
        <v xml:space="preserve"> (og)</v>
      </c>
      <c r="AV32" s="306" t="str">
        <f t="shared" ca="1" si="50"/>
        <v xml:space="preserve"> (og)</v>
      </c>
      <c r="AW32" s="306" t="str">
        <f t="shared" ca="1" si="51"/>
        <v xml:space="preserve"> (og)</v>
      </c>
      <c r="AX32" s="306" t="str">
        <f t="shared" ca="1" si="52"/>
        <v xml:space="preserve"> (og)</v>
      </c>
      <c r="AZ32" s="306" t="str">
        <f t="shared" ca="1" si="53"/>
        <v xml:space="preserve"> (og)</v>
      </c>
      <c r="BA32" s="306" t="str">
        <f t="shared" ca="1" si="54"/>
        <v xml:space="preserve"> (og)</v>
      </c>
      <c r="BB32" s="306" t="str">
        <f t="shared" ca="1" si="55"/>
        <v xml:space="preserve"> (og)</v>
      </c>
      <c r="BC32" s="306" t="str">
        <f t="shared" ca="1" si="56"/>
        <v xml:space="preserve"> (og)</v>
      </c>
      <c r="BD32" s="306" t="str">
        <f t="shared" ca="1" si="57"/>
        <v xml:space="preserve"> (og)</v>
      </c>
      <c r="BE32" s="306" t="str">
        <f t="shared" ca="1" si="58"/>
        <v xml:space="preserve"> (og)</v>
      </c>
      <c r="BF32" s="306" t="str">
        <f t="shared" ca="1" si="59"/>
        <v xml:space="preserve"> (og)</v>
      </c>
      <c r="BG32" s="306" t="str">
        <f t="shared" ca="1" si="60"/>
        <v xml:space="preserve"> (og)</v>
      </c>
      <c r="BI32" s="306" t="str">
        <f t="shared" ca="1" si="61"/>
        <v xml:space="preserve"> (og)</v>
      </c>
      <c r="BJ32" s="306" t="str">
        <f t="shared" ca="1" si="62"/>
        <v xml:space="preserve"> (og)</v>
      </c>
      <c r="BK32" s="306" t="str">
        <f t="shared" ca="1" si="63"/>
        <v xml:space="preserve"> (og)</v>
      </c>
      <c r="BL32" s="306" t="str">
        <f t="shared" ca="1" si="64"/>
        <v xml:space="preserve"> (og)</v>
      </c>
      <c r="BN32" s="306" t="str">
        <f t="shared" ca="1" si="65"/>
        <v xml:space="preserve"> (og)</v>
      </c>
      <c r="BO32" s="306" t="str">
        <f t="shared" ca="1" si="66"/>
        <v xml:space="preserve"> (og)</v>
      </c>
      <c r="BQ32" s="306" t="str">
        <f t="shared" ca="1" si="67"/>
        <v xml:space="preserve"> (og)</v>
      </c>
      <c r="BR32" s="306" t="str">
        <f t="shared" ca="1" si="68"/>
        <v xml:space="preserve"> (og)</v>
      </c>
      <c r="BT32" s="306" t="str">
        <f t="shared" ca="1" si="69"/>
        <v>Netherlands</v>
      </c>
      <c r="BU32" s="306">
        <v>3</v>
      </c>
      <c r="BV32" s="306">
        <v>0</v>
      </c>
      <c r="BW32" s="306" t="str">
        <f ca="1">OFFSET(C3,BU32,BV32)</f>
        <v>Davy Klaassen</v>
      </c>
      <c r="BX32" s="306">
        <f ca="1">COUNTIF('Group Stages'!J7:J102,BW32)</f>
        <v>0</v>
      </c>
      <c r="BY32" s="306">
        <f ca="1">COUNTIF('Group Stages'!K7:K102,BW32)</f>
        <v>0</v>
      </c>
      <c r="BZ32" s="306">
        <f ca="1">COUNTIF('Group Stages'!L7:L102,BW32)</f>
        <v>0</v>
      </c>
      <c r="CA32" s="306">
        <f ca="1">COUNTIF('Group Stages'!M7:M102,BW32)</f>
        <v>0</v>
      </c>
      <c r="CB32" s="306">
        <f ca="1">COUNTIF('Group Stages'!N7:N102,BW32)</f>
        <v>0</v>
      </c>
      <c r="CC32" s="306">
        <f ca="1">COUNTIF('Group Stages'!O7:O102,BW32)</f>
        <v>0</v>
      </c>
      <c r="CD32" s="306">
        <f ca="1">COUNTIF('Group Stages'!P7:P102,BW32)</f>
        <v>0</v>
      </c>
      <c r="CE32" s="306">
        <f ca="1">COUNTIF('Group Stages'!Q7:Q102,BW32)</f>
        <v>0</v>
      </c>
      <c r="CF32" s="306">
        <f ca="1">COUNTIF('Knock Out Stages'!K7:K50,BW32)</f>
        <v>0</v>
      </c>
      <c r="CG32" s="306">
        <f ca="1">COUNTIF('Knock Out Stages'!L7:L50,BW32)</f>
        <v>0</v>
      </c>
      <c r="CH32" s="306">
        <f ca="1">COUNTIF('Knock Out Stages'!M7:M50,BW32)</f>
        <v>0</v>
      </c>
      <c r="CI32" s="306">
        <f ca="1">COUNTIF('Knock Out Stages'!N7:N50,BW32)</f>
        <v>0</v>
      </c>
      <c r="CJ32" s="306">
        <f ca="1">COUNTIF('Knock Out Stages'!O7:O50,BW32)</f>
        <v>0</v>
      </c>
      <c r="CK32" s="306">
        <f ca="1">COUNTIF('Knock Out Stages'!P7:P50,BW32)</f>
        <v>0</v>
      </c>
      <c r="CL32" s="306">
        <f ca="1">COUNTIF('Knock Out Stages'!Q7:Q50,BW32)</f>
        <v>0</v>
      </c>
      <c r="CM32" s="306">
        <f ca="1">COUNTIF('Knock Out Stages'!R7:R50,BW32)</f>
        <v>0</v>
      </c>
      <c r="CN32" s="306">
        <f ca="1">IF(RIGHT('Group Stages'!$B$105,5)="T.com",SUM(BX32:CM32),0)</f>
        <v>0</v>
      </c>
      <c r="CO32" s="306">
        <f ca="1">RANK(CN32,CN3:CN834)+COUNTIF(CN3:CN32,CN32)-1</f>
        <v>30</v>
      </c>
      <c r="CP32" s="306" t="str">
        <f t="shared" ca="1" si="2"/>
        <v>Davy Klaassen (Netherlands)</v>
      </c>
    </row>
    <row r="33" spans="1:94" x14ac:dyDescent="0.3">
      <c r="A33" s="306">
        <f t="shared" si="4"/>
        <v>5</v>
      </c>
      <c r="B33" s="306" t="str">
        <f t="shared" si="5"/>
        <v>Denzel Dumfries (og)</v>
      </c>
      <c r="C33" s="306" t="str">
        <f t="shared" si="6"/>
        <v>Cheikhou Kouyaté (og)</v>
      </c>
      <c r="D33" s="306" t="str">
        <f t="shared" si="7"/>
        <v>Cheikhou Kouyaté (og)</v>
      </c>
      <c r="E33" s="306" t="str">
        <f t="shared" si="8"/>
        <v>Cheikhou Kouyaté (og)</v>
      </c>
      <c r="F33" s="306" t="str">
        <f t="shared" si="9"/>
        <v>Alireza Beiranvand (og)</v>
      </c>
      <c r="G33" s="306" t="str">
        <f t="shared" si="10"/>
        <v>Conor Coady (og)</v>
      </c>
      <c r="H33" s="306" t="str">
        <f t="shared" si="11"/>
        <v>Conor Coady (og)</v>
      </c>
      <c r="I33" s="306" t="str">
        <f t="shared" si="12"/>
        <v>Conor Coady (og)</v>
      </c>
      <c r="J33" s="306" t="str">
        <f t="shared" si="13"/>
        <v>Abdulrahman Al-Aboud (og)</v>
      </c>
      <c r="K33" s="306" t="str">
        <f t="shared" si="14"/>
        <v>Emiliano Martínez (og)</v>
      </c>
      <c r="L33" s="306" t="str">
        <f t="shared" si="15"/>
        <v>Emiliano Martínez (og)</v>
      </c>
      <c r="M33" s="306" t="str">
        <f t="shared" si="16"/>
        <v>Emiliano Martínez (og)</v>
      </c>
      <c r="N33" s="306" t="str">
        <f t="shared" si="17"/>
        <v>Aymen Dahmen (og)</v>
      </c>
      <c r="O33" s="306" t="str">
        <f t="shared" si="18"/>
        <v>Christian Eriksen (og)</v>
      </c>
      <c r="P33" s="306" t="str">
        <f t="shared" si="19"/>
        <v>Christian Eriksen (og)</v>
      </c>
      <c r="Q33" s="306" t="str">
        <f t="shared" si="20"/>
        <v>Christian Eriksen (og)</v>
      </c>
      <c r="R33" s="306" t="str">
        <f t="shared" si="21"/>
        <v>Daniel Schmidt (og)</v>
      </c>
      <c r="S33" s="306" t="str">
        <f t="shared" si="22"/>
        <v>İlkay Gündoğan (og)</v>
      </c>
      <c r="T33" s="306" t="str">
        <f t="shared" si="23"/>
        <v>İlkay Gündoğan (og)</v>
      </c>
      <c r="U33" s="306" t="str">
        <f t="shared" si="24"/>
        <v>İlkay Gündoğan (og)</v>
      </c>
      <c r="V33" s="306" t="str">
        <f t="shared" si="25"/>
        <v>Bruno Petković (og)</v>
      </c>
      <c r="W33" s="306" t="str">
        <f t="shared" si="26"/>
        <v>Achraf Hakimi (og)</v>
      </c>
      <c r="X33" s="306" t="str">
        <f t="shared" si="27"/>
        <v>Achraf Hakimi (og)</v>
      </c>
      <c r="Y33" s="306" t="str">
        <f t="shared" si="28"/>
        <v>Achraf Hakimi (og)</v>
      </c>
      <c r="Z33" s="306" t="str">
        <f t="shared" si="29"/>
        <v>Dušan Vlahović (og)</v>
      </c>
      <c r="AA33" s="306" t="str">
        <f t="shared" si="30"/>
        <v>Bremer (og)</v>
      </c>
      <c r="AB33" s="306" t="str">
        <f t="shared" si="31"/>
        <v>Bremer (og)</v>
      </c>
      <c r="AC33" s="306" t="str">
        <f t="shared" si="32"/>
        <v>Bremer (og)</v>
      </c>
      <c r="AD33" s="306" t="str">
        <f t="shared" si="33"/>
        <v>André Ayew (og)</v>
      </c>
      <c r="AE33" s="306" t="str">
        <f t="shared" si="34"/>
        <v>Cristiano Ronaldo (og)</v>
      </c>
      <c r="AF33" s="306" t="str">
        <f t="shared" si="35"/>
        <v>Cristiano Ronaldo (og)</v>
      </c>
      <c r="AG33" s="306" t="str">
        <f t="shared" si="36"/>
        <v>Cristiano Ronaldo (og)</v>
      </c>
      <c r="AI33" s="306" t="str">
        <f t="shared" ca="1" si="37"/>
        <v xml:space="preserve"> (og)</v>
      </c>
      <c r="AJ33" s="306" t="str">
        <f t="shared" ca="1" si="38"/>
        <v xml:space="preserve"> (og)</v>
      </c>
      <c r="AK33" s="306" t="str">
        <f t="shared" ca="1" si="39"/>
        <v xml:space="preserve"> (og)</v>
      </c>
      <c r="AL33" s="306" t="str">
        <f t="shared" ca="1" si="40"/>
        <v xml:space="preserve"> (og)</v>
      </c>
      <c r="AM33" s="306" t="str">
        <f t="shared" ca="1" si="41"/>
        <v xml:space="preserve"> (og)</v>
      </c>
      <c r="AN33" s="306" t="str">
        <f t="shared" ca="1" si="42"/>
        <v xml:space="preserve"> (og)</v>
      </c>
      <c r="AO33" s="306" t="str">
        <f t="shared" ca="1" si="43"/>
        <v xml:space="preserve"> (og)</v>
      </c>
      <c r="AP33" s="306" t="str">
        <f t="shared" ca="1" si="44"/>
        <v xml:space="preserve"> (og)</v>
      </c>
      <c r="AQ33" s="306" t="str">
        <f t="shared" ca="1" si="45"/>
        <v xml:space="preserve"> (og)</v>
      </c>
      <c r="AR33" s="306" t="str">
        <f t="shared" ca="1" si="46"/>
        <v xml:space="preserve"> (og)</v>
      </c>
      <c r="AS33" s="306" t="str">
        <f t="shared" ca="1" si="47"/>
        <v xml:space="preserve"> (og)</v>
      </c>
      <c r="AT33" s="306" t="str">
        <f t="shared" ca="1" si="48"/>
        <v xml:space="preserve"> (og)</v>
      </c>
      <c r="AU33" s="306" t="str">
        <f t="shared" ca="1" si="49"/>
        <v xml:space="preserve"> (og)</v>
      </c>
      <c r="AV33" s="306" t="str">
        <f t="shared" ca="1" si="50"/>
        <v xml:space="preserve"> (og)</v>
      </c>
      <c r="AW33" s="306" t="str">
        <f t="shared" ca="1" si="51"/>
        <v xml:space="preserve"> (og)</v>
      </c>
      <c r="AX33" s="306" t="str">
        <f t="shared" ca="1" si="52"/>
        <v xml:space="preserve"> (og)</v>
      </c>
      <c r="AZ33" s="306" t="str">
        <f t="shared" ca="1" si="53"/>
        <v xml:space="preserve"> (og)</v>
      </c>
      <c r="BA33" s="306" t="str">
        <f t="shared" ca="1" si="54"/>
        <v xml:space="preserve"> (og)</v>
      </c>
      <c r="BB33" s="306" t="str">
        <f t="shared" ca="1" si="55"/>
        <v xml:space="preserve"> (og)</v>
      </c>
      <c r="BC33" s="306" t="str">
        <f t="shared" ca="1" si="56"/>
        <v xml:space="preserve"> (og)</v>
      </c>
      <c r="BD33" s="306" t="str">
        <f t="shared" ca="1" si="57"/>
        <v xml:space="preserve"> (og)</v>
      </c>
      <c r="BE33" s="306" t="str">
        <f t="shared" ca="1" si="58"/>
        <v xml:space="preserve"> (og)</v>
      </c>
      <c r="BF33" s="306" t="str">
        <f t="shared" ca="1" si="59"/>
        <v xml:space="preserve"> (og)</v>
      </c>
      <c r="BG33" s="306" t="str">
        <f t="shared" ca="1" si="60"/>
        <v xml:space="preserve"> (og)</v>
      </c>
      <c r="BI33" s="306" t="str">
        <f t="shared" ca="1" si="61"/>
        <v xml:space="preserve"> (og)</v>
      </c>
      <c r="BJ33" s="306" t="str">
        <f t="shared" ca="1" si="62"/>
        <v xml:space="preserve"> (og)</v>
      </c>
      <c r="BK33" s="306" t="str">
        <f t="shared" ca="1" si="63"/>
        <v xml:space="preserve"> (og)</v>
      </c>
      <c r="BL33" s="306" t="str">
        <f t="shared" ca="1" si="64"/>
        <v xml:space="preserve"> (og)</v>
      </c>
      <c r="BN33" s="306" t="str">
        <f t="shared" ca="1" si="65"/>
        <v xml:space="preserve"> (og)</v>
      </c>
      <c r="BO33" s="306" t="str">
        <f t="shared" ca="1" si="66"/>
        <v xml:space="preserve"> (og)</v>
      </c>
      <c r="BQ33" s="306" t="str">
        <f t="shared" ca="1" si="67"/>
        <v xml:space="preserve"> (og)</v>
      </c>
      <c r="BR33" s="306" t="str">
        <f t="shared" ca="1" si="68"/>
        <v xml:space="preserve"> (og)</v>
      </c>
      <c r="BT33" s="306" t="str">
        <f t="shared" ca="1" si="69"/>
        <v>Netherlands</v>
      </c>
      <c r="BU33" s="306">
        <v>4</v>
      </c>
      <c r="BV33" s="306">
        <v>0</v>
      </c>
      <c r="BW33" s="306" t="str">
        <f ca="1">OFFSET(C3,BU33,BV33)</f>
        <v>Denzel Dumfries</v>
      </c>
      <c r="BX33" s="306">
        <f ca="1">COUNTIF('Group Stages'!J7:J102,BW33)</f>
        <v>0</v>
      </c>
      <c r="BY33" s="306">
        <f ca="1">COUNTIF('Group Stages'!K7:K102,BW33)</f>
        <v>0</v>
      </c>
      <c r="BZ33" s="306">
        <f ca="1">COUNTIF('Group Stages'!L7:L102,BW33)</f>
        <v>0</v>
      </c>
      <c r="CA33" s="306">
        <f ca="1">COUNTIF('Group Stages'!M7:M102,BW33)</f>
        <v>0</v>
      </c>
      <c r="CB33" s="306">
        <f ca="1">COUNTIF('Group Stages'!N7:N102,BW33)</f>
        <v>0</v>
      </c>
      <c r="CC33" s="306">
        <f ca="1">COUNTIF('Group Stages'!O7:O102,BW33)</f>
        <v>0</v>
      </c>
      <c r="CD33" s="306">
        <f ca="1">COUNTIF('Group Stages'!P7:P102,BW33)</f>
        <v>0</v>
      </c>
      <c r="CE33" s="306">
        <f ca="1">COUNTIF('Group Stages'!Q7:Q102,BW33)</f>
        <v>0</v>
      </c>
      <c r="CF33" s="306">
        <f ca="1">COUNTIF('Knock Out Stages'!K7:K50,BW33)</f>
        <v>0</v>
      </c>
      <c r="CG33" s="306">
        <f ca="1">COUNTIF('Knock Out Stages'!L7:L50,BW33)</f>
        <v>0</v>
      </c>
      <c r="CH33" s="306">
        <f ca="1">COUNTIF('Knock Out Stages'!M7:M50,BW33)</f>
        <v>0</v>
      </c>
      <c r="CI33" s="306">
        <f ca="1">COUNTIF('Knock Out Stages'!N7:N50,BW33)</f>
        <v>0</v>
      </c>
      <c r="CJ33" s="306">
        <f ca="1">COUNTIF('Knock Out Stages'!O7:O50,BW33)</f>
        <v>0</v>
      </c>
      <c r="CK33" s="306">
        <f ca="1">COUNTIF('Knock Out Stages'!P7:P50,BW33)</f>
        <v>0</v>
      </c>
      <c r="CL33" s="306">
        <f ca="1">COUNTIF('Knock Out Stages'!Q7:Q50,BW33)</f>
        <v>0</v>
      </c>
      <c r="CM33" s="306">
        <f ca="1">COUNTIF('Knock Out Stages'!R7:R50,BW33)</f>
        <v>0</v>
      </c>
      <c r="CN33" s="306">
        <f ca="1">IF(RIGHT('Group Stages'!$B$105,5)="T.com",SUM(BX33:CM33),0)</f>
        <v>0</v>
      </c>
      <c r="CO33" s="306">
        <f ca="1">RANK(CN33,CN3:CN834)+COUNTIF(CN3:CN33,CN33)-1</f>
        <v>31</v>
      </c>
      <c r="CP33" s="306" t="str">
        <f t="shared" ca="1" si="2"/>
        <v>Denzel Dumfries (Netherlands)</v>
      </c>
    </row>
    <row r="34" spans="1:94" x14ac:dyDescent="0.3">
      <c r="A34" s="306">
        <f t="shared" si="4"/>
        <v>6</v>
      </c>
      <c r="B34" s="306" t="str">
        <f t="shared" si="5"/>
        <v>Frenkie de Jong (og)</v>
      </c>
      <c r="C34" s="306" t="str">
        <f t="shared" si="6"/>
        <v>Édouard Mendy (og)</v>
      </c>
      <c r="D34" s="306" t="str">
        <f t="shared" si="7"/>
        <v>Édouard Mendy (og)</v>
      </c>
      <c r="E34" s="306" t="str">
        <f t="shared" si="8"/>
        <v>Édouard Mendy (og)</v>
      </c>
      <c r="F34" s="306" t="str">
        <f t="shared" si="9"/>
        <v>Alireza Jahanbakhsh (og)</v>
      </c>
      <c r="G34" s="306" t="str">
        <f t="shared" si="10"/>
        <v>Conor Gallagher (og)</v>
      </c>
      <c r="H34" s="306" t="str">
        <f t="shared" si="11"/>
        <v>Conor Gallagher (og)</v>
      </c>
      <c r="I34" s="306" t="str">
        <f t="shared" si="12"/>
        <v>Conor Gallagher (og)</v>
      </c>
      <c r="J34" s="306" t="str">
        <f t="shared" si="13"/>
        <v>Ali Al-Bulaihi (og)</v>
      </c>
      <c r="K34" s="306" t="str">
        <f t="shared" si="14"/>
        <v>Enzo Fernández (og)</v>
      </c>
      <c r="L34" s="306" t="str">
        <f t="shared" si="15"/>
        <v>Enzo Fernández (og)</v>
      </c>
      <c r="M34" s="306" t="str">
        <f t="shared" si="16"/>
        <v>Enzo Fernández (og)</v>
      </c>
      <c r="N34" s="306" t="str">
        <f t="shared" si="17"/>
        <v>Aymen Mathlouthi (og)</v>
      </c>
      <c r="O34" s="306" t="str">
        <f t="shared" si="18"/>
        <v>Christian Nørgaard (og)</v>
      </c>
      <c r="P34" s="306" t="str">
        <f t="shared" si="19"/>
        <v>Christian Nørgaard (og)</v>
      </c>
      <c r="Q34" s="306" t="str">
        <f t="shared" si="20"/>
        <v>Christian Nørgaard (og)</v>
      </c>
      <c r="R34" s="306" t="str">
        <f t="shared" si="21"/>
        <v>Eiji Kawashima (og)</v>
      </c>
      <c r="S34" s="306" t="str">
        <f t="shared" si="22"/>
        <v>Jamal Musiala (og)</v>
      </c>
      <c r="T34" s="306" t="str">
        <f t="shared" si="23"/>
        <v>Jamal Musiala (og)</v>
      </c>
      <c r="U34" s="306" t="str">
        <f t="shared" si="24"/>
        <v>Jamal Musiala (og)</v>
      </c>
      <c r="V34" s="306" t="str">
        <f t="shared" si="25"/>
        <v>Dejan Lovren (og)</v>
      </c>
      <c r="W34" s="306" t="str">
        <f t="shared" si="26"/>
        <v>Ahmed Reda Tagnaouti (og)</v>
      </c>
      <c r="X34" s="306" t="str">
        <f t="shared" si="27"/>
        <v>Ahmed Reda Tagnaouti (og)</v>
      </c>
      <c r="Y34" s="306" t="str">
        <f t="shared" si="28"/>
        <v>Ahmed Reda Tagnaouti (og)</v>
      </c>
      <c r="Z34" s="306" t="str">
        <f t="shared" si="29"/>
        <v>Filip Đuričić (og)</v>
      </c>
      <c r="AA34" s="306" t="str">
        <f t="shared" si="30"/>
        <v>Bruno Guimarães (og)</v>
      </c>
      <c r="AB34" s="306" t="str">
        <f t="shared" si="31"/>
        <v>Bruno Guimarães (og)</v>
      </c>
      <c r="AC34" s="306" t="str">
        <f t="shared" si="32"/>
        <v>Bruno Guimarães (og)</v>
      </c>
      <c r="AD34" s="306" t="str">
        <f t="shared" si="33"/>
        <v>Antoine Semenyo (og)</v>
      </c>
      <c r="AE34" s="306" t="str">
        <f t="shared" si="34"/>
        <v>Danilo Pereira (og)</v>
      </c>
      <c r="AF34" s="306" t="str">
        <f t="shared" si="35"/>
        <v>Danilo Pereira (og)</v>
      </c>
      <c r="AG34" s="306" t="str">
        <f t="shared" si="36"/>
        <v>Danilo Pereira (og)</v>
      </c>
      <c r="AI34" s="306" t="str">
        <f t="shared" ca="1" si="37"/>
        <v xml:space="preserve"> (og)</v>
      </c>
      <c r="AJ34" s="306" t="str">
        <f t="shared" ca="1" si="38"/>
        <v xml:space="preserve"> (og)</v>
      </c>
      <c r="AK34" s="306" t="str">
        <f t="shared" ca="1" si="39"/>
        <v xml:space="preserve"> (og)</v>
      </c>
      <c r="AL34" s="306" t="str">
        <f t="shared" ca="1" si="40"/>
        <v xml:space="preserve"> (og)</v>
      </c>
      <c r="AM34" s="306" t="str">
        <f t="shared" ca="1" si="41"/>
        <v xml:space="preserve"> (og)</v>
      </c>
      <c r="AN34" s="306" t="str">
        <f t="shared" ca="1" si="42"/>
        <v xml:space="preserve"> (og)</v>
      </c>
      <c r="AO34" s="306" t="str">
        <f t="shared" ca="1" si="43"/>
        <v xml:space="preserve"> (og)</v>
      </c>
      <c r="AP34" s="306" t="str">
        <f t="shared" ca="1" si="44"/>
        <v xml:space="preserve"> (og)</v>
      </c>
      <c r="AQ34" s="306" t="str">
        <f t="shared" ca="1" si="45"/>
        <v xml:space="preserve"> (og)</v>
      </c>
      <c r="AR34" s="306" t="str">
        <f t="shared" ca="1" si="46"/>
        <v xml:space="preserve"> (og)</v>
      </c>
      <c r="AS34" s="306" t="str">
        <f t="shared" ca="1" si="47"/>
        <v xml:space="preserve"> (og)</v>
      </c>
      <c r="AT34" s="306" t="str">
        <f t="shared" ca="1" si="48"/>
        <v xml:space="preserve"> (og)</v>
      </c>
      <c r="AU34" s="306" t="str">
        <f t="shared" ca="1" si="49"/>
        <v xml:space="preserve"> (og)</v>
      </c>
      <c r="AV34" s="306" t="str">
        <f t="shared" ca="1" si="50"/>
        <v xml:space="preserve"> (og)</v>
      </c>
      <c r="AW34" s="306" t="str">
        <f t="shared" ca="1" si="51"/>
        <v xml:space="preserve"> (og)</v>
      </c>
      <c r="AX34" s="306" t="str">
        <f t="shared" ca="1" si="52"/>
        <v xml:space="preserve"> (og)</v>
      </c>
      <c r="AZ34" s="306" t="str">
        <f t="shared" ca="1" si="53"/>
        <v xml:space="preserve"> (og)</v>
      </c>
      <c r="BA34" s="306" t="str">
        <f t="shared" ca="1" si="54"/>
        <v xml:space="preserve"> (og)</v>
      </c>
      <c r="BB34" s="306" t="str">
        <f t="shared" ca="1" si="55"/>
        <v xml:space="preserve"> (og)</v>
      </c>
      <c r="BC34" s="306" t="str">
        <f t="shared" ca="1" si="56"/>
        <v xml:space="preserve"> (og)</v>
      </c>
      <c r="BD34" s="306" t="str">
        <f t="shared" ca="1" si="57"/>
        <v xml:space="preserve"> (og)</v>
      </c>
      <c r="BE34" s="306" t="str">
        <f t="shared" ca="1" si="58"/>
        <v xml:space="preserve"> (og)</v>
      </c>
      <c r="BF34" s="306" t="str">
        <f t="shared" ca="1" si="59"/>
        <v xml:space="preserve"> (og)</v>
      </c>
      <c r="BG34" s="306" t="str">
        <f t="shared" ca="1" si="60"/>
        <v xml:space="preserve"> (og)</v>
      </c>
      <c r="BI34" s="306" t="str">
        <f t="shared" ca="1" si="61"/>
        <v xml:space="preserve"> (og)</v>
      </c>
      <c r="BJ34" s="306" t="str">
        <f t="shared" ca="1" si="62"/>
        <v xml:space="preserve"> (og)</v>
      </c>
      <c r="BK34" s="306" t="str">
        <f t="shared" ca="1" si="63"/>
        <v xml:space="preserve"> (og)</v>
      </c>
      <c r="BL34" s="306" t="str">
        <f t="shared" ca="1" si="64"/>
        <v xml:space="preserve"> (og)</v>
      </c>
      <c r="BN34" s="306" t="str">
        <f t="shared" ca="1" si="65"/>
        <v xml:space="preserve"> (og)</v>
      </c>
      <c r="BO34" s="306" t="str">
        <f t="shared" ca="1" si="66"/>
        <v xml:space="preserve"> (og)</v>
      </c>
      <c r="BQ34" s="306" t="str">
        <f t="shared" ca="1" si="67"/>
        <v xml:space="preserve"> (og)</v>
      </c>
      <c r="BR34" s="306" t="str">
        <f t="shared" ca="1" si="68"/>
        <v xml:space="preserve"> (og)</v>
      </c>
      <c r="BT34" s="306" t="str">
        <f t="shared" ca="1" si="69"/>
        <v>Netherlands</v>
      </c>
      <c r="BU34" s="306">
        <v>5</v>
      </c>
      <c r="BV34" s="306">
        <v>0</v>
      </c>
      <c r="BW34" s="306" t="str">
        <f ca="1">OFFSET(C3,BU34,BV34)</f>
        <v>Frenkie de Jong</v>
      </c>
      <c r="BX34" s="306">
        <f ca="1">COUNTIF('Group Stages'!J7:J102,BW34)</f>
        <v>0</v>
      </c>
      <c r="BY34" s="306">
        <f ca="1">COUNTIF('Group Stages'!K7:K102,BW34)</f>
        <v>0</v>
      </c>
      <c r="BZ34" s="306">
        <f ca="1">COUNTIF('Group Stages'!L7:L102,BW34)</f>
        <v>0</v>
      </c>
      <c r="CA34" s="306">
        <f ca="1">COUNTIF('Group Stages'!M7:M102,BW34)</f>
        <v>0</v>
      </c>
      <c r="CB34" s="306">
        <f ca="1">COUNTIF('Group Stages'!N7:N102,BW34)</f>
        <v>0</v>
      </c>
      <c r="CC34" s="306">
        <f ca="1">COUNTIF('Group Stages'!O7:O102,BW34)</f>
        <v>0</v>
      </c>
      <c r="CD34" s="306">
        <f ca="1">COUNTIF('Group Stages'!P7:P102,BW34)</f>
        <v>0</v>
      </c>
      <c r="CE34" s="306">
        <f ca="1">COUNTIF('Group Stages'!Q7:Q102,BW34)</f>
        <v>0</v>
      </c>
      <c r="CF34" s="306">
        <f ca="1">COUNTIF('Knock Out Stages'!K7:K50,BW34)</f>
        <v>0</v>
      </c>
      <c r="CG34" s="306">
        <f ca="1">COUNTIF('Knock Out Stages'!L7:L50,BW34)</f>
        <v>0</v>
      </c>
      <c r="CH34" s="306">
        <f ca="1">COUNTIF('Knock Out Stages'!M7:M50,BW34)</f>
        <v>0</v>
      </c>
      <c r="CI34" s="306">
        <f ca="1">COUNTIF('Knock Out Stages'!N7:N50,BW34)</f>
        <v>0</v>
      </c>
      <c r="CJ34" s="306">
        <f ca="1">COUNTIF('Knock Out Stages'!O7:O50,BW34)</f>
        <v>0</v>
      </c>
      <c r="CK34" s="306">
        <f ca="1">COUNTIF('Knock Out Stages'!P7:P50,BW34)</f>
        <v>0</v>
      </c>
      <c r="CL34" s="306">
        <f ca="1">COUNTIF('Knock Out Stages'!Q7:Q50,BW34)</f>
        <v>0</v>
      </c>
      <c r="CM34" s="306">
        <f ca="1">COUNTIF('Knock Out Stages'!R7:R50,BW34)</f>
        <v>0</v>
      </c>
      <c r="CN34" s="306">
        <f ca="1">IF(RIGHT('Group Stages'!$B$105,5)="T.com",SUM(BX34:CM34),0)</f>
        <v>0</v>
      </c>
      <c r="CO34" s="306">
        <f ca="1">RANK(CN34,CN3:CN834)+COUNTIF(CN3:CN34,CN34)-1</f>
        <v>32</v>
      </c>
      <c r="CP34" s="306" t="str">
        <f t="shared" ca="1" si="2"/>
        <v>Frenkie de Jong (Netherlands)</v>
      </c>
    </row>
    <row r="35" spans="1:94" x14ac:dyDescent="0.3">
      <c r="A35" s="306">
        <f t="shared" si="4"/>
        <v>7</v>
      </c>
      <c r="B35" s="306" t="str">
        <f t="shared" si="5"/>
        <v>Jeremie Frimpong (og)</v>
      </c>
      <c r="C35" s="306" t="str">
        <f t="shared" si="6"/>
        <v>Famara Diédhiou (og)</v>
      </c>
      <c r="D35" s="306" t="str">
        <f t="shared" si="7"/>
        <v>Famara Diédhiou (og)</v>
      </c>
      <c r="E35" s="306" t="str">
        <f t="shared" si="8"/>
        <v>Famara Diédhiou (og)</v>
      </c>
      <c r="F35" s="306" t="str">
        <f t="shared" si="9"/>
        <v>Amir Abedzadeh (og)</v>
      </c>
      <c r="G35" s="306" t="str">
        <f t="shared" si="10"/>
        <v>Declan Rice (og)</v>
      </c>
      <c r="H35" s="306" t="str">
        <f t="shared" si="11"/>
        <v>Declan Rice (og)</v>
      </c>
      <c r="I35" s="306" t="str">
        <f t="shared" si="12"/>
        <v>Declan Rice (og)</v>
      </c>
      <c r="J35" s="306" t="str">
        <f t="shared" si="13"/>
        <v>Ali Al-Hassan (og)</v>
      </c>
      <c r="K35" s="306" t="str">
        <f t="shared" si="14"/>
        <v>Exequiel Palacios (og)</v>
      </c>
      <c r="L35" s="306" t="str">
        <f t="shared" si="15"/>
        <v>Exequiel Palacios (og)</v>
      </c>
      <c r="M35" s="306" t="str">
        <f t="shared" si="16"/>
        <v>Exequiel Palacios (og)</v>
      </c>
      <c r="N35" s="306" t="str">
        <f t="shared" si="17"/>
        <v>Bechir Ben Saïd (og)</v>
      </c>
      <c r="O35" s="306" t="str">
        <f t="shared" si="18"/>
        <v>Daniel Wass (og)</v>
      </c>
      <c r="P35" s="306" t="str">
        <f t="shared" si="19"/>
        <v>Daniel Wass (og)</v>
      </c>
      <c r="Q35" s="306" t="str">
        <f t="shared" si="20"/>
        <v>Daniel Wass (og)</v>
      </c>
      <c r="R35" s="306" t="str">
        <f t="shared" si="21"/>
        <v>Gaku Shibasaki (og)</v>
      </c>
      <c r="S35" s="306" t="str">
        <f t="shared" si="22"/>
        <v>Jonas Hofmann (og)</v>
      </c>
      <c r="T35" s="306" t="str">
        <f t="shared" si="23"/>
        <v>Jonas Hofmann (og)</v>
      </c>
      <c r="U35" s="306" t="str">
        <f t="shared" si="24"/>
        <v>Jonas Hofmann (og)</v>
      </c>
      <c r="V35" s="306" t="str">
        <f t="shared" si="25"/>
        <v>Domagoj Vida (og)</v>
      </c>
      <c r="W35" s="306" t="str">
        <f t="shared" si="26"/>
        <v>Amine Harit (og)</v>
      </c>
      <c r="X35" s="306" t="str">
        <f t="shared" si="27"/>
        <v>Amine Harit (og)</v>
      </c>
      <c r="Y35" s="306" t="str">
        <f t="shared" si="28"/>
        <v>Amine Harit (og)</v>
      </c>
      <c r="Z35" s="306" t="str">
        <f t="shared" si="29"/>
        <v>Filip Kostić (og)</v>
      </c>
      <c r="AA35" s="306" t="str">
        <f t="shared" si="30"/>
        <v>Casemiro (og)</v>
      </c>
      <c r="AB35" s="306" t="str">
        <f t="shared" si="31"/>
        <v>Casemiro (og)</v>
      </c>
      <c r="AC35" s="306" t="str">
        <f t="shared" si="32"/>
        <v>Casemiro (og)</v>
      </c>
      <c r="AD35" s="306" t="str">
        <f t="shared" si="33"/>
        <v>Baba Rahman (og)</v>
      </c>
      <c r="AE35" s="306" t="str">
        <f t="shared" si="34"/>
        <v>Diogo Costa (og)</v>
      </c>
      <c r="AF35" s="306" t="str">
        <f t="shared" si="35"/>
        <v>Diogo Costa (og)</v>
      </c>
      <c r="AG35" s="306" t="str">
        <f t="shared" si="36"/>
        <v>Diogo Costa (og)</v>
      </c>
      <c r="AI35" s="306" t="str">
        <f t="shared" ca="1" si="37"/>
        <v xml:space="preserve"> (og)</v>
      </c>
      <c r="AJ35" s="306" t="str">
        <f t="shared" ca="1" si="38"/>
        <v xml:space="preserve"> (og)</v>
      </c>
      <c r="AK35" s="306" t="str">
        <f t="shared" ca="1" si="39"/>
        <v xml:space="preserve"> (og)</v>
      </c>
      <c r="AL35" s="306" t="str">
        <f t="shared" ca="1" si="40"/>
        <v xml:space="preserve"> (og)</v>
      </c>
      <c r="AM35" s="306" t="str">
        <f t="shared" ca="1" si="41"/>
        <v xml:space="preserve"> (og)</v>
      </c>
      <c r="AN35" s="306" t="str">
        <f t="shared" ca="1" si="42"/>
        <v xml:space="preserve"> (og)</v>
      </c>
      <c r="AO35" s="306" t="str">
        <f t="shared" ca="1" si="43"/>
        <v xml:space="preserve"> (og)</v>
      </c>
      <c r="AP35" s="306" t="str">
        <f t="shared" ca="1" si="44"/>
        <v xml:space="preserve"> (og)</v>
      </c>
      <c r="AQ35" s="306" t="str">
        <f t="shared" ca="1" si="45"/>
        <v xml:space="preserve"> (og)</v>
      </c>
      <c r="AR35" s="306" t="str">
        <f t="shared" ca="1" si="46"/>
        <v xml:space="preserve"> (og)</v>
      </c>
      <c r="AS35" s="306" t="str">
        <f t="shared" ca="1" si="47"/>
        <v xml:space="preserve"> (og)</v>
      </c>
      <c r="AT35" s="306" t="str">
        <f t="shared" ca="1" si="48"/>
        <v xml:space="preserve"> (og)</v>
      </c>
      <c r="AU35" s="306" t="str">
        <f t="shared" ca="1" si="49"/>
        <v xml:space="preserve"> (og)</v>
      </c>
      <c r="AV35" s="306" t="str">
        <f t="shared" ca="1" si="50"/>
        <v xml:space="preserve"> (og)</v>
      </c>
      <c r="AW35" s="306" t="str">
        <f t="shared" ca="1" si="51"/>
        <v xml:space="preserve"> (og)</v>
      </c>
      <c r="AX35" s="306" t="str">
        <f t="shared" ca="1" si="52"/>
        <v xml:space="preserve"> (og)</v>
      </c>
      <c r="AZ35" s="306" t="str">
        <f t="shared" ca="1" si="53"/>
        <v xml:space="preserve"> (og)</v>
      </c>
      <c r="BA35" s="306" t="str">
        <f t="shared" ca="1" si="54"/>
        <v xml:space="preserve"> (og)</v>
      </c>
      <c r="BB35" s="306" t="str">
        <f t="shared" ca="1" si="55"/>
        <v xml:space="preserve"> (og)</v>
      </c>
      <c r="BC35" s="306" t="str">
        <f t="shared" ca="1" si="56"/>
        <v xml:space="preserve"> (og)</v>
      </c>
      <c r="BD35" s="306" t="str">
        <f t="shared" ca="1" si="57"/>
        <v xml:space="preserve"> (og)</v>
      </c>
      <c r="BE35" s="306" t="str">
        <f t="shared" ca="1" si="58"/>
        <v xml:space="preserve"> (og)</v>
      </c>
      <c r="BF35" s="306" t="str">
        <f t="shared" ca="1" si="59"/>
        <v xml:space="preserve"> (og)</v>
      </c>
      <c r="BG35" s="306" t="str">
        <f t="shared" ca="1" si="60"/>
        <v xml:space="preserve"> (og)</v>
      </c>
      <c r="BI35" s="306" t="str">
        <f t="shared" ca="1" si="61"/>
        <v xml:space="preserve"> (og)</v>
      </c>
      <c r="BJ35" s="306" t="str">
        <f t="shared" ca="1" si="62"/>
        <v xml:space="preserve"> (og)</v>
      </c>
      <c r="BK35" s="306" t="str">
        <f t="shared" ca="1" si="63"/>
        <v xml:space="preserve"> (og)</v>
      </c>
      <c r="BL35" s="306" t="str">
        <f t="shared" ca="1" si="64"/>
        <v xml:space="preserve"> (og)</v>
      </c>
      <c r="BN35" s="306" t="str">
        <f t="shared" ca="1" si="65"/>
        <v xml:space="preserve"> (og)</v>
      </c>
      <c r="BO35" s="306" t="str">
        <f t="shared" ca="1" si="66"/>
        <v xml:space="preserve"> (og)</v>
      </c>
      <c r="BQ35" s="306" t="str">
        <f t="shared" ca="1" si="67"/>
        <v xml:space="preserve"> (og)</v>
      </c>
      <c r="BR35" s="306" t="str">
        <f t="shared" ca="1" si="68"/>
        <v xml:space="preserve"> (og)</v>
      </c>
      <c r="BT35" s="306" t="str">
        <f t="shared" ca="1" si="69"/>
        <v>Netherlands</v>
      </c>
      <c r="BU35" s="306">
        <v>6</v>
      </c>
      <c r="BV35" s="306">
        <v>0</v>
      </c>
      <c r="BW35" s="306" t="str">
        <f ca="1">OFFSET(C3,BU35,BV35)</f>
        <v>Jeremie Frimpong</v>
      </c>
      <c r="BX35" s="306">
        <f ca="1">COUNTIF('Group Stages'!J7:J102,BW35)</f>
        <v>0</v>
      </c>
      <c r="BY35" s="306">
        <f ca="1">COUNTIF('Group Stages'!K7:K102,BW35)</f>
        <v>0</v>
      </c>
      <c r="BZ35" s="306">
        <f ca="1">COUNTIF('Group Stages'!L7:L102,BW35)</f>
        <v>0</v>
      </c>
      <c r="CA35" s="306">
        <f ca="1">COUNTIF('Group Stages'!M7:M102,BW35)</f>
        <v>0</v>
      </c>
      <c r="CB35" s="306">
        <f ca="1">COUNTIF('Group Stages'!N7:N102,BW35)</f>
        <v>0</v>
      </c>
      <c r="CC35" s="306">
        <f ca="1">COUNTIF('Group Stages'!O7:O102,BW35)</f>
        <v>0</v>
      </c>
      <c r="CD35" s="306">
        <f ca="1">COUNTIF('Group Stages'!P7:P102,BW35)</f>
        <v>0</v>
      </c>
      <c r="CE35" s="306">
        <f ca="1">COUNTIF('Group Stages'!Q7:Q102,BW35)</f>
        <v>0</v>
      </c>
      <c r="CF35" s="306">
        <f ca="1">COUNTIF('Knock Out Stages'!K7:K50,BW35)</f>
        <v>0</v>
      </c>
      <c r="CG35" s="306">
        <f ca="1">COUNTIF('Knock Out Stages'!L7:L50,BW35)</f>
        <v>0</v>
      </c>
      <c r="CH35" s="306">
        <f ca="1">COUNTIF('Knock Out Stages'!M7:M50,BW35)</f>
        <v>0</v>
      </c>
      <c r="CI35" s="306">
        <f ca="1">COUNTIF('Knock Out Stages'!N7:N50,BW35)</f>
        <v>0</v>
      </c>
      <c r="CJ35" s="306">
        <f ca="1">COUNTIF('Knock Out Stages'!O7:O50,BW35)</f>
        <v>0</v>
      </c>
      <c r="CK35" s="306">
        <f ca="1">COUNTIF('Knock Out Stages'!P7:P50,BW35)</f>
        <v>0</v>
      </c>
      <c r="CL35" s="306">
        <f ca="1">COUNTIF('Knock Out Stages'!Q7:Q50,BW35)</f>
        <v>0</v>
      </c>
      <c r="CM35" s="306">
        <f ca="1">COUNTIF('Knock Out Stages'!R7:R50,BW35)</f>
        <v>0</v>
      </c>
      <c r="CN35" s="306">
        <f ca="1">IF(RIGHT('Group Stages'!$B$105,5)="T.com",SUM(BX35:CM35),0)</f>
        <v>0</v>
      </c>
      <c r="CO35" s="306">
        <f ca="1">RANK(CN35,CN3:CN834)+COUNTIF(CN3:CN35,CN35)-1</f>
        <v>33</v>
      </c>
      <c r="CP35" s="306" t="str">
        <f t="shared" ca="1" si="2"/>
        <v>Jeremie Frimpong (Netherlands)</v>
      </c>
    </row>
    <row r="36" spans="1:94" x14ac:dyDescent="0.3">
      <c r="A36" s="306">
        <f t="shared" si="4"/>
        <v>8</v>
      </c>
      <c r="B36" s="306" t="str">
        <f t="shared" si="5"/>
        <v>Jurriën Timber (og)</v>
      </c>
      <c r="C36" s="306" t="str">
        <f t="shared" si="6"/>
        <v>Fodé Ballo-Touré (og)</v>
      </c>
      <c r="D36" s="306" t="str">
        <f t="shared" si="7"/>
        <v>Fodé Ballo-Touré (og)</v>
      </c>
      <c r="E36" s="306" t="str">
        <f t="shared" si="8"/>
        <v>Fodé Ballo-Touré (og)</v>
      </c>
      <c r="F36" s="306" t="str">
        <f t="shared" si="9"/>
        <v>Ehsan Hajsafi (og)</v>
      </c>
      <c r="G36" s="306" t="str">
        <f t="shared" si="10"/>
        <v>Eric Dier (og)</v>
      </c>
      <c r="H36" s="306" t="str">
        <f t="shared" si="11"/>
        <v>Eric Dier (og)</v>
      </c>
      <c r="I36" s="306" t="str">
        <f t="shared" si="12"/>
        <v>Eric Dier (og)</v>
      </c>
      <c r="J36" s="306" t="str">
        <f t="shared" si="13"/>
        <v>Fahad Al-Muwallad (og)</v>
      </c>
      <c r="K36" s="306" t="str">
        <f t="shared" si="14"/>
        <v>Franco Armani (og)</v>
      </c>
      <c r="L36" s="306" t="str">
        <f t="shared" si="15"/>
        <v>Franco Armani (og)</v>
      </c>
      <c r="M36" s="306" t="str">
        <f t="shared" si="16"/>
        <v>Franco Armani (og)</v>
      </c>
      <c r="N36" s="306" t="str">
        <f t="shared" si="17"/>
        <v>Bilel Ifa (og)</v>
      </c>
      <c r="O36" s="306" t="str">
        <f t="shared" si="18"/>
        <v>Frederik Rønnow (og)</v>
      </c>
      <c r="P36" s="306" t="str">
        <f t="shared" si="19"/>
        <v>Frederik Rønnow (og)</v>
      </c>
      <c r="Q36" s="306" t="str">
        <f t="shared" si="20"/>
        <v>Frederik Rønnow (og)</v>
      </c>
      <c r="R36" s="306" t="str">
        <f t="shared" si="21"/>
        <v>Hidemasa Morita (og)</v>
      </c>
      <c r="S36" s="306" t="str">
        <f t="shared" si="22"/>
        <v>Joshua Kimmich (og)</v>
      </c>
      <c r="T36" s="306" t="str">
        <f t="shared" si="23"/>
        <v>Joshua Kimmich (og)</v>
      </c>
      <c r="U36" s="306" t="str">
        <f t="shared" si="24"/>
        <v>Joshua Kimmich (og)</v>
      </c>
      <c r="V36" s="306" t="str">
        <f t="shared" si="25"/>
        <v>Dominik Livaković (og)</v>
      </c>
      <c r="W36" s="306" t="str">
        <f t="shared" si="26"/>
        <v>Azzedine Ounahi (og)</v>
      </c>
      <c r="X36" s="306" t="str">
        <f t="shared" si="27"/>
        <v>Azzedine Ounahi (og)</v>
      </c>
      <c r="Y36" s="306" t="str">
        <f t="shared" si="28"/>
        <v>Azzedine Ounahi (og)</v>
      </c>
      <c r="Z36" s="306" t="str">
        <f t="shared" si="29"/>
        <v>Filip Mladenović (og)</v>
      </c>
      <c r="AA36" s="306" t="str">
        <f t="shared" si="30"/>
        <v>Dani Alves (og)</v>
      </c>
      <c r="AB36" s="306" t="str">
        <f t="shared" si="31"/>
        <v>Dani Alves (og)</v>
      </c>
      <c r="AC36" s="306" t="str">
        <f t="shared" si="32"/>
        <v>Dani Alves (og)</v>
      </c>
      <c r="AD36" s="306" t="str">
        <f t="shared" si="33"/>
        <v>Daniel Afriyie (og)</v>
      </c>
      <c r="AE36" s="306" t="str">
        <f t="shared" si="34"/>
        <v>Diogo Dalot (og)</v>
      </c>
      <c r="AF36" s="306" t="str">
        <f t="shared" si="35"/>
        <v>Diogo Dalot (og)</v>
      </c>
      <c r="AG36" s="306" t="str">
        <f t="shared" si="36"/>
        <v>Diogo Dalot (og)</v>
      </c>
      <c r="AI36" s="306" t="str">
        <f t="shared" ca="1" si="37"/>
        <v xml:space="preserve"> (og)</v>
      </c>
      <c r="AJ36" s="306" t="str">
        <f t="shared" ca="1" si="38"/>
        <v xml:space="preserve"> (og)</v>
      </c>
      <c r="AK36" s="306" t="str">
        <f t="shared" ca="1" si="39"/>
        <v xml:space="preserve"> (og)</v>
      </c>
      <c r="AL36" s="306" t="str">
        <f t="shared" ca="1" si="40"/>
        <v xml:space="preserve"> (og)</v>
      </c>
      <c r="AM36" s="306" t="str">
        <f t="shared" ca="1" si="41"/>
        <v xml:space="preserve"> (og)</v>
      </c>
      <c r="AN36" s="306" t="str">
        <f t="shared" ca="1" si="42"/>
        <v xml:space="preserve"> (og)</v>
      </c>
      <c r="AO36" s="306" t="str">
        <f t="shared" ca="1" si="43"/>
        <v xml:space="preserve"> (og)</v>
      </c>
      <c r="AP36" s="306" t="str">
        <f t="shared" ca="1" si="44"/>
        <v xml:space="preserve"> (og)</v>
      </c>
      <c r="AQ36" s="306" t="str">
        <f t="shared" ca="1" si="45"/>
        <v xml:space="preserve"> (og)</v>
      </c>
      <c r="AR36" s="306" t="str">
        <f t="shared" ca="1" si="46"/>
        <v xml:space="preserve"> (og)</v>
      </c>
      <c r="AS36" s="306" t="str">
        <f t="shared" ca="1" si="47"/>
        <v xml:space="preserve"> (og)</v>
      </c>
      <c r="AT36" s="306" t="str">
        <f t="shared" ca="1" si="48"/>
        <v xml:space="preserve"> (og)</v>
      </c>
      <c r="AU36" s="306" t="str">
        <f t="shared" ca="1" si="49"/>
        <v xml:space="preserve"> (og)</v>
      </c>
      <c r="AV36" s="306" t="str">
        <f t="shared" ca="1" si="50"/>
        <v xml:space="preserve"> (og)</v>
      </c>
      <c r="AW36" s="306" t="str">
        <f t="shared" ca="1" si="51"/>
        <v xml:space="preserve"> (og)</v>
      </c>
      <c r="AX36" s="306" t="str">
        <f t="shared" ca="1" si="52"/>
        <v xml:space="preserve"> (og)</v>
      </c>
      <c r="AZ36" s="306" t="str">
        <f t="shared" ca="1" si="53"/>
        <v xml:space="preserve"> (og)</v>
      </c>
      <c r="BA36" s="306" t="str">
        <f t="shared" ca="1" si="54"/>
        <v xml:space="preserve"> (og)</v>
      </c>
      <c r="BB36" s="306" t="str">
        <f t="shared" ca="1" si="55"/>
        <v xml:space="preserve"> (og)</v>
      </c>
      <c r="BC36" s="306" t="str">
        <f t="shared" ca="1" si="56"/>
        <v xml:space="preserve"> (og)</v>
      </c>
      <c r="BD36" s="306" t="str">
        <f t="shared" ca="1" si="57"/>
        <v xml:space="preserve"> (og)</v>
      </c>
      <c r="BE36" s="306" t="str">
        <f t="shared" ca="1" si="58"/>
        <v xml:space="preserve"> (og)</v>
      </c>
      <c r="BF36" s="306" t="str">
        <f t="shared" ca="1" si="59"/>
        <v xml:space="preserve"> (og)</v>
      </c>
      <c r="BG36" s="306" t="str">
        <f t="shared" ca="1" si="60"/>
        <v xml:space="preserve"> (og)</v>
      </c>
      <c r="BI36" s="306" t="str">
        <f t="shared" ca="1" si="61"/>
        <v xml:space="preserve"> (og)</v>
      </c>
      <c r="BJ36" s="306" t="str">
        <f t="shared" ca="1" si="62"/>
        <v xml:space="preserve"> (og)</v>
      </c>
      <c r="BK36" s="306" t="str">
        <f t="shared" ca="1" si="63"/>
        <v xml:space="preserve"> (og)</v>
      </c>
      <c r="BL36" s="306" t="str">
        <f t="shared" ca="1" si="64"/>
        <v xml:space="preserve"> (og)</v>
      </c>
      <c r="BN36" s="306" t="str">
        <f t="shared" ca="1" si="65"/>
        <v xml:space="preserve"> (og)</v>
      </c>
      <c r="BO36" s="306" t="str">
        <f t="shared" ca="1" si="66"/>
        <v xml:space="preserve"> (og)</v>
      </c>
      <c r="BQ36" s="306" t="str">
        <f t="shared" ca="1" si="67"/>
        <v xml:space="preserve"> (og)</v>
      </c>
      <c r="BR36" s="306" t="str">
        <f t="shared" ca="1" si="68"/>
        <v xml:space="preserve"> (og)</v>
      </c>
      <c r="BT36" s="306" t="str">
        <f t="shared" ca="1" si="69"/>
        <v>Netherlands</v>
      </c>
      <c r="BU36" s="306">
        <v>7</v>
      </c>
      <c r="BV36" s="306">
        <v>0</v>
      </c>
      <c r="BW36" s="306" t="str">
        <f ca="1">OFFSET(C3,BU36,BV36)</f>
        <v>Jurriën Timber</v>
      </c>
      <c r="BX36" s="306">
        <f ca="1">COUNTIF('Group Stages'!J7:J102,BW36)</f>
        <v>0</v>
      </c>
      <c r="BY36" s="306">
        <f ca="1">COUNTIF('Group Stages'!K7:K102,BW36)</f>
        <v>0</v>
      </c>
      <c r="BZ36" s="306">
        <f ca="1">COUNTIF('Group Stages'!L7:L102,BW36)</f>
        <v>0</v>
      </c>
      <c r="CA36" s="306">
        <f ca="1">COUNTIF('Group Stages'!M7:M102,BW36)</f>
        <v>0</v>
      </c>
      <c r="CB36" s="306">
        <f ca="1">COUNTIF('Group Stages'!N7:N102,BW36)</f>
        <v>0</v>
      </c>
      <c r="CC36" s="306">
        <f ca="1">COUNTIF('Group Stages'!O7:O102,BW36)</f>
        <v>0</v>
      </c>
      <c r="CD36" s="306">
        <f ca="1">COUNTIF('Group Stages'!P7:P102,BW36)</f>
        <v>0</v>
      </c>
      <c r="CE36" s="306">
        <f ca="1">COUNTIF('Group Stages'!Q7:Q102,BW36)</f>
        <v>0</v>
      </c>
      <c r="CF36" s="306">
        <f ca="1">COUNTIF('Knock Out Stages'!K7:K50,BW36)</f>
        <v>0</v>
      </c>
      <c r="CG36" s="306">
        <f ca="1">COUNTIF('Knock Out Stages'!L7:L50,BW36)</f>
        <v>0</v>
      </c>
      <c r="CH36" s="306">
        <f ca="1">COUNTIF('Knock Out Stages'!M7:M50,BW36)</f>
        <v>0</v>
      </c>
      <c r="CI36" s="306">
        <f ca="1">COUNTIF('Knock Out Stages'!N7:N50,BW36)</f>
        <v>0</v>
      </c>
      <c r="CJ36" s="306">
        <f ca="1">COUNTIF('Knock Out Stages'!O7:O50,BW36)</f>
        <v>0</v>
      </c>
      <c r="CK36" s="306">
        <f ca="1">COUNTIF('Knock Out Stages'!P7:P50,BW36)</f>
        <v>0</v>
      </c>
      <c r="CL36" s="306">
        <f ca="1">COUNTIF('Knock Out Stages'!Q7:Q50,BW36)</f>
        <v>0</v>
      </c>
      <c r="CM36" s="306">
        <f ca="1">COUNTIF('Knock Out Stages'!R7:R50,BW36)</f>
        <v>0</v>
      </c>
      <c r="CN36" s="306">
        <f ca="1">IF(RIGHT('Group Stages'!$B$105,5)="T.com",SUM(BX36:CM36),0)</f>
        <v>0</v>
      </c>
      <c r="CO36" s="306">
        <f ca="1">RANK(CN36,CN3:CN834)+COUNTIF(CN3:CN36,CN36)-1</f>
        <v>34</v>
      </c>
      <c r="CP36" s="306" t="str">
        <f t="shared" ca="1" si="2"/>
        <v>Jurriën Timber (Netherlands)</v>
      </c>
    </row>
    <row r="37" spans="1:94" x14ac:dyDescent="0.3">
      <c r="A37" s="306">
        <f t="shared" si="4"/>
        <v>9</v>
      </c>
      <c r="B37" s="306" t="str">
        <f t="shared" si="5"/>
        <v>Justin Bijlow (og)</v>
      </c>
      <c r="C37" s="306" t="str">
        <f t="shared" si="6"/>
        <v>Formose Mendy (og)</v>
      </c>
      <c r="D37" s="306" t="str">
        <f t="shared" si="7"/>
        <v>Formose Mendy (og)</v>
      </c>
      <c r="E37" s="306" t="str">
        <f t="shared" si="8"/>
        <v>Formose Mendy (og)</v>
      </c>
      <c r="F37" s="306" t="str">
        <f t="shared" si="9"/>
        <v>Hossein Hosseini (og)</v>
      </c>
      <c r="G37" s="306" t="str">
        <f t="shared" si="10"/>
        <v>Harry Kane (og)</v>
      </c>
      <c r="H37" s="306" t="str">
        <f t="shared" si="11"/>
        <v>Harry Kane (og)</v>
      </c>
      <c r="I37" s="306" t="str">
        <f t="shared" si="12"/>
        <v>Harry Kane (og)</v>
      </c>
      <c r="J37" s="306" t="str">
        <f t="shared" si="13"/>
        <v>Firas Al-Buraikan (og)</v>
      </c>
      <c r="K37" s="306" t="str">
        <f t="shared" si="14"/>
        <v>Germán Pezzella (og)</v>
      </c>
      <c r="L37" s="306" t="str">
        <f t="shared" si="15"/>
        <v>Germán Pezzella (og)</v>
      </c>
      <c r="M37" s="306" t="str">
        <f t="shared" si="16"/>
        <v>Germán Pezzella (og)</v>
      </c>
      <c r="N37" s="306" t="str">
        <f t="shared" si="17"/>
        <v>Dylan Bronn (og)</v>
      </c>
      <c r="O37" s="306" t="str">
        <f t="shared" si="18"/>
        <v>Jens Stryger Larsen (og)</v>
      </c>
      <c r="P37" s="306" t="str">
        <f t="shared" si="19"/>
        <v>Jens Stryger Larsen (og)</v>
      </c>
      <c r="Q37" s="306" t="str">
        <f t="shared" si="20"/>
        <v>Jens Stryger Larsen (og)</v>
      </c>
      <c r="R37" s="306" t="str">
        <f t="shared" si="21"/>
        <v>Hiroki Itō (og)</v>
      </c>
      <c r="S37" s="306" t="str">
        <f t="shared" si="22"/>
        <v>Julian Brandt (og)</v>
      </c>
      <c r="T37" s="306" t="str">
        <f t="shared" si="23"/>
        <v>Julian Brandt (og)</v>
      </c>
      <c r="U37" s="306" t="str">
        <f t="shared" si="24"/>
        <v>Julian Brandt (og)</v>
      </c>
      <c r="V37" s="306" t="str">
        <f t="shared" si="25"/>
        <v>Ivan Perišić (og)</v>
      </c>
      <c r="W37" s="306" t="str">
        <f t="shared" si="26"/>
        <v>Badr Benoun (og)</v>
      </c>
      <c r="X37" s="306" t="str">
        <f t="shared" si="27"/>
        <v>Badr Benoun (og)</v>
      </c>
      <c r="Y37" s="306" t="str">
        <f t="shared" si="28"/>
        <v>Badr Benoun (og)</v>
      </c>
      <c r="Z37" s="306" t="str">
        <f t="shared" si="29"/>
        <v>Ivan Ilić (og)</v>
      </c>
      <c r="AA37" s="306" t="str">
        <f t="shared" si="30"/>
        <v>Danilo (og)</v>
      </c>
      <c r="AB37" s="306" t="str">
        <f t="shared" si="31"/>
        <v>Danilo (og)</v>
      </c>
      <c r="AC37" s="306" t="str">
        <f t="shared" si="32"/>
        <v>Danilo (og)</v>
      </c>
      <c r="AD37" s="306" t="str">
        <f t="shared" si="33"/>
        <v>Daniel Amartey (og)</v>
      </c>
      <c r="AE37" s="306" t="str">
        <f t="shared" si="34"/>
        <v>Gonçalo Ramos (og)</v>
      </c>
      <c r="AF37" s="306" t="str">
        <f t="shared" si="35"/>
        <v>Gonçalo Ramos (og)</v>
      </c>
      <c r="AG37" s="306" t="str">
        <f t="shared" si="36"/>
        <v>Gonçalo Ramos (og)</v>
      </c>
      <c r="AI37" s="306" t="str">
        <f t="shared" ca="1" si="37"/>
        <v xml:space="preserve"> (og)</v>
      </c>
      <c r="AJ37" s="306" t="str">
        <f t="shared" ca="1" si="38"/>
        <v xml:space="preserve"> (og)</v>
      </c>
      <c r="AK37" s="306" t="str">
        <f t="shared" ca="1" si="39"/>
        <v xml:space="preserve"> (og)</v>
      </c>
      <c r="AL37" s="306" t="str">
        <f t="shared" ca="1" si="40"/>
        <v xml:space="preserve"> (og)</v>
      </c>
      <c r="AM37" s="306" t="str">
        <f t="shared" ca="1" si="41"/>
        <v xml:space="preserve"> (og)</v>
      </c>
      <c r="AN37" s="306" t="str">
        <f t="shared" ca="1" si="42"/>
        <v xml:space="preserve"> (og)</v>
      </c>
      <c r="AO37" s="306" t="str">
        <f t="shared" ca="1" si="43"/>
        <v xml:space="preserve"> (og)</v>
      </c>
      <c r="AP37" s="306" t="str">
        <f t="shared" ca="1" si="44"/>
        <v xml:space="preserve"> (og)</v>
      </c>
      <c r="AQ37" s="306" t="str">
        <f t="shared" ca="1" si="45"/>
        <v xml:space="preserve"> (og)</v>
      </c>
      <c r="AR37" s="306" t="str">
        <f t="shared" ca="1" si="46"/>
        <v xml:space="preserve"> (og)</v>
      </c>
      <c r="AS37" s="306" t="str">
        <f t="shared" ca="1" si="47"/>
        <v xml:space="preserve"> (og)</v>
      </c>
      <c r="AT37" s="306" t="str">
        <f t="shared" ca="1" si="48"/>
        <v xml:space="preserve"> (og)</v>
      </c>
      <c r="AU37" s="306" t="str">
        <f t="shared" ca="1" si="49"/>
        <v xml:space="preserve"> (og)</v>
      </c>
      <c r="AV37" s="306" t="str">
        <f t="shared" ca="1" si="50"/>
        <v xml:space="preserve"> (og)</v>
      </c>
      <c r="AW37" s="306" t="str">
        <f t="shared" ca="1" si="51"/>
        <v xml:space="preserve"> (og)</v>
      </c>
      <c r="AX37" s="306" t="str">
        <f t="shared" ca="1" si="52"/>
        <v xml:space="preserve"> (og)</v>
      </c>
      <c r="AZ37" s="306" t="str">
        <f t="shared" ca="1" si="53"/>
        <v xml:space="preserve"> (og)</v>
      </c>
      <c r="BA37" s="306" t="str">
        <f t="shared" ca="1" si="54"/>
        <v xml:space="preserve"> (og)</v>
      </c>
      <c r="BB37" s="306" t="str">
        <f t="shared" ca="1" si="55"/>
        <v xml:space="preserve"> (og)</v>
      </c>
      <c r="BC37" s="306" t="str">
        <f t="shared" ca="1" si="56"/>
        <v xml:space="preserve"> (og)</v>
      </c>
      <c r="BD37" s="306" t="str">
        <f t="shared" ca="1" si="57"/>
        <v xml:space="preserve"> (og)</v>
      </c>
      <c r="BE37" s="306" t="str">
        <f t="shared" ca="1" si="58"/>
        <v xml:space="preserve"> (og)</v>
      </c>
      <c r="BF37" s="306" t="str">
        <f t="shared" ca="1" si="59"/>
        <v xml:space="preserve"> (og)</v>
      </c>
      <c r="BG37" s="306" t="str">
        <f t="shared" ca="1" si="60"/>
        <v xml:space="preserve"> (og)</v>
      </c>
      <c r="BI37" s="306" t="str">
        <f t="shared" ca="1" si="61"/>
        <v xml:space="preserve"> (og)</v>
      </c>
      <c r="BJ37" s="306" t="str">
        <f t="shared" ca="1" si="62"/>
        <v xml:space="preserve"> (og)</v>
      </c>
      <c r="BK37" s="306" t="str">
        <f t="shared" ca="1" si="63"/>
        <v xml:space="preserve"> (og)</v>
      </c>
      <c r="BL37" s="306" t="str">
        <f t="shared" ca="1" si="64"/>
        <v xml:space="preserve"> (og)</v>
      </c>
      <c r="BN37" s="306" t="str">
        <f t="shared" ca="1" si="65"/>
        <v xml:space="preserve"> (og)</v>
      </c>
      <c r="BO37" s="306" t="str">
        <f t="shared" ca="1" si="66"/>
        <v xml:space="preserve"> (og)</v>
      </c>
      <c r="BQ37" s="306" t="str">
        <f t="shared" ca="1" si="67"/>
        <v xml:space="preserve"> (og)</v>
      </c>
      <c r="BR37" s="306" t="str">
        <f t="shared" ca="1" si="68"/>
        <v xml:space="preserve"> (og)</v>
      </c>
      <c r="BT37" s="306" t="str">
        <f t="shared" ca="1" si="69"/>
        <v>Netherlands</v>
      </c>
      <c r="BU37" s="306">
        <v>8</v>
      </c>
      <c r="BV37" s="306">
        <v>0</v>
      </c>
      <c r="BW37" s="306" t="str">
        <f ca="1">OFFSET(C3,BU37,BV37)</f>
        <v>Justin Bijlow</v>
      </c>
      <c r="BX37" s="306">
        <f ca="1">COUNTIF('Group Stages'!J7:J102,BW37)</f>
        <v>0</v>
      </c>
      <c r="BY37" s="306">
        <f ca="1">COUNTIF('Group Stages'!K7:K102,BW37)</f>
        <v>0</v>
      </c>
      <c r="BZ37" s="306">
        <f ca="1">COUNTIF('Group Stages'!L7:L102,BW37)</f>
        <v>0</v>
      </c>
      <c r="CA37" s="306">
        <f ca="1">COUNTIF('Group Stages'!M7:M102,BW37)</f>
        <v>0</v>
      </c>
      <c r="CB37" s="306">
        <f ca="1">COUNTIF('Group Stages'!N7:N102,BW37)</f>
        <v>0</v>
      </c>
      <c r="CC37" s="306">
        <f ca="1">COUNTIF('Group Stages'!O7:O102,BW37)</f>
        <v>0</v>
      </c>
      <c r="CD37" s="306">
        <f ca="1">COUNTIF('Group Stages'!P7:P102,BW37)</f>
        <v>0</v>
      </c>
      <c r="CE37" s="306">
        <f ca="1">COUNTIF('Group Stages'!Q7:Q102,BW37)</f>
        <v>0</v>
      </c>
      <c r="CF37" s="306">
        <f ca="1">COUNTIF('Knock Out Stages'!K7:K50,BW37)</f>
        <v>0</v>
      </c>
      <c r="CG37" s="306">
        <f ca="1">COUNTIF('Knock Out Stages'!L7:L50,BW37)</f>
        <v>0</v>
      </c>
      <c r="CH37" s="306">
        <f ca="1">COUNTIF('Knock Out Stages'!M7:M50,BW37)</f>
        <v>0</v>
      </c>
      <c r="CI37" s="306">
        <f ca="1">COUNTIF('Knock Out Stages'!N7:N50,BW37)</f>
        <v>0</v>
      </c>
      <c r="CJ37" s="306">
        <f ca="1">COUNTIF('Knock Out Stages'!O7:O50,BW37)</f>
        <v>0</v>
      </c>
      <c r="CK37" s="306">
        <f ca="1">COUNTIF('Knock Out Stages'!P7:P50,BW37)</f>
        <v>0</v>
      </c>
      <c r="CL37" s="306">
        <f ca="1">COUNTIF('Knock Out Stages'!Q7:Q50,BW37)</f>
        <v>0</v>
      </c>
      <c r="CM37" s="306">
        <f ca="1">COUNTIF('Knock Out Stages'!R7:R50,BW37)</f>
        <v>0</v>
      </c>
      <c r="CN37" s="306">
        <f ca="1">IF(RIGHT('Group Stages'!$B$105,5)="T.com",SUM(BX37:CM37),0)</f>
        <v>0</v>
      </c>
      <c r="CO37" s="306">
        <f ca="1">RANK(CN37,CN3:CN834)+COUNTIF(CN3:CN37,CN37)-1</f>
        <v>35</v>
      </c>
      <c r="CP37" s="306" t="str">
        <f t="shared" ca="1" si="2"/>
        <v>Justin Bijlow (Netherlands)</v>
      </c>
    </row>
    <row r="38" spans="1:94" x14ac:dyDescent="0.3">
      <c r="A38" s="306">
        <f t="shared" si="4"/>
        <v>10</v>
      </c>
      <c r="B38" s="306" t="str">
        <f t="shared" si="5"/>
        <v>Kenneth Taylor (og)</v>
      </c>
      <c r="C38" s="306" t="str">
        <f t="shared" si="6"/>
        <v>Idrissa Gueye (og)</v>
      </c>
      <c r="D38" s="306" t="str">
        <f t="shared" si="7"/>
        <v>Idrissa Gueye (og)</v>
      </c>
      <c r="E38" s="306" t="str">
        <f t="shared" si="8"/>
        <v>Idrissa Gueye (og)</v>
      </c>
      <c r="F38" s="306" t="str">
        <f t="shared" si="9"/>
        <v>Hossein Kanaanizadegan (og)</v>
      </c>
      <c r="G38" s="306" t="str">
        <f t="shared" si="10"/>
        <v>Harry Maguire (og)</v>
      </c>
      <c r="H38" s="306" t="str">
        <f t="shared" si="11"/>
        <v>Harry Maguire (og)</v>
      </c>
      <c r="I38" s="306" t="str">
        <f t="shared" si="12"/>
        <v>Harry Maguire (og)</v>
      </c>
      <c r="J38" s="306" t="str">
        <f t="shared" si="13"/>
        <v>Haitham Asiri (og)</v>
      </c>
      <c r="K38" s="306" t="str">
        <f t="shared" si="14"/>
        <v>Gerónimo Rulli (og)</v>
      </c>
      <c r="L38" s="306" t="str">
        <f t="shared" si="15"/>
        <v>Gerónimo Rulli (og)</v>
      </c>
      <c r="M38" s="306" t="str">
        <f t="shared" si="16"/>
        <v>Gerónimo Rulli (og)</v>
      </c>
      <c r="N38" s="306" t="str">
        <f t="shared" si="17"/>
        <v>Ellyes Skhiri (og)</v>
      </c>
      <c r="O38" s="306" t="str">
        <f t="shared" si="18"/>
        <v>Jesper Lindstrøm (og)</v>
      </c>
      <c r="P38" s="306" t="str">
        <f t="shared" si="19"/>
        <v>Jesper Lindstrøm (og)</v>
      </c>
      <c r="Q38" s="306" t="str">
        <f t="shared" si="20"/>
        <v>Jesper Lindstrøm (og)</v>
      </c>
      <c r="R38" s="306" t="str">
        <f t="shared" si="21"/>
        <v>Hiroki Sakai (og)</v>
      </c>
      <c r="S38" s="306" t="str">
        <f t="shared" si="22"/>
        <v>Kai Havertz (og)</v>
      </c>
      <c r="T38" s="306" t="str">
        <f t="shared" si="23"/>
        <v>Kai Havertz (og)</v>
      </c>
      <c r="U38" s="306" t="str">
        <f t="shared" si="24"/>
        <v>Kai Havertz (og)</v>
      </c>
      <c r="V38" s="306" t="str">
        <f t="shared" si="25"/>
        <v>Ivica Ivušić (og)</v>
      </c>
      <c r="W38" s="306" t="str">
        <f t="shared" si="26"/>
        <v>Bilal El Khannous (og)</v>
      </c>
      <c r="X38" s="306" t="str">
        <f t="shared" si="27"/>
        <v>Bilal El Khannous (og)</v>
      </c>
      <c r="Y38" s="306" t="str">
        <f t="shared" si="28"/>
        <v>Bilal El Khannous (og)</v>
      </c>
      <c r="Z38" s="306" t="str">
        <f t="shared" si="29"/>
        <v>Luka Jović (og)</v>
      </c>
      <c r="AA38" s="306" t="str">
        <f t="shared" si="30"/>
        <v>Éder Militão (og)</v>
      </c>
      <c r="AB38" s="306" t="str">
        <f t="shared" si="31"/>
        <v>Éder Militão (og)</v>
      </c>
      <c r="AC38" s="306" t="str">
        <f t="shared" si="32"/>
        <v>Éder Militão (og)</v>
      </c>
      <c r="AD38" s="306" t="str">
        <f t="shared" si="33"/>
        <v>Daniel-Kofi Kyereh (og)</v>
      </c>
      <c r="AE38" s="306" t="str">
        <f t="shared" si="34"/>
        <v>João Cancelo (og)</v>
      </c>
      <c r="AF38" s="306" t="str">
        <f t="shared" si="35"/>
        <v>João Cancelo (og)</v>
      </c>
      <c r="AG38" s="306" t="str">
        <f t="shared" si="36"/>
        <v>João Cancelo (og)</v>
      </c>
      <c r="AI38" s="306" t="str">
        <f t="shared" ca="1" si="37"/>
        <v xml:space="preserve"> (og)</v>
      </c>
      <c r="AJ38" s="306" t="str">
        <f t="shared" ca="1" si="38"/>
        <v xml:space="preserve"> (og)</v>
      </c>
      <c r="AK38" s="306" t="str">
        <f t="shared" ca="1" si="39"/>
        <v xml:space="preserve"> (og)</v>
      </c>
      <c r="AL38" s="306" t="str">
        <f t="shared" ca="1" si="40"/>
        <v xml:space="preserve"> (og)</v>
      </c>
      <c r="AM38" s="306" t="str">
        <f t="shared" ca="1" si="41"/>
        <v xml:space="preserve"> (og)</v>
      </c>
      <c r="AN38" s="306" t="str">
        <f t="shared" ca="1" si="42"/>
        <v xml:space="preserve"> (og)</v>
      </c>
      <c r="AO38" s="306" t="str">
        <f t="shared" ca="1" si="43"/>
        <v xml:space="preserve"> (og)</v>
      </c>
      <c r="AP38" s="306" t="str">
        <f t="shared" ca="1" si="44"/>
        <v xml:space="preserve"> (og)</v>
      </c>
      <c r="AQ38" s="306" t="str">
        <f t="shared" ca="1" si="45"/>
        <v xml:space="preserve"> (og)</v>
      </c>
      <c r="AR38" s="306" t="str">
        <f t="shared" ca="1" si="46"/>
        <v xml:space="preserve"> (og)</v>
      </c>
      <c r="AS38" s="306" t="str">
        <f t="shared" ca="1" si="47"/>
        <v xml:space="preserve"> (og)</v>
      </c>
      <c r="AT38" s="306" t="str">
        <f t="shared" ca="1" si="48"/>
        <v xml:space="preserve"> (og)</v>
      </c>
      <c r="AU38" s="306" t="str">
        <f t="shared" ca="1" si="49"/>
        <v xml:space="preserve"> (og)</v>
      </c>
      <c r="AV38" s="306" t="str">
        <f t="shared" ca="1" si="50"/>
        <v xml:space="preserve"> (og)</v>
      </c>
      <c r="AW38" s="306" t="str">
        <f t="shared" ca="1" si="51"/>
        <v xml:space="preserve"> (og)</v>
      </c>
      <c r="AX38" s="306" t="str">
        <f t="shared" ca="1" si="52"/>
        <v xml:space="preserve"> (og)</v>
      </c>
      <c r="AZ38" s="306" t="str">
        <f t="shared" ca="1" si="53"/>
        <v xml:space="preserve"> (og)</v>
      </c>
      <c r="BA38" s="306" t="str">
        <f t="shared" ca="1" si="54"/>
        <v xml:space="preserve"> (og)</v>
      </c>
      <c r="BB38" s="306" t="str">
        <f t="shared" ca="1" si="55"/>
        <v xml:space="preserve"> (og)</v>
      </c>
      <c r="BC38" s="306" t="str">
        <f t="shared" ca="1" si="56"/>
        <v xml:space="preserve"> (og)</v>
      </c>
      <c r="BD38" s="306" t="str">
        <f t="shared" ca="1" si="57"/>
        <v xml:space="preserve"> (og)</v>
      </c>
      <c r="BE38" s="306" t="str">
        <f t="shared" ca="1" si="58"/>
        <v xml:space="preserve"> (og)</v>
      </c>
      <c r="BF38" s="306" t="str">
        <f t="shared" ca="1" si="59"/>
        <v xml:space="preserve"> (og)</v>
      </c>
      <c r="BG38" s="306" t="str">
        <f t="shared" ca="1" si="60"/>
        <v xml:space="preserve"> (og)</v>
      </c>
      <c r="BI38" s="306" t="str">
        <f t="shared" ca="1" si="61"/>
        <v xml:space="preserve"> (og)</v>
      </c>
      <c r="BJ38" s="306" t="str">
        <f t="shared" ca="1" si="62"/>
        <v xml:space="preserve"> (og)</v>
      </c>
      <c r="BK38" s="306" t="str">
        <f t="shared" ca="1" si="63"/>
        <v xml:space="preserve"> (og)</v>
      </c>
      <c r="BL38" s="306" t="str">
        <f t="shared" ca="1" si="64"/>
        <v xml:space="preserve"> (og)</v>
      </c>
      <c r="BN38" s="306" t="str">
        <f t="shared" ca="1" si="65"/>
        <v xml:space="preserve"> (og)</v>
      </c>
      <c r="BO38" s="306" t="str">
        <f t="shared" ca="1" si="66"/>
        <v xml:space="preserve"> (og)</v>
      </c>
      <c r="BQ38" s="306" t="str">
        <f t="shared" ca="1" si="67"/>
        <v xml:space="preserve"> (og)</v>
      </c>
      <c r="BR38" s="306" t="str">
        <f t="shared" ca="1" si="68"/>
        <v xml:space="preserve"> (og)</v>
      </c>
      <c r="BT38" s="306" t="str">
        <f t="shared" ca="1" si="69"/>
        <v>Netherlands</v>
      </c>
      <c r="BU38" s="306">
        <v>9</v>
      </c>
      <c r="BV38" s="306">
        <v>0</v>
      </c>
      <c r="BW38" s="306" t="str">
        <f ca="1">OFFSET(C3,BU38,BV38)</f>
        <v>Kenneth Taylor</v>
      </c>
      <c r="BX38" s="306">
        <f ca="1">COUNTIF('Group Stages'!J7:J102,BW38)</f>
        <v>0</v>
      </c>
      <c r="BY38" s="306">
        <f ca="1">COUNTIF('Group Stages'!K7:K102,BW38)</f>
        <v>0</v>
      </c>
      <c r="BZ38" s="306">
        <f ca="1">COUNTIF('Group Stages'!L7:L102,BW38)</f>
        <v>0</v>
      </c>
      <c r="CA38" s="306">
        <f ca="1">COUNTIF('Group Stages'!M7:M102,BW38)</f>
        <v>0</v>
      </c>
      <c r="CB38" s="306">
        <f ca="1">COUNTIF('Group Stages'!N7:N102,BW38)</f>
        <v>0</v>
      </c>
      <c r="CC38" s="306">
        <f ca="1">COUNTIF('Group Stages'!O7:O102,BW38)</f>
        <v>0</v>
      </c>
      <c r="CD38" s="306">
        <f ca="1">COUNTIF('Group Stages'!P7:P102,BW38)</f>
        <v>0</v>
      </c>
      <c r="CE38" s="306">
        <f ca="1">COUNTIF('Group Stages'!Q7:Q102,BW38)</f>
        <v>0</v>
      </c>
      <c r="CF38" s="306">
        <f ca="1">COUNTIF('Knock Out Stages'!K7:K50,BW38)</f>
        <v>0</v>
      </c>
      <c r="CG38" s="306">
        <f ca="1">COUNTIF('Knock Out Stages'!L7:L50,BW38)</f>
        <v>0</v>
      </c>
      <c r="CH38" s="306">
        <f ca="1">COUNTIF('Knock Out Stages'!M7:M50,BW38)</f>
        <v>0</v>
      </c>
      <c r="CI38" s="306">
        <f ca="1">COUNTIF('Knock Out Stages'!N7:N50,BW38)</f>
        <v>0</v>
      </c>
      <c r="CJ38" s="306">
        <f ca="1">COUNTIF('Knock Out Stages'!O7:O50,BW38)</f>
        <v>0</v>
      </c>
      <c r="CK38" s="306">
        <f ca="1">COUNTIF('Knock Out Stages'!P7:P50,BW38)</f>
        <v>0</v>
      </c>
      <c r="CL38" s="306">
        <f ca="1">COUNTIF('Knock Out Stages'!Q7:Q50,BW38)</f>
        <v>0</v>
      </c>
      <c r="CM38" s="306">
        <f ca="1">COUNTIF('Knock Out Stages'!R7:R50,BW38)</f>
        <v>0</v>
      </c>
      <c r="CN38" s="306">
        <f ca="1">IF(RIGHT('Group Stages'!$B$105,5)="T.com",SUM(BX38:CM38),0)</f>
        <v>0</v>
      </c>
      <c r="CO38" s="306">
        <f ca="1">RANK(CN38,CN3:CN834)+COUNTIF(CN3:CN38,CN38)-1</f>
        <v>36</v>
      </c>
      <c r="CP38" s="306" t="str">
        <f t="shared" ca="1" si="2"/>
        <v>Kenneth Taylor (Netherlands)</v>
      </c>
    </row>
    <row r="39" spans="1:94" x14ac:dyDescent="0.3">
      <c r="A39" s="306">
        <f t="shared" si="4"/>
        <v>11</v>
      </c>
      <c r="B39" s="306" t="str">
        <f t="shared" si="5"/>
        <v>Luuk de Jong (og)</v>
      </c>
      <c r="C39" s="306" t="str">
        <f t="shared" si="6"/>
        <v>Iliman Ndiaye (og)</v>
      </c>
      <c r="D39" s="306" t="str">
        <f t="shared" si="7"/>
        <v>Iliman Ndiaye (og)</v>
      </c>
      <c r="E39" s="306" t="str">
        <f t="shared" si="8"/>
        <v>Iliman Ndiaye (og)</v>
      </c>
      <c r="F39" s="306" t="str">
        <f t="shared" si="9"/>
        <v>Karim Ansarifard (og)</v>
      </c>
      <c r="G39" s="306" t="str">
        <f t="shared" si="10"/>
        <v>Jack Grealish (og)</v>
      </c>
      <c r="H39" s="306" t="str">
        <f t="shared" si="11"/>
        <v>Jack Grealish (og)</v>
      </c>
      <c r="I39" s="306" t="str">
        <f t="shared" si="12"/>
        <v>Jack Grealish (og)</v>
      </c>
      <c r="J39" s="306" t="str">
        <f t="shared" si="13"/>
        <v>Hassan Tambakti (og)</v>
      </c>
      <c r="K39" s="306" t="str">
        <f t="shared" si="14"/>
        <v>Gonzalo Montiel (og)</v>
      </c>
      <c r="L39" s="306" t="str">
        <f t="shared" si="15"/>
        <v>Gonzalo Montiel (og)</v>
      </c>
      <c r="M39" s="306" t="str">
        <f t="shared" si="16"/>
        <v>Gonzalo Montiel (og)</v>
      </c>
      <c r="N39" s="306" t="str">
        <f t="shared" si="17"/>
        <v>Ferjani Sassi (og)</v>
      </c>
      <c r="O39" s="306" t="str">
        <f t="shared" si="18"/>
        <v>Joachim Andersen (og)</v>
      </c>
      <c r="P39" s="306" t="str">
        <f t="shared" si="19"/>
        <v>Joachim Andersen (og)</v>
      </c>
      <c r="Q39" s="306" t="str">
        <f t="shared" si="20"/>
        <v>Joachim Andersen (og)</v>
      </c>
      <c r="R39" s="306" t="str">
        <f t="shared" si="21"/>
        <v>Junya Ito (og)</v>
      </c>
      <c r="S39" s="306" t="str">
        <f t="shared" si="22"/>
        <v>Karim Adeyemi (og)</v>
      </c>
      <c r="T39" s="306" t="str">
        <f t="shared" si="23"/>
        <v>Karim Adeyemi (og)</v>
      </c>
      <c r="U39" s="306" t="str">
        <f t="shared" si="24"/>
        <v>Karim Adeyemi (og)</v>
      </c>
      <c r="V39" s="306" t="str">
        <f t="shared" si="25"/>
        <v>Ivo Grbić (og)</v>
      </c>
      <c r="W39" s="306" t="str">
        <f t="shared" si="26"/>
        <v>Hakim Ziyech (og)</v>
      </c>
      <c r="X39" s="306" t="str">
        <f t="shared" si="27"/>
        <v>Hakim Ziyech (og)</v>
      </c>
      <c r="Y39" s="306" t="str">
        <f t="shared" si="28"/>
        <v>Hakim Ziyech (og)</v>
      </c>
      <c r="Z39" s="306" t="str">
        <f t="shared" si="29"/>
        <v>Marko Dmitrović (og)</v>
      </c>
      <c r="AA39" s="306" t="str">
        <f t="shared" si="30"/>
        <v>Ederson (og)</v>
      </c>
      <c r="AB39" s="306" t="str">
        <f t="shared" si="31"/>
        <v>Ederson (og)</v>
      </c>
      <c r="AC39" s="306" t="str">
        <f t="shared" si="32"/>
        <v>Ederson (og)</v>
      </c>
      <c r="AD39" s="306" t="str">
        <f t="shared" si="33"/>
        <v>Denis Odoi (og)</v>
      </c>
      <c r="AE39" s="306" t="str">
        <f t="shared" si="34"/>
        <v>João Félix (og)</v>
      </c>
      <c r="AF39" s="306" t="str">
        <f t="shared" si="35"/>
        <v>João Félix (og)</v>
      </c>
      <c r="AG39" s="306" t="str">
        <f t="shared" si="36"/>
        <v>João Félix (og)</v>
      </c>
      <c r="AI39" s="306" t="str">
        <f t="shared" ca="1" si="37"/>
        <v xml:space="preserve"> (og)</v>
      </c>
      <c r="AJ39" s="306" t="str">
        <f t="shared" ca="1" si="38"/>
        <v xml:space="preserve"> (og)</v>
      </c>
      <c r="AK39" s="306" t="str">
        <f t="shared" ca="1" si="39"/>
        <v xml:space="preserve"> (og)</v>
      </c>
      <c r="AL39" s="306" t="str">
        <f t="shared" ca="1" si="40"/>
        <v xml:space="preserve"> (og)</v>
      </c>
      <c r="AM39" s="306" t="str">
        <f t="shared" ca="1" si="41"/>
        <v xml:space="preserve"> (og)</v>
      </c>
      <c r="AN39" s="306" t="str">
        <f t="shared" ca="1" si="42"/>
        <v xml:space="preserve"> (og)</v>
      </c>
      <c r="AO39" s="306" t="str">
        <f t="shared" ca="1" si="43"/>
        <v xml:space="preserve"> (og)</v>
      </c>
      <c r="AP39" s="306" t="str">
        <f t="shared" ca="1" si="44"/>
        <v xml:space="preserve"> (og)</v>
      </c>
      <c r="AQ39" s="306" t="str">
        <f t="shared" ca="1" si="45"/>
        <v xml:space="preserve"> (og)</v>
      </c>
      <c r="AR39" s="306" t="str">
        <f t="shared" ca="1" si="46"/>
        <v xml:space="preserve"> (og)</v>
      </c>
      <c r="AS39" s="306" t="str">
        <f t="shared" ca="1" si="47"/>
        <v xml:space="preserve"> (og)</v>
      </c>
      <c r="AT39" s="306" t="str">
        <f t="shared" ca="1" si="48"/>
        <v xml:space="preserve"> (og)</v>
      </c>
      <c r="AU39" s="306" t="str">
        <f t="shared" ca="1" si="49"/>
        <v xml:space="preserve"> (og)</v>
      </c>
      <c r="AV39" s="306" t="str">
        <f t="shared" ca="1" si="50"/>
        <v xml:space="preserve"> (og)</v>
      </c>
      <c r="AW39" s="306" t="str">
        <f t="shared" ca="1" si="51"/>
        <v xml:space="preserve"> (og)</v>
      </c>
      <c r="AX39" s="306" t="str">
        <f t="shared" ca="1" si="52"/>
        <v xml:space="preserve"> (og)</v>
      </c>
      <c r="AZ39" s="306" t="str">
        <f t="shared" ca="1" si="53"/>
        <v xml:space="preserve"> (og)</v>
      </c>
      <c r="BA39" s="306" t="str">
        <f t="shared" ca="1" si="54"/>
        <v xml:space="preserve"> (og)</v>
      </c>
      <c r="BB39" s="306" t="str">
        <f t="shared" ca="1" si="55"/>
        <v xml:space="preserve"> (og)</v>
      </c>
      <c r="BC39" s="306" t="str">
        <f t="shared" ca="1" si="56"/>
        <v xml:space="preserve"> (og)</v>
      </c>
      <c r="BD39" s="306" t="str">
        <f t="shared" ca="1" si="57"/>
        <v xml:space="preserve"> (og)</v>
      </c>
      <c r="BE39" s="306" t="str">
        <f t="shared" ca="1" si="58"/>
        <v xml:space="preserve"> (og)</v>
      </c>
      <c r="BF39" s="306" t="str">
        <f t="shared" ca="1" si="59"/>
        <v xml:space="preserve"> (og)</v>
      </c>
      <c r="BG39" s="306" t="str">
        <f t="shared" ca="1" si="60"/>
        <v xml:space="preserve"> (og)</v>
      </c>
      <c r="BI39" s="306" t="str">
        <f t="shared" ca="1" si="61"/>
        <v xml:space="preserve"> (og)</v>
      </c>
      <c r="BJ39" s="306" t="str">
        <f t="shared" ca="1" si="62"/>
        <v xml:space="preserve"> (og)</v>
      </c>
      <c r="BK39" s="306" t="str">
        <f t="shared" ca="1" si="63"/>
        <v xml:space="preserve"> (og)</v>
      </c>
      <c r="BL39" s="306" t="str">
        <f t="shared" ca="1" si="64"/>
        <v xml:space="preserve"> (og)</v>
      </c>
      <c r="BN39" s="306" t="str">
        <f t="shared" ca="1" si="65"/>
        <v xml:space="preserve"> (og)</v>
      </c>
      <c r="BO39" s="306" t="str">
        <f t="shared" ca="1" si="66"/>
        <v xml:space="preserve"> (og)</v>
      </c>
      <c r="BQ39" s="306" t="str">
        <f t="shared" ca="1" si="67"/>
        <v xml:space="preserve"> (og)</v>
      </c>
      <c r="BR39" s="306" t="str">
        <f t="shared" ca="1" si="68"/>
        <v xml:space="preserve"> (og)</v>
      </c>
      <c r="BT39" s="306" t="str">
        <f t="shared" ca="1" si="69"/>
        <v>Netherlands</v>
      </c>
      <c r="BU39" s="306">
        <v>10</v>
      </c>
      <c r="BV39" s="306">
        <v>0</v>
      </c>
      <c r="BW39" s="306" t="str">
        <f ca="1">OFFSET(C3,BU39,BV39)</f>
        <v>Luuk de Jong</v>
      </c>
      <c r="BX39" s="306">
        <f ca="1">COUNTIF('Group Stages'!J7:J102,BW39)</f>
        <v>0</v>
      </c>
      <c r="BY39" s="306">
        <f ca="1">COUNTIF('Group Stages'!K7:K102,BW39)</f>
        <v>0</v>
      </c>
      <c r="BZ39" s="306">
        <f ca="1">COUNTIF('Group Stages'!L7:L102,BW39)</f>
        <v>0</v>
      </c>
      <c r="CA39" s="306">
        <f ca="1">COUNTIF('Group Stages'!M7:M102,BW39)</f>
        <v>0</v>
      </c>
      <c r="CB39" s="306">
        <f ca="1">COUNTIF('Group Stages'!N7:N102,BW39)</f>
        <v>0</v>
      </c>
      <c r="CC39" s="306">
        <f ca="1">COUNTIF('Group Stages'!O7:O102,BW39)</f>
        <v>0</v>
      </c>
      <c r="CD39" s="306">
        <f ca="1">COUNTIF('Group Stages'!P7:P102,BW39)</f>
        <v>0</v>
      </c>
      <c r="CE39" s="306">
        <f ca="1">COUNTIF('Group Stages'!Q7:Q102,BW39)</f>
        <v>0</v>
      </c>
      <c r="CF39" s="306">
        <f ca="1">COUNTIF('Knock Out Stages'!K7:K50,BW39)</f>
        <v>0</v>
      </c>
      <c r="CG39" s="306">
        <f ca="1">COUNTIF('Knock Out Stages'!L7:L50,BW39)</f>
        <v>0</v>
      </c>
      <c r="CH39" s="306">
        <f ca="1">COUNTIF('Knock Out Stages'!M7:M50,BW39)</f>
        <v>0</v>
      </c>
      <c r="CI39" s="306">
        <f ca="1">COUNTIF('Knock Out Stages'!N7:N50,BW39)</f>
        <v>0</v>
      </c>
      <c r="CJ39" s="306">
        <f ca="1">COUNTIF('Knock Out Stages'!O7:O50,BW39)</f>
        <v>0</v>
      </c>
      <c r="CK39" s="306">
        <f ca="1">COUNTIF('Knock Out Stages'!P7:P50,BW39)</f>
        <v>0</v>
      </c>
      <c r="CL39" s="306">
        <f ca="1">COUNTIF('Knock Out Stages'!Q7:Q50,BW39)</f>
        <v>0</v>
      </c>
      <c r="CM39" s="306">
        <f ca="1">COUNTIF('Knock Out Stages'!R7:R50,BW39)</f>
        <v>0</v>
      </c>
      <c r="CN39" s="306">
        <f ca="1">IF(RIGHT('Group Stages'!$B$105,5)="T.com",SUM(BX39:CM39),0)</f>
        <v>0</v>
      </c>
      <c r="CO39" s="306">
        <f ca="1">RANK(CN39,CN3:CN834)+COUNTIF(CN3:CN39,CN39)-1</f>
        <v>37</v>
      </c>
      <c r="CP39" s="306" t="str">
        <f t="shared" ca="1" si="2"/>
        <v>Luuk de Jong (Netherlands)</v>
      </c>
    </row>
    <row r="40" spans="1:94" x14ac:dyDescent="0.3">
      <c r="A40" s="306">
        <f t="shared" si="4"/>
        <v>12</v>
      </c>
      <c r="B40" s="306" t="str">
        <f t="shared" si="5"/>
        <v>Marten de Roon (og)</v>
      </c>
      <c r="C40" s="306" t="str">
        <f t="shared" si="6"/>
        <v>Ismail Jakobs (og)</v>
      </c>
      <c r="D40" s="306" t="str">
        <f t="shared" si="7"/>
        <v>Ismail Jakobs (og)</v>
      </c>
      <c r="E40" s="306" t="str">
        <f t="shared" si="8"/>
        <v>Ismail Jakobs (og)</v>
      </c>
      <c r="F40" s="306" t="str">
        <f t="shared" si="9"/>
        <v>Majid Hosseini (og)</v>
      </c>
      <c r="G40" s="306" t="str">
        <f t="shared" si="10"/>
        <v>James Maddison (og)</v>
      </c>
      <c r="H40" s="306" t="str">
        <f t="shared" si="11"/>
        <v>James Maddison (og)</v>
      </c>
      <c r="I40" s="306" t="str">
        <f t="shared" si="12"/>
        <v>James Maddison (og)</v>
      </c>
      <c r="J40" s="306" t="str">
        <f t="shared" si="13"/>
        <v>Hattan Bahebri (og)</v>
      </c>
      <c r="K40" s="306" t="str">
        <f t="shared" si="14"/>
        <v>Guido Rodríguez (og)</v>
      </c>
      <c r="L40" s="306" t="str">
        <f t="shared" si="15"/>
        <v>Guido Rodríguez (og)</v>
      </c>
      <c r="M40" s="306" t="str">
        <f t="shared" si="16"/>
        <v>Guido Rodríguez (og)</v>
      </c>
      <c r="N40" s="306" t="str">
        <f t="shared" si="17"/>
        <v>Ghailene Chaalali (og)</v>
      </c>
      <c r="O40" s="306" t="str">
        <f t="shared" si="18"/>
        <v>Joakim Mæhle (og)</v>
      </c>
      <c r="P40" s="306" t="str">
        <f t="shared" si="19"/>
        <v>Joakim Mæhle (og)</v>
      </c>
      <c r="Q40" s="306" t="str">
        <f t="shared" si="20"/>
        <v>Joakim Mæhle (og)</v>
      </c>
      <c r="R40" s="306" t="str">
        <f t="shared" si="21"/>
        <v>Kaoru Mitoma (og)</v>
      </c>
      <c r="S40" s="306" t="str">
        <f t="shared" si="22"/>
        <v>Kevin Trapp (og)</v>
      </c>
      <c r="T40" s="306" t="str">
        <f t="shared" si="23"/>
        <v>Kevin Trapp (og)</v>
      </c>
      <c r="U40" s="306" t="str">
        <f t="shared" si="24"/>
        <v>Kevin Trapp (og)</v>
      </c>
      <c r="V40" s="306" t="str">
        <f t="shared" si="25"/>
        <v>Josip Juranović (og)</v>
      </c>
      <c r="W40" s="306" t="str">
        <f t="shared" si="26"/>
        <v>Ilias Chair (og)</v>
      </c>
      <c r="X40" s="306" t="str">
        <f t="shared" si="27"/>
        <v>Ilias Chair (og)</v>
      </c>
      <c r="Y40" s="306" t="str">
        <f t="shared" si="28"/>
        <v>Ilias Chair (og)</v>
      </c>
      <c r="Z40" s="306" t="str">
        <f t="shared" si="29"/>
        <v>Marko Grujić (og)</v>
      </c>
      <c r="AA40" s="306" t="str">
        <f t="shared" si="30"/>
        <v>Éverton Ribeiro (og)</v>
      </c>
      <c r="AB40" s="306" t="str">
        <f t="shared" si="31"/>
        <v>Éverton Ribeiro (og)</v>
      </c>
      <c r="AC40" s="306" t="str">
        <f t="shared" si="32"/>
        <v>Éverton Ribeiro (og)</v>
      </c>
      <c r="AD40" s="306" t="str">
        <f t="shared" si="33"/>
        <v>Elisha Owusu (og)</v>
      </c>
      <c r="AE40" s="306" t="str">
        <f t="shared" si="34"/>
        <v>João Mário (og)</v>
      </c>
      <c r="AF40" s="306" t="str">
        <f t="shared" si="35"/>
        <v>João Mário (og)</v>
      </c>
      <c r="AG40" s="306" t="str">
        <f t="shared" si="36"/>
        <v>João Mário (og)</v>
      </c>
      <c r="AI40" s="306" t="str">
        <f t="shared" ca="1" si="37"/>
        <v xml:space="preserve"> (og)</v>
      </c>
      <c r="AJ40" s="306" t="str">
        <f t="shared" ca="1" si="38"/>
        <v xml:space="preserve"> (og)</v>
      </c>
      <c r="AK40" s="306" t="str">
        <f t="shared" ca="1" si="39"/>
        <v xml:space="preserve"> (og)</v>
      </c>
      <c r="AL40" s="306" t="str">
        <f t="shared" ca="1" si="40"/>
        <v xml:space="preserve"> (og)</v>
      </c>
      <c r="AM40" s="306" t="str">
        <f t="shared" ca="1" si="41"/>
        <v xml:space="preserve"> (og)</v>
      </c>
      <c r="AN40" s="306" t="str">
        <f t="shared" ca="1" si="42"/>
        <v xml:space="preserve"> (og)</v>
      </c>
      <c r="AO40" s="306" t="str">
        <f t="shared" ca="1" si="43"/>
        <v xml:space="preserve"> (og)</v>
      </c>
      <c r="AP40" s="306" t="str">
        <f t="shared" ca="1" si="44"/>
        <v xml:space="preserve"> (og)</v>
      </c>
      <c r="AQ40" s="306" t="str">
        <f t="shared" ca="1" si="45"/>
        <v xml:space="preserve"> (og)</v>
      </c>
      <c r="AR40" s="306" t="str">
        <f t="shared" ca="1" si="46"/>
        <v xml:space="preserve"> (og)</v>
      </c>
      <c r="AS40" s="306" t="str">
        <f t="shared" ca="1" si="47"/>
        <v xml:space="preserve"> (og)</v>
      </c>
      <c r="AT40" s="306" t="str">
        <f t="shared" ca="1" si="48"/>
        <v xml:space="preserve"> (og)</v>
      </c>
      <c r="AU40" s="306" t="str">
        <f t="shared" ca="1" si="49"/>
        <v xml:space="preserve"> (og)</v>
      </c>
      <c r="AV40" s="306" t="str">
        <f t="shared" ca="1" si="50"/>
        <v xml:space="preserve"> (og)</v>
      </c>
      <c r="AW40" s="306" t="str">
        <f t="shared" ca="1" si="51"/>
        <v xml:space="preserve"> (og)</v>
      </c>
      <c r="AX40" s="306" t="str">
        <f t="shared" ca="1" si="52"/>
        <v xml:space="preserve"> (og)</v>
      </c>
      <c r="AZ40" s="306" t="str">
        <f t="shared" ca="1" si="53"/>
        <v xml:space="preserve"> (og)</v>
      </c>
      <c r="BA40" s="306" t="str">
        <f t="shared" ca="1" si="54"/>
        <v xml:space="preserve"> (og)</v>
      </c>
      <c r="BB40" s="306" t="str">
        <f t="shared" ca="1" si="55"/>
        <v xml:space="preserve"> (og)</v>
      </c>
      <c r="BC40" s="306" t="str">
        <f t="shared" ca="1" si="56"/>
        <v xml:space="preserve"> (og)</v>
      </c>
      <c r="BD40" s="306" t="str">
        <f t="shared" ca="1" si="57"/>
        <v xml:space="preserve"> (og)</v>
      </c>
      <c r="BE40" s="306" t="str">
        <f t="shared" ca="1" si="58"/>
        <v xml:space="preserve"> (og)</v>
      </c>
      <c r="BF40" s="306" t="str">
        <f t="shared" ca="1" si="59"/>
        <v xml:space="preserve"> (og)</v>
      </c>
      <c r="BG40" s="306" t="str">
        <f t="shared" ca="1" si="60"/>
        <v xml:space="preserve"> (og)</v>
      </c>
      <c r="BI40" s="306" t="str">
        <f t="shared" ca="1" si="61"/>
        <v xml:space="preserve"> (og)</v>
      </c>
      <c r="BJ40" s="306" t="str">
        <f t="shared" ca="1" si="62"/>
        <v xml:space="preserve"> (og)</v>
      </c>
      <c r="BK40" s="306" t="str">
        <f t="shared" ca="1" si="63"/>
        <v xml:space="preserve"> (og)</v>
      </c>
      <c r="BL40" s="306" t="str">
        <f t="shared" ca="1" si="64"/>
        <v xml:space="preserve"> (og)</v>
      </c>
      <c r="BN40" s="306" t="str">
        <f t="shared" ca="1" si="65"/>
        <v xml:space="preserve"> (og)</v>
      </c>
      <c r="BO40" s="306" t="str">
        <f t="shared" ca="1" si="66"/>
        <v xml:space="preserve"> (og)</v>
      </c>
      <c r="BQ40" s="306" t="str">
        <f t="shared" ca="1" si="67"/>
        <v xml:space="preserve"> (og)</v>
      </c>
      <c r="BR40" s="306" t="str">
        <f t="shared" ca="1" si="68"/>
        <v xml:space="preserve"> (og)</v>
      </c>
      <c r="BT40" s="306" t="str">
        <f t="shared" ca="1" si="69"/>
        <v>Netherlands</v>
      </c>
      <c r="BU40" s="306">
        <v>11</v>
      </c>
      <c r="BV40" s="306">
        <v>0</v>
      </c>
      <c r="BW40" s="306" t="str">
        <f ca="1">OFFSET(C3,BU40,BV40)</f>
        <v>Marten de Roon</v>
      </c>
      <c r="BX40" s="306">
        <f ca="1">COUNTIF('Group Stages'!J7:J102,BW40)</f>
        <v>0</v>
      </c>
      <c r="BY40" s="306">
        <f ca="1">COUNTIF('Group Stages'!K7:K102,BW40)</f>
        <v>0</v>
      </c>
      <c r="BZ40" s="306">
        <f ca="1">COUNTIF('Group Stages'!L7:L102,BW40)</f>
        <v>0</v>
      </c>
      <c r="CA40" s="306">
        <f ca="1">COUNTIF('Group Stages'!M7:M102,BW40)</f>
        <v>0</v>
      </c>
      <c r="CB40" s="306">
        <f ca="1">COUNTIF('Group Stages'!N7:N102,BW40)</f>
        <v>0</v>
      </c>
      <c r="CC40" s="306">
        <f ca="1">COUNTIF('Group Stages'!O7:O102,BW40)</f>
        <v>0</v>
      </c>
      <c r="CD40" s="306">
        <f ca="1">COUNTIF('Group Stages'!P7:P102,BW40)</f>
        <v>0</v>
      </c>
      <c r="CE40" s="306">
        <f ca="1">COUNTIF('Group Stages'!Q7:Q102,BW40)</f>
        <v>0</v>
      </c>
      <c r="CF40" s="306">
        <f ca="1">COUNTIF('Knock Out Stages'!K7:K50,BW40)</f>
        <v>0</v>
      </c>
      <c r="CG40" s="306">
        <f ca="1">COUNTIF('Knock Out Stages'!L7:L50,BW40)</f>
        <v>0</v>
      </c>
      <c r="CH40" s="306">
        <f ca="1">COUNTIF('Knock Out Stages'!M7:M50,BW40)</f>
        <v>0</v>
      </c>
      <c r="CI40" s="306">
        <f ca="1">COUNTIF('Knock Out Stages'!N7:N50,BW40)</f>
        <v>0</v>
      </c>
      <c r="CJ40" s="306">
        <f ca="1">COUNTIF('Knock Out Stages'!O7:O50,BW40)</f>
        <v>0</v>
      </c>
      <c r="CK40" s="306">
        <f ca="1">COUNTIF('Knock Out Stages'!P7:P50,BW40)</f>
        <v>0</v>
      </c>
      <c r="CL40" s="306">
        <f ca="1">COUNTIF('Knock Out Stages'!Q7:Q50,BW40)</f>
        <v>0</v>
      </c>
      <c r="CM40" s="306">
        <f ca="1">COUNTIF('Knock Out Stages'!R7:R50,BW40)</f>
        <v>0</v>
      </c>
      <c r="CN40" s="306">
        <f ca="1">IF(RIGHT('Group Stages'!$B$105,5)="T.com",SUM(BX40:CM40),0)</f>
        <v>0</v>
      </c>
      <c r="CO40" s="306">
        <f ca="1">RANK(CN40,CN3:CN834)+COUNTIF(CN3:CN40,CN40)-1</f>
        <v>38</v>
      </c>
      <c r="CP40" s="306" t="str">
        <f t="shared" ca="1" si="2"/>
        <v>Marten de Roon (Netherlands)</v>
      </c>
    </row>
    <row r="41" spans="1:94" x14ac:dyDescent="0.3">
      <c r="A41" s="306">
        <f t="shared" si="4"/>
        <v>13</v>
      </c>
      <c r="B41" s="306" t="str">
        <f t="shared" si="5"/>
        <v>Matthijs de Ligt (og)</v>
      </c>
      <c r="C41" s="306" t="str">
        <f t="shared" si="6"/>
        <v>Ismaïla Sarr (og)</v>
      </c>
      <c r="D41" s="306" t="str">
        <f t="shared" si="7"/>
        <v>Ismaïla Sarr (og)</v>
      </c>
      <c r="E41" s="306" t="str">
        <f t="shared" si="8"/>
        <v>Ismaïla Sarr (og)</v>
      </c>
      <c r="F41" s="306" t="str">
        <f t="shared" si="9"/>
        <v>Mehdi Taremi (og)</v>
      </c>
      <c r="G41" s="306" t="str">
        <f t="shared" si="10"/>
        <v>John Stones (og)</v>
      </c>
      <c r="H41" s="306" t="str">
        <f t="shared" si="11"/>
        <v>John Stones (og)</v>
      </c>
      <c r="I41" s="306" t="str">
        <f t="shared" si="12"/>
        <v>John Stones (og)</v>
      </c>
      <c r="J41" s="306" t="str">
        <f t="shared" si="13"/>
        <v>Mohamed Kanno (og)</v>
      </c>
      <c r="K41" s="306" t="str">
        <f t="shared" si="14"/>
        <v>Joaquín Correa (og)</v>
      </c>
      <c r="L41" s="306" t="str">
        <f t="shared" si="15"/>
        <v>Joaquín Correa (og)</v>
      </c>
      <c r="M41" s="306" t="str">
        <f t="shared" si="16"/>
        <v>Joaquín Correa (og)</v>
      </c>
      <c r="N41" s="306" t="str">
        <f t="shared" si="17"/>
        <v>Hannibal Mejbri (og)</v>
      </c>
      <c r="O41" s="306" t="str">
        <f t="shared" si="18"/>
        <v>Jonas Wind (og)</v>
      </c>
      <c r="P41" s="306" t="str">
        <f t="shared" si="19"/>
        <v>Jonas Wind (og)</v>
      </c>
      <c r="Q41" s="306" t="str">
        <f t="shared" si="20"/>
        <v>Jonas Wind (og)</v>
      </c>
      <c r="R41" s="306" t="str">
        <f t="shared" si="21"/>
        <v>Kō Itakura (og)</v>
      </c>
      <c r="S41" s="306" t="str">
        <f t="shared" si="22"/>
        <v>Leon Goretzka (og)</v>
      </c>
      <c r="T41" s="306" t="str">
        <f t="shared" si="23"/>
        <v>Leon Goretzka (og)</v>
      </c>
      <c r="U41" s="306" t="str">
        <f t="shared" si="24"/>
        <v>Leon Goretzka (og)</v>
      </c>
      <c r="V41" s="306" t="str">
        <f t="shared" si="25"/>
        <v>Josip Stanišić (og)</v>
      </c>
      <c r="W41" s="306" t="str">
        <f t="shared" si="26"/>
        <v>Jawad El Yamiq (og)</v>
      </c>
      <c r="X41" s="306" t="str">
        <f t="shared" si="27"/>
        <v>Jawad El Yamiq (og)</v>
      </c>
      <c r="Y41" s="306" t="str">
        <f t="shared" si="28"/>
        <v>Jawad El Yamiq (og)</v>
      </c>
      <c r="Z41" s="306" t="str">
        <f t="shared" si="29"/>
        <v>Miloš Veljković (og)</v>
      </c>
      <c r="AA41" s="306" t="str">
        <f t="shared" si="30"/>
        <v>Fabinho (og)</v>
      </c>
      <c r="AB41" s="306" t="str">
        <f t="shared" si="31"/>
        <v>Fabinho (og)</v>
      </c>
      <c r="AC41" s="306" t="str">
        <f t="shared" si="32"/>
        <v>Fabinho (og)</v>
      </c>
      <c r="AD41" s="306" t="str">
        <f t="shared" si="33"/>
        <v>Gideon Mensah (og)</v>
      </c>
      <c r="AE41" s="306" t="str">
        <f t="shared" si="34"/>
        <v>João Palhinha (og)</v>
      </c>
      <c r="AF41" s="306" t="str">
        <f t="shared" si="35"/>
        <v>João Palhinha (og)</v>
      </c>
      <c r="AG41" s="306" t="str">
        <f t="shared" si="36"/>
        <v>João Palhinha (og)</v>
      </c>
      <c r="AI41" s="306" t="str">
        <f t="shared" ca="1" si="37"/>
        <v xml:space="preserve"> (og)</v>
      </c>
      <c r="AJ41" s="306" t="str">
        <f t="shared" ca="1" si="38"/>
        <v xml:space="preserve"> (og)</v>
      </c>
      <c r="AK41" s="306" t="str">
        <f t="shared" ca="1" si="39"/>
        <v xml:space="preserve"> (og)</v>
      </c>
      <c r="AL41" s="306" t="str">
        <f t="shared" ca="1" si="40"/>
        <v xml:space="preserve"> (og)</v>
      </c>
      <c r="AM41" s="306" t="str">
        <f t="shared" ca="1" si="41"/>
        <v xml:space="preserve"> (og)</v>
      </c>
      <c r="AN41" s="306" t="str">
        <f t="shared" ca="1" si="42"/>
        <v xml:space="preserve"> (og)</v>
      </c>
      <c r="AO41" s="306" t="str">
        <f t="shared" ca="1" si="43"/>
        <v xml:space="preserve"> (og)</v>
      </c>
      <c r="AP41" s="306" t="str">
        <f t="shared" ca="1" si="44"/>
        <v xml:space="preserve"> (og)</v>
      </c>
      <c r="AQ41" s="306" t="str">
        <f t="shared" ca="1" si="45"/>
        <v xml:space="preserve"> (og)</v>
      </c>
      <c r="AR41" s="306" t="str">
        <f t="shared" ca="1" si="46"/>
        <v xml:space="preserve"> (og)</v>
      </c>
      <c r="AS41" s="306" t="str">
        <f t="shared" ca="1" si="47"/>
        <v xml:space="preserve"> (og)</v>
      </c>
      <c r="AT41" s="306" t="str">
        <f t="shared" ca="1" si="48"/>
        <v xml:space="preserve"> (og)</v>
      </c>
      <c r="AU41" s="306" t="str">
        <f t="shared" ca="1" si="49"/>
        <v xml:space="preserve"> (og)</v>
      </c>
      <c r="AV41" s="306" t="str">
        <f t="shared" ca="1" si="50"/>
        <v xml:space="preserve"> (og)</v>
      </c>
      <c r="AW41" s="306" t="str">
        <f t="shared" ca="1" si="51"/>
        <v xml:space="preserve"> (og)</v>
      </c>
      <c r="AX41" s="306" t="str">
        <f t="shared" ca="1" si="52"/>
        <v xml:space="preserve"> (og)</v>
      </c>
      <c r="AZ41" s="306" t="str">
        <f t="shared" ca="1" si="53"/>
        <v xml:space="preserve"> (og)</v>
      </c>
      <c r="BA41" s="306" t="str">
        <f t="shared" ca="1" si="54"/>
        <v xml:space="preserve"> (og)</v>
      </c>
      <c r="BB41" s="306" t="str">
        <f t="shared" ca="1" si="55"/>
        <v xml:space="preserve"> (og)</v>
      </c>
      <c r="BC41" s="306" t="str">
        <f t="shared" ca="1" si="56"/>
        <v xml:space="preserve"> (og)</v>
      </c>
      <c r="BD41" s="306" t="str">
        <f t="shared" ca="1" si="57"/>
        <v xml:space="preserve"> (og)</v>
      </c>
      <c r="BE41" s="306" t="str">
        <f t="shared" ca="1" si="58"/>
        <v xml:space="preserve"> (og)</v>
      </c>
      <c r="BF41" s="306" t="str">
        <f t="shared" ca="1" si="59"/>
        <v xml:space="preserve"> (og)</v>
      </c>
      <c r="BG41" s="306" t="str">
        <f t="shared" ca="1" si="60"/>
        <v xml:space="preserve"> (og)</v>
      </c>
      <c r="BI41" s="306" t="str">
        <f t="shared" ca="1" si="61"/>
        <v xml:space="preserve"> (og)</v>
      </c>
      <c r="BJ41" s="306" t="str">
        <f t="shared" ca="1" si="62"/>
        <v xml:space="preserve"> (og)</v>
      </c>
      <c r="BK41" s="306" t="str">
        <f t="shared" ca="1" si="63"/>
        <v xml:space="preserve"> (og)</v>
      </c>
      <c r="BL41" s="306" t="str">
        <f t="shared" ca="1" si="64"/>
        <v xml:space="preserve"> (og)</v>
      </c>
      <c r="BN41" s="306" t="str">
        <f t="shared" ca="1" si="65"/>
        <v xml:space="preserve"> (og)</v>
      </c>
      <c r="BO41" s="306" t="str">
        <f t="shared" ca="1" si="66"/>
        <v xml:space="preserve"> (og)</v>
      </c>
      <c r="BQ41" s="306" t="str">
        <f t="shared" ca="1" si="67"/>
        <v xml:space="preserve"> (og)</v>
      </c>
      <c r="BR41" s="306" t="str">
        <f t="shared" ca="1" si="68"/>
        <v xml:space="preserve"> (og)</v>
      </c>
      <c r="BT41" s="306" t="str">
        <f t="shared" ca="1" si="69"/>
        <v>Netherlands</v>
      </c>
      <c r="BU41" s="306">
        <v>12</v>
      </c>
      <c r="BV41" s="306">
        <v>0</v>
      </c>
      <c r="BW41" s="306" t="str">
        <f ca="1">OFFSET(C3,BU41,BV41)</f>
        <v>Matthijs de Ligt</v>
      </c>
      <c r="BX41" s="306">
        <f ca="1">COUNTIF('Group Stages'!J7:J102,BW41)</f>
        <v>0</v>
      </c>
      <c r="BY41" s="306">
        <f ca="1">COUNTIF('Group Stages'!K7:K102,BW41)</f>
        <v>0</v>
      </c>
      <c r="BZ41" s="306">
        <f ca="1">COUNTIF('Group Stages'!L7:L102,BW41)</f>
        <v>0</v>
      </c>
      <c r="CA41" s="306">
        <f ca="1">COUNTIF('Group Stages'!M7:M102,BW41)</f>
        <v>0</v>
      </c>
      <c r="CB41" s="306">
        <f ca="1">COUNTIF('Group Stages'!N7:N102,BW41)</f>
        <v>0</v>
      </c>
      <c r="CC41" s="306">
        <f ca="1">COUNTIF('Group Stages'!O7:O102,BW41)</f>
        <v>0</v>
      </c>
      <c r="CD41" s="306">
        <f ca="1">COUNTIF('Group Stages'!P7:P102,BW41)</f>
        <v>0</v>
      </c>
      <c r="CE41" s="306">
        <f ca="1">COUNTIF('Group Stages'!Q7:Q102,BW41)</f>
        <v>0</v>
      </c>
      <c r="CF41" s="306">
        <f ca="1">COUNTIF('Knock Out Stages'!K7:K50,BW41)</f>
        <v>0</v>
      </c>
      <c r="CG41" s="306">
        <f ca="1">COUNTIF('Knock Out Stages'!L7:L50,BW41)</f>
        <v>0</v>
      </c>
      <c r="CH41" s="306">
        <f ca="1">COUNTIF('Knock Out Stages'!M7:M50,BW41)</f>
        <v>0</v>
      </c>
      <c r="CI41" s="306">
        <f ca="1">COUNTIF('Knock Out Stages'!N7:N50,BW41)</f>
        <v>0</v>
      </c>
      <c r="CJ41" s="306">
        <f ca="1">COUNTIF('Knock Out Stages'!O7:O50,BW41)</f>
        <v>0</v>
      </c>
      <c r="CK41" s="306">
        <f ca="1">COUNTIF('Knock Out Stages'!P7:P50,BW41)</f>
        <v>0</v>
      </c>
      <c r="CL41" s="306">
        <f ca="1">COUNTIF('Knock Out Stages'!Q7:Q50,BW41)</f>
        <v>0</v>
      </c>
      <c r="CM41" s="306">
        <f ca="1">COUNTIF('Knock Out Stages'!R7:R50,BW41)</f>
        <v>0</v>
      </c>
      <c r="CN41" s="306">
        <f ca="1">IF(RIGHT('Group Stages'!$B$105,5)="T.com",SUM(BX41:CM41),0)</f>
        <v>0</v>
      </c>
      <c r="CO41" s="306">
        <f ca="1">RANK(CN41,CN3:CN834)+COUNTIF(CN3:CN41,CN41)-1</f>
        <v>39</v>
      </c>
      <c r="CP41" s="306" t="str">
        <f t="shared" ca="1" si="2"/>
        <v>Matthijs de Ligt (Netherlands)</v>
      </c>
    </row>
    <row r="42" spans="1:94" x14ac:dyDescent="0.3">
      <c r="A42" s="306">
        <f t="shared" si="4"/>
        <v>14</v>
      </c>
      <c r="B42" s="306" t="str">
        <f t="shared" si="5"/>
        <v>Memphis Depay (og)</v>
      </c>
      <c r="C42" s="306" t="str">
        <f t="shared" si="6"/>
        <v>Kalidou Koulibaly (og)</v>
      </c>
      <c r="D42" s="306" t="str">
        <f t="shared" si="7"/>
        <v>Kalidou Koulibaly (og)</v>
      </c>
      <c r="E42" s="306" t="str">
        <f t="shared" si="8"/>
        <v>Kalidou Koulibaly (og)</v>
      </c>
      <c r="F42" s="306" t="str">
        <f t="shared" si="9"/>
        <v>Mehdi Torabi (og)</v>
      </c>
      <c r="G42" s="306" t="str">
        <f t="shared" si="10"/>
        <v>Jordan Henderson (og)</v>
      </c>
      <c r="H42" s="306" t="str">
        <f t="shared" si="11"/>
        <v>Jordan Henderson (og)</v>
      </c>
      <c r="I42" s="306" t="str">
        <f t="shared" si="12"/>
        <v>Jordan Henderson (og)</v>
      </c>
      <c r="J42" s="306" t="str">
        <f t="shared" si="13"/>
        <v>Mohammed Al Rubaie (og)</v>
      </c>
      <c r="K42" s="306" t="str">
        <f t="shared" si="14"/>
        <v>Juan Foyth (og)</v>
      </c>
      <c r="L42" s="306" t="str">
        <f t="shared" si="15"/>
        <v>Juan Foyth (og)</v>
      </c>
      <c r="M42" s="306" t="str">
        <f t="shared" si="16"/>
        <v>Juan Foyth (og)</v>
      </c>
      <c r="N42" s="306" t="str">
        <f t="shared" si="17"/>
        <v>Issam Jebali (og)</v>
      </c>
      <c r="O42" s="306" t="str">
        <f t="shared" si="18"/>
        <v>Kasper Dolberg (og)</v>
      </c>
      <c r="P42" s="306" t="str">
        <f t="shared" si="19"/>
        <v>Kasper Dolberg (og)</v>
      </c>
      <c r="Q42" s="306" t="str">
        <f t="shared" si="20"/>
        <v>Kasper Dolberg (og)</v>
      </c>
      <c r="R42" s="306" t="str">
        <f t="shared" si="21"/>
        <v>Maya Yoshida (og)</v>
      </c>
      <c r="S42" s="306" t="str">
        <f t="shared" si="22"/>
        <v>Leroy Sané (og)</v>
      </c>
      <c r="T42" s="306" t="str">
        <f t="shared" si="23"/>
        <v>Leroy Sané (og)</v>
      </c>
      <c r="U42" s="306" t="str">
        <f t="shared" si="24"/>
        <v>Leroy Sané (og)</v>
      </c>
      <c r="V42" s="306" t="str">
        <f t="shared" si="25"/>
        <v>Josip Šutalo (og)</v>
      </c>
      <c r="W42" s="306" t="str">
        <f t="shared" si="26"/>
        <v>Munir Mohamedi (og)</v>
      </c>
      <c r="X42" s="306" t="str">
        <f t="shared" si="27"/>
        <v>Munir Mohamedi (og)</v>
      </c>
      <c r="Y42" s="306" t="str">
        <f t="shared" si="28"/>
        <v>Munir Mohamedi (og)</v>
      </c>
      <c r="Z42" s="306" t="str">
        <f t="shared" si="29"/>
        <v>Nemanja Gudelj (og)</v>
      </c>
      <c r="AA42" s="306" t="str">
        <f t="shared" si="30"/>
        <v>Fred (og)</v>
      </c>
      <c r="AB42" s="306" t="str">
        <f t="shared" si="31"/>
        <v>Fred (og)</v>
      </c>
      <c r="AC42" s="306" t="str">
        <f t="shared" si="32"/>
        <v>Fred (og)</v>
      </c>
      <c r="AD42" s="306" t="str">
        <f t="shared" si="33"/>
        <v>Ibrahim Danlad (og)</v>
      </c>
      <c r="AE42" s="306" t="str">
        <f t="shared" si="34"/>
        <v>José Sá (og)</v>
      </c>
      <c r="AF42" s="306" t="str">
        <f t="shared" si="35"/>
        <v>José Sá (og)</v>
      </c>
      <c r="AG42" s="306" t="str">
        <f t="shared" si="36"/>
        <v>José Sá (og)</v>
      </c>
      <c r="AI42" s="306" t="str">
        <f t="shared" ca="1" si="37"/>
        <v xml:space="preserve"> (og)</v>
      </c>
      <c r="AJ42" s="306" t="str">
        <f t="shared" ca="1" si="38"/>
        <v xml:space="preserve"> (og)</v>
      </c>
      <c r="AK42" s="306" t="str">
        <f t="shared" ca="1" si="39"/>
        <v xml:space="preserve"> (og)</v>
      </c>
      <c r="AL42" s="306" t="str">
        <f t="shared" ca="1" si="40"/>
        <v xml:space="preserve"> (og)</v>
      </c>
      <c r="AM42" s="306" t="str">
        <f t="shared" ca="1" si="41"/>
        <v xml:space="preserve"> (og)</v>
      </c>
      <c r="AN42" s="306" t="str">
        <f t="shared" ca="1" si="42"/>
        <v xml:space="preserve"> (og)</v>
      </c>
      <c r="AO42" s="306" t="str">
        <f t="shared" ca="1" si="43"/>
        <v xml:space="preserve"> (og)</v>
      </c>
      <c r="AP42" s="306" t="str">
        <f t="shared" ca="1" si="44"/>
        <v xml:space="preserve"> (og)</v>
      </c>
      <c r="AQ42" s="306" t="str">
        <f t="shared" ca="1" si="45"/>
        <v xml:space="preserve"> (og)</v>
      </c>
      <c r="AR42" s="306" t="str">
        <f t="shared" ca="1" si="46"/>
        <v xml:space="preserve"> (og)</v>
      </c>
      <c r="AS42" s="306" t="str">
        <f t="shared" ca="1" si="47"/>
        <v xml:space="preserve"> (og)</v>
      </c>
      <c r="AT42" s="306" t="str">
        <f t="shared" ca="1" si="48"/>
        <v xml:space="preserve"> (og)</v>
      </c>
      <c r="AU42" s="306" t="str">
        <f t="shared" ca="1" si="49"/>
        <v xml:space="preserve"> (og)</v>
      </c>
      <c r="AV42" s="306" t="str">
        <f t="shared" ca="1" si="50"/>
        <v xml:space="preserve"> (og)</v>
      </c>
      <c r="AW42" s="306" t="str">
        <f t="shared" ca="1" si="51"/>
        <v xml:space="preserve"> (og)</v>
      </c>
      <c r="AX42" s="306" t="str">
        <f t="shared" ca="1" si="52"/>
        <v xml:space="preserve"> (og)</v>
      </c>
      <c r="AZ42" s="306" t="str">
        <f t="shared" ca="1" si="53"/>
        <v xml:space="preserve"> (og)</v>
      </c>
      <c r="BA42" s="306" t="str">
        <f t="shared" ca="1" si="54"/>
        <v xml:space="preserve"> (og)</v>
      </c>
      <c r="BB42" s="306" t="str">
        <f t="shared" ca="1" si="55"/>
        <v xml:space="preserve"> (og)</v>
      </c>
      <c r="BC42" s="306" t="str">
        <f t="shared" ca="1" si="56"/>
        <v xml:space="preserve"> (og)</v>
      </c>
      <c r="BD42" s="306" t="str">
        <f t="shared" ca="1" si="57"/>
        <v xml:space="preserve"> (og)</v>
      </c>
      <c r="BE42" s="306" t="str">
        <f t="shared" ca="1" si="58"/>
        <v xml:space="preserve"> (og)</v>
      </c>
      <c r="BF42" s="306" t="str">
        <f t="shared" ca="1" si="59"/>
        <v xml:space="preserve"> (og)</v>
      </c>
      <c r="BG42" s="306" t="str">
        <f t="shared" ca="1" si="60"/>
        <v xml:space="preserve"> (og)</v>
      </c>
      <c r="BI42" s="306" t="str">
        <f t="shared" ca="1" si="61"/>
        <v xml:space="preserve"> (og)</v>
      </c>
      <c r="BJ42" s="306" t="str">
        <f t="shared" ca="1" si="62"/>
        <v xml:space="preserve"> (og)</v>
      </c>
      <c r="BK42" s="306" t="str">
        <f t="shared" ca="1" si="63"/>
        <v xml:space="preserve"> (og)</v>
      </c>
      <c r="BL42" s="306" t="str">
        <f t="shared" ca="1" si="64"/>
        <v xml:space="preserve"> (og)</v>
      </c>
      <c r="BN42" s="306" t="str">
        <f t="shared" ca="1" si="65"/>
        <v xml:space="preserve"> (og)</v>
      </c>
      <c r="BO42" s="306" t="str">
        <f t="shared" ca="1" si="66"/>
        <v xml:space="preserve"> (og)</v>
      </c>
      <c r="BQ42" s="306" t="str">
        <f t="shared" ca="1" si="67"/>
        <v xml:space="preserve"> (og)</v>
      </c>
      <c r="BR42" s="306" t="str">
        <f t="shared" ca="1" si="68"/>
        <v xml:space="preserve"> (og)</v>
      </c>
      <c r="BT42" s="306" t="str">
        <f t="shared" ca="1" si="69"/>
        <v>Netherlands</v>
      </c>
      <c r="BU42" s="306">
        <v>13</v>
      </c>
      <c r="BV42" s="306">
        <v>0</v>
      </c>
      <c r="BW42" s="306" t="str">
        <f ca="1">OFFSET(C3,BU42,BV42)</f>
        <v>Memphis Depay</v>
      </c>
      <c r="BX42" s="306">
        <f ca="1">COUNTIF('Group Stages'!J7:J102,BW42)</f>
        <v>0</v>
      </c>
      <c r="BY42" s="306">
        <f ca="1">COUNTIF('Group Stages'!K7:K102,BW42)</f>
        <v>0</v>
      </c>
      <c r="BZ42" s="306">
        <f ca="1">COUNTIF('Group Stages'!L7:L102,BW42)</f>
        <v>0</v>
      </c>
      <c r="CA42" s="306">
        <f ca="1">COUNTIF('Group Stages'!M7:M102,BW42)</f>
        <v>0</v>
      </c>
      <c r="CB42" s="306">
        <f ca="1">COUNTIF('Group Stages'!N7:N102,BW42)</f>
        <v>0</v>
      </c>
      <c r="CC42" s="306">
        <f ca="1">COUNTIF('Group Stages'!O7:O102,BW42)</f>
        <v>0</v>
      </c>
      <c r="CD42" s="306">
        <f ca="1">COUNTIF('Group Stages'!P7:P102,BW42)</f>
        <v>0</v>
      </c>
      <c r="CE42" s="306">
        <f ca="1">COUNTIF('Group Stages'!Q7:Q102,BW42)</f>
        <v>0</v>
      </c>
      <c r="CF42" s="306">
        <f ca="1">COUNTIF('Knock Out Stages'!K7:K50,BW42)</f>
        <v>0</v>
      </c>
      <c r="CG42" s="306">
        <f ca="1">COUNTIF('Knock Out Stages'!L7:L50,BW42)</f>
        <v>0</v>
      </c>
      <c r="CH42" s="306">
        <f ca="1">COUNTIF('Knock Out Stages'!M7:M50,BW42)</f>
        <v>0</v>
      </c>
      <c r="CI42" s="306">
        <f ca="1">COUNTIF('Knock Out Stages'!N7:N50,BW42)</f>
        <v>0</v>
      </c>
      <c r="CJ42" s="306">
        <f ca="1">COUNTIF('Knock Out Stages'!O7:O50,BW42)</f>
        <v>0</v>
      </c>
      <c r="CK42" s="306">
        <f ca="1">COUNTIF('Knock Out Stages'!P7:P50,BW42)</f>
        <v>0</v>
      </c>
      <c r="CL42" s="306">
        <f ca="1">COUNTIF('Knock Out Stages'!Q7:Q50,BW42)</f>
        <v>0</v>
      </c>
      <c r="CM42" s="306">
        <f ca="1">COUNTIF('Knock Out Stages'!R7:R50,BW42)</f>
        <v>0</v>
      </c>
      <c r="CN42" s="306">
        <f ca="1">IF(RIGHT('Group Stages'!$B$105,5)="T.com",SUM(BX42:CM42),0)</f>
        <v>0</v>
      </c>
      <c r="CO42" s="306">
        <f ca="1">RANK(CN42,CN3:CN834)+COUNTIF(CN3:CN42,CN42)-1</f>
        <v>40</v>
      </c>
      <c r="CP42" s="306" t="str">
        <f t="shared" ca="1" si="2"/>
        <v>Memphis Depay (Netherlands)</v>
      </c>
    </row>
    <row r="43" spans="1:94" x14ac:dyDescent="0.3">
      <c r="A43" s="306">
        <f t="shared" si="4"/>
        <v>15</v>
      </c>
      <c r="B43" s="306" t="str">
        <f t="shared" si="5"/>
        <v>Nathan Aké (og)</v>
      </c>
      <c r="C43" s="306" t="str">
        <f t="shared" si="6"/>
        <v>Krépin Diatta (og)</v>
      </c>
      <c r="D43" s="306" t="str">
        <f t="shared" si="7"/>
        <v>Krépin Diatta (og)</v>
      </c>
      <c r="E43" s="306" t="str">
        <f t="shared" si="8"/>
        <v>Krépin Diatta (og)</v>
      </c>
      <c r="F43" s="306" t="str">
        <f t="shared" si="9"/>
        <v>Milad Mohammadi (og)</v>
      </c>
      <c r="G43" s="306" t="str">
        <f t="shared" si="10"/>
        <v>Jordan Pickford (og)</v>
      </c>
      <c r="H43" s="306" t="str">
        <f t="shared" si="11"/>
        <v>Jordan Pickford (og)</v>
      </c>
      <c r="I43" s="306" t="str">
        <f t="shared" si="12"/>
        <v>Jordan Pickford (og)</v>
      </c>
      <c r="J43" s="306" t="str">
        <f t="shared" si="13"/>
        <v>Mohammed Al-Breik (og)</v>
      </c>
      <c r="K43" s="306" t="str">
        <f t="shared" si="14"/>
        <v>Julián Álvarez (og)</v>
      </c>
      <c r="L43" s="306" t="str">
        <f t="shared" si="15"/>
        <v>Julián Álvarez (og)</v>
      </c>
      <c r="M43" s="306" t="str">
        <f t="shared" si="16"/>
        <v>Julián Álvarez (og)</v>
      </c>
      <c r="N43" s="306" t="str">
        <f t="shared" si="17"/>
        <v>Mohamed Ali Ben Romdhane (og)</v>
      </c>
      <c r="O43" s="306" t="str">
        <f t="shared" si="18"/>
        <v>Kasper Schmeichel (og)</v>
      </c>
      <c r="P43" s="306" t="str">
        <f t="shared" si="19"/>
        <v>Kasper Schmeichel (og)</v>
      </c>
      <c r="Q43" s="306" t="str">
        <f t="shared" si="20"/>
        <v>Kasper Schmeichel (og)</v>
      </c>
      <c r="R43" s="306" t="str">
        <f t="shared" si="21"/>
        <v>Miki Yamane (og)</v>
      </c>
      <c r="S43" s="306" t="str">
        <f t="shared" si="22"/>
        <v>Lukas Klostermann (og)</v>
      </c>
      <c r="T43" s="306" t="str">
        <f t="shared" si="23"/>
        <v>Lukas Klostermann (og)</v>
      </c>
      <c r="U43" s="306" t="str">
        <f t="shared" si="24"/>
        <v>Lukas Klostermann (og)</v>
      </c>
      <c r="V43" s="306" t="str">
        <f t="shared" si="25"/>
        <v>Joško Gvardiol (og)</v>
      </c>
      <c r="W43" s="306" t="str">
        <f t="shared" si="26"/>
        <v>Nayef Aguerd (og)</v>
      </c>
      <c r="X43" s="306" t="str">
        <f t="shared" si="27"/>
        <v>Nayef Aguerd (og)</v>
      </c>
      <c r="Y43" s="306" t="str">
        <f t="shared" si="28"/>
        <v>Nayef Aguerd (og)</v>
      </c>
      <c r="Z43" s="306" t="str">
        <f t="shared" si="29"/>
        <v>Nemanja Maksimović (og)</v>
      </c>
      <c r="AA43" s="306" t="str">
        <f t="shared" si="30"/>
        <v>Gabriel Jesus (og)</v>
      </c>
      <c r="AB43" s="306" t="str">
        <f t="shared" si="31"/>
        <v>Gabriel Jesus (og)</v>
      </c>
      <c r="AC43" s="306" t="str">
        <f t="shared" si="32"/>
        <v>Gabriel Jesus (og)</v>
      </c>
      <c r="AD43" s="306" t="str">
        <f t="shared" si="33"/>
        <v>Iñaki Williams (og)</v>
      </c>
      <c r="AE43" s="306" t="str">
        <f t="shared" si="34"/>
        <v>Matheus Nunes (og)</v>
      </c>
      <c r="AF43" s="306" t="str">
        <f t="shared" si="35"/>
        <v>Matheus Nunes (og)</v>
      </c>
      <c r="AG43" s="306" t="str">
        <f t="shared" si="36"/>
        <v>Matheus Nunes (og)</v>
      </c>
      <c r="AI43" s="306" t="str">
        <f t="shared" ca="1" si="37"/>
        <v xml:space="preserve"> (og)</v>
      </c>
      <c r="AJ43" s="306" t="str">
        <f t="shared" ca="1" si="38"/>
        <v xml:space="preserve"> (og)</v>
      </c>
      <c r="AK43" s="306" t="str">
        <f t="shared" ca="1" si="39"/>
        <v xml:space="preserve"> (og)</v>
      </c>
      <c r="AL43" s="306" t="str">
        <f t="shared" ca="1" si="40"/>
        <v xml:space="preserve"> (og)</v>
      </c>
      <c r="AM43" s="306" t="str">
        <f t="shared" ca="1" si="41"/>
        <v xml:space="preserve"> (og)</v>
      </c>
      <c r="AN43" s="306" t="str">
        <f t="shared" ca="1" si="42"/>
        <v xml:space="preserve"> (og)</v>
      </c>
      <c r="AO43" s="306" t="str">
        <f t="shared" ca="1" si="43"/>
        <v xml:space="preserve"> (og)</v>
      </c>
      <c r="AP43" s="306" t="str">
        <f t="shared" ca="1" si="44"/>
        <v xml:space="preserve"> (og)</v>
      </c>
      <c r="AQ43" s="306" t="str">
        <f t="shared" ca="1" si="45"/>
        <v xml:space="preserve"> (og)</v>
      </c>
      <c r="AR43" s="306" t="str">
        <f t="shared" ca="1" si="46"/>
        <v xml:space="preserve"> (og)</v>
      </c>
      <c r="AS43" s="306" t="str">
        <f t="shared" ca="1" si="47"/>
        <v xml:space="preserve"> (og)</v>
      </c>
      <c r="AT43" s="306" t="str">
        <f t="shared" ca="1" si="48"/>
        <v xml:space="preserve"> (og)</v>
      </c>
      <c r="AU43" s="306" t="str">
        <f t="shared" ca="1" si="49"/>
        <v xml:space="preserve"> (og)</v>
      </c>
      <c r="AV43" s="306" t="str">
        <f t="shared" ca="1" si="50"/>
        <v xml:space="preserve"> (og)</v>
      </c>
      <c r="AW43" s="306" t="str">
        <f t="shared" ca="1" si="51"/>
        <v xml:space="preserve"> (og)</v>
      </c>
      <c r="AX43" s="306" t="str">
        <f t="shared" ca="1" si="52"/>
        <v xml:space="preserve"> (og)</v>
      </c>
      <c r="AZ43" s="306" t="str">
        <f t="shared" ca="1" si="53"/>
        <v xml:space="preserve"> (og)</v>
      </c>
      <c r="BA43" s="306" t="str">
        <f t="shared" ca="1" si="54"/>
        <v xml:space="preserve"> (og)</v>
      </c>
      <c r="BB43" s="306" t="str">
        <f t="shared" ca="1" si="55"/>
        <v xml:space="preserve"> (og)</v>
      </c>
      <c r="BC43" s="306" t="str">
        <f t="shared" ca="1" si="56"/>
        <v xml:space="preserve"> (og)</v>
      </c>
      <c r="BD43" s="306" t="str">
        <f t="shared" ca="1" si="57"/>
        <v xml:space="preserve"> (og)</v>
      </c>
      <c r="BE43" s="306" t="str">
        <f t="shared" ca="1" si="58"/>
        <v xml:space="preserve"> (og)</v>
      </c>
      <c r="BF43" s="306" t="str">
        <f t="shared" ca="1" si="59"/>
        <v xml:space="preserve"> (og)</v>
      </c>
      <c r="BG43" s="306" t="str">
        <f t="shared" ca="1" si="60"/>
        <v xml:space="preserve"> (og)</v>
      </c>
      <c r="BI43" s="306" t="str">
        <f t="shared" ca="1" si="61"/>
        <v xml:space="preserve"> (og)</v>
      </c>
      <c r="BJ43" s="306" t="str">
        <f t="shared" ca="1" si="62"/>
        <v xml:space="preserve"> (og)</v>
      </c>
      <c r="BK43" s="306" t="str">
        <f t="shared" ca="1" si="63"/>
        <v xml:space="preserve"> (og)</v>
      </c>
      <c r="BL43" s="306" t="str">
        <f t="shared" ca="1" si="64"/>
        <v xml:space="preserve"> (og)</v>
      </c>
      <c r="BN43" s="306" t="str">
        <f t="shared" ca="1" si="65"/>
        <v xml:space="preserve"> (og)</v>
      </c>
      <c r="BO43" s="306" t="str">
        <f t="shared" ca="1" si="66"/>
        <v xml:space="preserve"> (og)</v>
      </c>
      <c r="BQ43" s="306" t="str">
        <f t="shared" ca="1" si="67"/>
        <v xml:space="preserve"> (og)</v>
      </c>
      <c r="BR43" s="306" t="str">
        <f t="shared" ca="1" si="68"/>
        <v xml:space="preserve"> (og)</v>
      </c>
      <c r="BT43" s="306" t="str">
        <f t="shared" ca="1" si="69"/>
        <v>Netherlands</v>
      </c>
      <c r="BU43" s="306">
        <v>14</v>
      </c>
      <c r="BV43" s="306">
        <v>0</v>
      </c>
      <c r="BW43" s="306" t="str">
        <f ca="1">OFFSET(C3,BU43,BV43)</f>
        <v>Nathan Aké</v>
      </c>
      <c r="BX43" s="306">
        <f ca="1">COUNTIF('Group Stages'!J7:J102,BW43)</f>
        <v>0</v>
      </c>
      <c r="BY43" s="306">
        <f ca="1">COUNTIF('Group Stages'!K7:K102,BW43)</f>
        <v>0</v>
      </c>
      <c r="BZ43" s="306">
        <f ca="1">COUNTIF('Group Stages'!L7:L102,BW43)</f>
        <v>0</v>
      </c>
      <c r="CA43" s="306">
        <f ca="1">COUNTIF('Group Stages'!M7:M102,BW43)</f>
        <v>0</v>
      </c>
      <c r="CB43" s="306">
        <f ca="1">COUNTIF('Group Stages'!N7:N102,BW43)</f>
        <v>0</v>
      </c>
      <c r="CC43" s="306">
        <f ca="1">COUNTIF('Group Stages'!O7:O102,BW43)</f>
        <v>0</v>
      </c>
      <c r="CD43" s="306">
        <f ca="1">COUNTIF('Group Stages'!P7:P102,BW43)</f>
        <v>0</v>
      </c>
      <c r="CE43" s="306">
        <f ca="1">COUNTIF('Group Stages'!Q7:Q102,BW43)</f>
        <v>0</v>
      </c>
      <c r="CF43" s="306">
        <f ca="1">COUNTIF('Knock Out Stages'!K7:K50,BW43)</f>
        <v>0</v>
      </c>
      <c r="CG43" s="306">
        <f ca="1">COUNTIF('Knock Out Stages'!L7:L50,BW43)</f>
        <v>0</v>
      </c>
      <c r="CH43" s="306">
        <f ca="1">COUNTIF('Knock Out Stages'!M7:M50,BW43)</f>
        <v>0</v>
      </c>
      <c r="CI43" s="306">
        <f ca="1">COUNTIF('Knock Out Stages'!N7:N50,BW43)</f>
        <v>0</v>
      </c>
      <c r="CJ43" s="306">
        <f ca="1">COUNTIF('Knock Out Stages'!O7:O50,BW43)</f>
        <v>0</v>
      </c>
      <c r="CK43" s="306">
        <f ca="1">COUNTIF('Knock Out Stages'!P7:P50,BW43)</f>
        <v>0</v>
      </c>
      <c r="CL43" s="306">
        <f ca="1">COUNTIF('Knock Out Stages'!Q7:Q50,BW43)</f>
        <v>0</v>
      </c>
      <c r="CM43" s="306">
        <f ca="1">COUNTIF('Knock Out Stages'!R7:R50,BW43)</f>
        <v>0</v>
      </c>
      <c r="CN43" s="306">
        <f ca="1">IF(RIGHT('Group Stages'!$B$105,5)="T.com",SUM(BX43:CM43),0)</f>
        <v>0</v>
      </c>
      <c r="CO43" s="306">
        <f ca="1">RANK(CN43,CN3:CN834)+COUNTIF(CN3:CN43,CN43)-1</f>
        <v>41</v>
      </c>
      <c r="CP43" s="306" t="str">
        <f t="shared" ca="1" si="2"/>
        <v>Nathan Aké (Netherlands)</v>
      </c>
    </row>
    <row r="44" spans="1:94" x14ac:dyDescent="0.3">
      <c r="A44" s="306">
        <f t="shared" si="4"/>
        <v>16</v>
      </c>
      <c r="B44" s="306" t="str">
        <f t="shared" si="5"/>
        <v>Noa Lang (og)</v>
      </c>
      <c r="C44" s="306" t="str">
        <f t="shared" si="6"/>
        <v>Mamadou Loum (og)</v>
      </c>
      <c r="D44" s="306" t="str">
        <f t="shared" si="7"/>
        <v>Mamadou Loum (og)</v>
      </c>
      <c r="E44" s="306" t="str">
        <f t="shared" si="8"/>
        <v>Mamadou Loum (og)</v>
      </c>
      <c r="F44" s="306" t="str">
        <f t="shared" si="9"/>
        <v>Morteza Pouraliganji (og)</v>
      </c>
      <c r="G44" s="306" t="str">
        <f t="shared" si="10"/>
        <v>Jude Bellingham (og)</v>
      </c>
      <c r="H44" s="306" t="str">
        <f t="shared" si="11"/>
        <v>Jude Bellingham (og)</v>
      </c>
      <c r="I44" s="306" t="str">
        <f t="shared" si="12"/>
        <v>Jude Bellingham (og)</v>
      </c>
      <c r="J44" s="306" t="str">
        <f t="shared" si="13"/>
        <v>Mohammed Al-Owais (og)</v>
      </c>
      <c r="K44" s="306" t="str">
        <f t="shared" si="14"/>
        <v>Lautaro Martínez (og)</v>
      </c>
      <c r="L44" s="306" t="str">
        <f t="shared" si="15"/>
        <v>Lautaro Martínez (og)</v>
      </c>
      <c r="M44" s="306" t="str">
        <f t="shared" si="16"/>
        <v>Lautaro Martínez (og)</v>
      </c>
      <c r="N44" s="306" t="str">
        <f t="shared" si="17"/>
        <v>Mohamed Dräger (og)</v>
      </c>
      <c r="O44" s="306" t="str">
        <f t="shared" si="18"/>
        <v>Martin Braithwaite (og)</v>
      </c>
      <c r="P44" s="306" t="str">
        <f t="shared" si="19"/>
        <v>Martin Braithwaite (og)</v>
      </c>
      <c r="Q44" s="306" t="str">
        <f t="shared" si="20"/>
        <v>Martin Braithwaite (og)</v>
      </c>
      <c r="R44" s="306" t="str">
        <f t="shared" si="21"/>
        <v>Ritsu Doan (og)</v>
      </c>
      <c r="S44" s="306" t="str">
        <f t="shared" si="22"/>
        <v>Manuel Neuer (og)</v>
      </c>
      <c r="T44" s="306" t="str">
        <f t="shared" si="23"/>
        <v>Manuel Neuer (og)</v>
      </c>
      <c r="U44" s="306" t="str">
        <f t="shared" si="24"/>
        <v>Manuel Neuer (og)</v>
      </c>
      <c r="V44" s="306" t="str">
        <f t="shared" si="25"/>
        <v>Kristijan Jakić (og)</v>
      </c>
      <c r="W44" s="306" t="str">
        <f t="shared" si="26"/>
        <v>Noussair Mazraoui (og)</v>
      </c>
      <c r="X44" s="306" t="str">
        <f t="shared" si="27"/>
        <v>Noussair Mazraoui (og)</v>
      </c>
      <c r="Y44" s="306" t="str">
        <f t="shared" si="28"/>
        <v>Noussair Mazraoui (og)</v>
      </c>
      <c r="Z44" s="306" t="str">
        <f t="shared" si="29"/>
        <v>Nemanja Radonjić (og)</v>
      </c>
      <c r="AA44" s="306" t="str">
        <f t="shared" si="30"/>
        <v>Gabriel Martinelli (og)</v>
      </c>
      <c r="AB44" s="306" t="str">
        <f t="shared" si="31"/>
        <v>Gabriel Martinelli (og)</v>
      </c>
      <c r="AC44" s="306" t="str">
        <f t="shared" si="32"/>
        <v>Gabriel Martinelli (og)</v>
      </c>
      <c r="AD44" s="306" t="str">
        <f t="shared" si="33"/>
        <v>Jordan Ayew (og)</v>
      </c>
      <c r="AE44" s="306" t="str">
        <f t="shared" si="34"/>
        <v>Nuno Mendes (og)</v>
      </c>
      <c r="AF44" s="306" t="str">
        <f t="shared" si="35"/>
        <v>Nuno Mendes (og)</v>
      </c>
      <c r="AG44" s="306" t="str">
        <f t="shared" si="36"/>
        <v>Nuno Mendes (og)</v>
      </c>
      <c r="AI44" s="306" t="str">
        <f t="shared" ca="1" si="37"/>
        <v xml:space="preserve"> (og)</v>
      </c>
      <c r="AJ44" s="306" t="str">
        <f t="shared" ca="1" si="38"/>
        <v xml:space="preserve"> (og)</v>
      </c>
      <c r="AK44" s="306" t="str">
        <f t="shared" ca="1" si="39"/>
        <v xml:space="preserve"> (og)</v>
      </c>
      <c r="AL44" s="306" t="str">
        <f t="shared" ca="1" si="40"/>
        <v xml:space="preserve"> (og)</v>
      </c>
      <c r="AM44" s="306" t="str">
        <f t="shared" ca="1" si="41"/>
        <v xml:space="preserve"> (og)</v>
      </c>
      <c r="AN44" s="306" t="str">
        <f t="shared" ca="1" si="42"/>
        <v xml:space="preserve"> (og)</v>
      </c>
      <c r="AO44" s="306" t="str">
        <f t="shared" ca="1" si="43"/>
        <v xml:space="preserve"> (og)</v>
      </c>
      <c r="AP44" s="306" t="str">
        <f t="shared" ca="1" si="44"/>
        <v xml:space="preserve"> (og)</v>
      </c>
      <c r="AQ44" s="306" t="str">
        <f t="shared" ca="1" si="45"/>
        <v xml:space="preserve"> (og)</v>
      </c>
      <c r="AR44" s="306" t="str">
        <f t="shared" ca="1" si="46"/>
        <v xml:space="preserve"> (og)</v>
      </c>
      <c r="AS44" s="306" t="str">
        <f t="shared" ca="1" si="47"/>
        <v xml:space="preserve"> (og)</v>
      </c>
      <c r="AT44" s="306" t="str">
        <f t="shared" ca="1" si="48"/>
        <v xml:space="preserve"> (og)</v>
      </c>
      <c r="AU44" s="306" t="str">
        <f t="shared" ca="1" si="49"/>
        <v xml:space="preserve"> (og)</v>
      </c>
      <c r="AV44" s="306" t="str">
        <f t="shared" ca="1" si="50"/>
        <v xml:space="preserve"> (og)</v>
      </c>
      <c r="AW44" s="306" t="str">
        <f t="shared" ca="1" si="51"/>
        <v xml:space="preserve"> (og)</v>
      </c>
      <c r="AX44" s="306" t="str">
        <f t="shared" ca="1" si="52"/>
        <v xml:space="preserve"> (og)</v>
      </c>
      <c r="AZ44" s="306" t="str">
        <f t="shared" ca="1" si="53"/>
        <v xml:space="preserve"> (og)</v>
      </c>
      <c r="BA44" s="306" t="str">
        <f t="shared" ca="1" si="54"/>
        <v xml:space="preserve"> (og)</v>
      </c>
      <c r="BB44" s="306" t="str">
        <f t="shared" ca="1" si="55"/>
        <v xml:space="preserve"> (og)</v>
      </c>
      <c r="BC44" s="306" t="str">
        <f t="shared" ca="1" si="56"/>
        <v xml:space="preserve"> (og)</v>
      </c>
      <c r="BD44" s="306" t="str">
        <f t="shared" ca="1" si="57"/>
        <v xml:space="preserve"> (og)</v>
      </c>
      <c r="BE44" s="306" t="str">
        <f t="shared" ca="1" si="58"/>
        <v xml:space="preserve"> (og)</v>
      </c>
      <c r="BF44" s="306" t="str">
        <f t="shared" ca="1" si="59"/>
        <v xml:space="preserve"> (og)</v>
      </c>
      <c r="BG44" s="306" t="str">
        <f t="shared" ca="1" si="60"/>
        <v xml:space="preserve"> (og)</v>
      </c>
      <c r="BI44" s="306" t="str">
        <f t="shared" ca="1" si="61"/>
        <v xml:space="preserve"> (og)</v>
      </c>
      <c r="BJ44" s="306" t="str">
        <f t="shared" ca="1" si="62"/>
        <v xml:space="preserve"> (og)</v>
      </c>
      <c r="BK44" s="306" t="str">
        <f t="shared" ca="1" si="63"/>
        <v xml:space="preserve"> (og)</v>
      </c>
      <c r="BL44" s="306" t="str">
        <f t="shared" ca="1" si="64"/>
        <v xml:space="preserve"> (og)</v>
      </c>
      <c r="BN44" s="306" t="str">
        <f t="shared" ca="1" si="65"/>
        <v xml:space="preserve"> (og)</v>
      </c>
      <c r="BO44" s="306" t="str">
        <f t="shared" ca="1" si="66"/>
        <v xml:space="preserve"> (og)</v>
      </c>
      <c r="BQ44" s="306" t="str">
        <f t="shared" ca="1" si="67"/>
        <v xml:space="preserve"> (og)</v>
      </c>
      <c r="BR44" s="306" t="str">
        <f t="shared" ca="1" si="68"/>
        <v xml:space="preserve"> (og)</v>
      </c>
      <c r="BT44" s="306" t="str">
        <f t="shared" ca="1" si="69"/>
        <v>Netherlands</v>
      </c>
      <c r="BU44" s="306">
        <v>15</v>
      </c>
      <c r="BV44" s="306">
        <v>0</v>
      </c>
      <c r="BW44" s="306" t="str">
        <f ca="1">OFFSET(C3,BU44,BV44)</f>
        <v>Noa Lang</v>
      </c>
      <c r="BX44" s="306">
        <f ca="1">COUNTIF('Group Stages'!J7:J102,BW44)</f>
        <v>0</v>
      </c>
      <c r="BY44" s="306">
        <f ca="1">COUNTIF('Group Stages'!K7:K102,BW44)</f>
        <v>0</v>
      </c>
      <c r="BZ44" s="306">
        <f ca="1">COUNTIF('Group Stages'!L7:L102,BW44)</f>
        <v>0</v>
      </c>
      <c r="CA44" s="306">
        <f ca="1">COUNTIF('Group Stages'!M7:M102,BW44)</f>
        <v>0</v>
      </c>
      <c r="CB44" s="306">
        <f ca="1">COUNTIF('Group Stages'!N7:N102,BW44)</f>
        <v>0</v>
      </c>
      <c r="CC44" s="306">
        <f ca="1">COUNTIF('Group Stages'!O7:O102,BW44)</f>
        <v>0</v>
      </c>
      <c r="CD44" s="306">
        <f ca="1">COUNTIF('Group Stages'!P7:P102,BW44)</f>
        <v>0</v>
      </c>
      <c r="CE44" s="306">
        <f ca="1">COUNTIF('Group Stages'!Q7:Q102,BW44)</f>
        <v>0</v>
      </c>
      <c r="CF44" s="306">
        <f ca="1">COUNTIF('Knock Out Stages'!K7:K50,BW44)</f>
        <v>0</v>
      </c>
      <c r="CG44" s="306">
        <f ca="1">COUNTIF('Knock Out Stages'!L7:L50,BW44)</f>
        <v>0</v>
      </c>
      <c r="CH44" s="306">
        <f ca="1">COUNTIF('Knock Out Stages'!M7:M50,BW44)</f>
        <v>0</v>
      </c>
      <c r="CI44" s="306">
        <f ca="1">COUNTIF('Knock Out Stages'!N7:N50,BW44)</f>
        <v>0</v>
      </c>
      <c r="CJ44" s="306">
        <f ca="1">COUNTIF('Knock Out Stages'!O7:O50,BW44)</f>
        <v>0</v>
      </c>
      <c r="CK44" s="306">
        <f ca="1">COUNTIF('Knock Out Stages'!P7:P50,BW44)</f>
        <v>0</v>
      </c>
      <c r="CL44" s="306">
        <f ca="1">COUNTIF('Knock Out Stages'!Q7:Q50,BW44)</f>
        <v>0</v>
      </c>
      <c r="CM44" s="306">
        <f ca="1">COUNTIF('Knock Out Stages'!R7:R50,BW44)</f>
        <v>0</v>
      </c>
      <c r="CN44" s="306">
        <f ca="1">IF(RIGHT('Group Stages'!$B$105,5)="T.com",SUM(BX44:CM44),0)</f>
        <v>0</v>
      </c>
      <c r="CO44" s="306">
        <f ca="1">RANK(CN44,CN3:CN834)+COUNTIF(CN3:CN44,CN44)-1</f>
        <v>42</v>
      </c>
      <c r="CP44" s="306" t="str">
        <f t="shared" ca="1" si="2"/>
        <v>Noa Lang (Netherlands)</v>
      </c>
    </row>
    <row r="45" spans="1:94" x14ac:dyDescent="0.3">
      <c r="A45" s="306">
        <f t="shared" si="4"/>
        <v>17</v>
      </c>
      <c r="B45" s="306" t="str">
        <f t="shared" si="5"/>
        <v>Remko Pasveer (og)</v>
      </c>
      <c r="C45" s="306" t="str">
        <f t="shared" si="6"/>
        <v>Moustapha Name (og)</v>
      </c>
      <c r="D45" s="306" t="str">
        <f t="shared" si="7"/>
        <v>Moustapha Name (og)</v>
      </c>
      <c r="E45" s="306" t="str">
        <f t="shared" si="8"/>
        <v>Moustapha Name (og)</v>
      </c>
      <c r="F45" s="306" t="str">
        <f t="shared" si="9"/>
        <v>Payam Niazmand (og)</v>
      </c>
      <c r="G45" s="306" t="str">
        <f t="shared" si="10"/>
        <v>Kalvin Phillips (og)</v>
      </c>
      <c r="H45" s="306" t="str">
        <f t="shared" si="11"/>
        <v>Kalvin Phillips (og)</v>
      </c>
      <c r="I45" s="306" t="str">
        <f t="shared" si="12"/>
        <v>Kalvin Phillips (og)</v>
      </c>
      <c r="J45" s="306" t="str">
        <f t="shared" si="13"/>
        <v>Nasser Al-Dawsari (og)</v>
      </c>
      <c r="K45" s="306" t="str">
        <f t="shared" si="14"/>
        <v>Leandro Paredes (og)</v>
      </c>
      <c r="L45" s="306" t="str">
        <f t="shared" si="15"/>
        <v>Leandro Paredes (og)</v>
      </c>
      <c r="M45" s="306" t="str">
        <f t="shared" si="16"/>
        <v>Leandro Paredes (og)</v>
      </c>
      <c r="N45" s="306" t="str">
        <f t="shared" si="17"/>
        <v>Montassar Talbi (og)</v>
      </c>
      <c r="O45" s="306" t="str">
        <f t="shared" si="18"/>
        <v>Mathias Jensen (og)</v>
      </c>
      <c r="P45" s="306" t="str">
        <f t="shared" si="19"/>
        <v>Mathias Jensen (og)</v>
      </c>
      <c r="Q45" s="306" t="str">
        <f t="shared" si="20"/>
        <v>Mathias Jensen (og)</v>
      </c>
      <c r="R45" s="306" t="str">
        <f t="shared" si="21"/>
        <v>Shōgo Taniguchi (og)</v>
      </c>
      <c r="S45" s="306" t="str">
        <f t="shared" si="22"/>
        <v>Marc-André ter Stegen (og)</v>
      </c>
      <c r="T45" s="306" t="str">
        <f t="shared" si="23"/>
        <v>Marc-André ter Stegen (og)</v>
      </c>
      <c r="U45" s="306" t="str">
        <f t="shared" si="24"/>
        <v>Marc-André ter Stegen (og)</v>
      </c>
      <c r="V45" s="306" t="str">
        <f t="shared" si="25"/>
        <v>Lovro Majer (og)</v>
      </c>
      <c r="W45" s="306" t="str">
        <f t="shared" si="26"/>
        <v>Romain Saïss (og)</v>
      </c>
      <c r="X45" s="306" t="str">
        <f t="shared" si="27"/>
        <v>Romain Saïss (og)</v>
      </c>
      <c r="Y45" s="306" t="str">
        <f t="shared" si="28"/>
        <v>Romain Saïss (og)</v>
      </c>
      <c r="Z45" s="306" t="str">
        <f t="shared" si="29"/>
        <v>Nikola Milenković (og)</v>
      </c>
      <c r="AA45" s="306" t="str">
        <f t="shared" si="30"/>
        <v>Lucas Paquetá (og)</v>
      </c>
      <c r="AB45" s="306" t="str">
        <f t="shared" si="31"/>
        <v>Lucas Paquetá (og)</v>
      </c>
      <c r="AC45" s="306" t="str">
        <f t="shared" si="32"/>
        <v>Lucas Paquetá (og)</v>
      </c>
      <c r="AD45" s="306" t="str">
        <f t="shared" si="33"/>
        <v>Joseph Aidoo (og)</v>
      </c>
      <c r="AE45" s="306" t="str">
        <f t="shared" si="34"/>
        <v>Otávio (og)</v>
      </c>
      <c r="AF45" s="306" t="str">
        <f t="shared" si="35"/>
        <v>Otávio (og)</v>
      </c>
      <c r="AG45" s="306" t="str">
        <f t="shared" si="36"/>
        <v>Otávio (og)</v>
      </c>
      <c r="AI45" s="306" t="str">
        <f t="shared" ca="1" si="37"/>
        <v xml:space="preserve"> (og)</v>
      </c>
      <c r="AJ45" s="306" t="str">
        <f t="shared" ca="1" si="38"/>
        <v xml:space="preserve"> (og)</v>
      </c>
      <c r="AK45" s="306" t="str">
        <f t="shared" ca="1" si="39"/>
        <v xml:space="preserve"> (og)</v>
      </c>
      <c r="AL45" s="306" t="str">
        <f t="shared" ca="1" si="40"/>
        <v xml:space="preserve"> (og)</v>
      </c>
      <c r="AM45" s="306" t="str">
        <f t="shared" ca="1" si="41"/>
        <v xml:space="preserve"> (og)</v>
      </c>
      <c r="AN45" s="306" t="str">
        <f t="shared" ca="1" si="42"/>
        <v xml:space="preserve"> (og)</v>
      </c>
      <c r="AO45" s="306" t="str">
        <f t="shared" ca="1" si="43"/>
        <v xml:space="preserve"> (og)</v>
      </c>
      <c r="AP45" s="306" t="str">
        <f t="shared" ca="1" si="44"/>
        <v xml:space="preserve"> (og)</v>
      </c>
      <c r="AQ45" s="306" t="str">
        <f t="shared" ca="1" si="45"/>
        <v xml:space="preserve"> (og)</v>
      </c>
      <c r="AR45" s="306" t="str">
        <f t="shared" ca="1" si="46"/>
        <v xml:space="preserve"> (og)</v>
      </c>
      <c r="AS45" s="306" t="str">
        <f t="shared" ca="1" si="47"/>
        <v xml:space="preserve"> (og)</v>
      </c>
      <c r="AT45" s="306" t="str">
        <f t="shared" ca="1" si="48"/>
        <v xml:space="preserve"> (og)</v>
      </c>
      <c r="AU45" s="306" t="str">
        <f t="shared" ca="1" si="49"/>
        <v xml:space="preserve"> (og)</v>
      </c>
      <c r="AV45" s="306" t="str">
        <f t="shared" ca="1" si="50"/>
        <v xml:space="preserve"> (og)</v>
      </c>
      <c r="AW45" s="306" t="str">
        <f t="shared" ca="1" si="51"/>
        <v xml:space="preserve"> (og)</v>
      </c>
      <c r="AX45" s="306" t="str">
        <f t="shared" ca="1" si="52"/>
        <v xml:space="preserve"> (og)</v>
      </c>
      <c r="AZ45" s="306" t="str">
        <f t="shared" ca="1" si="53"/>
        <v xml:space="preserve"> (og)</v>
      </c>
      <c r="BA45" s="306" t="str">
        <f t="shared" ca="1" si="54"/>
        <v xml:space="preserve"> (og)</v>
      </c>
      <c r="BB45" s="306" t="str">
        <f t="shared" ca="1" si="55"/>
        <v xml:space="preserve"> (og)</v>
      </c>
      <c r="BC45" s="306" t="str">
        <f t="shared" ca="1" si="56"/>
        <v xml:space="preserve"> (og)</v>
      </c>
      <c r="BD45" s="306" t="str">
        <f t="shared" ca="1" si="57"/>
        <v xml:space="preserve"> (og)</v>
      </c>
      <c r="BE45" s="306" t="str">
        <f t="shared" ca="1" si="58"/>
        <v xml:space="preserve"> (og)</v>
      </c>
      <c r="BF45" s="306" t="str">
        <f t="shared" ca="1" si="59"/>
        <v xml:space="preserve"> (og)</v>
      </c>
      <c r="BG45" s="306" t="str">
        <f t="shared" ca="1" si="60"/>
        <v xml:space="preserve"> (og)</v>
      </c>
      <c r="BI45" s="306" t="str">
        <f t="shared" ca="1" si="61"/>
        <v xml:space="preserve"> (og)</v>
      </c>
      <c r="BJ45" s="306" t="str">
        <f t="shared" ca="1" si="62"/>
        <v xml:space="preserve"> (og)</v>
      </c>
      <c r="BK45" s="306" t="str">
        <f t="shared" ca="1" si="63"/>
        <v xml:space="preserve"> (og)</v>
      </c>
      <c r="BL45" s="306" t="str">
        <f t="shared" ca="1" si="64"/>
        <v xml:space="preserve"> (og)</v>
      </c>
      <c r="BN45" s="306" t="str">
        <f t="shared" ca="1" si="65"/>
        <v xml:space="preserve"> (og)</v>
      </c>
      <c r="BO45" s="306" t="str">
        <f t="shared" ca="1" si="66"/>
        <v xml:space="preserve"> (og)</v>
      </c>
      <c r="BQ45" s="306" t="str">
        <f t="shared" ca="1" si="67"/>
        <v xml:space="preserve"> (og)</v>
      </c>
      <c r="BR45" s="306" t="str">
        <f t="shared" ca="1" si="68"/>
        <v xml:space="preserve"> (og)</v>
      </c>
      <c r="BT45" s="306" t="str">
        <f t="shared" ca="1" si="69"/>
        <v>Netherlands</v>
      </c>
      <c r="BU45" s="306">
        <v>16</v>
      </c>
      <c r="BV45" s="306">
        <v>0</v>
      </c>
      <c r="BW45" s="306" t="str">
        <f ca="1">OFFSET(C3,BU45,BV45)</f>
        <v>Remko Pasveer</v>
      </c>
      <c r="BX45" s="306">
        <f ca="1">COUNTIF('Group Stages'!J7:J102,BW45)</f>
        <v>0</v>
      </c>
      <c r="BY45" s="306">
        <f ca="1">COUNTIF('Group Stages'!K7:K102,BW45)</f>
        <v>0</v>
      </c>
      <c r="BZ45" s="306">
        <f ca="1">COUNTIF('Group Stages'!L7:L102,BW45)</f>
        <v>0</v>
      </c>
      <c r="CA45" s="306">
        <f ca="1">COUNTIF('Group Stages'!M7:M102,BW45)</f>
        <v>0</v>
      </c>
      <c r="CB45" s="306">
        <f ca="1">COUNTIF('Group Stages'!N7:N102,BW45)</f>
        <v>0</v>
      </c>
      <c r="CC45" s="306">
        <f ca="1">COUNTIF('Group Stages'!O7:O102,BW45)</f>
        <v>0</v>
      </c>
      <c r="CD45" s="306">
        <f ca="1">COUNTIF('Group Stages'!P7:P102,BW45)</f>
        <v>0</v>
      </c>
      <c r="CE45" s="306">
        <f ca="1">COUNTIF('Group Stages'!Q7:Q102,BW45)</f>
        <v>0</v>
      </c>
      <c r="CF45" s="306">
        <f ca="1">COUNTIF('Knock Out Stages'!K7:K50,BW45)</f>
        <v>0</v>
      </c>
      <c r="CG45" s="306">
        <f ca="1">COUNTIF('Knock Out Stages'!L7:L50,BW45)</f>
        <v>0</v>
      </c>
      <c r="CH45" s="306">
        <f ca="1">COUNTIF('Knock Out Stages'!M7:M50,BW45)</f>
        <v>0</v>
      </c>
      <c r="CI45" s="306">
        <f ca="1">COUNTIF('Knock Out Stages'!N7:N50,BW45)</f>
        <v>0</v>
      </c>
      <c r="CJ45" s="306">
        <f ca="1">COUNTIF('Knock Out Stages'!O7:O50,BW45)</f>
        <v>0</v>
      </c>
      <c r="CK45" s="306">
        <f ca="1">COUNTIF('Knock Out Stages'!P7:P50,BW45)</f>
        <v>0</v>
      </c>
      <c r="CL45" s="306">
        <f ca="1">COUNTIF('Knock Out Stages'!Q7:Q50,BW45)</f>
        <v>0</v>
      </c>
      <c r="CM45" s="306">
        <f ca="1">COUNTIF('Knock Out Stages'!R7:R50,BW45)</f>
        <v>0</v>
      </c>
      <c r="CN45" s="306">
        <f ca="1">IF(RIGHT('Group Stages'!$B$105,5)="T.com",SUM(BX45:CM45),0)</f>
        <v>0</v>
      </c>
      <c r="CO45" s="306">
        <f ca="1">RANK(CN45,CN3:CN834)+COUNTIF(CN3:CN45,CN45)-1</f>
        <v>43</v>
      </c>
      <c r="CP45" s="306" t="str">
        <f t="shared" ca="1" si="2"/>
        <v>Remko Pasveer (Netherlands)</v>
      </c>
    </row>
    <row r="46" spans="1:94" x14ac:dyDescent="0.3">
      <c r="A46" s="306">
        <f t="shared" si="4"/>
        <v>18</v>
      </c>
      <c r="B46" s="306" t="str">
        <f t="shared" si="5"/>
        <v>Stefan de Vrij (og)</v>
      </c>
      <c r="C46" s="306" t="str">
        <f t="shared" si="6"/>
        <v>Nampalys Mendy (og)</v>
      </c>
      <c r="D46" s="306" t="str">
        <f t="shared" si="7"/>
        <v>Nampalys Mendy (og)</v>
      </c>
      <c r="E46" s="306" t="str">
        <f t="shared" si="8"/>
        <v>Nampalys Mendy (og)</v>
      </c>
      <c r="F46" s="306" t="str">
        <f t="shared" si="9"/>
        <v>Ramin Rezaeian (og)</v>
      </c>
      <c r="G46" s="306" t="str">
        <f t="shared" si="10"/>
        <v>Kieran Trippier (og)</v>
      </c>
      <c r="H46" s="306" t="str">
        <f t="shared" si="11"/>
        <v>Kieran Trippier (og)</v>
      </c>
      <c r="I46" s="306" t="str">
        <f t="shared" si="12"/>
        <v>Kieran Trippier (og)</v>
      </c>
      <c r="J46" s="306" t="str">
        <f t="shared" si="13"/>
        <v>Nawaf Al-Aqidi (og)</v>
      </c>
      <c r="K46" s="306" t="str">
        <f t="shared" si="14"/>
        <v>Lionel Messi (og)</v>
      </c>
      <c r="L46" s="306" t="str">
        <f t="shared" si="15"/>
        <v>Lionel Messi (og)</v>
      </c>
      <c r="M46" s="306" t="str">
        <f t="shared" si="16"/>
        <v>Lionel Messi (og)</v>
      </c>
      <c r="N46" s="306" t="str">
        <f t="shared" si="17"/>
        <v>Mouez Hassen (og)</v>
      </c>
      <c r="O46" s="306" t="str">
        <f t="shared" si="18"/>
        <v>Mikkel Damsgaard (og)</v>
      </c>
      <c r="P46" s="306" t="str">
        <f t="shared" si="19"/>
        <v>Mikkel Damsgaard (og)</v>
      </c>
      <c r="Q46" s="306" t="str">
        <f t="shared" si="20"/>
        <v>Mikkel Damsgaard (og)</v>
      </c>
      <c r="R46" s="306" t="str">
        <f t="shared" si="21"/>
        <v>Shūichi Gonda (og)</v>
      </c>
      <c r="S46" s="306" t="str">
        <f t="shared" si="22"/>
        <v>Mario Götze (og)</v>
      </c>
      <c r="T46" s="306" t="str">
        <f t="shared" si="23"/>
        <v>Mario Götze (og)</v>
      </c>
      <c r="U46" s="306" t="str">
        <f t="shared" si="24"/>
        <v>Mario Götze (og)</v>
      </c>
      <c r="V46" s="306" t="str">
        <f t="shared" si="25"/>
        <v>Luka Modrić (og)</v>
      </c>
      <c r="W46" s="306" t="str">
        <f t="shared" si="26"/>
        <v>Selim Amallah (og)</v>
      </c>
      <c r="X46" s="306" t="str">
        <f t="shared" si="27"/>
        <v>Selim Amallah (og)</v>
      </c>
      <c r="Y46" s="306" t="str">
        <f t="shared" si="28"/>
        <v>Selim Amallah (og)</v>
      </c>
      <c r="Z46" s="306" t="str">
        <f t="shared" si="29"/>
        <v>Predrag Rajković (og)</v>
      </c>
      <c r="AA46" s="306" t="str">
        <f t="shared" si="30"/>
        <v>Marquinhos (og)</v>
      </c>
      <c r="AB46" s="306" t="str">
        <f t="shared" si="31"/>
        <v>Marquinhos (og)</v>
      </c>
      <c r="AC46" s="306" t="str">
        <f t="shared" si="32"/>
        <v>Marquinhos (og)</v>
      </c>
      <c r="AD46" s="306" t="str">
        <f t="shared" si="33"/>
        <v>Kamal Sowah (og)</v>
      </c>
      <c r="AE46" s="306" t="str">
        <f t="shared" si="34"/>
        <v>Pepe (og)</v>
      </c>
      <c r="AF46" s="306" t="str">
        <f t="shared" si="35"/>
        <v>Pepe (og)</v>
      </c>
      <c r="AG46" s="306" t="str">
        <f t="shared" si="36"/>
        <v>Pepe (og)</v>
      </c>
      <c r="AI46" s="306" t="str">
        <f t="shared" ca="1" si="37"/>
        <v xml:space="preserve"> (og)</v>
      </c>
      <c r="AJ46" s="306" t="str">
        <f t="shared" ca="1" si="38"/>
        <v xml:space="preserve"> (og)</v>
      </c>
      <c r="AK46" s="306" t="str">
        <f t="shared" ca="1" si="39"/>
        <v xml:space="preserve"> (og)</v>
      </c>
      <c r="AL46" s="306" t="str">
        <f t="shared" ca="1" si="40"/>
        <v xml:space="preserve"> (og)</v>
      </c>
      <c r="AM46" s="306" t="str">
        <f t="shared" ca="1" si="41"/>
        <v xml:space="preserve"> (og)</v>
      </c>
      <c r="AN46" s="306" t="str">
        <f t="shared" ca="1" si="42"/>
        <v xml:space="preserve"> (og)</v>
      </c>
      <c r="AO46" s="306" t="str">
        <f t="shared" ca="1" si="43"/>
        <v xml:space="preserve"> (og)</v>
      </c>
      <c r="AP46" s="306" t="str">
        <f t="shared" ca="1" si="44"/>
        <v xml:space="preserve"> (og)</v>
      </c>
      <c r="AQ46" s="306" t="str">
        <f t="shared" ca="1" si="45"/>
        <v xml:space="preserve"> (og)</v>
      </c>
      <c r="AR46" s="306" t="str">
        <f t="shared" ca="1" si="46"/>
        <v xml:space="preserve"> (og)</v>
      </c>
      <c r="AS46" s="306" t="str">
        <f t="shared" ca="1" si="47"/>
        <v xml:space="preserve"> (og)</v>
      </c>
      <c r="AT46" s="306" t="str">
        <f t="shared" ca="1" si="48"/>
        <v xml:space="preserve"> (og)</v>
      </c>
      <c r="AU46" s="306" t="str">
        <f t="shared" ca="1" si="49"/>
        <v xml:space="preserve"> (og)</v>
      </c>
      <c r="AV46" s="306" t="str">
        <f t="shared" ca="1" si="50"/>
        <v xml:space="preserve"> (og)</v>
      </c>
      <c r="AW46" s="306" t="str">
        <f t="shared" ca="1" si="51"/>
        <v xml:space="preserve"> (og)</v>
      </c>
      <c r="AX46" s="306" t="str">
        <f t="shared" ca="1" si="52"/>
        <v xml:space="preserve"> (og)</v>
      </c>
      <c r="AZ46" s="306" t="str">
        <f t="shared" ca="1" si="53"/>
        <v xml:space="preserve"> (og)</v>
      </c>
      <c r="BA46" s="306" t="str">
        <f t="shared" ca="1" si="54"/>
        <v xml:space="preserve"> (og)</v>
      </c>
      <c r="BB46" s="306" t="str">
        <f t="shared" ca="1" si="55"/>
        <v xml:space="preserve"> (og)</v>
      </c>
      <c r="BC46" s="306" t="str">
        <f t="shared" ca="1" si="56"/>
        <v xml:space="preserve"> (og)</v>
      </c>
      <c r="BD46" s="306" t="str">
        <f t="shared" ca="1" si="57"/>
        <v xml:space="preserve"> (og)</v>
      </c>
      <c r="BE46" s="306" t="str">
        <f t="shared" ca="1" si="58"/>
        <v xml:space="preserve"> (og)</v>
      </c>
      <c r="BF46" s="306" t="str">
        <f t="shared" ca="1" si="59"/>
        <v xml:space="preserve"> (og)</v>
      </c>
      <c r="BG46" s="306" t="str">
        <f t="shared" ca="1" si="60"/>
        <v xml:space="preserve"> (og)</v>
      </c>
      <c r="BI46" s="306" t="str">
        <f t="shared" ca="1" si="61"/>
        <v xml:space="preserve"> (og)</v>
      </c>
      <c r="BJ46" s="306" t="str">
        <f t="shared" ca="1" si="62"/>
        <v xml:space="preserve"> (og)</v>
      </c>
      <c r="BK46" s="306" t="str">
        <f t="shared" ca="1" si="63"/>
        <v xml:space="preserve"> (og)</v>
      </c>
      <c r="BL46" s="306" t="str">
        <f t="shared" ca="1" si="64"/>
        <v xml:space="preserve"> (og)</v>
      </c>
      <c r="BN46" s="306" t="str">
        <f t="shared" ca="1" si="65"/>
        <v xml:space="preserve"> (og)</v>
      </c>
      <c r="BO46" s="306" t="str">
        <f t="shared" ca="1" si="66"/>
        <v xml:space="preserve"> (og)</v>
      </c>
      <c r="BQ46" s="306" t="str">
        <f t="shared" ca="1" si="67"/>
        <v xml:space="preserve"> (og)</v>
      </c>
      <c r="BR46" s="306" t="str">
        <f t="shared" ca="1" si="68"/>
        <v xml:space="preserve"> (og)</v>
      </c>
      <c r="BT46" s="306" t="str">
        <f t="shared" ca="1" si="69"/>
        <v>Netherlands</v>
      </c>
      <c r="BU46" s="306">
        <v>17</v>
      </c>
      <c r="BV46" s="306">
        <v>0</v>
      </c>
      <c r="BW46" s="306" t="str">
        <f ca="1">OFFSET(C3,BU46,BV46)</f>
        <v>Stefan de Vrij</v>
      </c>
      <c r="BX46" s="306">
        <f ca="1">COUNTIF('Group Stages'!J7:J102,BW46)</f>
        <v>0</v>
      </c>
      <c r="BY46" s="306">
        <f ca="1">COUNTIF('Group Stages'!K7:K102,BW46)</f>
        <v>0</v>
      </c>
      <c r="BZ46" s="306">
        <f ca="1">COUNTIF('Group Stages'!L7:L102,BW46)</f>
        <v>0</v>
      </c>
      <c r="CA46" s="306">
        <f ca="1">COUNTIF('Group Stages'!M7:M102,BW46)</f>
        <v>0</v>
      </c>
      <c r="CB46" s="306">
        <f ca="1">COUNTIF('Group Stages'!N7:N102,BW46)</f>
        <v>0</v>
      </c>
      <c r="CC46" s="306">
        <f ca="1">COUNTIF('Group Stages'!O7:O102,BW46)</f>
        <v>0</v>
      </c>
      <c r="CD46" s="306">
        <f ca="1">COUNTIF('Group Stages'!P7:P102,BW46)</f>
        <v>0</v>
      </c>
      <c r="CE46" s="306">
        <f ca="1">COUNTIF('Group Stages'!Q7:Q102,BW46)</f>
        <v>0</v>
      </c>
      <c r="CF46" s="306">
        <f ca="1">COUNTIF('Knock Out Stages'!K7:K50,BW46)</f>
        <v>0</v>
      </c>
      <c r="CG46" s="306">
        <f ca="1">COUNTIF('Knock Out Stages'!L7:L50,BW46)</f>
        <v>0</v>
      </c>
      <c r="CH46" s="306">
        <f ca="1">COUNTIF('Knock Out Stages'!M7:M50,BW46)</f>
        <v>0</v>
      </c>
      <c r="CI46" s="306">
        <f ca="1">COUNTIF('Knock Out Stages'!N7:N50,BW46)</f>
        <v>0</v>
      </c>
      <c r="CJ46" s="306">
        <f ca="1">COUNTIF('Knock Out Stages'!O7:O50,BW46)</f>
        <v>0</v>
      </c>
      <c r="CK46" s="306">
        <f ca="1">COUNTIF('Knock Out Stages'!P7:P50,BW46)</f>
        <v>0</v>
      </c>
      <c r="CL46" s="306">
        <f ca="1">COUNTIF('Knock Out Stages'!Q7:Q50,BW46)</f>
        <v>0</v>
      </c>
      <c r="CM46" s="306">
        <f ca="1">COUNTIF('Knock Out Stages'!R7:R50,BW46)</f>
        <v>0</v>
      </c>
      <c r="CN46" s="306">
        <f ca="1">IF(RIGHT('Group Stages'!$B$105,5)="T.com",SUM(BX46:CM46),0)</f>
        <v>0</v>
      </c>
      <c r="CO46" s="306">
        <f ca="1">RANK(CN46,CN3:CN834)+COUNTIF(CN3:CN46,CN46)-1</f>
        <v>44</v>
      </c>
      <c r="CP46" s="306" t="str">
        <f t="shared" ca="1" si="2"/>
        <v>Stefan de Vrij (Netherlands)</v>
      </c>
    </row>
    <row r="47" spans="1:94" x14ac:dyDescent="0.3">
      <c r="A47" s="306">
        <f t="shared" si="4"/>
        <v>19</v>
      </c>
      <c r="B47" s="306" t="str">
        <f t="shared" si="5"/>
        <v>Steven Berghuis (og)</v>
      </c>
      <c r="C47" s="306" t="str">
        <f t="shared" si="6"/>
        <v>Nicolas Jackson (og)</v>
      </c>
      <c r="D47" s="306" t="str">
        <f t="shared" si="7"/>
        <v>Nicolas Jackson (og)</v>
      </c>
      <c r="E47" s="306" t="str">
        <f t="shared" si="8"/>
        <v>Nicolas Jackson (og)</v>
      </c>
      <c r="F47" s="306" t="str">
        <f t="shared" si="9"/>
        <v>Rouzbeh Cheshmi (og)</v>
      </c>
      <c r="G47" s="306" t="str">
        <f t="shared" si="10"/>
        <v>Kyle Walker (og)</v>
      </c>
      <c r="H47" s="306" t="str">
        <f t="shared" si="11"/>
        <v>Kyle Walker (og)</v>
      </c>
      <c r="I47" s="306" t="str">
        <f t="shared" si="12"/>
        <v>Kyle Walker (og)</v>
      </c>
      <c r="J47" s="306" t="str">
        <f t="shared" si="13"/>
        <v>Riyadh Sharahili (og)</v>
      </c>
      <c r="K47" s="306" t="str">
        <f t="shared" si="14"/>
        <v>Lisandro Martínez (og)</v>
      </c>
      <c r="L47" s="306" t="str">
        <f t="shared" si="15"/>
        <v>Lisandro Martínez (og)</v>
      </c>
      <c r="M47" s="306" t="str">
        <f t="shared" si="16"/>
        <v>Lisandro Martínez (og)</v>
      </c>
      <c r="N47" s="306" t="str">
        <f t="shared" si="17"/>
        <v>Nader Ghandri (og)</v>
      </c>
      <c r="O47" s="306" t="str">
        <f t="shared" si="18"/>
        <v>Oliver Christensen (og)</v>
      </c>
      <c r="P47" s="306" t="str">
        <f t="shared" si="19"/>
        <v>Oliver Christensen (og)</v>
      </c>
      <c r="Q47" s="306" t="str">
        <f t="shared" si="20"/>
        <v>Oliver Christensen (og)</v>
      </c>
      <c r="R47" s="306" t="str">
        <f t="shared" si="21"/>
        <v>Shūto Machino (og)</v>
      </c>
      <c r="S47" s="306" t="str">
        <f t="shared" si="22"/>
        <v>Matthias Ginter (og)</v>
      </c>
      <c r="T47" s="306" t="str">
        <f t="shared" si="23"/>
        <v>Matthias Ginter (og)</v>
      </c>
      <c r="U47" s="306" t="str">
        <f t="shared" si="24"/>
        <v>Matthias Ginter (og)</v>
      </c>
      <c r="V47" s="306" t="str">
        <f t="shared" si="25"/>
        <v>Luka Sučić (og)</v>
      </c>
      <c r="W47" s="306" t="str">
        <f t="shared" si="26"/>
        <v>Sofiane Boufal (og)</v>
      </c>
      <c r="X47" s="306" t="str">
        <f t="shared" si="27"/>
        <v>Sofiane Boufal (og)</v>
      </c>
      <c r="Y47" s="306" t="str">
        <f t="shared" si="28"/>
        <v>Sofiane Boufal (og)</v>
      </c>
      <c r="Z47" s="306" t="str">
        <f t="shared" si="29"/>
        <v>Saša Lukić (og)</v>
      </c>
      <c r="AA47" s="306" t="str">
        <f t="shared" si="30"/>
        <v>Neymar (og)</v>
      </c>
      <c r="AB47" s="306" t="str">
        <f t="shared" si="31"/>
        <v>Neymar (og)</v>
      </c>
      <c r="AC47" s="306" t="str">
        <f t="shared" si="32"/>
        <v>Neymar (og)</v>
      </c>
      <c r="AD47" s="306" t="str">
        <f t="shared" si="33"/>
        <v>Kamaldeen Sulemana (og)</v>
      </c>
      <c r="AE47" s="306" t="str">
        <f t="shared" si="34"/>
        <v>Rafael Leão (og)</v>
      </c>
      <c r="AF47" s="306" t="str">
        <f t="shared" si="35"/>
        <v>Rafael Leão (og)</v>
      </c>
      <c r="AG47" s="306" t="str">
        <f t="shared" si="36"/>
        <v>Rafael Leão (og)</v>
      </c>
      <c r="AI47" s="306" t="str">
        <f t="shared" ca="1" si="37"/>
        <v xml:space="preserve"> (og)</v>
      </c>
      <c r="AJ47" s="306" t="str">
        <f t="shared" ca="1" si="38"/>
        <v xml:space="preserve"> (og)</v>
      </c>
      <c r="AK47" s="306" t="str">
        <f t="shared" ca="1" si="39"/>
        <v xml:space="preserve"> (og)</v>
      </c>
      <c r="AL47" s="306" t="str">
        <f t="shared" ca="1" si="40"/>
        <v xml:space="preserve"> (og)</v>
      </c>
      <c r="AM47" s="306" t="str">
        <f t="shared" ca="1" si="41"/>
        <v xml:space="preserve"> (og)</v>
      </c>
      <c r="AN47" s="306" t="str">
        <f t="shared" ca="1" si="42"/>
        <v xml:space="preserve"> (og)</v>
      </c>
      <c r="AO47" s="306" t="str">
        <f t="shared" ca="1" si="43"/>
        <v xml:space="preserve"> (og)</v>
      </c>
      <c r="AP47" s="306" t="str">
        <f t="shared" ca="1" si="44"/>
        <v xml:space="preserve"> (og)</v>
      </c>
      <c r="AQ47" s="306" t="str">
        <f t="shared" ca="1" si="45"/>
        <v xml:space="preserve"> (og)</v>
      </c>
      <c r="AR47" s="306" t="str">
        <f t="shared" ca="1" si="46"/>
        <v xml:space="preserve"> (og)</v>
      </c>
      <c r="AS47" s="306" t="str">
        <f t="shared" ca="1" si="47"/>
        <v xml:space="preserve"> (og)</v>
      </c>
      <c r="AT47" s="306" t="str">
        <f t="shared" ca="1" si="48"/>
        <v xml:space="preserve"> (og)</v>
      </c>
      <c r="AU47" s="306" t="str">
        <f t="shared" ca="1" si="49"/>
        <v xml:space="preserve"> (og)</v>
      </c>
      <c r="AV47" s="306" t="str">
        <f t="shared" ca="1" si="50"/>
        <v xml:space="preserve"> (og)</v>
      </c>
      <c r="AW47" s="306" t="str">
        <f t="shared" ca="1" si="51"/>
        <v xml:space="preserve"> (og)</v>
      </c>
      <c r="AX47" s="306" t="str">
        <f t="shared" ca="1" si="52"/>
        <v xml:space="preserve"> (og)</v>
      </c>
      <c r="AZ47" s="306" t="str">
        <f t="shared" ca="1" si="53"/>
        <v xml:space="preserve"> (og)</v>
      </c>
      <c r="BA47" s="306" t="str">
        <f t="shared" ca="1" si="54"/>
        <v xml:space="preserve"> (og)</v>
      </c>
      <c r="BB47" s="306" t="str">
        <f t="shared" ca="1" si="55"/>
        <v xml:space="preserve"> (og)</v>
      </c>
      <c r="BC47" s="306" t="str">
        <f t="shared" ca="1" si="56"/>
        <v xml:space="preserve"> (og)</v>
      </c>
      <c r="BD47" s="306" t="str">
        <f t="shared" ca="1" si="57"/>
        <v xml:space="preserve"> (og)</v>
      </c>
      <c r="BE47" s="306" t="str">
        <f t="shared" ca="1" si="58"/>
        <v xml:space="preserve"> (og)</v>
      </c>
      <c r="BF47" s="306" t="str">
        <f t="shared" ca="1" si="59"/>
        <v xml:space="preserve"> (og)</v>
      </c>
      <c r="BG47" s="306" t="str">
        <f t="shared" ca="1" si="60"/>
        <v xml:space="preserve"> (og)</v>
      </c>
      <c r="BI47" s="306" t="str">
        <f t="shared" ca="1" si="61"/>
        <v xml:space="preserve"> (og)</v>
      </c>
      <c r="BJ47" s="306" t="str">
        <f t="shared" ca="1" si="62"/>
        <v xml:space="preserve"> (og)</v>
      </c>
      <c r="BK47" s="306" t="str">
        <f t="shared" ca="1" si="63"/>
        <v xml:space="preserve"> (og)</v>
      </c>
      <c r="BL47" s="306" t="str">
        <f t="shared" ca="1" si="64"/>
        <v xml:space="preserve"> (og)</v>
      </c>
      <c r="BN47" s="306" t="str">
        <f t="shared" ca="1" si="65"/>
        <v xml:space="preserve"> (og)</v>
      </c>
      <c r="BO47" s="306" t="str">
        <f t="shared" ca="1" si="66"/>
        <v xml:space="preserve"> (og)</v>
      </c>
      <c r="BQ47" s="306" t="str">
        <f t="shared" ca="1" si="67"/>
        <v xml:space="preserve"> (og)</v>
      </c>
      <c r="BR47" s="306" t="str">
        <f t="shared" ca="1" si="68"/>
        <v xml:space="preserve"> (og)</v>
      </c>
      <c r="BT47" s="306" t="str">
        <f t="shared" ca="1" si="69"/>
        <v>Netherlands</v>
      </c>
      <c r="BU47" s="306">
        <v>18</v>
      </c>
      <c r="BV47" s="306">
        <v>0</v>
      </c>
      <c r="BW47" s="306" t="str">
        <f ca="1">OFFSET(C3,BU47,BV47)</f>
        <v>Steven Berghuis</v>
      </c>
      <c r="BX47" s="306">
        <f ca="1">COUNTIF('Group Stages'!J7:J102,BW47)</f>
        <v>0</v>
      </c>
      <c r="BY47" s="306">
        <f ca="1">COUNTIF('Group Stages'!K7:K102,BW47)</f>
        <v>0</v>
      </c>
      <c r="BZ47" s="306">
        <f ca="1">COUNTIF('Group Stages'!L7:L102,BW47)</f>
        <v>0</v>
      </c>
      <c r="CA47" s="306">
        <f ca="1">COUNTIF('Group Stages'!M7:M102,BW47)</f>
        <v>0</v>
      </c>
      <c r="CB47" s="306">
        <f ca="1">COUNTIF('Group Stages'!N7:N102,BW47)</f>
        <v>0</v>
      </c>
      <c r="CC47" s="306">
        <f ca="1">COUNTIF('Group Stages'!O7:O102,BW47)</f>
        <v>0</v>
      </c>
      <c r="CD47" s="306">
        <f ca="1">COUNTIF('Group Stages'!P7:P102,BW47)</f>
        <v>0</v>
      </c>
      <c r="CE47" s="306">
        <f ca="1">COUNTIF('Group Stages'!Q7:Q102,BW47)</f>
        <v>0</v>
      </c>
      <c r="CF47" s="306">
        <f ca="1">COUNTIF('Knock Out Stages'!K7:K50,BW47)</f>
        <v>0</v>
      </c>
      <c r="CG47" s="306">
        <f ca="1">COUNTIF('Knock Out Stages'!L7:L50,BW47)</f>
        <v>0</v>
      </c>
      <c r="CH47" s="306">
        <f ca="1">COUNTIF('Knock Out Stages'!M7:M50,BW47)</f>
        <v>0</v>
      </c>
      <c r="CI47" s="306">
        <f ca="1">COUNTIF('Knock Out Stages'!N7:N50,BW47)</f>
        <v>0</v>
      </c>
      <c r="CJ47" s="306">
        <f ca="1">COUNTIF('Knock Out Stages'!O7:O50,BW47)</f>
        <v>0</v>
      </c>
      <c r="CK47" s="306">
        <f ca="1">COUNTIF('Knock Out Stages'!P7:P50,BW47)</f>
        <v>0</v>
      </c>
      <c r="CL47" s="306">
        <f ca="1">COUNTIF('Knock Out Stages'!Q7:Q50,BW47)</f>
        <v>0</v>
      </c>
      <c r="CM47" s="306">
        <f ca="1">COUNTIF('Knock Out Stages'!R7:R50,BW47)</f>
        <v>0</v>
      </c>
      <c r="CN47" s="306">
        <f ca="1">IF(RIGHT('Group Stages'!$B$105,5)="T.com",SUM(BX47:CM47),0)</f>
        <v>0</v>
      </c>
      <c r="CO47" s="306">
        <f ca="1">RANK(CN47,CN3:CN834)+COUNTIF(CN3:CN47,CN47)-1</f>
        <v>45</v>
      </c>
      <c r="CP47" s="306" t="str">
        <f t="shared" ca="1" si="2"/>
        <v>Steven Berghuis (Netherlands)</v>
      </c>
    </row>
    <row r="48" spans="1:94" x14ac:dyDescent="0.3">
      <c r="A48" s="306">
        <f t="shared" si="4"/>
        <v>20</v>
      </c>
      <c r="B48" s="306" t="str">
        <f t="shared" si="5"/>
        <v>Steven Bergwijn (og)</v>
      </c>
      <c r="C48" s="306" t="str">
        <f t="shared" si="6"/>
        <v>Pape Abou Cissé (og)</v>
      </c>
      <c r="D48" s="306" t="str">
        <f t="shared" si="7"/>
        <v>Pape Abou Cissé (og)</v>
      </c>
      <c r="E48" s="306" t="str">
        <f t="shared" si="8"/>
        <v>Pape Abou Cissé (og)</v>
      </c>
      <c r="F48" s="306" t="str">
        <f t="shared" si="9"/>
        <v>Sadegh Moharrami (og)</v>
      </c>
      <c r="G48" s="306" t="str">
        <f t="shared" si="10"/>
        <v>Luke Shaw (og)</v>
      </c>
      <c r="H48" s="306" t="str">
        <f t="shared" si="11"/>
        <v>Luke Shaw (og)</v>
      </c>
      <c r="I48" s="306" t="str">
        <f t="shared" si="12"/>
        <v>Luke Shaw (og)</v>
      </c>
      <c r="J48" s="306" t="str">
        <f t="shared" si="13"/>
        <v>Saleh Al-Shehri (og)</v>
      </c>
      <c r="K48" s="306" t="str">
        <f t="shared" si="14"/>
        <v>Marcos Acuña (og)</v>
      </c>
      <c r="L48" s="306" t="str">
        <f t="shared" si="15"/>
        <v>Marcos Acuña (og)</v>
      </c>
      <c r="M48" s="306" t="str">
        <f t="shared" si="16"/>
        <v>Marcos Acuña (og)</v>
      </c>
      <c r="N48" s="306" t="str">
        <f t="shared" si="17"/>
        <v>Naïm Sliti (og)</v>
      </c>
      <c r="O48" s="306" t="str">
        <f t="shared" si="18"/>
        <v>Pierre-Emile Højbjerg (og)</v>
      </c>
      <c r="P48" s="306" t="str">
        <f t="shared" si="19"/>
        <v>Pierre-Emile Højbjerg (og)</v>
      </c>
      <c r="Q48" s="306" t="str">
        <f t="shared" si="20"/>
        <v>Pierre-Emile Højbjerg (og)</v>
      </c>
      <c r="R48" s="306" t="str">
        <f t="shared" si="21"/>
        <v>Takefusa Kubo (og)</v>
      </c>
      <c r="S48" s="306" t="str">
        <f t="shared" si="22"/>
        <v>Niclas Füllkrug (og)</v>
      </c>
      <c r="T48" s="306" t="str">
        <f t="shared" si="23"/>
        <v>Niclas Füllkrug (og)</v>
      </c>
      <c r="U48" s="306" t="str">
        <f t="shared" si="24"/>
        <v>Niclas Füllkrug (og)</v>
      </c>
      <c r="V48" s="306" t="str">
        <f t="shared" si="25"/>
        <v>Marcelo Brozović (og)</v>
      </c>
      <c r="W48" s="306" t="str">
        <f t="shared" si="26"/>
        <v>Sofyan Amrabat (og)</v>
      </c>
      <c r="X48" s="306" t="str">
        <f t="shared" si="27"/>
        <v>Sofyan Amrabat (og)</v>
      </c>
      <c r="Y48" s="306" t="str">
        <f t="shared" si="28"/>
        <v>Sofyan Amrabat (og)</v>
      </c>
      <c r="Z48" s="306" t="str">
        <f t="shared" si="29"/>
        <v>Sergej Milinković-Savić (og)</v>
      </c>
      <c r="AA48" s="306" t="str">
        <f t="shared" si="30"/>
        <v>Pedro (og)</v>
      </c>
      <c r="AB48" s="306" t="str">
        <f t="shared" si="31"/>
        <v>Pedro (og)</v>
      </c>
      <c r="AC48" s="306" t="str">
        <f t="shared" si="32"/>
        <v>Pedro (og)</v>
      </c>
      <c r="AD48" s="306" t="str">
        <f t="shared" si="33"/>
        <v>Lawrence Ati-Zigi (og)</v>
      </c>
      <c r="AE48" s="306" t="str">
        <f t="shared" si="34"/>
        <v>Raphaël Guerreiro (og)</v>
      </c>
      <c r="AF48" s="306" t="str">
        <f t="shared" si="35"/>
        <v>Raphaël Guerreiro (og)</v>
      </c>
      <c r="AG48" s="306" t="str">
        <f t="shared" si="36"/>
        <v>Raphaël Guerreiro (og)</v>
      </c>
      <c r="AI48" s="306" t="str">
        <f t="shared" ca="1" si="37"/>
        <v xml:space="preserve"> (og)</v>
      </c>
      <c r="AJ48" s="306" t="str">
        <f t="shared" ca="1" si="38"/>
        <v xml:space="preserve"> (og)</v>
      </c>
      <c r="AK48" s="306" t="str">
        <f t="shared" ca="1" si="39"/>
        <v xml:space="preserve"> (og)</v>
      </c>
      <c r="AL48" s="306" t="str">
        <f t="shared" ca="1" si="40"/>
        <v xml:space="preserve"> (og)</v>
      </c>
      <c r="AM48" s="306" t="str">
        <f t="shared" ca="1" si="41"/>
        <v xml:space="preserve"> (og)</v>
      </c>
      <c r="AN48" s="306" t="str">
        <f t="shared" ca="1" si="42"/>
        <v xml:space="preserve"> (og)</v>
      </c>
      <c r="AO48" s="306" t="str">
        <f t="shared" ca="1" si="43"/>
        <v xml:space="preserve"> (og)</v>
      </c>
      <c r="AP48" s="306" t="str">
        <f t="shared" ca="1" si="44"/>
        <v xml:space="preserve"> (og)</v>
      </c>
      <c r="AQ48" s="306" t="str">
        <f t="shared" ca="1" si="45"/>
        <v xml:space="preserve"> (og)</v>
      </c>
      <c r="AR48" s="306" t="str">
        <f t="shared" ca="1" si="46"/>
        <v xml:space="preserve"> (og)</v>
      </c>
      <c r="AS48" s="306" t="str">
        <f t="shared" ca="1" si="47"/>
        <v xml:space="preserve"> (og)</v>
      </c>
      <c r="AT48" s="306" t="str">
        <f t="shared" ca="1" si="48"/>
        <v xml:space="preserve"> (og)</v>
      </c>
      <c r="AU48" s="306" t="str">
        <f t="shared" ca="1" si="49"/>
        <v xml:space="preserve"> (og)</v>
      </c>
      <c r="AV48" s="306" t="str">
        <f t="shared" ca="1" si="50"/>
        <v xml:space="preserve"> (og)</v>
      </c>
      <c r="AW48" s="306" t="str">
        <f t="shared" ca="1" si="51"/>
        <v xml:space="preserve"> (og)</v>
      </c>
      <c r="AX48" s="306" t="str">
        <f t="shared" ca="1" si="52"/>
        <v xml:space="preserve"> (og)</v>
      </c>
      <c r="AZ48" s="306" t="str">
        <f t="shared" ca="1" si="53"/>
        <v xml:space="preserve"> (og)</v>
      </c>
      <c r="BA48" s="306" t="str">
        <f t="shared" ca="1" si="54"/>
        <v xml:space="preserve"> (og)</v>
      </c>
      <c r="BB48" s="306" t="str">
        <f t="shared" ca="1" si="55"/>
        <v xml:space="preserve"> (og)</v>
      </c>
      <c r="BC48" s="306" t="str">
        <f t="shared" ca="1" si="56"/>
        <v xml:space="preserve"> (og)</v>
      </c>
      <c r="BD48" s="306" t="str">
        <f t="shared" ca="1" si="57"/>
        <v xml:space="preserve"> (og)</v>
      </c>
      <c r="BE48" s="306" t="str">
        <f t="shared" ca="1" si="58"/>
        <v xml:space="preserve"> (og)</v>
      </c>
      <c r="BF48" s="306" t="str">
        <f t="shared" ca="1" si="59"/>
        <v xml:space="preserve"> (og)</v>
      </c>
      <c r="BG48" s="306" t="str">
        <f t="shared" ca="1" si="60"/>
        <v xml:space="preserve"> (og)</v>
      </c>
      <c r="BI48" s="306" t="str">
        <f t="shared" ca="1" si="61"/>
        <v xml:space="preserve"> (og)</v>
      </c>
      <c r="BJ48" s="306" t="str">
        <f t="shared" ca="1" si="62"/>
        <v xml:space="preserve"> (og)</v>
      </c>
      <c r="BK48" s="306" t="str">
        <f t="shared" ca="1" si="63"/>
        <v xml:space="preserve"> (og)</v>
      </c>
      <c r="BL48" s="306" t="str">
        <f t="shared" ca="1" si="64"/>
        <v xml:space="preserve"> (og)</v>
      </c>
      <c r="BN48" s="306" t="str">
        <f t="shared" ca="1" si="65"/>
        <v xml:space="preserve"> (og)</v>
      </c>
      <c r="BO48" s="306" t="str">
        <f t="shared" ca="1" si="66"/>
        <v xml:space="preserve"> (og)</v>
      </c>
      <c r="BQ48" s="306" t="str">
        <f t="shared" ca="1" si="67"/>
        <v xml:space="preserve"> (og)</v>
      </c>
      <c r="BR48" s="306" t="str">
        <f t="shared" ca="1" si="68"/>
        <v xml:space="preserve"> (og)</v>
      </c>
      <c r="BT48" s="306" t="str">
        <f t="shared" ca="1" si="69"/>
        <v>Netherlands</v>
      </c>
      <c r="BU48" s="306">
        <v>19</v>
      </c>
      <c r="BV48" s="306">
        <v>0</v>
      </c>
      <c r="BW48" s="306" t="str">
        <f ca="1">OFFSET(C3,BU48,BV48)</f>
        <v>Steven Bergwijn</v>
      </c>
      <c r="BX48" s="306">
        <f ca="1">COUNTIF('Group Stages'!J7:J102,BW48)</f>
        <v>0</v>
      </c>
      <c r="BY48" s="306">
        <f ca="1">COUNTIF('Group Stages'!K7:K102,BW48)</f>
        <v>0</v>
      </c>
      <c r="BZ48" s="306">
        <f ca="1">COUNTIF('Group Stages'!L7:L102,BW48)</f>
        <v>0</v>
      </c>
      <c r="CA48" s="306">
        <f ca="1">COUNTIF('Group Stages'!M7:M102,BW48)</f>
        <v>0</v>
      </c>
      <c r="CB48" s="306">
        <f ca="1">COUNTIF('Group Stages'!N7:N102,BW48)</f>
        <v>0</v>
      </c>
      <c r="CC48" s="306">
        <f ca="1">COUNTIF('Group Stages'!O7:O102,BW48)</f>
        <v>0</v>
      </c>
      <c r="CD48" s="306">
        <f ca="1">COUNTIF('Group Stages'!P7:P102,BW48)</f>
        <v>0</v>
      </c>
      <c r="CE48" s="306">
        <f ca="1">COUNTIF('Group Stages'!Q7:Q102,BW48)</f>
        <v>0</v>
      </c>
      <c r="CF48" s="306">
        <f ca="1">COUNTIF('Knock Out Stages'!K7:K50,BW48)</f>
        <v>0</v>
      </c>
      <c r="CG48" s="306">
        <f ca="1">COUNTIF('Knock Out Stages'!L7:L50,BW48)</f>
        <v>0</v>
      </c>
      <c r="CH48" s="306">
        <f ca="1">COUNTIF('Knock Out Stages'!M7:M50,BW48)</f>
        <v>0</v>
      </c>
      <c r="CI48" s="306">
        <f ca="1">COUNTIF('Knock Out Stages'!N7:N50,BW48)</f>
        <v>0</v>
      </c>
      <c r="CJ48" s="306">
        <f ca="1">COUNTIF('Knock Out Stages'!O7:O50,BW48)</f>
        <v>0</v>
      </c>
      <c r="CK48" s="306">
        <f ca="1">COUNTIF('Knock Out Stages'!P7:P50,BW48)</f>
        <v>0</v>
      </c>
      <c r="CL48" s="306">
        <f ca="1">COUNTIF('Knock Out Stages'!Q7:Q50,BW48)</f>
        <v>0</v>
      </c>
      <c r="CM48" s="306">
        <f ca="1">COUNTIF('Knock Out Stages'!R7:R50,BW48)</f>
        <v>0</v>
      </c>
      <c r="CN48" s="306">
        <f ca="1">IF(RIGHT('Group Stages'!$B$105,5)="T.com",SUM(BX48:CM48),0)</f>
        <v>0</v>
      </c>
      <c r="CO48" s="306">
        <f ca="1">RANK(CN48,CN3:CN834)+COUNTIF(CN3:CN48,CN48)-1</f>
        <v>46</v>
      </c>
      <c r="CP48" s="306" t="str">
        <f t="shared" ca="1" si="2"/>
        <v>Steven Bergwijn (Netherlands)</v>
      </c>
    </row>
    <row r="49" spans="1:94" x14ac:dyDescent="0.3">
      <c r="A49" s="306">
        <f t="shared" si="4"/>
        <v>21</v>
      </c>
      <c r="B49" s="306" t="str">
        <f t="shared" si="5"/>
        <v>Teun Koopmeiners (og)</v>
      </c>
      <c r="C49" s="306" t="str">
        <f t="shared" si="6"/>
        <v>Pape Gueye (og)</v>
      </c>
      <c r="D49" s="306" t="str">
        <f t="shared" si="7"/>
        <v>Pape Gueye (og)</v>
      </c>
      <c r="E49" s="306" t="str">
        <f t="shared" si="8"/>
        <v>Pape Gueye (og)</v>
      </c>
      <c r="F49" s="306" t="str">
        <f t="shared" si="9"/>
        <v>Saeid Ezatolahi (og)</v>
      </c>
      <c r="G49" s="306" t="str">
        <f t="shared" si="10"/>
        <v>Marcus Rashford (og)</v>
      </c>
      <c r="H49" s="306" t="str">
        <f t="shared" si="11"/>
        <v>Marcus Rashford (og)</v>
      </c>
      <c r="I49" s="306" t="str">
        <f t="shared" si="12"/>
        <v>Marcus Rashford (og)</v>
      </c>
      <c r="J49" s="306" t="str">
        <f t="shared" si="13"/>
        <v>Salem Al-Dawsari (og)</v>
      </c>
      <c r="K49" s="306" t="str">
        <f t="shared" si="14"/>
        <v>Nahuel Molina (og)</v>
      </c>
      <c r="L49" s="306" t="str">
        <f t="shared" si="15"/>
        <v>Nahuel Molina (og)</v>
      </c>
      <c r="M49" s="306" t="str">
        <f t="shared" si="16"/>
        <v>Nahuel Molina (og)</v>
      </c>
      <c r="N49" s="306" t="str">
        <f t="shared" si="17"/>
        <v>Seifeddine Jaziri (og)</v>
      </c>
      <c r="O49" s="306" t="str">
        <f t="shared" si="18"/>
        <v>Rasmus Kristensen (og)</v>
      </c>
      <c r="P49" s="306" t="str">
        <f t="shared" si="19"/>
        <v>Rasmus Kristensen (og)</v>
      </c>
      <c r="Q49" s="306" t="str">
        <f t="shared" si="20"/>
        <v>Rasmus Kristensen (og)</v>
      </c>
      <c r="R49" s="306" t="str">
        <f t="shared" si="21"/>
        <v>Takehiro Tomiyasu (og)</v>
      </c>
      <c r="S49" s="306" t="str">
        <f t="shared" si="22"/>
        <v>Nico Schlotterbeck (og)</v>
      </c>
      <c r="T49" s="306" t="str">
        <f t="shared" si="23"/>
        <v>Nico Schlotterbeck (og)</v>
      </c>
      <c r="U49" s="306" t="str">
        <f t="shared" si="24"/>
        <v>Nico Schlotterbeck (og)</v>
      </c>
      <c r="V49" s="306" t="str">
        <f t="shared" si="25"/>
        <v>Mario Pašalić (og)</v>
      </c>
      <c r="W49" s="306" t="str">
        <f t="shared" si="26"/>
        <v>Walid Cheddira (og)</v>
      </c>
      <c r="X49" s="306" t="str">
        <f t="shared" si="27"/>
        <v>Walid Cheddira (og)</v>
      </c>
      <c r="Y49" s="306" t="str">
        <f t="shared" si="28"/>
        <v>Walid Cheddira (og)</v>
      </c>
      <c r="Z49" s="306" t="str">
        <f t="shared" si="29"/>
        <v>Srđan Babić (og)</v>
      </c>
      <c r="AA49" s="306" t="str">
        <f t="shared" si="30"/>
        <v>Raphinha (og)</v>
      </c>
      <c r="AB49" s="306" t="str">
        <f t="shared" si="31"/>
        <v>Raphinha (og)</v>
      </c>
      <c r="AC49" s="306" t="str">
        <f t="shared" si="32"/>
        <v>Raphinha (og)</v>
      </c>
      <c r="AD49" s="306" t="str">
        <f t="shared" si="33"/>
        <v>Mohammed Kudus (og)</v>
      </c>
      <c r="AE49" s="306" t="str">
        <f t="shared" si="34"/>
        <v>Ricardo Horta (og)</v>
      </c>
      <c r="AF49" s="306" t="str">
        <f t="shared" si="35"/>
        <v>Ricardo Horta (og)</v>
      </c>
      <c r="AG49" s="306" t="str">
        <f t="shared" si="36"/>
        <v>Ricardo Horta (og)</v>
      </c>
      <c r="AI49" s="306" t="str">
        <f t="shared" ca="1" si="37"/>
        <v xml:space="preserve"> (og)</v>
      </c>
      <c r="AJ49" s="306" t="str">
        <f t="shared" ca="1" si="38"/>
        <v xml:space="preserve"> (og)</v>
      </c>
      <c r="AK49" s="306" t="str">
        <f t="shared" ca="1" si="39"/>
        <v xml:space="preserve"> (og)</v>
      </c>
      <c r="AL49" s="306" t="str">
        <f t="shared" ca="1" si="40"/>
        <v xml:space="preserve"> (og)</v>
      </c>
      <c r="AM49" s="306" t="str">
        <f t="shared" ca="1" si="41"/>
        <v xml:space="preserve"> (og)</v>
      </c>
      <c r="AN49" s="306" t="str">
        <f t="shared" ca="1" si="42"/>
        <v xml:space="preserve"> (og)</v>
      </c>
      <c r="AO49" s="306" t="str">
        <f t="shared" ca="1" si="43"/>
        <v xml:space="preserve"> (og)</v>
      </c>
      <c r="AP49" s="306" t="str">
        <f t="shared" ca="1" si="44"/>
        <v xml:space="preserve"> (og)</v>
      </c>
      <c r="AQ49" s="306" t="str">
        <f t="shared" ca="1" si="45"/>
        <v xml:space="preserve"> (og)</v>
      </c>
      <c r="AR49" s="306" t="str">
        <f t="shared" ca="1" si="46"/>
        <v xml:space="preserve"> (og)</v>
      </c>
      <c r="AS49" s="306" t="str">
        <f t="shared" ca="1" si="47"/>
        <v xml:space="preserve"> (og)</v>
      </c>
      <c r="AT49" s="306" t="str">
        <f t="shared" ca="1" si="48"/>
        <v xml:space="preserve"> (og)</v>
      </c>
      <c r="AU49" s="306" t="str">
        <f t="shared" ca="1" si="49"/>
        <v xml:space="preserve"> (og)</v>
      </c>
      <c r="AV49" s="306" t="str">
        <f t="shared" ca="1" si="50"/>
        <v xml:space="preserve"> (og)</v>
      </c>
      <c r="AW49" s="306" t="str">
        <f t="shared" ca="1" si="51"/>
        <v xml:space="preserve"> (og)</v>
      </c>
      <c r="AX49" s="306" t="str">
        <f t="shared" ca="1" si="52"/>
        <v xml:space="preserve"> (og)</v>
      </c>
      <c r="AZ49" s="306" t="str">
        <f t="shared" ca="1" si="53"/>
        <v xml:space="preserve"> (og)</v>
      </c>
      <c r="BA49" s="306" t="str">
        <f t="shared" ca="1" si="54"/>
        <v xml:space="preserve"> (og)</v>
      </c>
      <c r="BB49" s="306" t="str">
        <f t="shared" ca="1" si="55"/>
        <v xml:space="preserve"> (og)</v>
      </c>
      <c r="BC49" s="306" t="str">
        <f t="shared" ca="1" si="56"/>
        <v xml:space="preserve"> (og)</v>
      </c>
      <c r="BD49" s="306" t="str">
        <f t="shared" ca="1" si="57"/>
        <v xml:space="preserve"> (og)</v>
      </c>
      <c r="BE49" s="306" t="str">
        <f t="shared" ca="1" si="58"/>
        <v xml:space="preserve"> (og)</v>
      </c>
      <c r="BF49" s="306" t="str">
        <f t="shared" ca="1" si="59"/>
        <v xml:space="preserve"> (og)</v>
      </c>
      <c r="BG49" s="306" t="str">
        <f t="shared" ca="1" si="60"/>
        <v xml:space="preserve"> (og)</v>
      </c>
      <c r="BI49" s="306" t="str">
        <f t="shared" ca="1" si="61"/>
        <v xml:space="preserve"> (og)</v>
      </c>
      <c r="BJ49" s="306" t="str">
        <f t="shared" ca="1" si="62"/>
        <v xml:space="preserve"> (og)</v>
      </c>
      <c r="BK49" s="306" t="str">
        <f t="shared" ca="1" si="63"/>
        <v xml:space="preserve"> (og)</v>
      </c>
      <c r="BL49" s="306" t="str">
        <f t="shared" ca="1" si="64"/>
        <v xml:space="preserve"> (og)</v>
      </c>
      <c r="BN49" s="306" t="str">
        <f t="shared" ca="1" si="65"/>
        <v xml:space="preserve"> (og)</v>
      </c>
      <c r="BO49" s="306" t="str">
        <f t="shared" ca="1" si="66"/>
        <v xml:space="preserve"> (og)</v>
      </c>
      <c r="BQ49" s="306" t="str">
        <f t="shared" ca="1" si="67"/>
        <v xml:space="preserve"> (og)</v>
      </c>
      <c r="BR49" s="306" t="str">
        <f t="shared" ca="1" si="68"/>
        <v xml:space="preserve"> (og)</v>
      </c>
      <c r="BT49" s="306" t="str">
        <f t="shared" ca="1" si="69"/>
        <v>Netherlands</v>
      </c>
      <c r="BU49" s="306">
        <v>20</v>
      </c>
      <c r="BV49" s="306">
        <v>0</v>
      </c>
      <c r="BW49" s="306" t="str">
        <f ca="1">OFFSET(C3,BU49,BV49)</f>
        <v>Teun Koopmeiners</v>
      </c>
      <c r="BX49" s="306">
        <f ca="1">COUNTIF('Group Stages'!J7:J102,BW49)</f>
        <v>0</v>
      </c>
      <c r="BY49" s="306">
        <f ca="1">COUNTIF('Group Stages'!K7:K102,BW49)</f>
        <v>0</v>
      </c>
      <c r="BZ49" s="306">
        <f ca="1">COUNTIF('Group Stages'!L7:L102,BW49)</f>
        <v>0</v>
      </c>
      <c r="CA49" s="306">
        <f ca="1">COUNTIF('Group Stages'!M7:M102,BW49)</f>
        <v>0</v>
      </c>
      <c r="CB49" s="306">
        <f ca="1">COUNTIF('Group Stages'!N7:N102,BW49)</f>
        <v>0</v>
      </c>
      <c r="CC49" s="306">
        <f ca="1">COUNTIF('Group Stages'!O7:O102,BW49)</f>
        <v>0</v>
      </c>
      <c r="CD49" s="306">
        <f ca="1">COUNTIF('Group Stages'!P7:P102,BW49)</f>
        <v>0</v>
      </c>
      <c r="CE49" s="306">
        <f ca="1">COUNTIF('Group Stages'!Q7:Q102,BW49)</f>
        <v>0</v>
      </c>
      <c r="CF49" s="306">
        <f ca="1">COUNTIF('Knock Out Stages'!K7:K50,BW49)</f>
        <v>0</v>
      </c>
      <c r="CG49" s="306">
        <f ca="1">COUNTIF('Knock Out Stages'!L7:L50,BW49)</f>
        <v>0</v>
      </c>
      <c r="CH49" s="306">
        <f ca="1">COUNTIF('Knock Out Stages'!M7:M50,BW49)</f>
        <v>0</v>
      </c>
      <c r="CI49" s="306">
        <f ca="1">COUNTIF('Knock Out Stages'!N7:N50,BW49)</f>
        <v>0</v>
      </c>
      <c r="CJ49" s="306">
        <f ca="1">COUNTIF('Knock Out Stages'!O7:O50,BW49)</f>
        <v>0</v>
      </c>
      <c r="CK49" s="306">
        <f ca="1">COUNTIF('Knock Out Stages'!P7:P50,BW49)</f>
        <v>0</v>
      </c>
      <c r="CL49" s="306">
        <f ca="1">COUNTIF('Knock Out Stages'!Q7:Q50,BW49)</f>
        <v>0</v>
      </c>
      <c r="CM49" s="306">
        <f ca="1">COUNTIF('Knock Out Stages'!R7:R50,BW49)</f>
        <v>0</v>
      </c>
      <c r="CN49" s="306">
        <f ca="1">IF(RIGHT('Group Stages'!$B$105,5)="T.com",SUM(BX49:CM49),0)</f>
        <v>0</v>
      </c>
      <c r="CO49" s="306">
        <f ca="1">RANK(CN49,CN3:CN834)+COUNTIF(CN3:CN49,CN49)-1</f>
        <v>47</v>
      </c>
      <c r="CP49" s="306" t="str">
        <f t="shared" ca="1" si="2"/>
        <v>Teun Koopmeiners (Netherlands)</v>
      </c>
    </row>
    <row r="50" spans="1:94" x14ac:dyDescent="0.3">
      <c r="A50" s="306">
        <f t="shared" si="4"/>
        <v>22</v>
      </c>
      <c r="B50" s="306" t="str">
        <f t="shared" si="5"/>
        <v>Tyrell Malacia (og)</v>
      </c>
      <c r="C50" s="306" t="str">
        <f t="shared" si="6"/>
        <v>Pape Matar Sarr (og)</v>
      </c>
      <c r="D50" s="306" t="str">
        <f t="shared" si="7"/>
        <v>Pape Matar Sarr (og)</v>
      </c>
      <c r="E50" s="306" t="str">
        <f t="shared" si="8"/>
        <v>Pape Matar Sarr (og)</v>
      </c>
      <c r="F50" s="306" t="str">
        <f t="shared" si="9"/>
        <v>Saman Ghoddos (og)</v>
      </c>
      <c r="G50" s="306" t="str">
        <f t="shared" si="10"/>
        <v>Mason Mount (og)</v>
      </c>
      <c r="H50" s="306" t="str">
        <f t="shared" si="11"/>
        <v>Mason Mount (og)</v>
      </c>
      <c r="I50" s="306" t="str">
        <f t="shared" si="12"/>
        <v>Mason Mount (og)</v>
      </c>
      <c r="J50" s="306" t="str">
        <f t="shared" si="13"/>
        <v>Salman Al-Faraj (og)</v>
      </c>
      <c r="K50" s="306" t="str">
        <f t="shared" si="14"/>
        <v>Nicolás González (og)</v>
      </c>
      <c r="L50" s="306" t="str">
        <f t="shared" si="15"/>
        <v>Nicolás González (og)</v>
      </c>
      <c r="M50" s="306" t="str">
        <f t="shared" si="16"/>
        <v>Nicolás González (og)</v>
      </c>
      <c r="N50" s="306" t="str">
        <f t="shared" si="17"/>
        <v>Taha Yassine Khenissi (og)</v>
      </c>
      <c r="O50" s="306" t="str">
        <f t="shared" si="18"/>
        <v>Robert Skov (og)</v>
      </c>
      <c r="P50" s="306" t="str">
        <f t="shared" si="19"/>
        <v>Robert Skov (og)</v>
      </c>
      <c r="Q50" s="306" t="str">
        <f t="shared" si="20"/>
        <v>Robert Skov (og)</v>
      </c>
      <c r="R50" s="306" t="str">
        <f t="shared" si="21"/>
        <v>Takuma Asano (og)</v>
      </c>
      <c r="S50" s="306" t="str">
        <f t="shared" si="22"/>
        <v>Niklas Süle (og)</v>
      </c>
      <c r="T50" s="306" t="str">
        <f t="shared" si="23"/>
        <v>Niklas Süle (og)</v>
      </c>
      <c r="U50" s="306" t="str">
        <f t="shared" si="24"/>
        <v>Niklas Süle (og)</v>
      </c>
      <c r="V50" s="306" t="str">
        <f t="shared" si="25"/>
        <v>Marko Livaja (og)</v>
      </c>
      <c r="W50" s="306" t="str">
        <f t="shared" si="26"/>
        <v>Yahia Attiyat Allah (og)</v>
      </c>
      <c r="X50" s="306" t="str">
        <f t="shared" si="27"/>
        <v>Yahia Attiyat Allah (og)</v>
      </c>
      <c r="Y50" s="306" t="str">
        <f t="shared" si="28"/>
        <v>Yahia Attiyat Allah (og)</v>
      </c>
      <c r="Z50" s="306" t="str">
        <f t="shared" si="29"/>
        <v>Stefan Mitrović (og)</v>
      </c>
      <c r="AA50" s="306" t="str">
        <f t="shared" si="30"/>
        <v>Richarlison (og)</v>
      </c>
      <c r="AB50" s="306" t="str">
        <f t="shared" si="31"/>
        <v>Richarlison (og)</v>
      </c>
      <c r="AC50" s="306" t="str">
        <f t="shared" si="32"/>
        <v>Richarlison (og)</v>
      </c>
      <c r="AD50" s="306" t="str">
        <f t="shared" si="33"/>
        <v>Mohammed Salisu (og)</v>
      </c>
      <c r="AE50" s="306" t="str">
        <f t="shared" si="34"/>
        <v>Rúben Dias (og)</v>
      </c>
      <c r="AF50" s="306" t="str">
        <f t="shared" si="35"/>
        <v>Rúben Dias (og)</v>
      </c>
      <c r="AG50" s="306" t="str">
        <f t="shared" si="36"/>
        <v>Rúben Dias (og)</v>
      </c>
      <c r="AI50" s="306" t="str">
        <f t="shared" ca="1" si="37"/>
        <v xml:space="preserve"> (og)</v>
      </c>
      <c r="AJ50" s="306" t="str">
        <f t="shared" ca="1" si="38"/>
        <v xml:space="preserve"> (og)</v>
      </c>
      <c r="AK50" s="306" t="str">
        <f t="shared" ca="1" si="39"/>
        <v xml:space="preserve"> (og)</v>
      </c>
      <c r="AL50" s="306" t="str">
        <f t="shared" ca="1" si="40"/>
        <v xml:space="preserve"> (og)</v>
      </c>
      <c r="AM50" s="306" t="str">
        <f t="shared" ca="1" si="41"/>
        <v xml:space="preserve"> (og)</v>
      </c>
      <c r="AN50" s="306" t="str">
        <f t="shared" ca="1" si="42"/>
        <v xml:space="preserve"> (og)</v>
      </c>
      <c r="AO50" s="306" t="str">
        <f t="shared" ca="1" si="43"/>
        <v xml:space="preserve"> (og)</v>
      </c>
      <c r="AP50" s="306" t="str">
        <f t="shared" ca="1" si="44"/>
        <v xml:space="preserve"> (og)</v>
      </c>
      <c r="AQ50" s="306" t="str">
        <f t="shared" ca="1" si="45"/>
        <v xml:space="preserve"> (og)</v>
      </c>
      <c r="AR50" s="306" t="str">
        <f t="shared" ca="1" si="46"/>
        <v xml:space="preserve"> (og)</v>
      </c>
      <c r="AS50" s="306" t="str">
        <f t="shared" ca="1" si="47"/>
        <v xml:space="preserve"> (og)</v>
      </c>
      <c r="AT50" s="306" t="str">
        <f t="shared" ca="1" si="48"/>
        <v xml:space="preserve"> (og)</v>
      </c>
      <c r="AU50" s="306" t="str">
        <f t="shared" ca="1" si="49"/>
        <v xml:space="preserve"> (og)</v>
      </c>
      <c r="AV50" s="306" t="str">
        <f t="shared" ca="1" si="50"/>
        <v xml:space="preserve"> (og)</v>
      </c>
      <c r="AW50" s="306" t="str">
        <f t="shared" ca="1" si="51"/>
        <v xml:space="preserve"> (og)</v>
      </c>
      <c r="AX50" s="306" t="str">
        <f t="shared" ca="1" si="52"/>
        <v xml:space="preserve"> (og)</v>
      </c>
      <c r="AZ50" s="306" t="str">
        <f t="shared" ca="1" si="53"/>
        <v xml:space="preserve"> (og)</v>
      </c>
      <c r="BA50" s="306" t="str">
        <f t="shared" ca="1" si="54"/>
        <v xml:space="preserve"> (og)</v>
      </c>
      <c r="BB50" s="306" t="str">
        <f t="shared" ca="1" si="55"/>
        <v xml:space="preserve"> (og)</v>
      </c>
      <c r="BC50" s="306" t="str">
        <f t="shared" ca="1" si="56"/>
        <v xml:space="preserve"> (og)</v>
      </c>
      <c r="BD50" s="306" t="str">
        <f t="shared" ca="1" si="57"/>
        <v xml:space="preserve"> (og)</v>
      </c>
      <c r="BE50" s="306" t="str">
        <f t="shared" ca="1" si="58"/>
        <v xml:space="preserve"> (og)</v>
      </c>
      <c r="BF50" s="306" t="str">
        <f t="shared" ca="1" si="59"/>
        <v xml:space="preserve"> (og)</v>
      </c>
      <c r="BG50" s="306" t="str">
        <f t="shared" ca="1" si="60"/>
        <v xml:space="preserve"> (og)</v>
      </c>
      <c r="BI50" s="306" t="str">
        <f t="shared" ca="1" si="61"/>
        <v xml:space="preserve"> (og)</v>
      </c>
      <c r="BJ50" s="306" t="str">
        <f t="shared" ca="1" si="62"/>
        <v xml:space="preserve"> (og)</v>
      </c>
      <c r="BK50" s="306" t="str">
        <f t="shared" ca="1" si="63"/>
        <v xml:space="preserve"> (og)</v>
      </c>
      <c r="BL50" s="306" t="str">
        <f t="shared" ca="1" si="64"/>
        <v xml:space="preserve"> (og)</v>
      </c>
      <c r="BN50" s="306" t="str">
        <f t="shared" ca="1" si="65"/>
        <v xml:space="preserve"> (og)</v>
      </c>
      <c r="BO50" s="306" t="str">
        <f t="shared" ca="1" si="66"/>
        <v xml:space="preserve"> (og)</v>
      </c>
      <c r="BQ50" s="306" t="str">
        <f t="shared" ca="1" si="67"/>
        <v xml:space="preserve"> (og)</v>
      </c>
      <c r="BR50" s="306" t="str">
        <f t="shared" ca="1" si="68"/>
        <v xml:space="preserve"> (og)</v>
      </c>
      <c r="BT50" s="306" t="str">
        <f t="shared" ca="1" si="69"/>
        <v>Netherlands</v>
      </c>
      <c r="BU50" s="306">
        <v>21</v>
      </c>
      <c r="BV50" s="306">
        <v>0</v>
      </c>
      <c r="BW50" s="306" t="str">
        <f ca="1">OFFSET(C3,BU50,BV50)</f>
        <v>Tyrell Malacia</v>
      </c>
      <c r="BX50" s="306">
        <f ca="1">COUNTIF('Group Stages'!J7:J102,BW50)</f>
        <v>0</v>
      </c>
      <c r="BY50" s="306">
        <f ca="1">COUNTIF('Group Stages'!K7:K102,BW50)</f>
        <v>0</v>
      </c>
      <c r="BZ50" s="306">
        <f ca="1">COUNTIF('Group Stages'!L7:L102,BW50)</f>
        <v>0</v>
      </c>
      <c r="CA50" s="306">
        <f ca="1">COUNTIF('Group Stages'!M7:M102,BW50)</f>
        <v>0</v>
      </c>
      <c r="CB50" s="306">
        <f ca="1">COUNTIF('Group Stages'!N7:N102,BW50)</f>
        <v>0</v>
      </c>
      <c r="CC50" s="306">
        <f ca="1">COUNTIF('Group Stages'!O7:O102,BW50)</f>
        <v>0</v>
      </c>
      <c r="CD50" s="306">
        <f ca="1">COUNTIF('Group Stages'!P7:P102,BW50)</f>
        <v>0</v>
      </c>
      <c r="CE50" s="306">
        <f ca="1">COUNTIF('Group Stages'!Q7:Q102,BW50)</f>
        <v>0</v>
      </c>
      <c r="CF50" s="306">
        <f ca="1">COUNTIF('Knock Out Stages'!K7:K50,BW50)</f>
        <v>0</v>
      </c>
      <c r="CG50" s="306">
        <f ca="1">COUNTIF('Knock Out Stages'!L7:L50,BW50)</f>
        <v>0</v>
      </c>
      <c r="CH50" s="306">
        <f ca="1">COUNTIF('Knock Out Stages'!M7:M50,BW50)</f>
        <v>0</v>
      </c>
      <c r="CI50" s="306">
        <f ca="1">COUNTIF('Knock Out Stages'!N7:N50,BW50)</f>
        <v>0</v>
      </c>
      <c r="CJ50" s="306">
        <f ca="1">COUNTIF('Knock Out Stages'!O7:O50,BW50)</f>
        <v>0</v>
      </c>
      <c r="CK50" s="306">
        <f ca="1">COUNTIF('Knock Out Stages'!P7:P50,BW50)</f>
        <v>0</v>
      </c>
      <c r="CL50" s="306">
        <f ca="1">COUNTIF('Knock Out Stages'!Q7:Q50,BW50)</f>
        <v>0</v>
      </c>
      <c r="CM50" s="306">
        <f ca="1">COUNTIF('Knock Out Stages'!R7:R50,BW50)</f>
        <v>0</v>
      </c>
      <c r="CN50" s="306">
        <f ca="1">IF(RIGHT('Group Stages'!$B$105,5)="T.com",SUM(BX50:CM50),0)</f>
        <v>0</v>
      </c>
      <c r="CO50" s="306">
        <f ca="1">RANK(CN50,CN3:CN834)+COUNTIF(CN3:CN50,CN50)-1</f>
        <v>48</v>
      </c>
      <c r="CP50" s="306" t="str">
        <f t="shared" ca="1" si="2"/>
        <v>Tyrell Malacia (Netherlands)</v>
      </c>
    </row>
    <row r="51" spans="1:94" x14ac:dyDescent="0.3">
      <c r="A51" s="306">
        <f t="shared" si="4"/>
        <v>23</v>
      </c>
      <c r="B51" s="306" t="str">
        <f t="shared" si="5"/>
        <v>Vincent Janssen (og)</v>
      </c>
      <c r="C51" s="306" t="str">
        <f t="shared" si="6"/>
        <v>Pathé Ciss (og)</v>
      </c>
      <c r="D51" s="306" t="str">
        <f t="shared" si="7"/>
        <v>Pathé Ciss (og)</v>
      </c>
      <c r="E51" s="306" t="str">
        <f t="shared" si="8"/>
        <v>Pathé Ciss (og)</v>
      </c>
      <c r="F51" s="306" t="str">
        <f t="shared" si="9"/>
        <v>Sardar Azmoun (og)</v>
      </c>
      <c r="G51" s="306" t="str">
        <f t="shared" si="10"/>
        <v>Nick Pope (og)</v>
      </c>
      <c r="H51" s="306" t="str">
        <f t="shared" si="11"/>
        <v>Nick Pope (og)</v>
      </c>
      <c r="I51" s="306" t="str">
        <f t="shared" si="12"/>
        <v>Nick Pope (og)</v>
      </c>
      <c r="J51" s="306" t="str">
        <f t="shared" si="13"/>
        <v>Sami Al-Najei (og)</v>
      </c>
      <c r="K51" s="306" t="str">
        <f t="shared" si="14"/>
        <v>Nicolás Otamendi (og)</v>
      </c>
      <c r="L51" s="306" t="str">
        <f t="shared" si="15"/>
        <v>Nicolás Otamendi (og)</v>
      </c>
      <c r="M51" s="306" t="str">
        <f t="shared" si="16"/>
        <v>Nicolás Otamendi (og)</v>
      </c>
      <c r="N51" s="306" t="str">
        <f t="shared" si="17"/>
        <v>Wahbi Khazri (og)</v>
      </c>
      <c r="O51" s="306" t="str">
        <f t="shared" si="18"/>
        <v>Simon Kjær (og)</v>
      </c>
      <c r="P51" s="306" t="str">
        <f t="shared" si="19"/>
        <v>Simon Kjær (og)</v>
      </c>
      <c r="Q51" s="306" t="str">
        <f t="shared" si="20"/>
        <v>Simon Kjær (og)</v>
      </c>
      <c r="R51" s="306" t="str">
        <f t="shared" si="21"/>
        <v>Takumi Minamino (og)</v>
      </c>
      <c r="S51" s="306" t="str">
        <f t="shared" si="22"/>
        <v>Serge Gnabry (og)</v>
      </c>
      <c r="T51" s="306" t="str">
        <f t="shared" si="23"/>
        <v>Serge Gnabry (og)</v>
      </c>
      <c r="U51" s="306" t="str">
        <f t="shared" si="24"/>
        <v>Serge Gnabry (og)</v>
      </c>
      <c r="V51" s="306" t="str">
        <f t="shared" si="25"/>
        <v>Martin Erlić (og)</v>
      </c>
      <c r="W51" s="306" t="str">
        <f t="shared" si="26"/>
        <v>Yahya Jabrane (og)</v>
      </c>
      <c r="X51" s="306" t="str">
        <f t="shared" si="27"/>
        <v>Yahya Jabrane (og)</v>
      </c>
      <c r="Y51" s="306" t="str">
        <f t="shared" si="28"/>
        <v>Yahya Jabrane (og)</v>
      </c>
      <c r="Z51" s="306" t="str">
        <f t="shared" si="29"/>
        <v>Strahinja Eraković (og)</v>
      </c>
      <c r="AA51" s="306" t="str">
        <f t="shared" si="30"/>
        <v>Rodrygo (og)</v>
      </c>
      <c r="AB51" s="306" t="str">
        <f t="shared" si="31"/>
        <v>Rodrygo (og)</v>
      </c>
      <c r="AC51" s="306" t="str">
        <f t="shared" si="32"/>
        <v>Rodrygo (og)</v>
      </c>
      <c r="AD51" s="306" t="str">
        <f t="shared" si="33"/>
        <v>Osman Bukari (og)</v>
      </c>
      <c r="AE51" s="306" t="str">
        <f t="shared" si="34"/>
        <v>Rúben Neves (og)</v>
      </c>
      <c r="AF51" s="306" t="str">
        <f t="shared" si="35"/>
        <v>Rúben Neves (og)</v>
      </c>
      <c r="AG51" s="306" t="str">
        <f t="shared" si="36"/>
        <v>Rúben Neves (og)</v>
      </c>
      <c r="AI51" s="306" t="str">
        <f t="shared" ca="1" si="37"/>
        <v xml:space="preserve"> (og)</v>
      </c>
      <c r="AJ51" s="306" t="str">
        <f t="shared" ca="1" si="38"/>
        <v xml:space="preserve"> (og)</v>
      </c>
      <c r="AK51" s="306" t="str">
        <f t="shared" ca="1" si="39"/>
        <v xml:space="preserve"> (og)</v>
      </c>
      <c r="AL51" s="306" t="str">
        <f t="shared" ca="1" si="40"/>
        <v xml:space="preserve"> (og)</v>
      </c>
      <c r="AM51" s="306" t="str">
        <f t="shared" ca="1" si="41"/>
        <v xml:space="preserve"> (og)</v>
      </c>
      <c r="AN51" s="306" t="str">
        <f t="shared" ca="1" si="42"/>
        <v xml:space="preserve"> (og)</v>
      </c>
      <c r="AO51" s="306" t="str">
        <f t="shared" ca="1" si="43"/>
        <v xml:space="preserve"> (og)</v>
      </c>
      <c r="AP51" s="306" t="str">
        <f t="shared" ca="1" si="44"/>
        <v xml:space="preserve"> (og)</v>
      </c>
      <c r="AQ51" s="306" t="str">
        <f t="shared" ca="1" si="45"/>
        <v xml:space="preserve"> (og)</v>
      </c>
      <c r="AR51" s="306" t="str">
        <f t="shared" ca="1" si="46"/>
        <v xml:space="preserve"> (og)</v>
      </c>
      <c r="AS51" s="306" t="str">
        <f t="shared" ca="1" si="47"/>
        <v xml:space="preserve"> (og)</v>
      </c>
      <c r="AT51" s="306" t="str">
        <f t="shared" ca="1" si="48"/>
        <v xml:space="preserve"> (og)</v>
      </c>
      <c r="AU51" s="306" t="str">
        <f t="shared" ca="1" si="49"/>
        <v xml:space="preserve"> (og)</v>
      </c>
      <c r="AV51" s="306" t="str">
        <f t="shared" ca="1" si="50"/>
        <v xml:space="preserve"> (og)</v>
      </c>
      <c r="AW51" s="306" t="str">
        <f t="shared" ca="1" si="51"/>
        <v xml:space="preserve"> (og)</v>
      </c>
      <c r="AX51" s="306" t="str">
        <f t="shared" ca="1" si="52"/>
        <v xml:space="preserve"> (og)</v>
      </c>
      <c r="AZ51" s="306" t="str">
        <f t="shared" ca="1" si="53"/>
        <v xml:space="preserve"> (og)</v>
      </c>
      <c r="BA51" s="306" t="str">
        <f t="shared" ca="1" si="54"/>
        <v xml:space="preserve"> (og)</v>
      </c>
      <c r="BB51" s="306" t="str">
        <f t="shared" ca="1" si="55"/>
        <v xml:space="preserve"> (og)</v>
      </c>
      <c r="BC51" s="306" t="str">
        <f t="shared" ca="1" si="56"/>
        <v xml:space="preserve"> (og)</v>
      </c>
      <c r="BD51" s="306" t="str">
        <f t="shared" ca="1" si="57"/>
        <v xml:space="preserve"> (og)</v>
      </c>
      <c r="BE51" s="306" t="str">
        <f t="shared" ca="1" si="58"/>
        <v xml:space="preserve"> (og)</v>
      </c>
      <c r="BF51" s="306" t="str">
        <f t="shared" ca="1" si="59"/>
        <v xml:space="preserve"> (og)</v>
      </c>
      <c r="BG51" s="306" t="str">
        <f t="shared" ca="1" si="60"/>
        <v xml:space="preserve"> (og)</v>
      </c>
      <c r="BI51" s="306" t="str">
        <f t="shared" ca="1" si="61"/>
        <v xml:space="preserve"> (og)</v>
      </c>
      <c r="BJ51" s="306" t="str">
        <f t="shared" ca="1" si="62"/>
        <v xml:space="preserve"> (og)</v>
      </c>
      <c r="BK51" s="306" t="str">
        <f t="shared" ca="1" si="63"/>
        <v xml:space="preserve"> (og)</v>
      </c>
      <c r="BL51" s="306" t="str">
        <f t="shared" ca="1" si="64"/>
        <v xml:space="preserve"> (og)</v>
      </c>
      <c r="BN51" s="306" t="str">
        <f t="shared" ca="1" si="65"/>
        <v xml:space="preserve"> (og)</v>
      </c>
      <c r="BO51" s="306" t="str">
        <f t="shared" ca="1" si="66"/>
        <v xml:space="preserve"> (og)</v>
      </c>
      <c r="BQ51" s="306" t="str">
        <f t="shared" ca="1" si="67"/>
        <v xml:space="preserve"> (og)</v>
      </c>
      <c r="BR51" s="306" t="str">
        <f t="shared" ca="1" si="68"/>
        <v xml:space="preserve"> (og)</v>
      </c>
      <c r="BT51" s="306" t="str">
        <f t="shared" ca="1" si="69"/>
        <v>Netherlands</v>
      </c>
      <c r="BU51" s="306">
        <v>22</v>
      </c>
      <c r="BV51" s="306">
        <v>0</v>
      </c>
      <c r="BW51" s="306" t="str">
        <f ca="1">OFFSET(C3,BU51,BV51)</f>
        <v>Vincent Janssen</v>
      </c>
      <c r="BX51" s="306">
        <f ca="1">COUNTIF('Group Stages'!J7:J102,BW51)</f>
        <v>0</v>
      </c>
      <c r="BY51" s="306">
        <f ca="1">COUNTIF('Group Stages'!K7:K102,BW51)</f>
        <v>0</v>
      </c>
      <c r="BZ51" s="306">
        <f ca="1">COUNTIF('Group Stages'!L7:L102,BW51)</f>
        <v>0</v>
      </c>
      <c r="CA51" s="306">
        <f ca="1">COUNTIF('Group Stages'!M7:M102,BW51)</f>
        <v>0</v>
      </c>
      <c r="CB51" s="306">
        <f ca="1">COUNTIF('Group Stages'!N7:N102,BW51)</f>
        <v>0</v>
      </c>
      <c r="CC51" s="306">
        <f ca="1">COUNTIF('Group Stages'!O7:O102,BW51)</f>
        <v>0</v>
      </c>
      <c r="CD51" s="306">
        <f ca="1">COUNTIF('Group Stages'!P7:P102,BW51)</f>
        <v>0</v>
      </c>
      <c r="CE51" s="306">
        <f ca="1">COUNTIF('Group Stages'!Q7:Q102,BW51)</f>
        <v>0</v>
      </c>
      <c r="CF51" s="306">
        <f ca="1">COUNTIF('Knock Out Stages'!K7:K50,BW51)</f>
        <v>0</v>
      </c>
      <c r="CG51" s="306">
        <f ca="1">COUNTIF('Knock Out Stages'!L7:L50,BW51)</f>
        <v>0</v>
      </c>
      <c r="CH51" s="306">
        <f ca="1">COUNTIF('Knock Out Stages'!M7:M50,BW51)</f>
        <v>0</v>
      </c>
      <c r="CI51" s="306">
        <f ca="1">COUNTIF('Knock Out Stages'!N7:N50,BW51)</f>
        <v>0</v>
      </c>
      <c r="CJ51" s="306">
        <f ca="1">COUNTIF('Knock Out Stages'!O7:O50,BW51)</f>
        <v>0</v>
      </c>
      <c r="CK51" s="306">
        <f ca="1">COUNTIF('Knock Out Stages'!P7:P50,BW51)</f>
        <v>0</v>
      </c>
      <c r="CL51" s="306">
        <f ca="1">COUNTIF('Knock Out Stages'!Q7:Q50,BW51)</f>
        <v>0</v>
      </c>
      <c r="CM51" s="306">
        <f ca="1">COUNTIF('Knock Out Stages'!R7:R50,BW51)</f>
        <v>0</v>
      </c>
      <c r="CN51" s="306">
        <f ca="1">IF(RIGHT('Group Stages'!$B$105,5)="T.com",SUM(BX51:CM51),0)</f>
        <v>0</v>
      </c>
      <c r="CO51" s="306">
        <f ca="1">RANK(CN51,CN3:CN834)+COUNTIF(CN3:CN51,CN51)-1</f>
        <v>49</v>
      </c>
      <c r="CP51" s="306" t="str">
        <f t="shared" ca="1" si="2"/>
        <v>Vincent Janssen (Netherlands)</v>
      </c>
    </row>
    <row r="52" spans="1:94" x14ac:dyDescent="0.3">
      <c r="A52" s="306">
        <f t="shared" si="4"/>
        <v>24</v>
      </c>
      <c r="B52" s="306" t="str">
        <f t="shared" si="5"/>
        <v>Virgil van Dijk (og)</v>
      </c>
      <c r="C52" s="306" t="str">
        <f t="shared" si="6"/>
        <v>Sadio Mané (og)</v>
      </c>
      <c r="D52" s="306" t="str">
        <f t="shared" si="7"/>
        <v>Sadio Mané (og)</v>
      </c>
      <c r="E52" s="306" t="str">
        <f t="shared" si="8"/>
        <v>Sadio Mané (og)</v>
      </c>
      <c r="F52" s="306" t="str">
        <f t="shared" si="9"/>
        <v>Shojae Khalilzadeh (og)</v>
      </c>
      <c r="G52" s="306" t="str">
        <f t="shared" si="10"/>
        <v>Phil Foden (og)</v>
      </c>
      <c r="H52" s="306" t="str">
        <f t="shared" si="11"/>
        <v>Phil Foden (og)</v>
      </c>
      <c r="I52" s="306" t="str">
        <f t="shared" si="12"/>
        <v>Phil Foden (og)</v>
      </c>
      <c r="J52" s="306" t="str">
        <f t="shared" si="13"/>
        <v>Saud Abdulhamid (og)</v>
      </c>
      <c r="K52" s="306" t="str">
        <f t="shared" si="14"/>
        <v>Nicolás Tagliafico (og)</v>
      </c>
      <c r="L52" s="306" t="str">
        <f t="shared" si="15"/>
        <v>Nicolás Tagliafico (og)</v>
      </c>
      <c r="M52" s="306" t="str">
        <f t="shared" si="16"/>
        <v>Nicolás Tagliafico (og)</v>
      </c>
      <c r="N52" s="306" t="str">
        <f t="shared" si="17"/>
        <v>Wajdi Kechrida (og)</v>
      </c>
      <c r="O52" s="306" t="str">
        <f t="shared" si="18"/>
        <v>Thomas Delaney (og)</v>
      </c>
      <c r="P52" s="306" t="str">
        <f t="shared" si="19"/>
        <v>Thomas Delaney (og)</v>
      </c>
      <c r="Q52" s="306" t="str">
        <f t="shared" si="20"/>
        <v>Thomas Delaney (og)</v>
      </c>
      <c r="R52" s="306" t="str">
        <f t="shared" si="21"/>
        <v>Wataru Endo (og)</v>
      </c>
      <c r="S52" s="306" t="str">
        <f t="shared" si="22"/>
        <v>Thilo Kehrer (og)</v>
      </c>
      <c r="T52" s="306" t="str">
        <f t="shared" si="23"/>
        <v>Thilo Kehrer (og)</v>
      </c>
      <c r="U52" s="306" t="str">
        <f t="shared" si="24"/>
        <v>Thilo Kehrer (og)</v>
      </c>
      <c r="V52" s="306" t="str">
        <f t="shared" si="25"/>
        <v>Mateo Kovačić (og)</v>
      </c>
      <c r="W52" s="306" t="str">
        <f t="shared" si="26"/>
        <v>Yassine Bounou (og)</v>
      </c>
      <c r="X52" s="306" t="str">
        <f t="shared" si="27"/>
        <v>Yassine Bounou (og)</v>
      </c>
      <c r="Y52" s="306" t="str">
        <f t="shared" si="28"/>
        <v>Yassine Bounou (og)</v>
      </c>
      <c r="Z52" s="306" t="str">
        <f t="shared" si="29"/>
        <v>Strahinja Pavlović (og)</v>
      </c>
      <c r="AA52" s="306" t="str">
        <f t="shared" si="30"/>
        <v>Thiago Silva (og)</v>
      </c>
      <c r="AB52" s="306" t="str">
        <f t="shared" si="31"/>
        <v>Thiago Silva (og)</v>
      </c>
      <c r="AC52" s="306" t="str">
        <f t="shared" si="32"/>
        <v>Thiago Silva (og)</v>
      </c>
      <c r="AD52" s="306" t="str">
        <f t="shared" si="33"/>
        <v>Salis Abdul Samed (og)</v>
      </c>
      <c r="AE52" s="306" t="str">
        <f t="shared" si="34"/>
        <v>Rui Patrício (og)</v>
      </c>
      <c r="AF52" s="306" t="str">
        <f t="shared" si="35"/>
        <v>Rui Patrício (og)</v>
      </c>
      <c r="AG52" s="306" t="str">
        <f t="shared" si="36"/>
        <v>Rui Patrício (og)</v>
      </c>
      <c r="AI52" s="306" t="str">
        <f t="shared" ca="1" si="37"/>
        <v xml:space="preserve"> (og)</v>
      </c>
      <c r="AJ52" s="306" t="str">
        <f t="shared" ca="1" si="38"/>
        <v xml:space="preserve"> (og)</v>
      </c>
      <c r="AK52" s="306" t="str">
        <f t="shared" ca="1" si="39"/>
        <v xml:space="preserve"> (og)</v>
      </c>
      <c r="AL52" s="306" t="str">
        <f t="shared" ca="1" si="40"/>
        <v xml:space="preserve"> (og)</v>
      </c>
      <c r="AM52" s="306" t="str">
        <f t="shared" ca="1" si="41"/>
        <v xml:space="preserve"> (og)</v>
      </c>
      <c r="AN52" s="306" t="str">
        <f t="shared" ca="1" si="42"/>
        <v xml:space="preserve"> (og)</v>
      </c>
      <c r="AO52" s="306" t="str">
        <f t="shared" ca="1" si="43"/>
        <v xml:space="preserve"> (og)</v>
      </c>
      <c r="AP52" s="306" t="str">
        <f t="shared" ca="1" si="44"/>
        <v xml:space="preserve"> (og)</v>
      </c>
      <c r="AQ52" s="306" t="str">
        <f t="shared" ca="1" si="45"/>
        <v xml:space="preserve"> (og)</v>
      </c>
      <c r="AR52" s="306" t="str">
        <f t="shared" ca="1" si="46"/>
        <v xml:space="preserve"> (og)</v>
      </c>
      <c r="AS52" s="306" t="str">
        <f t="shared" ca="1" si="47"/>
        <v xml:space="preserve"> (og)</v>
      </c>
      <c r="AT52" s="306" t="str">
        <f t="shared" ca="1" si="48"/>
        <v xml:space="preserve"> (og)</v>
      </c>
      <c r="AU52" s="306" t="str">
        <f t="shared" ca="1" si="49"/>
        <v xml:space="preserve"> (og)</v>
      </c>
      <c r="AV52" s="306" t="str">
        <f t="shared" ca="1" si="50"/>
        <v xml:space="preserve"> (og)</v>
      </c>
      <c r="AW52" s="306" t="str">
        <f t="shared" ca="1" si="51"/>
        <v xml:space="preserve"> (og)</v>
      </c>
      <c r="AX52" s="306" t="str">
        <f t="shared" ca="1" si="52"/>
        <v xml:space="preserve"> (og)</v>
      </c>
      <c r="AZ52" s="306" t="str">
        <f t="shared" ca="1" si="53"/>
        <v xml:space="preserve"> (og)</v>
      </c>
      <c r="BA52" s="306" t="str">
        <f t="shared" ca="1" si="54"/>
        <v xml:space="preserve"> (og)</v>
      </c>
      <c r="BB52" s="306" t="str">
        <f t="shared" ca="1" si="55"/>
        <v xml:space="preserve"> (og)</v>
      </c>
      <c r="BC52" s="306" t="str">
        <f t="shared" ca="1" si="56"/>
        <v xml:space="preserve"> (og)</v>
      </c>
      <c r="BD52" s="306" t="str">
        <f t="shared" ca="1" si="57"/>
        <v xml:space="preserve"> (og)</v>
      </c>
      <c r="BE52" s="306" t="str">
        <f t="shared" ca="1" si="58"/>
        <v xml:space="preserve"> (og)</v>
      </c>
      <c r="BF52" s="306" t="str">
        <f t="shared" ca="1" si="59"/>
        <v xml:space="preserve"> (og)</v>
      </c>
      <c r="BG52" s="306" t="str">
        <f t="shared" ca="1" si="60"/>
        <v xml:space="preserve"> (og)</v>
      </c>
      <c r="BI52" s="306" t="str">
        <f t="shared" ca="1" si="61"/>
        <v xml:space="preserve"> (og)</v>
      </c>
      <c r="BJ52" s="306" t="str">
        <f t="shared" ca="1" si="62"/>
        <v xml:space="preserve"> (og)</v>
      </c>
      <c r="BK52" s="306" t="str">
        <f t="shared" ca="1" si="63"/>
        <v xml:space="preserve"> (og)</v>
      </c>
      <c r="BL52" s="306" t="str">
        <f t="shared" ca="1" si="64"/>
        <v xml:space="preserve"> (og)</v>
      </c>
      <c r="BN52" s="306" t="str">
        <f t="shared" ca="1" si="65"/>
        <v xml:space="preserve"> (og)</v>
      </c>
      <c r="BO52" s="306" t="str">
        <f t="shared" ca="1" si="66"/>
        <v xml:space="preserve"> (og)</v>
      </c>
      <c r="BQ52" s="306" t="str">
        <f t="shared" ca="1" si="67"/>
        <v xml:space="preserve"> (og)</v>
      </c>
      <c r="BR52" s="306" t="str">
        <f t="shared" ca="1" si="68"/>
        <v xml:space="preserve"> (og)</v>
      </c>
      <c r="BT52" s="306" t="str">
        <f t="shared" ca="1" si="69"/>
        <v>Netherlands</v>
      </c>
      <c r="BU52" s="306">
        <v>23</v>
      </c>
      <c r="BV52" s="306">
        <v>0</v>
      </c>
      <c r="BW52" s="306" t="str">
        <f ca="1">OFFSET(C3,BU52,BV52)</f>
        <v>Virgil van Dijk</v>
      </c>
      <c r="BX52" s="306">
        <f ca="1">COUNTIF('Group Stages'!J7:J102,BW52)</f>
        <v>0</v>
      </c>
      <c r="BY52" s="306">
        <f ca="1">COUNTIF('Group Stages'!K7:K102,BW52)</f>
        <v>0</v>
      </c>
      <c r="BZ52" s="306">
        <f ca="1">COUNTIF('Group Stages'!L7:L102,BW52)</f>
        <v>0</v>
      </c>
      <c r="CA52" s="306">
        <f ca="1">COUNTIF('Group Stages'!M7:M102,BW52)</f>
        <v>0</v>
      </c>
      <c r="CB52" s="306">
        <f ca="1">COUNTIF('Group Stages'!N7:N102,BW52)</f>
        <v>0</v>
      </c>
      <c r="CC52" s="306">
        <f ca="1">COUNTIF('Group Stages'!O7:O102,BW52)</f>
        <v>0</v>
      </c>
      <c r="CD52" s="306">
        <f ca="1">COUNTIF('Group Stages'!P7:P102,BW52)</f>
        <v>0</v>
      </c>
      <c r="CE52" s="306">
        <f ca="1">COUNTIF('Group Stages'!Q7:Q102,BW52)</f>
        <v>0</v>
      </c>
      <c r="CF52" s="306">
        <f ca="1">COUNTIF('Knock Out Stages'!K7:K50,BW52)</f>
        <v>0</v>
      </c>
      <c r="CG52" s="306">
        <f ca="1">COUNTIF('Knock Out Stages'!L7:L50,BW52)</f>
        <v>0</v>
      </c>
      <c r="CH52" s="306">
        <f ca="1">COUNTIF('Knock Out Stages'!M7:M50,BW52)</f>
        <v>0</v>
      </c>
      <c r="CI52" s="306">
        <f ca="1">COUNTIF('Knock Out Stages'!N7:N50,BW52)</f>
        <v>0</v>
      </c>
      <c r="CJ52" s="306">
        <f ca="1">COUNTIF('Knock Out Stages'!O7:O50,BW52)</f>
        <v>0</v>
      </c>
      <c r="CK52" s="306">
        <f ca="1">COUNTIF('Knock Out Stages'!P7:P50,BW52)</f>
        <v>0</v>
      </c>
      <c r="CL52" s="306">
        <f ca="1">COUNTIF('Knock Out Stages'!Q7:Q50,BW52)</f>
        <v>0</v>
      </c>
      <c r="CM52" s="306">
        <f ca="1">COUNTIF('Knock Out Stages'!R7:R50,BW52)</f>
        <v>0</v>
      </c>
      <c r="CN52" s="306">
        <f ca="1">IF(RIGHT('Group Stages'!$B$105,5)="T.com",SUM(BX52:CM52),0)</f>
        <v>0</v>
      </c>
      <c r="CO52" s="306">
        <f ca="1">RANK(CN52,CN3:CN834)+COUNTIF(CN3:CN52,CN52)-1</f>
        <v>50</v>
      </c>
      <c r="CP52" s="306" t="str">
        <f t="shared" ca="1" si="2"/>
        <v>Virgil van Dijk (Netherlands)</v>
      </c>
    </row>
    <row r="53" spans="1:94" x14ac:dyDescent="0.3">
      <c r="A53" s="306">
        <f t="shared" si="4"/>
        <v>25</v>
      </c>
      <c r="B53" s="306" t="str">
        <f t="shared" si="5"/>
        <v>Wout Weghorst (og)</v>
      </c>
      <c r="C53" s="306" t="str">
        <f t="shared" si="6"/>
        <v>Seny Dieng (og)</v>
      </c>
      <c r="D53" s="306" t="str">
        <f t="shared" si="7"/>
        <v>Seny Dieng (og)</v>
      </c>
      <c r="E53" s="306" t="str">
        <f t="shared" si="8"/>
        <v>Seny Dieng (og)</v>
      </c>
      <c r="F53" s="306" t="str">
        <f t="shared" si="9"/>
        <v>Vahid Amiri (og)</v>
      </c>
      <c r="G53" s="306" t="str">
        <f t="shared" si="10"/>
        <v>Raheem Sterling (og)</v>
      </c>
      <c r="H53" s="306" t="str">
        <f t="shared" si="11"/>
        <v>Raheem Sterling (og)</v>
      </c>
      <c r="I53" s="306" t="str">
        <f t="shared" si="12"/>
        <v>Raheem Sterling (og)</v>
      </c>
      <c r="J53" s="306" t="str">
        <f t="shared" si="13"/>
        <v>Sultan Al-Ghanam (og)</v>
      </c>
      <c r="K53" s="306" t="str">
        <f t="shared" si="14"/>
        <v>Paulo Dybala (og)</v>
      </c>
      <c r="L53" s="306" t="str">
        <f t="shared" si="15"/>
        <v>Paulo Dybala (og)</v>
      </c>
      <c r="M53" s="306" t="str">
        <f t="shared" si="16"/>
        <v>Paulo Dybala (og)</v>
      </c>
      <c r="N53" s="306" t="str">
        <f t="shared" si="17"/>
        <v>Yassine Meriah (og)</v>
      </c>
      <c r="O53" s="306" t="str">
        <f t="shared" si="18"/>
        <v>Victor Nelsson (og)</v>
      </c>
      <c r="P53" s="306" t="str">
        <f t="shared" si="19"/>
        <v>Victor Nelsson (og)</v>
      </c>
      <c r="Q53" s="306" t="str">
        <f t="shared" si="20"/>
        <v>Victor Nelsson (og)</v>
      </c>
      <c r="R53" s="306" t="str">
        <f t="shared" si="21"/>
        <v>Yūki Sōma (og)</v>
      </c>
      <c r="S53" s="306" t="str">
        <f t="shared" si="22"/>
        <v>Thomas Müller (og)</v>
      </c>
      <c r="T53" s="306" t="str">
        <f t="shared" si="23"/>
        <v>Thomas Müller (og)</v>
      </c>
      <c r="U53" s="306" t="str">
        <f t="shared" si="24"/>
        <v>Thomas Müller (og)</v>
      </c>
      <c r="V53" s="306" t="str">
        <f t="shared" si="25"/>
        <v>Mislav Oršić (og)</v>
      </c>
      <c r="W53" s="306" t="str">
        <f t="shared" si="26"/>
        <v>Youssef En-Nesyri (og)</v>
      </c>
      <c r="X53" s="306" t="str">
        <f t="shared" si="27"/>
        <v>Youssef En-Nesyri (og)</v>
      </c>
      <c r="Y53" s="306" t="str">
        <f t="shared" si="28"/>
        <v>Youssef En-Nesyri (og)</v>
      </c>
      <c r="Z53" s="306" t="str">
        <f t="shared" si="29"/>
        <v>Uroš Račić (og)</v>
      </c>
      <c r="AA53" s="306" t="str">
        <f t="shared" si="30"/>
        <v>Vinícius Júnior (og)</v>
      </c>
      <c r="AB53" s="306" t="str">
        <f t="shared" si="31"/>
        <v>Vinícius Júnior (og)</v>
      </c>
      <c r="AC53" s="306" t="str">
        <f t="shared" si="32"/>
        <v>Vinícius Júnior (og)</v>
      </c>
      <c r="AD53" s="306" t="str">
        <f t="shared" si="33"/>
        <v>Tariq Lamptey (og)</v>
      </c>
      <c r="AE53" s="306" t="str">
        <f t="shared" si="34"/>
        <v>Vitinha (og)</v>
      </c>
      <c r="AF53" s="306" t="str">
        <f t="shared" si="35"/>
        <v>Vitinha (og)</v>
      </c>
      <c r="AG53" s="306" t="str">
        <f t="shared" si="36"/>
        <v>Vitinha (og)</v>
      </c>
      <c r="AI53" s="306" t="str">
        <f t="shared" ca="1" si="37"/>
        <v xml:space="preserve"> (og)</v>
      </c>
      <c r="AJ53" s="306" t="str">
        <f t="shared" ca="1" si="38"/>
        <v xml:space="preserve"> (og)</v>
      </c>
      <c r="AK53" s="306" t="str">
        <f t="shared" ca="1" si="39"/>
        <v xml:space="preserve"> (og)</v>
      </c>
      <c r="AL53" s="306" t="str">
        <f t="shared" ca="1" si="40"/>
        <v xml:space="preserve"> (og)</v>
      </c>
      <c r="AM53" s="306" t="str">
        <f t="shared" ca="1" si="41"/>
        <v xml:space="preserve"> (og)</v>
      </c>
      <c r="AN53" s="306" t="str">
        <f t="shared" ca="1" si="42"/>
        <v xml:space="preserve"> (og)</v>
      </c>
      <c r="AO53" s="306" t="str">
        <f t="shared" ca="1" si="43"/>
        <v xml:space="preserve"> (og)</v>
      </c>
      <c r="AP53" s="306" t="str">
        <f t="shared" ca="1" si="44"/>
        <v xml:space="preserve"> (og)</v>
      </c>
      <c r="AQ53" s="306" t="str">
        <f t="shared" ca="1" si="45"/>
        <v xml:space="preserve"> (og)</v>
      </c>
      <c r="AR53" s="306" t="str">
        <f t="shared" ca="1" si="46"/>
        <v xml:space="preserve"> (og)</v>
      </c>
      <c r="AS53" s="306" t="str">
        <f t="shared" ca="1" si="47"/>
        <v xml:space="preserve"> (og)</v>
      </c>
      <c r="AT53" s="306" t="str">
        <f t="shared" ca="1" si="48"/>
        <v xml:space="preserve"> (og)</v>
      </c>
      <c r="AU53" s="306" t="str">
        <f t="shared" ca="1" si="49"/>
        <v xml:space="preserve"> (og)</v>
      </c>
      <c r="AV53" s="306" t="str">
        <f t="shared" ca="1" si="50"/>
        <v xml:space="preserve"> (og)</v>
      </c>
      <c r="AW53" s="306" t="str">
        <f t="shared" ca="1" si="51"/>
        <v xml:space="preserve"> (og)</v>
      </c>
      <c r="AX53" s="306" t="str">
        <f t="shared" ca="1" si="52"/>
        <v xml:space="preserve"> (og)</v>
      </c>
      <c r="AZ53" s="306" t="str">
        <f t="shared" ca="1" si="53"/>
        <v xml:space="preserve"> (og)</v>
      </c>
      <c r="BA53" s="306" t="str">
        <f t="shared" ca="1" si="54"/>
        <v xml:space="preserve"> (og)</v>
      </c>
      <c r="BB53" s="306" t="str">
        <f t="shared" ca="1" si="55"/>
        <v xml:space="preserve"> (og)</v>
      </c>
      <c r="BC53" s="306" t="str">
        <f t="shared" ca="1" si="56"/>
        <v xml:space="preserve"> (og)</v>
      </c>
      <c r="BD53" s="306" t="str">
        <f t="shared" ca="1" si="57"/>
        <v xml:space="preserve"> (og)</v>
      </c>
      <c r="BE53" s="306" t="str">
        <f t="shared" ca="1" si="58"/>
        <v xml:space="preserve"> (og)</v>
      </c>
      <c r="BF53" s="306" t="str">
        <f t="shared" ca="1" si="59"/>
        <v xml:space="preserve"> (og)</v>
      </c>
      <c r="BG53" s="306" t="str">
        <f t="shared" ca="1" si="60"/>
        <v xml:space="preserve"> (og)</v>
      </c>
      <c r="BI53" s="306" t="str">
        <f t="shared" ca="1" si="61"/>
        <v xml:space="preserve"> (og)</v>
      </c>
      <c r="BJ53" s="306" t="str">
        <f t="shared" ca="1" si="62"/>
        <v xml:space="preserve"> (og)</v>
      </c>
      <c r="BK53" s="306" t="str">
        <f t="shared" ca="1" si="63"/>
        <v xml:space="preserve"> (og)</v>
      </c>
      <c r="BL53" s="306" t="str">
        <f t="shared" ca="1" si="64"/>
        <v xml:space="preserve"> (og)</v>
      </c>
      <c r="BN53" s="306" t="str">
        <f t="shared" ca="1" si="65"/>
        <v xml:space="preserve"> (og)</v>
      </c>
      <c r="BO53" s="306" t="str">
        <f t="shared" ca="1" si="66"/>
        <v xml:space="preserve"> (og)</v>
      </c>
      <c r="BQ53" s="306" t="str">
        <f t="shared" ca="1" si="67"/>
        <v xml:space="preserve"> (og)</v>
      </c>
      <c r="BR53" s="306" t="str">
        <f t="shared" ca="1" si="68"/>
        <v xml:space="preserve"> (og)</v>
      </c>
      <c r="BT53" s="306" t="str">
        <f t="shared" ca="1" si="69"/>
        <v>Netherlands</v>
      </c>
      <c r="BU53" s="306">
        <v>24</v>
      </c>
      <c r="BV53" s="306">
        <v>0</v>
      </c>
      <c r="BW53" s="306" t="str">
        <f ca="1">OFFSET(C3,BU53,BV53)</f>
        <v>Wout Weghorst</v>
      </c>
      <c r="BX53" s="306">
        <f ca="1">COUNTIF('Group Stages'!J7:J102,BW53)</f>
        <v>0</v>
      </c>
      <c r="BY53" s="306">
        <f ca="1">COUNTIF('Group Stages'!K7:K102,BW53)</f>
        <v>0</v>
      </c>
      <c r="BZ53" s="306">
        <f ca="1">COUNTIF('Group Stages'!L7:L102,BW53)</f>
        <v>0</v>
      </c>
      <c r="CA53" s="306">
        <f ca="1">COUNTIF('Group Stages'!M7:M102,BW53)</f>
        <v>0</v>
      </c>
      <c r="CB53" s="306">
        <f ca="1">COUNTIF('Group Stages'!N7:N102,BW53)</f>
        <v>0</v>
      </c>
      <c r="CC53" s="306">
        <f ca="1">COUNTIF('Group Stages'!O7:O102,BW53)</f>
        <v>0</v>
      </c>
      <c r="CD53" s="306">
        <f ca="1">COUNTIF('Group Stages'!P7:P102,BW53)</f>
        <v>0</v>
      </c>
      <c r="CE53" s="306">
        <f ca="1">COUNTIF('Group Stages'!Q7:Q102,BW53)</f>
        <v>0</v>
      </c>
      <c r="CF53" s="306">
        <f ca="1">COUNTIF('Knock Out Stages'!K7:K50,BW53)</f>
        <v>0</v>
      </c>
      <c r="CG53" s="306">
        <f ca="1">COUNTIF('Knock Out Stages'!L7:L50,BW53)</f>
        <v>0</v>
      </c>
      <c r="CH53" s="306">
        <f ca="1">COUNTIF('Knock Out Stages'!M7:M50,BW53)</f>
        <v>0</v>
      </c>
      <c r="CI53" s="306">
        <f ca="1">COUNTIF('Knock Out Stages'!N7:N50,BW53)</f>
        <v>0</v>
      </c>
      <c r="CJ53" s="306">
        <f ca="1">COUNTIF('Knock Out Stages'!O7:O50,BW53)</f>
        <v>0</v>
      </c>
      <c r="CK53" s="306">
        <f ca="1">COUNTIF('Knock Out Stages'!P7:P50,BW53)</f>
        <v>0</v>
      </c>
      <c r="CL53" s="306">
        <f ca="1">COUNTIF('Knock Out Stages'!Q7:Q50,BW53)</f>
        <v>0</v>
      </c>
      <c r="CM53" s="306">
        <f ca="1">COUNTIF('Knock Out Stages'!R7:R50,BW53)</f>
        <v>0</v>
      </c>
      <c r="CN53" s="306">
        <f ca="1">IF(RIGHT('Group Stages'!$B$105,5)="T.com",SUM(BX53:CM53),0)</f>
        <v>0</v>
      </c>
      <c r="CO53" s="306">
        <f ca="1">RANK(CN53,CN3:CN834)+COUNTIF(CN3:CN53,CN53)-1</f>
        <v>51</v>
      </c>
      <c r="CP53" s="306" t="str">
        <f t="shared" ca="1" si="2"/>
        <v>Wout Weghorst (Netherlands)</v>
      </c>
    </row>
    <row r="54" spans="1:94" x14ac:dyDescent="0.3">
      <c r="A54" s="306">
        <f t="shared" si="4"/>
        <v>26</v>
      </c>
      <c r="B54" s="306" t="str">
        <f t="shared" si="5"/>
        <v>Xavi Simons (og)</v>
      </c>
      <c r="C54" s="306" t="str">
        <f t="shared" si="6"/>
        <v>Youssouf Sabaly (og)</v>
      </c>
      <c r="D54" s="306" t="str">
        <f t="shared" si="7"/>
        <v>Youssouf Sabaly (og)</v>
      </c>
      <c r="E54" s="306" t="str">
        <f t="shared" si="8"/>
        <v>Youssouf Sabaly (og)</v>
      </c>
      <c r="F54" s="306" t="str">
        <f t="shared" si="9"/>
        <v>0 (og)</v>
      </c>
      <c r="G54" s="306" t="str">
        <f t="shared" si="10"/>
        <v>Trent Alexander-Arnold (og)</v>
      </c>
      <c r="H54" s="306" t="str">
        <f t="shared" si="11"/>
        <v>Trent Alexander-Arnold (og)</v>
      </c>
      <c r="I54" s="306" t="str">
        <f t="shared" si="12"/>
        <v>Trent Alexander-Arnold (og)</v>
      </c>
      <c r="J54" s="306" t="str">
        <f t="shared" si="13"/>
        <v>Yasser Al-Shahrani (og)</v>
      </c>
      <c r="K54" s="306" t="str">
        <f t="shared" si="14"/>
        <v>Rodrigo De Paul (og)</v>
      </c>
      <c r="L54" s="306" t="str">
        <f t="shared" si="15"/>
        <v>Rodrigo De Paul (og)</v>
      </c>
      <c r="M54" s="306" t="str">
        <f t="shared" si="16"/>
        <v>Rodrigo De Paul (og)</v>
      </c>
      <c r="N54" s="306" t="str">
        <f t="shared" si="17"/>
        <v>Youssef Msakni (og)</v>
      </c>
      <c r="O54" s="306" t="str">
        <f t="shared" si="18"/>
        <v>Yussuf Poulsen (og)</v>
      </c>
      <c r="P54" s="306" t="str">
        <f t="shared" si="19"/>
        <v>Yussuf Poulsen (og)</v>
      </c>
      <c r="Q54" s="306" t="str">
        <f t="shared" si="20"/>
        <v>Yussuf Poulsen (og)</v>
      </c>
      <c r="R54" s="306" t="str">
        <f t="shared" si="21"/>
        <v>Yūto Nagatomo (og)</v>
      </c>
      <c r="S54" s="306" t="str">
        <f t="shared" si="22"/>
        <v>Youssoufa Moukoko (og)</v>
      </c>
      <c r="T54" s="306" t="str">
        <f t="shared" si="23"/>
        <v>Youssoufa Moukoko (og)</v>
      </c>
      <c r="U54" s="306" t="str">
        <f t="shared" si="24"/>
        <v>Youssoufa Moukoko (og)</v>
      </c>
      <c r="V54" s="306" t="str">
        <f t="shared" si="25"/>
        <v>Nikola Vlašić (og)</v>
      </c>
      <c r="W54" s="306" t="str">
        <f t="shared" si="26"/>
        <v>Zakaria Aboukhlal (og)</v>
      </c>
      <c r="X54" s="306" t="str">
        <f t="shared" si="27"/>
        <v>Zakaria Aboukhlal (og)</v>
      </c>
      <c r="Y54" s="306" t="str">
        <f t="shared" si="28"/>
        <v>Zakaria Aboukhlal (og)</v>
      </c>
      <c r="Z54" s="306" t="str">
        <f t="shared" si="29"/>
        <v>Vanja Milinković-Savić (og)</v>
      </c>
      <c r="AA54" s="306" t="str">
        <f t="shared" si="30"/>
        <v>Weverton (og)</v>
      </c>
      <c r="AB54" s="306" t="str">
        <f t="shared" si="31"/>
        <v>Weverton (og)</v>
      </c>
      <c r="AC54" s="306" t="str">
        <f t="shared" si="32"/>
        <v>Weverton (og)</v>
      </c>
      <c r="AD54" s="306" t="str">
        <f t="shared" si="33"/>
        <v>Thomas Partey (og)</v>
      </c>
      <c r="AE54" s="306" t="str">
        <f t="shared" si="34"/>
        <v>William Carvalho (og)</v>
      </c>
      <c r="AF54" s="306" t="str">
        <f t="shared" si="35"/>
        <v>William Carvalho (og)</v>
      </c>
      <c r="AG54" s="306" t="str">
        <f t="shared" si="36"/>
        <v>William Carvalho (og)</v>
      </c>
      <c r="AI54" s="306" t="str">
        <f t="shared" ca="1" si="37"/>
        <v xml:space="preserve"> (og)</v>
      </c>
      <c r="AJ54" s="306" t="str">
        <f t="shared" ca="1" si="38"/>
        <v xml:space="preserve"> (og)</v>
      </c>
      <c r="AK54" s="306" t="str">
        <f t="shared" ca="1" si="39"/>
        <v xml:space="preserve"> (og)</v>
      </c>
      <c r="AL54" s="306" t="str">
        <f t="shared" ca="1" si="40"/>
        <v xml:space="preserve"> (og)</v>
      </c>
      <c r="AM54" s="306" t="str">
        <f t="shared" ca="1" si="41"/>
        <v xml:space="preserve"> (og)</v>
      </c>
      <c r="AN54" s="306" t="str">
        <f t="shared" ca="1" si="42"/>
        <v xml:space="preserve"> (og)</v>
      </c>
      <c r="AO54" s="306" t="str">
        <f t="shared" ca="1" si="43"/>
        <v xml:space="preserve"> (og)</v>
      </c>
      <c r="AP54" s="306" t="str">
        <f t="shared" ca="1" si="44"/>
        <v xml:space="preserve"> (og)</v>
      </c>
      <c r="AQ54" s="306" t="str">
        <f t="shared" ca="1" si="45"/>
        <v xml:space="preserve"> (og)</v>
      </c>
      <c r="AR54" s="306" t="str">
        <f t="shared" ca="1" si="46"/>
        <v xml:space="preserve"> (og)</v>
      </c>
      <c r="AS54" s="306" t="str">
        <f t="shared" ca="1" si="47"/>
        <v xml:space="preserve"> (og)</v>
      </c>
      <c r="AT54" s="306" t="str">
        <f t="shared" ca="1" si="48"/>
        <v xml:space="preserve"> (og)</v>
      </c>
      <c r="AU54" s="306" t="str">
        <f t="shared" ca="1" si="49"/>
        <v xml:space="preserve"> (og)</v>
      </c>
      <c r="AV54" s="306" t="str">
        <f t="shared" ca="1" si="50"/>
        <v xml:space="preserve"> (og)</v>
      </c>
      <c r="AW54" s="306" t="str">
        <f t="shared" ca="1" si="51"/>
        <v xml:space="preserve"> (og)</v>
      </c>
      <c r="AX54" s="306" t="str">
        <f t="shared" ca="1" si="52"/>
        <v xml:space="preserve"> (og)</v>
      </c>
      <c r="AZ54" s="306" t="str">
        <f t="shared" ca="1" si="53"/>
        <v xml:space="preserve"> (og)</v>
      </c>
      <c r="BA54" s="306" t="str">
        <f t="shared" ca="1" si="54"/>
        <v xml:space="preserve"> (og)</v>
      </c>
      <c r="BB54" s="306" t="str">
        <f t="shared" ca="1" si="55"/>
        <v xml:space="preserve"> (og)</v>
      </c>
      <c r="BC54" s="306" t="str">
        <f t="shared" ca="1" si="56"/>
        <v xml:space="preserve"> (og)</v>
      </c>
      <c r="BD54" s="306" t="str">
        <f t="shared" ca="1" si="57"/>
        <v xml:space="preserve"> (og)</v>
      </c>
      <c r="BE54" s="306" t="str">
        <f t="shared" ca="1" si="58"/>
        <v xml:space="preserve"> (og)</v>
      </c>
      <c r="BF54" s="306" t="str">
        <f t="shared" ca="1" si="59"/>
        <v xml:space="preserve"> (og)</v>
      </c>
      <c r="BG54" s="306" t="str">
        <f t="shared" ca="1" si="60"/>
        <v xml:space="preserve"> (og)</v>
      </c>
      <c r="BI54" s="306" t="str">
        <f t="shared" ca="1" si="61"/>
        <v xml:space="preserve"> (og)</v>
      </c>
      <c r="BJ54" s="306" t="str">
        <f t="shared" ca="1" si="62"/>
        <v xml:space="preserve"> (og)</v>
      </c>
      <c r="BK54" s="306" t="str">
        <f t="shared" ca="1" si="63"/>
        <v xml:space="preserve"> (og)</v>
      </c>
      <c r="BL54" s="306" t="str">
        <f t="shared" ca="1" si="64"/>
        <v xml:space="preserve"> (og)</v>
      </c>
      <c r="BN54" s="306" t="str">
        <f t="shared" ca="1" si="65"/>
        <v xml:space="preserve"> (og)</v>
      </c>
      <c r="BO54" s="306" t="str">
        <f t="shared" ca="1" si="66"/>
        <v xml:space="preserve"> (og)</v>
      </c>
      <c r="BQ54" s="306" t="str">
        <f t="shared" ca="1" si="67"/>
        <v xml:space="preserve"> (og)</v>
      </c>
      <c r="BR54" s="306" t="str">
        <f t="shared" ca="1" si="68"/>
        <v xml:space="preserve"> (og)</v>
      </c>
      <c r="BT54" s="306" t="str">
        <f t="shared" ca="1" si="69"/>
        <v>Netherlands</v>
      </c>
      <c r="BU54" s="306">
        <v>25</v>
      </c>
      <c r="BV54" s="306">
        <v>0</v>
      </c>
      <c r="BW54" s="306" t="str">
        <f ca="1">OFFSET(C3,BU54,BV54)</f>
        <v>Xavi Simons</v>
      </c>
      <c r="BX54" s="306">
        <f ca="1">COUNTIF('Group Stages'!J7:J102,BW54)</f>
        <v>0</v>
      </c>
      <c r="BY54" s="306">
        <f ca="1">COUNTIF('Group Stages'!K7:K102,BW54)</f>
        <v>0</v>
      </c>
      <c r="BZ54" s="306">
        <f ca="1">COUNTIF('Group Stages'!L7:L102,BW54)</f>
        <v>0</v>
      </c>
      <c r="CA54" s="306">
        <f ca="1">COUNTIF('Group Stages'!M7:M102,BW54)</f>
        <v>0</v>
      </c>
      <c r="CB54" s="306">
        <f ca="1">COUNTIF('Group Stages'!N7:N102,BW54)</f>
        <v>0</v>
      </c>
      <c r="CC54" s="306">
        <f ca="1">COUNTIF('Group Stages'!O7:O102,BW54)</f>
        <v>0</v>
      </c>
      <c r="CD54" s="306">
        <f ca="1">COUNTIF('Group Stages'!P7:P102,BW54)</f>
        <v>0</v>
      </c>
      <c r="CE54" s="306">
        <f ca="1">COUNTIF('Group Stages'!Q7:Q102,BW54)</f>
        <v>0</v>
      </c>
      <c r="CF54" s="306">
        <f ca="1">COUNTIF('Knock Out Stages'!K7:K50,BW54)</f>
        <v>0</v>
      </c>
      <c r="CG54" s="306">
        <f ca="1">COUNTIF('Knock Out Stages'!L7:L50,BW54)</f>
        <v>0</v>
      </c>
      <c r="CH54" s="306">
        <f ca="1">COUNTIF('Knock Out Stages'!M7:M50,BW54)</f>
        <v>0</v>
      </c>
      <c r="CI54" s="306">
        <f ca="1">COUNTIF('Knock Out Stages'!N7:N50,BW54)</f>
        <v>0</v>
      </c>
      <c r="CJ54" s="306">
        <f ca="1">COUNTIF('Knock Out Stages'!O7:O50,BW54)</f>
        <v>0</v>
      </c>
      <c r="CK54" s="306">
        <f ca="1">COUNTIF('Knock Out Stages'!P7:P50,BW54)</f>
        <v>0</v>
      </c>
      <c r="CL54" s="306">
        <f ca="1">COUNTIF('Knock Out Stages'!Q7:Q50,BW54)</f>
        <v>0</v>
      </c>
      <c r="CM54" s="306">
        <f ca="1">COUNTIF('Knock Out Stages'!R7:R50,BW54)</f>
        <v>0</v>
      </c>
      <c r="CN54" s="306">
        <f ca="1">IF(RIGHT('Group Stages'!$B$105,5)="T.com",SUM(BX54:CM54),0)</f>
        <v>0</v>
      </c>
      <c r="CO54" s="306">
        <f ca="1">RANK(CN54,CN3:CN834)+COUNTIF(CN3:CN54,CN54)-1</f>
        <v>52</v>
      </c>
      <c r="CP54" s="306" t="str">
        <f t="shared" ca="1" si="2"/>
        <v>Xavi Simons (Netherlands)</v>
      </c>
    </row>
    <row r="55" spans="1:94" x14ac:dyDescent="0.3">
      <c r="BT55" s="306" t="str">
        <f ca="1">OFFSET(C2,BU55,BV55)</f>
        <v>Qatar</v>
      </c>
      <c r="BU55" s="306">
        <f>BU29</f>
        <v>0</v>
      </c>
      <c r="BV55" s="306">
        <f>BV29+1</f>
        <v>1</v>
      </c>
      <c r="BW55" s="306" t="str">
        <f ca="1">OFFSET(C3,BU55,BV55)</f>
        <v>Abdelkarim Hassan</v>
      </c>
      <c r="BX55" s="306">
        <f ca="1">COUNTIF('Group Stages'!J7:J102,BW55)</f>
        <v>0</v>
      </c>
      <c r="BY55" s="306">
        <f ca="1">COUNTIF('Group Stages'!K7:K102,BW55)</f>
        <v>0</v>
      </c>
      <c r="BZ55" s="306">
        <f ca="1">COUNTIF('Group Stages'!L7:L102,BW55)</f>
        <v>0</v>
      </c>
      <c r="CA55" s="306">
        <f ca="1">COUNTIF('Group Stages'!M7:M102,BW55)</f>
        <v>0</v>
      </c>
      <c r="CB55" s="306">
        <f ca="1">COUNTIF('Group Stages'!N7:N102,BW55)</f>
        <v>0</v>
      </c>
      <c r="CC55" s="306">
        <f ca="1">COUNTIF('Group Stages'!O7:O102,BW55)</f>
        <v>0</v>
      </c>
      <c r="CD55" s="306">
        <f ca="1">COUNTIF('Group Stages'!P7:P102,BW55)</f>
        <v>0</v>
      </c>
      <c r="CE55" s="306">
        <f ca="1">COUNTIF('Group Stages'!Q7:Q102,BW55)</f>
        <v>0</v>
      </c>
      <c r="CF55" s="306">
        <f ca="1">COUNTIF('Knock Out Stages'!K7:K50,BW55)</f>
        <v>0</v>
      </c>
      <c r="CG55" s="306">
        <f ca="1">COUNTIF('Knock Out Stages'!L7:L50,BW55)</f>
        <v>0</v>
      </c>
      <c r="CH55" s="306">
        <f ca="1">COUNTIF('Knock Out Stages'!M7:M50,BW55)</f>
        <v>0</v>
      </c>
      <c r="CI55" s="306">
        <f ca="1">COUNTIF('Knock Out Stages'!N7:N50,BW55)</f>
        <v>0</v>
      </c>
      <c r="CJ55" s="306">
        <f ca="1">COUNTIF('Knock Out Stages'!O7:O50,BW55)</f>
        <v>0</v>
      </c>
      <c r="CK55" s="306">
        <f ca="1">COUNTIF('Knock Out Stages'!P7:P50,BW55)</f>
        <v>0</v>
      </c>
      <c r="CL55" s="306">
        <f ca="1">COUNTIF('Knock Out Stages'!Q7:Q50,BW55)</f>
        <v>0</v>
      </c>
      <c r="CM55" s="306">
        <f ca="1">COUNTIF('Knock Out Stages'!R7:R50,BW55)</f>
        <v>0</v>
      </c>
      <c r="CN55" s="306">
        <f ca="1">IF(RIGHT('Group Stages'!$B$105,5)="T.com",SUM(BX55:CM55),0)</f>
        <v>0</v>
      </c>
      <c r="CO55" s="306">
        <f ca="1">RANK(CN55,CN3:CN834)+COUNTIF(CN3:CN55,CN55)-1</f>
        <v>53</v>
      </c>
      <c r="CP55" s="306" t="str">
        <f t="shared" ca="1" si="2"/>
        <v>Abdelkarim Hassan (Qatar)</v>
      </c>
    </row>
    <row r="56" spans="1:94" x14ac:dyDescent="0.3">
      <c r="A56" s="306">
        <v>2</v>
      </c>
      <c r="BT56" s="306" t="str">
        <f t="shared" ref="BT56:BT119" ca="1" si="70">BT55</f>
        <v>Qatar</v>
      </c>
      <c r="BU56" s="306">
        <f t="shared" ref="BU56:BU119" si="71">BU30</f>
        <v>1</v>
      </c>
      <c r="BV56" s="306">
        <f t="shared" ref="BV56:BV119" si="72">BV30+1</f>
        <v>1</v>
      </c>
      <c r="BW56" s="306" t="str">
        <f ca="1">OFFSET(C3,BU56,BV56)</f>
        <v>Abdulaziz Hatem</v>
      </c>
      <c r="BX56" s="306">
        <f ca="1">COUNTIF('Group Stages'!J7:J102,BW56)</f>
        <v>0</v>
      </c>
      <c r="BY56" s="306">
        <f ca="1">COUNTIF('Group Stages'!K7:K102,BW56)</f>
        <v>0</v>
      </c>
      <c r="BZ56" s="306">
        <f ca="1">COUNTIF('Group Stages'!L7:L102,BW56)</f>
        <v>0</v>
      </c>
      <c r="CA56" s="306">
        <f ca="1">COUNTIF('Group Stages'!M7:M102,BW56)</f>
        <v>0</v>
      </c>
      <c r="CB56" s="306">
        <f ca="1">COUNTIF('Group Stages'!N7:N102,BW56)</f>
        <v>0</v>
      </c>
      <c r="CC56" s="306">
        <f ca="1">COUNTIF('Group Stages'!O7:O102,BW56)</f>
        <v>0</v>
      </c>
      <c r="CD56" s="306">
        <f ca="1">COUNTIF('Group Stages'!P7:P102,BW56)</f>
        <v>0</v>
      </c>
      <c r="CE56" s="306">
        <f ca="1">COUNTIF('Group Stages'!Q7:Q102,BW56)</f>
        <v>0</v>
      </c>
      <c r="CF56" s="306">
        <f ca="1">COUNTIF('Knock Out Stages'!K7:K50,BW56)</f>
        <v>0</v>
      </c>
      <c r="CG56" s="306">
        <f ca="1">COUNTIF('Knock Out Stages'!L7:L50,BW56)</f>
        <v>0</v>
      </c>
      <c r="CH56" s="306">
        <f ca="1">COUNTIF('Knock Out Stages'!M7:M50,BW56)</f>
        <v>0</v>
      </c>
      <c r="CI56" s="306">
        <f ca="1">COUNTIF('Knock Out Stages'!N7:N50,BW56)</f>
        <v>0</v>
      </c>
      <c r="CJ56" s="306">
        <f ca="1">COUNTIF('Knock Out Stages'!O7:O50,BW56)</f>
        <v>0</v>
      </c>
      <c r="CK56" s="306">
        <f ca="1">COUNTIF('Knock Out Stages'!P7:P50,BW56)</f>
        <v>0</v>
      </c>
      <c r="CL56" s="306">
        <f ca="1">COUNTIF('Knock Out Stages'!Q7:Q50,BW56)</f>
        <v>0</v>
      </c>
      <c r="CM56" s="306">
        <f ca="1">COUNTIF('Knock Out Stages'!R7:R50,BW56)</f>
        <v>0</v>
      </c>
      <c r="CN56" s="306">
        <f ca="1">IF(RIGHT('Group Stages'!$B$105,5)="T.com",SUM(BX56:CM56),0)</f>
        <v>0</v>
      </c>
      <c r="CO56" s="306">
        <f ca="1">RANK(CN56,CN3:CN834)+COUNTIF(CN3:CN56,CN56)-1</f>
        <v>54</v>
      </c>
      <c r="CP56" s="306" t="str">
        <f t="shared" ca="1" si="2"/>
        <v>Abdulaziz Hatem (Qatar)</v>
      </c>
    </row>
    <row r="57" spans="1:94" x14ac:dyDescent="0.3">
      <c r="A57" s="306">
        <v>1</v>
      </c>
      <c r="B57" s="306" t="str">
        <f t="shared" ref="B57:AG64" si="73">B3</f>
        <v>Abdou Diallo</v>
      </c>
      <c r="C57" s="306" t="str">
        <f t="shared" si="73"/>
        <v>Andries Noppert</v>
      </c>
      <c r="D57" s="306" t="str">
        <f t="shared" si="73"/>
        <v>Abdelkarim Hassan</v>
      </c>
      <c r="E57" s="306" t="str">
        <f t="shared" si="73"/>
        <v>Alan Franco</v>
      </c>
      <c r="F57" s="306" t="str">
        <f t="shared" si="73"/>
        <v>Aaron Ramsdale</v>
      </c>
      <c r="G57" s="306" t="str">
        <f t="shared" si="73"/>
        <v>Abolfazl Jalali</v>
      </c>
      <c r="H57" s="306" t="str">
        <f t="shared" si="73"/>
        <v>Aaron Long</v>
      </c>
      <c r="I57" s="306" t="str">
        <f t="shared" si="73"/>
        <v>Aaron Ramsey</v>
      </c>
      <c r="J57" s="306" t="str">
        <f t="shared" si="73"/>
        <v>Alejandro Gómez</v>
      </c>
      <c r="K57" s="306" t="str">
        <f t="shared" si="73"/>
        <v>Abdulelah Al-Amri</v>
      </c>
      <c r="L57" s="306" t="str">
        <f t="shared" si="73"/>
        <v>Alexis Vega</v>
      </c>
      <c r="M57" s="306" t="str">
        <f t="shared" si="73"/>
        <v>Arkadiusz Milik</v>
      </c>
      <c r="N57" s="306" t="str">
        <f t="shared" si="73"/>
        <v>Alexander Bah</v>
      </c>
      <c r="O57" s="306" t="str">
        <f t="shared" si="73"/>
        <v>Aïssa Laïdouni</v>
      </c>
      <c r="P57" s="306" t="str">
        <f t="shared" si="73"/>
        <v>Adrien Rabiot</v>
      </c>
      <c r="Q57" s="306" t="str">
        <f t="shared" si="73"/>
        <v>Aaron Mooy</v>
      </c>
      <c r="R57" s="306" t="str">
        <f t="shared" si="73"/>
        <v>Antonio Rüdiger</v>
      </c>
      <c r="S57" s="306" t="str">
        <f t="shared" si="73"/>
        <v>Ao Tanaka</v>
      </c>
      <c r="T57" s="306" t="str">
        <f t="shared" si="73"/>
        <v>Álvaro Morata</v>
      </c>
      <c r="U57" s="306" t="str">
        <f t="shared" si="73"/>
        <v>Álvaro Zamora</v>
      </c>
      <c r="V57" s="306" t="str">
        <f t="shared" si="73"/>
        <v>Abde Ezzalzouli</v>
      </c>
      <c r="W57" s="306" t="str">
        <f t="shared" si="73"/>
        <v>Andrej Kramarić</v>
      </c>
      <c r="X57" s="306" t="str">
        <f t="shared" si="73"/>
        <v>Amadou Onana</v>
      </c>
      <c r="Y57" s="306" t="str">
        <f t="shared" si="73"/>
        <v>Alistair Johnston</v>
      </c>
      <c r="Z57" s="306" t="str">
        <f t="shared" si="73"/>
        <v>Alex Sandro</v>
      </c>
      <c r="AA57" s="306" t="str">
        <f t="shared" si="73"/>
        <v>Aleksandar Mitrović</v>
      </c>
      <c r="AB57" s="306" t="str">
        <f t="shared" si="73"/>
        <v>Ardon Jashari</v>
      </c>
      <c r="AC57" s="306" t="str">
        <f t="shared" si="73"/>
        <v>André Onana</v>
      </c>
      <c r="AD57" s="306" t="str">
        <f t="shared" si="73"/>
        <v>André Silva</v>
      </c>
      <c r="AE57" s="306" t="str">
        <f t="shared" si="73"/>
        <v>Abdul Fatawu Issahaku</v>
      </c>
      <c r="AF57" s="306" t="str">
        <f t="shared" si="73"/>
        <v>Agustín Canobbio</v>
      </c>
      <c r="AG57" s="306" t="str">
        <f t="shared" si="73"/>
        <v>Cho Gue-sung</v>
      </c>
      <c r="BT57" s="306" t="str">
        <f t="shared" ca="1" si="70"/>
        <v>Qatar</v>
      </c>
      <c r="BU57" s="306">
        <f t="shared" si="71"/>
        <v>2</v>
      </c>
      <c r="BV57" s="306">
        <f t="shared" si="72"/>
        <v>1</v>
      </c>
      <c r="BW57" s="306" t="str">
        <f ca="1">OFFSET(C3,BU57,BV57)</f>
        <v>Ahmed Alaaeldin</v>
      </c>
      <c r="BX57" s="306">
        <f ca="1">COUNTIF('Group Stages'!J7:J102,BW57)</f>
        <v>0</v>
      </c>
      <c r="BY57" s="306">
        <f ca="1">COUNTIF('Group Stages'!K7:K102,BW57)</f>
        <v>0</v>
      </c>
      <c r="BZ57" s="306">
        <f ca="1">COUNTIF('Group Stages'!L7:L102,BW57)</f>
        <v>0</v>
      </c>
      <c r="CA57" s="306">
        <f ca="1">COUNTIF('Group Stages'!M7:M102,BW57)</f>
        <v>0</v>
      </c>
      <c r="CB57" s="306">
        <f ca="1">COUNTIF('Group Stages'!N7:N102,BW57)</f>
        <v>0</v>
      </c>
      <c r="CC57" s="306">
        <f ca="1">COUNTIF('Group Stages'!O7:O102,BW57)</f>
        <v>0</v>
      </c>
      <c r="CD57" s="306">
        <f ca="1">COUNTIF('Group Stages'!P7:P102,BW57)</f>
        <v>0</v>
      </c>
      <c r="CE57" s="306">
        <f ca="1">COUNTIF('Group Stages'!Q7:Q102,BW57)</f>
        <v>0</v>
      </c>
      <c r="CF57" s="306">
        <f ca="1">COUNTIF('Knock Out Stages'!K7:K50,BW57)</f>
        <v>0</v>
      </c>
      <c r="CG57" s="306">
        <f ca="1">COUNTIF('Knock Out Stages'!L7:L50,BW57)</f>
        <v>0</v>
      </c>
      <c r="CH57" s="306">
        <f ca="1">COUNTIF('Knock Out Stages'!M7:M50,BW57)</f>
        <v>0</v>
      </c>
      <c r="CI57" s="306">
        <f ca="1">COUNTIF('Knock Out Stages'!N7:N50,BW57)</f>
        <v>0</v>
      </c>
      <c r="CJ57" s="306">
        <f ca="1">COUNTIF('Knock Out Stages'!O7:O50,BW57)</f>
        <v>0</v>
      </c>
      <c r="CK57" s="306">
        <f ca="1">COUNTIF('Knock Out Stages'!P7:P50,BW57)</f>
        <v>0</v>
      </c>
      <c r="CL57" s="306">
        <f ca="1">COUNTIF('Knock Out Stages'!Q7:Q50,BW57)</f>
        <v>0</v>
      </c>
      <c r="CM57" s="306">
        <f ca="1">COUNTIF('Knock Out Stages'!R7:R50,BW57)</f>
        <v>0</v>
      </c>
      <c r="CN57" s="306">
        <f ca="1">IF(RIGHT('Group Stages'!$B$105,5)="T.com",SUM(BX57:CM57),0)</f>
        <v>0</v>
      </c>
      <c r="CO57" s="306">
        <f ca="1">RANK(CN57,CN3:CN834)+COUNTIF(CN3:CN57,CN57)-1</f>
        <v>55</v>
      </c>
      <c r="CP57" s="306" t="str">
        <f t="shared" ca="1" si="2"/>
        <v>Ahmed Alaaeldin (Qatar)</v>
      </c>
    </row>
    <row r="58" spans="1:94" x14ac:dyDescent="0.3">
      <c r="A58" s="306">
        <v>2</v>
      </c>
      <c r="B58" s="306" t="str">
        <f t="shared" si="73"/>
        <v>Alfred Gomis</v>
      </c>
      <c r="C58" s="306" t="str">
        <f t="shared" si="73"/>
        <v>Cody Gakpo</v>
      </c>
      <c r="D58" s="306" t="str">
        <f t="shared" si="73"/>
        <v>Abdulaziz Hatem</v>
      </c>
      <c r="E58" s="306" t="str">
        <f t="shared" si="73"/>
        <v>Alexander Domínguez</v>
      </c>
      <c r="F58" s="306" t="str">
        <f t="shared" si="73"/>
        <v>Ben White</v>
      </c>
      <c r="G58" s="306" t="str">
        <f t="shared" si="73"/>
        <v>Ahmad Nourollahi</v>
      </c>
      <c r="H58" s="306" t="str">
        <f t="shared" si="73"/>
        <v>Antonee Robinson</v>
      </c>
      <c r="I58" s="306" t="str">
        <f t="shared" si="73"/>
        <v>Adam Davies</v>
      </c>
      <c r="J58" s="306" t="str">
        <f t="shared" si="73"/>
        <v>Alexis Mac Allister</v>
      </c>
      <c r="K58" s="306" t="str">
        <f t="shared" si="73"/>
        <v>Abdulellah Al-Malki</v>
      </c>
      <c r="L58" s="306" t="str">
        <f t="shared" si="73"/>
        <v>Alfredo Talavera</v>
      </c>
      <c r="M58" s="306" t="str">
        <f t="shared" si="73"/>
        <v>Artur Jędrzejczyk</v>
      </c>
      <c r="N58" s="306" t="str">
        <f t="shared" si="73"/>
        <v>Andreas Christensen</v>
      </c>
      <c r="O58" s="306" t="str">
        <f t="shared" si="73"/>
        <v>Ali Abdi</v>
      </c>
      <c r="P58" s="306" t="str">
        <f t="shared" si="73"/>
        <v>Alphonse Areola</v>
      </c>
      <c r="Q58" s="306" t="str">
        <f t="shared" si="73"/>
        <v>Ajdin Hrustic</v>
      </c>
      <c r="R58" s="306" t="str">
        <f t="shared" si="73"/>
        <v>Armel Bella-Kotchap</v>
      </c>
      <c r="S58" s="306" t="str">
        <f t="shared" si="73"/>
        <v>Ayase Ueda</v>
      </c>
      <c r="T58" s="306" t="str">
        <f t="shared" si="73"/>
        <v>Ansu Fati</v>
      </c>
      <c r="U58" s="306" t="str">
        <f t="shared" si="73"/>
        <v>Anthony Contreras</v>
      </c>
      <c r="V58" s="306" t="str">
        <f t="shared" si="73"/>
        <v>Abdelhamid Sabiri</v>
      </c>
      <c r="W58" s="306" t="str">
        <f t="shared" si="73"/>
        <v>Ante Budimir</v>
      </c>
      <c r="X58" s="306" t="str">
        <f t="shared" si="73"/>
        <v>Arthur Theate</v>
      </c>
      <c r="Y58" s="306" t="str">
        <f t="shared" si="73"/>
        <v>Alphonso Davies</v>
      </c>
      <c r="Z58" s="306" t="str">
        <f t="shared" si="73"/>
        <v>Alex Telles</v>
      </c>
      <c r="AA58" s="306" t="str">
        <f t="shared" si="73"/>
        <v>Andrija Živković</v>
      </c>
      <c r="AB58" s="306" t="str">
        <f t="shared" si="73"/>
        <v>Breel Embolo</v>
      </c>
      <c r="AC58" s="306" t="str">
        <f t="shared" si="73"/>
        <v>André-Frank Zambo Anguissa</v>
      </c>
      <c r="AD58" s="306" t="str">
        <f t="shared" si="73"/>
        <v>António Silva</v>
      </c>
      <c r="AE58" s="306" t="str">
        <f t="shared" si="73"/>
        <v>Abdul Manaf Nurudeen</v>
      </c>
      <c r="AF58" s="306" t="str">
        <f t="shared" si="73"/>
        <v>Darwin Núñez</v>
      </c>
      <c r="AG58" s="306" t="str">
        <f t="shared" si="73"/>
        <v>Cho Yu-min</v>
      </c>
      <c r="BT58" s="306" t="str">
        <f t="shared" ca="1" si="70"/>
        <v>Qatar</v>
      </c>
      <c r="BU58" s="306">
        <f t="shared" si="71"/>
        <v>3</v>
      </c>
      <c r="BV58" s="306">
        <f t="shared" si="72"/>
        <v>1</v>
      </c>
      <c r="BW58" s="306" t="str">
        <f ca="1">OFFSET(C3,BU58,BV58)</f>
        <v>Akram Afif</v>
      </c>
      <c r="BX58" s="306">
        <f ca="1">COUNTIF('Group Stages'!J7:J102,BW58)</f>
        <v>0</v>
      </c>
      <c r="BY58" s="306">
        <f ca="1">COUNTIF('Group Stages'!K7:K102,BW58)</f>
        <v>0</v>
      </c>
      <c r="BZ58" s="306">
        <f ca="1">COUNTIF('Group Stages'!L7:L102,BW58)</f>
        <v>0</v>
      </c>
      <c r="CA58" s="306">
        <f ca="1">COUNTIF('Group Stages'!M7:M102,BW58)</f>
        <v>0</v>
      </c>
      <c r="CB58" s="306">
        <f ca="1">COUNTIF('Group Stages'!N7:N102,BW58)</f>
        <v>0</v>
      </c>
      <c r="CC58" s="306">
        <f ca="1">COUNTIF('Group Stages'!O7:O102,BW58)</f>
        <v>0</v>
      </c>
      <c r="CD58" s="306">
        <f ca="1">COUNTIF('Group Stages'!P7:P102,BW58)</f>
        <v>0</v>
      </c>
      <c r="CE58" s="306">
        <f ca="1">COUNTIF('Group Stages'!Q7:Q102,BW58)</f>
        <v>0</v>
      </c>
      <c r="CF58" s="306">
        <f ca="1">COUNTIF('Knock Out Stages'!K7:K50,BW58)</f>
        <v>0</v>
      </c>
      <c r="CG58" s="306">
        <f ca="1">COUNTIF('Knock Out Stages'!L7:L50,BW58)</f>
        <v>0</v>
      </c>
      <c r="CH58" s="306">
        <f ca="1">COUNTIF('Knock Out Stages'!M7:M50,BW58)</f>
        <v>0</v>
      </c>
      <c r="CI58" s="306">
        <f ca="1">COUNTIF('Knock Out Stages'!N7:N50,BW58)</f>
        <v>0</v>
      </c>
      <c r="CJ58" s="306">
        <f ca="1">COUNTIF('Knock Out Stages'!O7:O50,BW58)</f>
        <v>0</v>
      </c>
      <c r="CK58" s="306">
        <f ca="1">COUNTIF('Knock Out Stages'!P7:P50,BW58)</f>
        <v>0</v>
      </c>
      <c r="CL58" s="306">
        <f ca="1">COUNTIF('Knock Out Stages'!Q7:Q50,BW58)</f>
        <v>0</v>
      </c>
      <c r="CM58" s="306">
        <f ca="1">COUNTIF('Knock Out Stages'!R7:R50,BW58)</f>
        <v>0</v>
      </c>
      <c r="CN58" s="306">
        <f ca="1">IF(RIGHT('Group Stages'!$B$105,5)="T.com",SUM(BX58:CM58),0)</f>
        <v>0</v>
      </c>
      <c r="CO58" s="306">
        <f ca="1">RANK(CN58,CN3:CN834)+COUNTIF(CN3:CN58,CN58)-1</f>
        <v>56</v>
      </c>
      <c r="CP58" s="306" t="str">
        <f t="shared" ca="1" si="2"/>
        <v>Akram Afif (Qatar)</v>
      </c>
    </row>
    <row r="59" spans="1:94" x14ac:dyDescent="0.3">
      <c r="A59" s="306">
        <v>3</v>
      </c>
      <c r="B59" s="306" t="str">
        <f t="shared" si="73"/>
        <v>Bamba Dieng</v>
      </c>
      <c r="C59" s="306" t="str">
        <f t="shared" si="73"/>
        <v>Daley Blind</v>
      </c>
      <c r="D59" s="306" t="str">
        <f t="shared" si="73"/>
        <v>Ahmed Alaaeldin</v>
      </c>
      <c r="E59" s="306" t="str">
        <f t="shared" si="73"/>
        <v>Ángel Mena</v>
      </c>
      <c r="F59" s="306" t="str">
        <f t="shared" si="73"/>
        <v>Bukayo Saka</v>
      </c>
      <c r="G59" s="306" t="str">
        <f t="shared" si="73"/>
        <v>Ali Gholizadeh</v>
      </c>
      <c r="H59" s="306" t="str">
        <f t="shared" si="73"/>
        <v>Brenden Aaronson</v>
      </c>
      <c r="I59" s="306" t="str">
        <f t="shared" si="73"/>
        <v>Ben Cabango</v>
      </c>
      <c r="J59" s="306" t="str">
        <f t="shared" si="73"/>
        <v>Ángel Di María</v>
      </c>
      <c r="K59" s="306" t="str">
        <f t="shared" si="73"/>
        <v>Abdullah Madu</v>
      </c>
      <c r="L59" s="306" t="str">
        <f t="shared" si="73"/>
        <v>Andrés Guardado</v>
      </c>
      <c r="M59" s="306" t="str">
        <f t="shared" si="73"/>
        <v>Bartłomiej Drągowski</v>
      </c>
      <c r="N59" s="306" t="str">
        <f t="shared" si="73"/>
        <v>Andreas Cornelius</v>
      </c>
      <c r="O59" s="306" t="str">
        <f t="shared" si="73"/>
        <v>Ali Maâloul</v>
      </c>
      <c r="P59" s="306" t="str">
        <f t="shared" si="73"/>
        <v>Antoine Griezmann</v>
      </c>
      <c r="Q59" s="306" t="str">
        <f t="shared" si="73"/>
        <v>Andrew Redmayne</v>
      </c>
      <c r="R59" s="306" t="str">
        <f t="shared" si="73"/>
        <v>Christian Günter</v>
      </c>
      <c r="S59" s="306" t="str">
        <f t="shared" si="73"/>
        <v>Daichi Kamada</v>
      </c>
      <c r="T59" s="306" t="str">
        <f t="shared" si="73"/>
        <v>Aymeric Laporte</v>
      </c>
      <c r="U59" s="306" t="str">
        <f t="shared" si="73"/>
        <v>Anthony Hernández</v>
      </c>
      <c r="V59" s="306" t="str">
        <f t="shared" si="73"/>
        <v>Abderrazak Hamdallah</v>
      </c>
      <c r="W59" s="306" t="str">
        <f t="shared" si="73"/>
        <v>Borna Barišić</v>
      </c>
      <c r="X59" s="306" t="str">
        <f t="shared" si="73"/>
        <v>Axel Witsel</v>
      </c>
      <c r="Y59" s="306" t="str">
        <f t="shared" si="73"/>
        <v>Atiba Hutchinson</v>
      </c>
      <c r="Z59" s="306" t="str">
        <f t="shared" si="73"/>
        <v>Alisson</v>
      </c>
      <c r="AA59" s="306" t="str">
        <f t="shared" si="73"/>
        <v>Darko Lazović</v>
      </c>
      <c r="AB59" s="306" t="str">
        <f t="shared" si="73"/>
        <v>Christian Fassnacht</v>
      </c>
      <c r="AC59" s="306" t="str">
        <f t="shared" si="73"/>
        <v>Bryan Mbeumo</v>
      </c>
      <c r="AD59" s="306" t="str">
        <f t="shared" si="73"/>
        <v>Bernardo Silva</v>
      </c>
      <c r="AE59" s="306" t="str">
        <f t="shared" si="73"/>
        <v>Alexander Djiku</v>
      </c>
      <c r="AF59" s="306" t="str">
        <f t="shared" si="73"/>
        <v>Diego Godín</v>
      </c>
      <c r="AG59" s="306" t="str">
        <f t="shared" si="73"/>
        <v>Hong Chul</v>
      </c>
      <c r="BT59" s="306" t="str">
        <f t="shared" ca="1" si="70"/>
        <v>Qatar</v>
      </c>
      <c r="BU59" s="306">
        <f t="shared" si="71"/>
        <v>4</v>
      </c>
      <c r="BV59" s="306">
        <f t="shared" si="72"/>
        <v>1</v>
      </c>
      <c r="BW59" s="306" t="str">
        <f ca="1">OFFSET(C3,BU59,BV59)</f>
        <v>Ali Assadalla</v>
      </c>
      <c r="BX59" s="306">
        <f ca="1">COUNTIF('Group Stages'!J7:J102,BW59)</f>
        <v>0</v>
      </c>
      <c r="BY59" s="306">
        <f ca="1">COUNTIF('Group Stages'!K7:K102,BW59)</f>
        <v>0</v>
      </c>
      <c r="BZ59" s="306">
        <f ca="1">COUNTIF('Group Stages'!L7:L102,BW59)</f>
        <v>0</v>
      </c>
      <c r="CA59" s="306">
        <f ca="1">COUNTIF('Group Stages'!M7:M102,BW59)</f>
        <v>0</v>
      </c>
      <c r="CB59" s="306">
        <f ca="1">COUNTIF('Group Stages'!N7:N102,BW59)</f>
        <v>0</v>
      </c>
      <c r="CC59" s="306">
        <f ca="1">COUNTIF('Group Stages'!O7:O102,BW59)</f>
        <v>0</v>
      </c>
      <c r="CD59" s="306">
        <f ca="1">COUNTIF('Group Stages'!P7:P102,BW59)</f>
        <v>0</v>
      </c>
      <c r="CE59" s="306">
        <f ca="1">COUNTIF('Group Stages'!Q7:Q102,BW59)</f>
        <v>0</v>
      </c>
      <c r="CF59" s="306">
        <f ca="1">COUNTIF('Knock Out Stages'!K7:K50,BW59)</f>
        <v>0</v>
      </c>
      <c r="CG59" s="306">
        <f ca="1">COUNTIF('Knock Out Stages'!L7:L50,BW59)</f>
        <v>0</v>
      </c>
      <c r="CH59" s="306">
        <f ca="1">COUNTIF('Knock Out Stages'!M7:M50,BW59)</f>
        <v>0</v>
      </c>
      <c r="CI59" s="306">
        <f ca="1">COUNTIF('Knock Out Stages'!N7:N50,BW59)</f>
        <v>0</v>
      </c>
      <c r="CJ59" s="306">
        <f ca="1">COUNTIF('Knock Out Stages'!O7:O50,BW59)</f>
        <v>0</v>
      </c>
      <c r="CK59" s="306">
        <f ca="1">COUNTIF('Knock Out Stages'!P7:P50,BW59)</f>
        <v>0</v>
      </c>
      <c r="CL59" s="306">
        <f ca="1">COUNTIF('Knock Out Stages'!Q7:Q50,BW59)</f>
        <v>0</v>
      </c>
      <c r="CM59" s="306">
        <f ca="1">COUNTIF('Knock Out Stages'!R7:R50,BW59)</f>
        <v>0</v>
      </c>
      <c r="CN59" s="306">
        <f ca="1">IF(RIGHT('Group Stages'!$B$105,5)="T.com",SUM(BX59:CM59),0)</f>
        <v>0</v>
      </c>
      <c r="CO59" s="306">
        <f ca="1">RANK(CN59,CN3:CN834)+COUNTIF(CN3:CN59,CN59)-1</f>
        <v>57</v>
      </c>
      <c r="CP59" s="306" t="str">
        <f t="shared" ca="1" si="2"/>
        <v>Ali Assadalla (Qatar)</v>
      </c>
    </row>
    <row r="60" spans="1:94" x14ac:dyDescent="0.3">
      <c r="A60" s="306">
        <v>4</v>
      </c>
      <c r="B60" s="306" t="str">
        <f t="shared" si="73"/>
        <v>Boulaye Dia</v>
      </c>
      <c r="C60" s="306" t="str">
        <f t="shared" si="73"/>
        <v>Davy Klaassen</v>
      </c>
      <c r="D60" s="306" t="str">
        <f t="shared" si="73"/>
        <v>Akram Afif</v>
      </c>
      <c r="E60" s="306" t="str">
        <f t="shared" si="73"/>
        <v>Ángelo Preciado</v>
      </c>
      <c r="F60" s="306" t="str">
        <f t="shared" si="73"/>
        <v>Callum Wilson</v>
      </c>
      <c r="G60" s="306" t="str">
        <f t="shared" si="73"/>
        <v>Ali Karimi</v>
      </c>
      <c r="H60" s="306" t="str">
        <f t="shared" si="73"/>
        <v>Cameron Carter-Vickers</v>
      </c>
      <c r="I60" s="306" t="str">
        <f t="shared" si="73"/>
        <v>Ben Davies</v>
      </c>
      <c r="J60" s="306" t="str">
        <f t="shared" si="73"/>
        <v>Cristian Romero</v>
      </c>
      <c r="K60" s="306" t="str">
        <f t="shared" si="73"/>
        <v>Abdullah Otayf</v>
      </c>
      <c r="L60" s="306" t="str">
        <f t="shared" si="73"/>
        <v>Carlos Rodríguez</v>
      </c>
      <c r="M60" s="306" t="str">
        <f t="shared" si="73"/>
        <v>Bartosz Bereszyński</v>
      </c>
      <c r="N60" s="306" t="str">
        <f t="shared" si="73"/>
        <v>Andreas Skov Olsen</v>
      </c>
      <c r="O60" s="306" t="str">
        <f t="shared" si="73"/>
        <v>Anis Ben Slimane</v>
      </c>
      <c r="P60" s="306" t="str">
        <f t="shared" si="73"/>
        <v>Aurélien Tchouaméni</v>
      </c>
      <c r="Q60" s="306" t="str">
        <f t="shared" si="73"/>
        <v>Awer Mabil</v>
      </c>
      <c r="R60" s="306" t="str">
        <f t="shared" si="73"/>
        <v>David Raum</v>
      </c>
      <c r="S60" s="306" t="str">
        <f t="shared" si="73"/>
        <v>Daizen Maeda</v>
      </c>
      <c r="T60" s="306" t="str">
        <f t="shared" si="73"/>
        <v>Carlos Soler</v>
      </c>
      <c r="U60" s="306" t="str">
        <f t="shared" si="73"/>
        <v>Brandon Aguilera</v>
      </c>
      <c r="V60" s="306" t="str">
        <f t="shared" si="73"/>
        <v>Achraf Dari</v>
      </c>
      <c r="W60" s="306" t="str">
        <f t="shared" si="73"/>
        <v>Borna Sosa</v>
      </c>
      <c r="X60" s="306" t="str">
        <f t="shared" si="73"/>
        <v>Charles De Ketelaere</v>
      </c>
      <c r="Y60" s="306" t="str">
        <f t="shared" si="73"/>
        <v>Cyle Larin</v>
      </c>
      <c r="Z60" s="306" t="str">
        <f t="shared" si="73"/>
        <v>Antony</v>
      </c>
      <c r="AA60" s="306" t="str">
        <f t="shared" si="73"/>
        <v>Dušan Tadić</v>
      </c>
      <c r="AB60" s="306" t="str">
        <f t="shared" si="73"/>
        <v>Denis Zakaria</v>
      </c>
      <c r="AC60" s="306" t="str">
        <f t="shared" si="73"/>
        <v>Christian Bassogog</v>
      </c>
      <c r="AD60" s="306" t="str">
        <f t="shared" si="73"/>
        <v>Bruno Fernandes</v>
      </c>
      <c r="AE60" s="306" t="str">
        <f t="shared" si="73"/>
        <v>Alidu Seidu</v>
      </c>
      <c r="AF60" s="306" t="str">
        <f t="shared" si="73"/>
        <v>Edinson Cavani</v>
      </c>
      <c r="AG60" s="306" t="str">
        <f t="shared" si="73"/>
        <v>Hwang Hee-chan</v>
      </c>
      <c r="BT60" s="306" t="str">
        <f t="shared" ca="1" si="70"/>
        <v>Qatar</v>
      </c>
      <c r="BU60" s="306">
        <f t="shared" si="71"/>
        <v>5</v>
      </c>
      <c r="BV60" s="306">
        <f t="shared" si="72"/>
        <v>1</v>
      </c>
      <c r="BW60" s="306" t="str">
        <f ca="1">OFFSET(C3,BU60,BV60)</f>
        <v>Almoez Ali</v>
      </c>
      <c r="BX60" s="306">
        <f ca="1">COUNTIF('Group Stages'!J7:J102,BW60)</f>
        <v>0</v>
      </c>
      <c r="BY60" s="306">
        <f ca="1">COUNTIF('Group Stages'!K7:K102,BW60)</f>
        <v>0</v>
      </c>
      <c r="BZ60" s="306">
        <f ca="1">COUNTIF('Group Stages'!L7:L102,BW60)</f>
        <v>0</v>
      </c>
      <c r="CA60" s="306">
        <f ca="1">COUNTIF('Group Stages'!M7:M102,BW60)</f>
        <v>0</v>
      </c>
      <c r="CB60" s="306">
        <f ca="1">COUNTIF('Group Stages'!N7:N102,BW60)</f>
        <v>0</v>
      </c>
      <c r="CC60" s="306">
        <f ca="1">COUNTIF('Group Stages'!O7:O102,BW60)</f>
        <v>0</v>
      </c>
      <c r="CD60" s="306">
        <f ca="1">COUNTIF('Group Stages'!P7:P102,BW60)</f>
        <v>0</v>
      </c>
      <c r="CE60" s="306">
        <f ca="1">COUNTIF('Group Stages'!Q7:Q102,BW60)</f>
        <v>0</v>
      </c>
      <c r="CF60" s="306">
        <f ca="1">COUNTIF('Knock Out Stages'!K7:K50,BW60)</f>
        <v>0</v>
      </c>
      <c r="CG60" s="306">
        <f ca="1">COUNTIF('Knock Out Stages'!L7:L50,BW60)</f>
        <v>0</v>
      </c>
      <c r="CH60" s="306">
        <f ca="1">COUNTIF('Knock Out Stages'!M7:M50,BW60)</f>
        <v>0</v>
      </c>
      <c r="CI60" s="306">
        <f ca="1">COUNTIF('Knock Out Stages'!N7:N50,BW60)</f>
        <v>0</v>
      </c>
      <c r="CJ60" s="306">
        <f ca="1">COUNTIF('Knock Out Stages'!O7:O50,BW60)</f>
        <v>0</v>
      </c>
      <c r="CK60" s="306">
        <f ca="1">COUNTIF('Knock Out Stages'!P7:P50,BW60)</f>
        <v>0</v>
      </c>
      <c r="CL60" s="306">
        <f ca="1">COUNTIF('Knock Out Stages'!Q7:Q50,BW60)</f>
        <v>0</v>
      </c>
      <c r="CM60" s="306">
        <f ca="1">COUNTIF('Knock Out Stages'!R7:R50,BW60)</f>
        <v>0</v>
      </c>
      <c r="CN60" s="306">
        <f ca="1">IF(RIGHT('Group Stages'!$B$105,5)="T.com",SUM(BX60:CM60),0)</f>
        <v>0</v>
      </c>
      <c r="CO60" s="306">
        <f ca="1">RANK(CN60,CN3:CN834)+COUNTIF(CN3:CN60,CN60)-1</f>
        <v>58</v>
      </c>
      <c r="CP60" s="306" t="str">
        <f t="shared" ca="1" si="2"/>
        <v>Almoez Ali (Qatar)</v>
      </c>
    </row>
    <row r="61" spans="1:94" x14ac:dyDescent="0.3">
      <c r="A61" s="306">
        <v>5</v>
      </c>
      <c r="B61" s="306" t="str">
        <f t="shared" si="73"/>
        <v>Cheikhou Kouyaté</v>
      </c>
      <c r="C61" s="306" t="str">
        <f t="shared" si="73"/>
        <v>Denzel Dumfries</v>
      </c>
      <c r="D61" s="306" t="str">
        <f t="shared" si="73"/>
        <v>Ali Assadalla</v>
      </c>
      <c r="E61" s="306" t="str">
        <f t="shared" si="73"/>
        <v>Ayrton Preciado</v>
      </c>
      <c r="F61" s="306" t="str">
        <f t="shared" si="73"/>
        <v>Conor Coady</v>
      </c>
      <c r="G61" s="306" t="str">
        <f t="shared" si="73"/>
        <v>Alireza Beiranvand</v>
      </c>
      <c r="H61" s="306" t="str">
        <f t="shared" si="73"/>
        <v>Christian Pulisic</v>
      </c>
      <c r="I61" s="306" t="str">
        <f t="shared" si="73"/>
        <v>Brennan Johnson</v>
      </c>
      <c r="J61" s="306" t="str">
        <f t="shared" si="73"/>
        <v>Emiliano Martínez</v>
      </c>
      <c r="K61" s="306" t="str">
        <f t="shared" si="73"/>
        <v>Abdulrahman Al-Aboud</v>
      </c>
      <c r="L61" s="306" t="str">
        <f t="shared" si="73"/>
        <v>César Montes</v>
      </c>
      <c r="M61" s="306" t="str">
        <f t="shared" si="73"/>
        <v>Damian Szymański</v>
      </c>
      <c r="N61" s="306" t="str">
        <f t="shared" si="73"/>
        <v>Christian Eriksen</v>
      </c>
      <c r="O61" s="306" t="str">
        <f t="shared" si="73"/>
        <v>Aymen Dahmen</v>
      </c>
      <c r="P61" s="306" t="str">
        <f t="shared" si="73"/>
        <v>Benjamin Pavard</v>
      </c>
      <c r="Q61" s="306" t="str">
        <f t="shared" si="73"/>
        <v>Aziz Behich</v>
      </c>
      <c r="R61" s="306" t="str">
        <f t="shared" si="73"/>
        <v>İlkay Gündoğan</v>
      </c>
      <c r="S61" s="306" t="str">
        <f t="shared" si="73"/>
        <v>Daniel Schmidt</v>
      </c>
      <c r="T61" s="306" t="str">
        <f t="shared" si="73"/>
        <v>César Azpilicueta</v>
      </c>
      <c r="U61" s="306" t="str">
        <f t="shared" si="73"/>
        <v>Bryan Oviedo</v>
      </c>
      <c r="V61" s="306" t="str">
        <f t="shared" si="73"/>
        <v>Achraf Hakimi</v>
      </c>
      <c r="W61" s="306" t="str">
        <f t="shared" si="73"/>
        <v>Bruno Petković</v>
      </c>
      <c r="X61" s="306" t="str">
        <f t="shared" si="73"/>
        <v>Dries Mertens</v>
      </c>
      <c r="Y61" s="306" t="str">
        <f t="shared" si="73"/>
        <v>David Wotherspoon</v>
      </c>
      <c r="Z61" s="306" t="str">
        <f t="shared" si="73"/>
        <v>Bremer</v>
      </c>
      <c r="AA61" s="306" t="str">
        <f t="shared" si="73"/>
        <v>Dušan Vlahović</v>
      </c>
      <c r="AB61" s="306" t="str">
        <f t="shared" si="73"/>
        <v>Djibril Sow</v>
      </c>
      <c r="AC61" s="306" t="str">
        <f t="shared" si="73"/>
        <v>Christopher Wooh</v>
      </c>
      <c r="AD61" s="306" t="str">
        <f t="shared" si="73"/>
        <v>Cristiano Ronaldo</v>
      </c>
      <c r="AE61" s="306" t="str">
        <f t="shared" si="73"/>
        <v>André Ayew</v>
      </c>
      <c r="AF61" s="306" t="str">
        <f t="shared" si="73"/>
        <v>Facundo Pellistri</v>
      </c>
      <c r="AG61" s="306" t="str">
        <f t="shared" si="73"/>
        <v>Hwang In-beom</v>
      </c>
      <c r="BT61" s="306" t="str">
        <f t="shared" ca="1" si="70"/>
        <v>Qatar</v>
      </c>
      <c r="BU61" s="306">
        <f t="shared" si="71"/>
        <v>6</v>
      </c>
      <c r="BV61" s="306">
        <f t="shared" si="72"/>
        <v>1</v>
      </c>
      <c r="BW61" s="306" t="str">
        <f ca="1">OFFSET(C3,BU61,BV61)</f>
        <v>Assim Madibo</v>
      </c>
      <c r="BX61" s="306">
        <f ca="1">COUNTIF('Group Stages'!J7:J102,BW61)</f>
        <v>0</v>
      </c>
      <c r="BY61" s="306">
        <f ca="1">COUNTIF('Group Stages'!K7:K102,BW61)</f>
        <v>0</v>
      </c>
      <c r="BZ61" s="306">
        <f ca="1">COUNTIF('Group Stages'!L7:L102,BW61)</f>
        <v>0</v>
      </c>
      <c r="CA61" s="306">
        <f ca="1">COUNTIF('Group Stages'!M7:M102,BW61)</f>
        <v>0</v>
      </c>
      <c r="CB61" s="306">
        <f ca="1">COUNTIF('Group Stages'!N7:N102,BW61)</f>
        <v>0</v>
      </c>
      <c r="CC61" s="306">
        <f ca="1">COUNTIF('Group Stages'!O7:O102,BW61)</f>
        <v>0</v>
      </c>
      <c r="CD61" s="306">
        <f ca="1">COUNTIF('Group Stages'!P7:P102,BW61)</f>
        <v>0</v>
      </c>
      <c r="CE61" s="306">
        <f ca="1">COUNTIF('Group Stages'!Q7:Q102,BW61)</f>
        <v>0</v>
      </c>
      <c r="CF61" s="306">
        <f ca="1">COUNTIF('Knock Out Stages'!K7:K50,BW61)</f>
        <v>0</v>
      </c>
      <c r="CG61" s="306">
        <f ca="1">COUNTIF('Knock Out Stages'!L7:L50,BW61)</f>
        <v>0</v>
      </c>
      <c r="CH61" s="306">
        <f ca="1">COUNTIF('Knock Out Stages'!M7:M50,BW61)</f>
        <v>0</v>
      </c>
      <c r="CI61" s="306">
        <f ca="1">COUNTIF('Knock Out Stages'!N7:N50,BW61)</f>
        <v>0</v>
      </c>
      <c r="CJ61" s="306">
        <f ca="1">COUNTIF('Knock Out Stages'!O7:O50,BW61)</f>
        <v>0</v>
      </c>
      <c r="CK61" s="306">
        <f ca="1">COUNTIF('Knock Out Stages'!P7:P50,BW61)</f>
        <v>0</v>
      </c>
      <c r="CL61" s="306">
        <f ca="1">COUNTIF('Knock Out Stages'!Q7:Q50,BW61)</f>
        <v>0</v>
      </c>
      <c r="CM61" s="306">
        <f ca="1">COUNTIF('Knock Out Stages'!R7:R50,BW61)</f>
        <v>0</v>
      </c>
      <c r="CN61" s="306">
        <f ca="1">IF(RIGHT('Group Stages'!$B$105,5)="T.com",SUM(BX61:CM61),0)</f>
        <v>0</v>
      </c>
      <c r="CO61" s="306">
        <f ca="1">RANK(CN61,CN3:CN834)+COUNTIF(CN3:CN61,CN61)-1</f>
        <v>59</v>
      </c>
      <c r="CP61" s="306" t="str">
        <f t="shared" ca="1" si="2"/>
        <v>Assim Madibo (Qatar)</v>
      </c>
    </row>
    <row r="62" spans="1:94" x14ac:dyDescent="0.3">
      <c r="A62" s="306">
        <v>6</v>
      </c>
      <c r="B62" s="306" t="str">
        <f t="shared" si="73"/>
        <v>Édouard Mendy</v>
      </c>
      <c r="C62" s="306" t="str">
        <f t="shared" si="73"/>
        <v>Frenkie de Jong</v>
      </c>
      <c r="D62" s="306" t="str">
        <f t="shared" si="73"/>
        <v>Almoez Ali</v>
      </c>
      <c r="E62" s="306" t="str">
        <f t="shared" si="73"/>
        <v>Carlos Gruezo</v>
      </c>
      <c r="F62" s="306" t="str">
        <f t="shared" si="73"/>
        <v>Conor Gallagher</v>
      </c>
      <c r="G62" s="306" t="str">
        <f t="shared" si="73"/>
        <v>Alireza Jahanbakhsh</v>
      </c>
      <c r="H62" s="306" t="str">
        <f t="shared" si="73"/>
        <v>Cristian Roldan</v>
      </c>
      <c r="I62" s="306" t="str">
        <f t="shared" si="73"/>
        <v>Chris Gunter</v>
      </c>
      <c r="J62" s="306" t="str">
        <f t="shared" si="73"/>
        <v>Enzo Fernández</v>
      </c>
      <c r="K62" s="306" t="str">
        <f t="shared" si="73"/>
        <v>Ali Al-Bulaihi</v>
      </c>
      <c r="L62" s="306" t="str">
        <f t="shared" si="73"/>
        <v>Edson Álvarez</v>
      </c>
      <c r="M62" s="306" t="str">
        <f t="shared" si="73"/>
        <v>Grzegorz Krychowiak</v>
      </c>
      <c r="N62" s="306" t="str">
        <f t="shared" si="73"/>
        <v>Christian Nørgaard</v>
      </c>
      <c r="O62" s="306" t="str">
        <f t="shared" si="73"/>
        <v>Aymen Mathlouthi</v>
      </c>
      <c r="P62" s="306" t="str">
        <f t="shared" si="73"/>
        <v>Benoit Badiashile</v>
      </c>
      <c r="Q62" s="306" t="str">
        <f t="shared" si="73"/>
        <v>Bailey Wright</v>
      </c>
      <c r="R62" s="306" t="str">
        <f t="shared" si="73"/>
        <v>Jamal Musiala</v>
      </c>
      <c r="S62" s="306" t="str">
        <f t="shared" si="73"/>
        <v>Eiji Kawashima</v>
      </c>
      <c r="T62" s="306" t="str">
        <f t="shared" si="73"/>
        <v>Dani Carvajal</v>
      </c>
      <c r="U62" s="306" t="str">
        <f t="shared" si="73"/>
        <v>Bryan Ruiz</v>
      </c>
      <c r="V62" s="306" t="str">
        <f t="shared" si="73"/>
        <v>Ahmed Reda Tagnaouti</v>
      </c>
      <c r="W62" s="306" t="str">
        <f t="shared" si="73"/>
        <v>Dejan Lovren</v>
      </c>
      <c r="X62" s="306" t="str">
        <f t="shared" si="73"/>
        <v>Eden Hazard</v>
      </c>
      <c r="Y62" s="306" t="str">
        <f t="shared" si="73"/>
        <v>Dayne St. Clair</v>
      </c>
      <c r="Z62" s="306" t="str">
        <f t="shared" si="73"/>
        <v>Bruno Guimarães</v>
      </c>
      <c r="AA62" s="306" t="str">
        <f t="shared" si="73"/>
        <v>Filip Đuričić</v>
      </c>
      <c r="AB62" s="306" t="str">
        <f t="shared" si="73"/>
        <v>Edimilson Fernandes</v>
      </c>
      <c r="AC62" s="306" t="str">
        <f t="shared" si="73"/>
        <v>Collins Fai</v>
      </c>
      <c r="AD62" s="306" t="str">
        <f t="shared" si="73"/>
        <v>Danilo Pereira</v>
      </c>
      <c r="AE62" s="306" t="str">
        <f t="shared" si="73"/>
        <v>Antoine Semenyo</v>
      </c>
      <c r="AF62" s="306" t="str">
        <f t="shared" si="73"/>
        <v>Facundo Torres</v>
      </c>
      <c r="AG62" s="306" t="str">
        <f t="shared" si="73"/>
        <v>Hwang Ui-jo</v>
      </c>
      <c r="BT62" s="306" t="str">
        <f t="shared" ca="1" si="70"/>
        <v>Qatar</v>
      </c>
      <c r="BU62" s="306">
        <f t="shared" si="71"/>
        <v>7</v>
      </c>
      <c r="BV62" s="306">
        <f t="shared" si="72"/>
        <v>1</v>
      </c>
      <c r="BW62" s="306" t="str">
        <f ca="1">OFFSET(C3,BU62,BV62)</f>
        <v>Bassam Al-Rawi</v>
      </c>
      <c r="BX62" s="306">
        <f ca="1">COUNTIF('Group Stages'!J7:J102,BW62)</f>
        <v>0</v>
      </c>
      <c r="BY62" s="306">
        <f ca="1">COUNTIF('Group Stages'!K7:K102,BW62)</f>
        <v>0</v>
      </c>
      <c r="BZ62" s="306">
        <f ca="1">COUNTIF('Group Stages'!L7:L102,BW62)</f>
        <v>0</v>
      </c>
      <c r="CA62" s="306">
        <f ca="1">COUNTIF('Group Stages'!M7:M102,BW62)</f>
        <v>0</v>
      </c>
      <c r="CB62" s="306">
        <f ca="1">COUNTIF('Group Stages'!N7:N102,BW62)</f>
        <v>0</v>
      </c>
      <c r="CC62" s="306">
        <f ca="1">COUNTIF('Group Stages'!O7:O102,BW62)</f>
        <v>0</v>
      </c>
      <c r="CD62" s="306">
        <f ca="1">COUNTIF('Group Stages'!P7:P102,BW62)</f>
        <v>0</v>
      </c>
      <c r="CE62" s="306">
        <f ca="1">COUNTIF('Group Stages'!Q7:Q102,BW62)</f>
        <v>0</v>
      </c>
      <c r="CF62" s="306">
        <f ca="1">COUNTIF('Knock Out Stages'!K7:K50,BW62)</f>
        <v>0</v>
      </c>
      <c r="CG62" s="306">
        <f ca="1">COUNTIF('Knock Out Stages'!L7:L50,BW62)</f>
        <v>0</v>
      </c>
      <c r="CH62" s="306">
        <f ca="1">COUNTIF('Knock Out Stages'!M7:M50,BW62)</f>
        <v>0</v>
      </c>
      <c r="CI62" s="306">
        <f ca="1">COUNTIF('Knock Out Stages'!N7:N50,BW62)</f>
        <v>0</v>
      </c>
      <c r="CJ62" s="306">
        <f ca="1">COUNTIF('Knock Out Stages'!O7:O50,BW62)</f>
        <v>0</v>
      </c>
      <c r="CK62" s="306">
        <f ca="1">COUNTIF('Knock Out Stages'!P7:P50,BW62)</f>
        <v>0</v>
      </c>
      <c r="CL62" s="306">
        <f ca="1">COUNTIF('Knock Out Stages'!Q7:Q50,BW62)</f>
        <v>0</v>
      </c>
      <c r="CM62" s="306">
        <f ca="1">COUNTIF('Knock Out Stages'!R7:R50,BW62)</f>
        <v>0</v>
      </c>
      <c r="CN62" s="306">
        <f ca="1">IF(RIGHT('Group Stages'!$B$105,5)="T.com",SUM(BX62:CM62),0)</f>
        <v>0</v>
      </c>
      <c r="CO62" s="306">
        <f ca="1">RANK(CN62,CN3:CN834)+COUNTIF(CN3:CN62,CN62)-1</f>
        <v>60</v>
      </c>
      <c r="CP62" s="306" t="str">
        <f t="shared" ca="1" si="2"/>
        <v>Bassam Al-Rawi (Qatar)</v>
      </c>
    </row>
    <row r="63" spans="1:94" x14ac:dyDescent="0.3">
      <c r="A63" s="306">
        <v>7</v>
      </c>
      <c r="B63" s="306" t="str">
        <f t="shared" si="73"/>
        <v>Famara Diédhiou</v>
      </c>
      <c r="C63" s="306" t="str">
        <f t="shared" si="73"/>
        <v>Jeremie Frimpong</v>
      </c>
      <c r="D63" s="306" t="str">
        <f t="shared" si="73"/>
        <v>Assim Madibo</v>
      </c>
      <c r="E63" s="306" t="str">
        <f t="shared" si="73"/>
        <v>Diego Palacios</v>
      </c>
      <c r="F63" s="306" t="str">
        <f t="shared" si="73"/>
        <v>Declan Rice</v>
      </c>
      <c r="G63" s="306" t="str">
        <f t="shared" si="73"/>
        <v>Amir Abedzadeh</v>
      </c>
      <c r="H63" s="306" t="str">
        <f t="shared" si="73"/>
        <v>DeAndre Yedlin</v>
      </c>
      <c r="I63" s="306" t="str">
        <f t="shared" si="73"/>
        <v>Chris Mepham</v>
      </c>
      <c r="J63" s="306" t="str">
        <f t="shared" si="73"/>
        <v>Exequiel Palacios</v>
      </c>
      <c r="K63" s="306" t="str">
        <f t="shared" si="73"/>
        <v>Ali Al-Hassan</v>
      </c>
      <c r="L63" s="306" t="str">
        <f t="shared" si="73"/>
        <v>Érick Gutiérrez</v>
      </c>
      <c r="M63" s="306" t="str">
        <f t="shared" si="73"/>
        <v>Jakub Kamiński</v>
      </c>
      <c r="N63" s="306" t="str">
        <f t="shared" si="73"/>
        <v>Daniel Wass</v>
      </c>
      <c r="O63" s="306" t="str">
        <f t="shared" si="73"/>
        <v>Bechir Ben Saïd</v>
      </c>
      <c r="P63" s="306" t="str">
        <f t="shared" si="73"/>
        <v>Christopher Nkunku</v>
      </c>
      <c r="Q63" s="306" t="str">
        <f t="shared" si="73"/>
        <v>Cameron Devlin</v>
      </c>
      <c r="R63" s="306" t="str">
        <f t="shared" si="73"/>
        <v>Jonas Hofmann</v>
      </c>
      <c r="S63" s="306" t="str">
        <f t="shared" si="73"/>
        <v>Gaku Shibasaki</v>
      </c>
      <c r="T63" s="306" t="str">
        <f t="shared" si="73"/>
        <v>Dani Olmo</v>
      </c>
      <c r="U63" s="306" t="str">
        <f t="shared" si="73"/>
        <v>Carlos Martínez</v>
      </c>
      <c r="V63" s="306" t="str">
        <f t="shared" si="73"/>
        <v>Amine Harit</v>
      </c>
      <c r="W63" s="306" t="str">
        <f t="shared" si="73"/>
        <v>Domagoj Vida</v>
      </c>
      <c r="X63" s="306" t="str">
        <f t="shared" si="73"/>
        <v>Hans Vanaken</v>
      </c>
      <c r="Y63" s="306" t="str">
        <f t="shared" si="73"/>
        <v>Derek Cornelius</v>
      </c>
      <c r="Z63" s="306" t="str">
        <f t="shared" si="73"/>
        <v>Casemiro</v>
      </c>
      <c r="AA63" s="306" t="str">
        <f t="shared" si="73"/>
        <v>Filip Kostić</v>
      </c>
      <c r="AB63" s="306" t="str">
        <f t="shared" si="73"/>
        <v>Eray Cömert</v>
      </c>
      <c r="AC63" s="306" t="str">
        <f t="shared" si="73"/>
        <v>Devis Epassy</v>
      </c>
      <c r="AD63" s="306" t="str">
        <f t="shared" si="73"/>
        <v>Diogo Costa</v>
      </c>
      <c r="AE63" s="306" t="str">
        <f t="shared" si="73"/>
        <v>Baba Rahman</v>
      </c>
      <c r="AF63" s="306" t="str">
        <f t="shared" si="73"/>
        <v>Federico Valverde</v>
      </c>
      <c r="AG63" s="306" t="str">
        <f t="shared" si="73"/>
        <v>Jeong Woo-yeong</v>
      </c>
      <c r="BT63" s="306" t="str">
        <f t="shared" ca="1" si="70"/>
        <v>Qatar</v>
      </c>
      <c r="BU63" s="306">
        <f t="shared" si="71"/>
        <v>8</v>
      </c>
      <c r="BV63" s="306">
        <f t="shared" si="72"/>
        <v>1</v>
      </c>
      <c r="BW63" s="306" t="str">
        <f ca="1">OFFSET(C3,BU63,BV63)</f>
        <v>Boualem Khoukhi</v>
      </c>
      <c r="BX63" s="306">
        <f ca="1">COUNTIF('Group Stages'!J7:J102,BW63)</f>
        <v>0</v>
      </c>
      <c r="BY63" s="306">
        <f ca="1">COUNTIF('Group Stages'!K7:K102,BW63)</f>
        <v>0</v>
      </c>
      <c r="BZ63" s="306">
        <f ca="1">COUNTIF('Group Stages'!L7:L102,BW63)</f>
        <v>0</v>
      </c>
      <c r="CA63" s="306">
        <f ca="1">COUNTIF('Group Stages'!M7:M102,BW63)</f>
        <v>0</v>
      </c>
      <c r="CB63" s="306">
        <f ca="1">COUNTIF('Group Stages'!N7:N102,BW63)</f>
        <v>0</v>
      </c>
      <c r="CC63" s="306">
        <f ca="1">COUNTIF('Group Stages'!O7:O102,BW63)</f>
        <v>0</v>
      </c>
      <c r="CD63" s="306">
        <f ca="1">COUNTIF('Group Stages'!P7:P102,BW63)</f>
        <v>0</v>
      </c>
      <c r="CE63" s="306">
        <f ca="1">COUNTIF('Group Stages'!Q7:Q102,BW63)</f>
        <v>0</v>
      </c>
      <c r="CF63" s="306">
        <f ca="1">COUNTIF('Knock Out Stages'!K7:K50,BW63)</f>
        <v>0</v>
      </c>
      <c r="CG63" s="306">
        <f ca="1">COUNTIF('Knock Out Stages'!L7:L50,BW63)</f>
        <v>0</v>
      </c>
      <c r="CH63" s="306">
        <f ca="1">COUNTIF('Knock Out Stages'!M7:M50,BW63)</f>
        <v>0</v>
      </c>
      <c r="CI63" s="306">
        <f ca="1">COUNTIF('Knock Out Stages'!N7:N50,BW63)</f>
        <v>0</v>
      </c>
      <c r="CJ63" s="306">
        <f ca="1">COUNTIF('Knock Out Stages'!O7:O50,BW63)</f>
        <v>0</v>
      </c>
      <c r="CK63" s="306">
        <f ca="1">COUNTIF('Knock Out Stages'!P7:P50,BW63)</f>
        <v>0</v>
      </c>
      <c r="CL63" s="306">
        <f ca="1">COUNTIF('Knock Out Stages'!Q7:Q50,BW63)</f>
        <v>0</v>
      </c>
      <c r="CM63" s="306">
        <f ca="1">COUNTIF('Knock Out Stages'!R7:R50,BW63)</f>
        <v>0</v>
      </c>
      <c r="CN63" s="306">
        <f ca="1">IF(RIGHT('Group Stages'!$B$105,5)="T.com",SUM(BX63:CM63),0)</f>
        <v>0</v>
      </c>
      <c r="CO63" s="306">
        <f ca="1">RANK(CN63,CN3:CN834)+COUNTIF(CN3:CN63,CN63)-1</f>
        <v>61</v>
      </c>
      <c r="CP63" s="306" t="str">
        <f t="shared" ca="1" si="2"/>
        <v>Boualem Khoukhi (Qatar)</v>
      </c>
    </row>
    <row r="64" spans="1:94" x14ac:dyDescent="0.3">
      <c r="A64" s="306">
        <v>8</v>
      </c>
      <c r="B64" s="306" t="str">
        <f t="shared" si="73"/>
        <v>Fodé Ballo-Touré</v>
      </c>
      <c r="C64" s="306" t="str">
        <f t="shared" si="73"/>
        <v>Jurriën Timber</v>
      </c>
      <c r="D64" s="306" t="str">
        <f t="shared" si="73"/>
        <v>Bassam Al-Rawi</v>
      </c>
      <c r="E64" s="306" t="str">
        <f t="shared" si="73"/>
        <v>Djorkaeff Reasco</v>
      </c>
      <c r="F64" s="306" t="str">
        <f t="shared" si="73"/>
        <v>Eric Dier</v>
      </c>
      <c r="G64" s="306" t="str">
        <f t="shared" si="73"/>
        <v>Ehsan Hajsafi</v>
      </c>
      <c r="H64" s="306" t="str">
        <f t="shared" si="73"/>
        <v>Ethan Horvath</v>
      </c>
      <c r="I64" s="306" t="str">
        <f t="shared" si="73"/>
        <v>Connor Roberts</v>
      </c>
      <c r="J64" s="306" t="str">
        <f t="shared" si="73"/>
        <v>Franco Armani</v>
      </c>
      <c r="K64" s="306" t="str">
        <f t="shared" si="73"/>
        <v>Fahad Al-Muwallad</v>
      </c>
      <c r="L64" s="306" t="str">
        <f t="shared" si="73"/>
        <v>Gerardo Arteaga</v>
      </c>
      <c r="M64" s="306" t="str">
        <f t="shared" si="73"/>
        <v>Jakub Kiwior</v>
      </c>
      <c r="N64" s="306" t="str">
        <f t="shared" si="73"/>
        <v>Frederik Rønnow</v>
      </c>
      <c r="O64" s="306" t="str">
        <f t="shared" si="73"/>
        <v>Bilel Ifa</v>
      </c>
      <c r="P64" s="306" t="str">
        <f t="shared" si="73"/>
        <v>Dayot Upamecano</v>
      </c>
      <c r="Q64" s="306" t="str">
        <f t="shared" si="73"/>
        <v>Craig Goodwin</v>
      </c>
      <c r="R64" s="306" t="str">
        <f t="shared" si="73"/>
        <v>Joshua Kimmich</v>
      </c>
      <c r="S64" s="306" t="str">
        <f t="shared" si="73"/>
        <v>Hidemasa Morita</v>
      </c>
      <c r="T64" s="306" t="str">
        <f t="shared" si="73"/>
        <v>David Raya</v>
      </c>
      <c r="U64" s="306" t="str">
        <f t="shared" si="73"/>
        <v>Celso Borges</v>
      </c>
      <c r="V64" s="306" t="str">
        <f t="shared" si="73"/>
        <v>Azzedine Ounahi</v>
      </c>
      <c r="W64" s="306" t="str">
        <f t="shared" si="73"/>
        <v>Dominik Livaković</v>
      </c>
      <c r="X64" s="306" t="str">
        <f t="shared" si="73"/>
        <v>Jan Vertonghen</v>
      </c>
      <c r="Y64" s="306" t="str">
        <f t="shared" si="73"/>
        <v>Iké Ugbo</v>
      </c>
      <c r="Z64" s="306" t="str">
        <f t="shared" si="73"/>
        <v>Dani Alves</v>
      </c>
      <c r="AA64" s="306" t="str">
        <f t="shared" si="73"/>
        <v>Filip Mladenović</v>
      </c>
      <c r="AB64" s="306" t="str">
        <f t="shared" si="73"/>
        <v>Fabian Frei</v>
      </c>
      <c r="AC64" s="306" t="str">
        <f t="shared" si="73"/>
        <v>Enzo Ebosse</v>
      </c>
      <c r="AD64" s="306" t="str">
        <f t="shared" si="73"/>
        <v>Diogo Dalot</v>
      </c>
      <c r="AE64" s="306" t="str">
        <f t="shared" si="73"/>
        <v>Daniel Afriyie</v>
      </c>
      <c r="AF64" s="306" t="str">
        <f t="shared" si="73"/>
        <v>Fernando Muslera</v>
      </c>
      <c r="AG64" s="306" t="str">
        <f t="shared" ref="AG64" si="74">AG10</f>
        <v>Jo Hyeon-woo</v>
      </c>
      <c r="BT64" s="306" t="str">
        <f t="shared" ca="1" si="70"/>
        <v>Qatar</v>
      </c>
      <c r="BU64" s="306">
        <f t="shared" si="71"/>
        <v>9</v>
      </c>
      <c r="BV64" s="306">
        <f t="shared" si="72"/>
        <v>1</v>
      </c>
      <c r="BW64" s="306" t="str">
        <f ca="1">OFFSET(C3,BU64,BV64)</f>
        <v>Hassan Al-Haydos</v>
      </c>
      <c r="BX64" s="306">
        <f ca="1">COUNTIF('Group Stages'!J7:J102,BW64)</f>
        <v>0</v>
      </c>
      <c r="BY64" s="306">
        <f ca="1">COUNTIF('Group Stages'!K7:K102,BW64)</f>
        <v>0</v>
      </c>
      <c r="BZ64" s="306">
        <f ca="1">COUNTIF('Group Stages'!L7:L102,BW64)</f>
        <v>0</v>
      </c>
      <c r="CA64" s="306">
        <f ca="1">COUNTIF('Group Stages'!M7:M102,BW64)</f>
        <v>0</v>
      </c>
      <c r="CB64" s="306">
        <f ca="1">COUNTIF('Group Stages'!N7:N102,BW64)</f>
        <v>0</v>
      </c>
      <c r="CC64" s="306">
        <f ca="1">COUNTIF('Group Stages'!O7:O102,BW64)</f>
        <v>0</v>
      </c>
      <c r="CD64" s="306">
        <f ca="1">COUNTIF('Group Stages'!P7:P102,BW64)</f>
        <v>0</v>
      </c>
      <c r="CE64" s="306">
        <f ca="1">COUNTIF('Group Stages'!Q7:Q102,BW64)</f>
        <v>0</v>
      </c>
      <c r="CF64" s="306">
        <f ca="1">COUNTIF('Knock Out Stages'!K7:K50,BW64)</f>
        <v>0</v>
      </c>
      <c r="CG64" s="306">
        <f ca="1">COUNTIF('Knock Out Stages'!L7:L50,BW64)</f>
        <v>0</v>
      </c>
      <c r="CH64" s="306">
        <f ca="1">COUNTIF('Knock Out Stages'!M7:M50,BW64)</f>
        <v>0</v>
      </c>
      <c r="CI64" s="306">
        <f ca="1">COUNTIF('Knock Out Stages'!N7:N50,BW64)</f>
        <v>0</v>
      </c>
      <c r="CJ64" s="306">
        <f ca="1">COUNTIF('Knock Out Stages'!O7:O50,BW64)</f>
        <v>0</v>
      </c>
      <c r="CK64" s="306">
        <f ca="1">COUNTIF('Knock Out Stages'!P7:P50,BW64)</f>
        <v>0</v>
      </c>
      <c r="CL64" s="306">
        <f ca="1">COUNTIF('Knock Out Stages'!Q7:Q50,BW64)</f>
        <v>0</v>
      </c>
      <c r="CM64" s="306">
        <f ca="1">COUNTIF('Knock Out Stages'!R7:R50,BW64)</f>
        <v>0</v>
      </c>
      <c r="CN64" s="306">
        <f ca="1">IF(RIGHT('Group Stages'!$B$105,5)="T.com",SUM(BX64:CM64),0)</f>
        <v>0</v>
      </c>
      <c r="CO64" s="306">
        <f ca="1">RANK(CN64,CN3:CN834)+COUNTIF(CN3:CN64,CN64)-1</f>
        <v>62</v>
      </c>
      <c r="CP64" s="306" t="str">
        <f t="shared" ca="1" si="2"/>
        <v>Hassan Al-Haydos (Qatar)</v>
      </c>
    </row>
    <row r="65" spans="1:94" x14ac:dyDescent="0.3">
      <c r="A65" s="306">
        <v>9</v>
      </c>
      <c r="B65" s="306" t="str">
        <f t="shared" ref="B65:AG72" si="75">B11</f>
        <v>Formose Mendy</v>
      </c>
      <c r="C65" s="306" t="str">
        <f t="shared" si="75"/>
        <v>Justin Bijlow</v>
      </c>
      <c r="D65" s="306" t="str">
        <f t="shared" si="75"/>
        <v>Boualem Khoukhi</v>
      </c>
      <c r="E65" s="306" t="str">
        <f t="shared" si="75"/>
        <v>Enner Valencia</v>
      </c>
      <c r="F65" s="306" t="str">
        <f t="shared" si="75"/>
        <v>Harry Kane</v>
      </c>
      <c r="G65" s="306" t="str">
        <f t="shared" si="75"/>
        <v>Hossein Hosseini</v>
      </c>
      <c r="H65" s="306" t="str">
        <f t="shared" si="75"/>
        <v>Giovanni Reyna</v>
      </c>
      <c r="I65" s="306" t="str">
        <f t="shared" si="75"/>
        <v>Daniel James</v>
      </c>
      <c r="J65" s="306" t="str">
        <f t="shared" si="75"/>
        <v>Germán Pezzella</v>
      </c>
      <c r="K65" s="306" t="str">
        <f t="shared" si="75"/>
        <v>Firas Al-Buraikan</v>
      </c>
      <c r="L65" s="306" t="str">
        <f t="shared" si="75"/>
        <v>Guillermo Ochoa</v>
      </c>
      <c r="M65" s="306" t="str">
        <f t="shared" si="75"/>
        <v>Jan Bednarek</v>
      </c>
      <c r="N65" s="306" t="str">
        <f t="shared" si="75"/>
        <v>Jens Stryger Larsen</v>
      </c>
      <c r="O65" s="306" t="str">
        <f t="shared" si="75"/>
        <v>Dylan Bronn</v>
      </c>
      <c r="P65" s="306" t="str">
        <f t="shared" si="75"/>
        <v>Eduardo Camavinga</v>
      </c>
      <c r="Q65" s="306" t="str">
        <f t="shared" si="75"/>
        <v>Danny Vukovic</v>
      </c>
      <c r="R65" s="306" t="str">
        <f t="shared" si="75"/>
        <v>Julian Brandt</v>
      </c>
      <c r="S65" s="306" t="str">
        <f t="shared" si="75"/>
        <v>Hiroki Itō</v>
      </c>
      <c r="T65" s="306" t="str">
        <f t="shared" si="75"/>
        <v>Eric García</v>
      </c>
      <c r="U65" s="306" t="str">
        <f t="shared" si="75"/>
        <v>Daniel Chacón</v>
      </c>
      <c r="V65" s="306" t="str">
        <f t="shared" si="75"/>
        <v>Badr Benoun</v>
      </c>
      <c r="W65" s="306" t="str">
        <f t="shared" si="75"/>
        <v>Ivan Perišić</v>
      </c>
      <c r="X65" s="306" t="str">
        <f t="shared" si="75"/>
        <v>Jérémy Doku</v>
      </c>
      <c r="Y65" s="306" t="str">
        <f t="shared" si="75"/>
        <v>Ismaël Koné</v>
      </c>
      <c r="Z65" s="306" t="str">
        <f t="shared" si="75"/>
        <v>Danilo</v>
      </c>
      <c r="AA65" s="306" t="str">
        <f t="shared" si="75"/>
        <v>Ivan Ilić</v>
      </c>
      <c r="AB65" s="306" t="str">
        <f t="shared" si="75"/>
        <v>Fabian Rieder</v>
      </c>
      <c r="AC65" s="306" t="str">
        <f t="shared" si="75"/>
        <v>Eric Maxim Choupo-Moting</v>
      </c>
      <c r="AD65" s="306" t="str">
        <f t="shared" si="75"/>
        <v>Gonçalo Ramos</v>
      </c>
      <c r="AE65" s="306" t="str">
        <f t="shared" si="75"/>
        <v>Daniel Amartey</v>
      </c>
      <c r="AF65" s="306" t="str">
        <f t="shared" si="75"/>
        <v>Giorgian de Arrascaeta</v>
      </c>
      <c r="AG65" s="306" t="str">
        <f t="shared" si="75"/>
        <v>Jung Woo-young</v>
      </c>
      <c r="BT65" s="306" t="str">
        <f t="shared" ca="1" si="70"/>
        <v>Qatar</v>
      </c>
      <c r="BU65" s="306">
        <f t="shared" si="71"/>
        <v>10</v>
      </c>
      <c r="BV65" s="306">
        <f t="shared" si="72"/>
        <v>1</v>
      </c>
      <c r="BW65" s="306" t="str">
        <f ca="1">OFFSET(C3,BU65,BV65)</f>
        <v>Homam Ahmed</v>
      </c>
      <c r="BX65" s="306">
        <f ca="1">COUNTIF('Group Stages'!J7:J102,BW65)</f>
        <v>0</v>
      </c>
      <c r="BY65" s="306">
        <f ca="1">COUNTIF('Group Stages'!K7:K102,BW65)</f>
        <v>0</v>
      </c>
      <c r="BZ65" s="306">
        <f ca="1">COUNTIF('Group Stages'!L7:L102,BW65)</f>
        <v>0</v>
      </c>
      <c r="CA65" s="306">
        <f ca="1">COUNTIF('Group Stages'!M7:M102,BW65)</f>
        <v>0</v>
      </c>
      <c r="CB65" s="306">
        <f ca="1">COUNTIF('Group Stages'!N7:N102,BW65)</f>
        <v>0</v>
      </c>
      <c r="CC65" s="306">
        <f ca="1">COUNTIF('Group Stages'!O7:O102,BW65)</f>
        <v>0</v>
      </c>
      <c r="CD65" s="306">
        <f ca="1">COUNTIF('Group Stages'!P7:P102,BW65)</f>
        <v>0</v>
      </c>
      <c r="CE65" s="306">
        <f ca="1">COUNTIF('Group Stages'!Q7:Q102,BW65)</f>
        <v>0</v>
      </c>
      <c r="CF65" s="306">
        <f ca="1">COUNTIF('Knock Out Stages'!K7:K50,BW65)</f>
        <v>0</v>
      </c>
      <c r="CG65" s="306">
        <f ca="1">COUNTIF('Knock Out Stages'!L7:L50,BW65)</f>
        <v>0</v>
      </c>
      <c r="CH65" s="306">
        <f ca="1">COUNTIF('Knock Out Stages'!M7:M50,BW65)</f>
        <v>0</v>
      </c>
      <c r="CI65" s="306">
        <f ca="1">COUNTIF('Knock Out Stages'!N7:N50,BW65)</f>
        <v>0</v>
      </c>
      <c r="CJ65" s="306">
        <f ca="1">COUNTIF('Knock Out Stages'!O7:O50,BW65)</f>
        <v>0</v>
      </c>
      <c r="CK65" s="306">
        <f ca="1">COUNTIF('Knock Out Stages'!P7:P50,BW65)</f>
        <v>0</v>
      </c>
      <c r="CL65" s="306">
        <f ca="1">COUNTIF('Knock Out Stages'!Q7:Q50,BW65)</f>
        <v>0</v>
      </c>
      <c r="CM65" s="306">
        <f ca="1">COUNTIF('Knock Out Stages'!R7:R50,BW65)</f>
        <v>0</v>
      </c>
      <c r="CN65" s="306">
        <f ca="1">IF(RIGHT('Group Stages'!$B$105,5)="T.com",SUM(BX65:CM65),0)</f>
        <v>0</v>
      </c>
      <c r="CO65" s="306">
        <f ca="1">RANK(CN65,CN3:CN834)+COUNTIF(CN3:CN65,CN65)-1</f>
        <v>63</v>
      </c>
      <c r="CP65" s="306" t="str">
        <f t="shared" ca="1" si="2"/>
        <v>Homam Ahmed (Qatar)</v>
      </c>
    </row>
    <row r="66" spans="1:94" x14ac:dyDescent="0.3">
      <c r="A66" s="306">
        <v>10</v>
      </c>
      <c r="B66" s="306" t="str">
        <f t="shared" si="75"/>
        <v>Idrissa Gueye</v>
      </c>
      <c r="C66" s="306" t="str">
        <f t="shared" si="75"/>
        <v>Kenneth Taylor</v>
      </c>
      <c r="D66" s="306" t="str">
        <f t="shared" si="75"/>
        <v>Hassan Al-Haydos</v>
      </c>
      <c r="E66" s="306" t="str">
        <f t="shared" si="75"/>
        <v>Félix Torres</v>
      </c>
      <c r="F66" s="306" t="str">
        <f t="shared" si="75"/>
        <v>Harry Maguire</v>
      </c>
      <c r="G66" s="306" t="str">
        <f t="shared" si="75"/>
        <v>Hossein Kanaanizadegan</v>
      </c>
      <c r="H66" s="306" t="str">
        <f t="shared" si="75"/>
        <v>Haji Wright</v>
      </c>
      <c r="I66" s="306" t="str">
        <f t="shared" si="75"/>
        <v>Danny Ward</v>
      </c>
      <c r="J66" s="306" t="str">
        <f t="shared" si="75"/>
        <v>Gerónimo Rulli</v>
      </c>
      <c r="K66" s="306" t="str">
        <f t="shared" si="75"/>
        <v>Haitham Asiri</v>
      </c>
      <c r="L66" s="306" t="str">
        <f t="shared" si="75"/>
        <v>Héctor Herrera</v>
      </c>
      <c r="M66" s="306" t="str">
        <f t="shared" si="75"/>
        <v>Kamil Glik</v>
      </c>
      <c r="N66" s="306" t="str">
        <f t="shared" si="75"/>
        <v>Jesper Lindstrøm</v>
      </c>
      <c r="O66" s="306" t="str">
        <f t="shared" si="75"/>
        <v>Ellyes Skhiri</v>
      </c>
      <c r="P66" s="306" t="str">
        <f t="shared" si="75"/>
        <v>Hugo Lloris</v>
      </c>
      <c r="Q66" s="306" t="str">
        <f t="shared" si="75"/>
        <v>Fran Karačić</v>
      </c>
      <c r="R66" s="306" t="str">
        <f t="shared" si="75"/>
        <v>Kai Havertz</v>
      </c>
      <c r="S66" s="306" t="str">
        <f t="shared" si="75"/>
        <v>Hiroki Sakai</v>
      </c>
      <c r="T66" s="306" t="str">
        <f t="shared" si="75"/>
        <v>Ferran Torres</v>
      </c>
      <c r="U66" s="306" t="str">
        <f t="shared" si="75"/>
        <v>Douglas López</v>
      </c>
      <c r="V66" s="306" t="str">
        <f t="shared" si="75"/>
        <v>Bilal El Khannous</v>
      </c>
      <c r="W66" s="306" t="str">
        <f t="shared" si="75"/>
        <v>Ivica Ivušić</v>
      </c>
      <c r="X66" s="306" t="str">
        <f t="shared" si="75"/>
        <v>Kevin De Bruyne</v>
      </c>
      <c r="Y66" s="306" t="str">
        <f t="shared" si="75"/>
        <v>James Pantemis</v>
      </c>
      <c r="Z66" s="306" t="str">
        <f t="shared" si="75"/>
        <v>Éder Militão</v>
      </c>
      <c r="AA66" s="306" t="str">
        <f t="shared" si="75"/>
        <v>Luka Jović</v>
      </c>
      <c r="AB66" s="306" t="str">
        <f t="shared" si="75"/>
        <v>Fabian Schär</v>
      </c>
      <c r="AC66" s="306" t="str">
        <f t="shared" si="75"/>
        <v>Gaël Ondoua</v>
      </c>
      <c r="AD66" s="306" t="str">
        <f t="shared" si="75"/>
        <v>João Cancelo</v>
      </c>
      <c r="AE66" s="306" t="str">
        <f t="shared" si="75"/>
        <v>Daniel-Kofi Kyereh</v>
      </c>
      <c r="AF66" s="306" t="str">
        <f t="shared" si="75"/>
        <v>Guillermo Varela</v>
      </c>
      <c r="AG66" s="306" t="str">
        <f t="shared" si="75"/>
        <v>Kim Jin-su</v>
      </c>
      <c r="BT66" s="306" t="str">
        <f t="shared" ca="1" si="70"/>
        <v>Qatar</v>
      </c>
      <c r="BU66" s="306">
        <f t="shared" si="71"/>
        <v>11</v>
      </c>
      <c r="BV66" s="306">
        <f t="shared" si="72"/>
        <v>1</v>
      </c>
      <c r="BW66" s="306" t="str">
        <f ca="1">OFFSET(C3,BU66,BV66)</f>
        <v>Ismaeel Mohammad</v>
      </c>
      <c r="BX66" s="306">
        <f ca="1">COUNTIF('Group Stages'!J7:J102,BW66)</f>
        <v>0</v>
      </c>
      <c r="BY66" s="306">
        <f ca="1">COUNTIF('Group Stages'!K7:K102,BW66)</f>
        <v>0</v>
      </c>
      <c r="BZ66" s="306">
        <f ca="1">COUNTIF('Group Stages'!L7:L102,BW66)</f>
        <v>0</v>
      </c>
      <c r="CA66" s="306">
        <f ca="1">COUNTIF('Group Stages'!M7:M102,BW66)</f>
        <v>0</v>
      </c>
      <c r="CB66" s="306">
        <f ca="1">COUNTIF('Group Stages'!N7:N102,BW66)</f>
        <v>0</v>
      </c>
      <c r="CC66" s="306">
        <f ca="1">COUNTIF('Group Stages'!O7:O102,BW66)</f>
        <v>0</v>
      </c>
      <c r="CD66" s="306">
        <f ca="1">COUNTIF('Group Stages'!P7:P102,BW66)</f>
        <v>0</v>
      </c>
      <c r="CE66" s="306">
        <f ca="1">COUNTIF('Group Stages'!Q7:Q102,BW66)</f>
        <v>0</v>
      </c>
      <c r="CF66" s="306">
        <f ca="1">COUNTIF('Knock Out Stages'!K7:K50,BW66)</f>
        <v>0</v>
      </c>
      <c r="CG66" s="306">
        <f ca="1">COUNTIF('Knock Out Stages'!L7:L50,BW66)</f>
        <v>0</v>
      </c>
      <c r="CH66" s="306">
        <f ca="1">COUNTIF('Knock Out Stages'!M7:M50,BW66)</f>
        <v>0</v>
      </c>
      <c r="CI66" s="306">
        <f ca="1">COUNTIF('Knock Out Stages'!N7:N50,BW66)</f>
        <v>0</v>
      </c>
      <c r="CJ66" s="306">
        <f ca="1">COUNTIF('Knock Out Stages'!O7:O50,BW66)</f>
        <v>0</v>
      </c>
      <c r="CK66" s="306">
        <f ca="1">COUNTIF('Knock Out Stages'!P7:P50,BW66)</f>
        <v>0</v>
      </c>
      <c r="CL66" s="306">
        <f ca="1">COUNTIF('Knock Out Stages'!Q7:Q50,BW66)</f>
        <v>0</v>
      </c>
      <c r="CM66" s="306">
        <f ca="1">COUNTIF('Knock Out Stages'!R7:R50,BW66)</f>
        <v>0</v>
      </c>
      <c r="CN66" s="306">
        <f ca="1">IF(RIGHT('Group Stages'!$B$105,5)="T.com",SUM(BX66:CM66),0)</f>
        <v>0</v>
      </c>
      <c r="CO66" s="306">
        <f ca="1">RANK(CN66,CN3:CN834)+COUNTIF(CN3:CN66,CN66)-1</f>
        <v>64</v>
      </c>
      <c r="CP66" s="306" t="str">
        <f t="shared" ca="1" si="2"/>
        <v>Ismaeel Mohammad (Qatar)</v>
      </c>
    </row>
    <row r="67" spans="1:94" x14ac:dyDescent="0.3">
      <c r="A67" s="306">
        <v>11</v>
      </c>
      <c r="B67" s="306" t="str">
        <f t="shared" si="75"/>
        <v>Iliman Ndiaye</v>
      </c>
      <c r="C67" s="306" t="str">
        <f t="shared" si="75"/>
        <v>Luuk de Jong</v>
      </c>
      <c r="D67" s="306" t="str">
        <f t="shared" si="75"/>
        <v>Homam Ahmed</v>
      </c>
      <c r="E67" s="306" t="str">
        <f t="shared" si="75"/>
        <v>Gonzalo Plata</v>
      </c>
      <c r="F67" s="306" t="str">
        <f t="shared" si="75"/>
        <v>Jack Grealish</v>
      </c>
      <c r="G67" s="306" t="str">
        <f t="shared" si="75"/>
        <v>Karim Ansarifard</v>
      </c>
      <c r="H67" s="306" t="str">
        <f t="shared" si="75"/>
        <v>Jesús Ferreira</v>
      </c>
      <c r="I67" s="306" t="str">
        <f t="shared" si="75"/>
        <v>Dylan Levitt</v>
      </c>
      <c r="J67" s="306" t="str">
        <f t="shared" si="75"/>
        <v>Gonzalo Montiel</v>
      </c>
      <c r="K67" s="306" t="str">
        <f t="shared" si="75"/>
        <v>Hassan Tambakti</v>
      </c>
      <c r="L67" s="306" t="str">
        <f t="shared" si="75"/>
        <v>Héctor Moreno</v>
      </c>
      <c r="M67" s="306" t="str">
        <f t="shared" si="75"/>
        <v>Kamil Grosicki</v>
      </c>
      <c r="N67" s="306" t="str">
        <f t="shared" si="75"/>
        <v>Joachim Andersen</v>
      </c>
      <c r="O67" s="306" t="str">
        <f t="shared" si="75"/>
        <v>Ferjani Sassi</v>
      </c>
      <c r="P67" s="306" t="str">
        <f t="shared" si="75"/>
        <v>Ibrahima Konaté</v>
      </c>
      <c r="Q67" s="306" t="str">
        <f t="shared" si="75"/>
        <v>Garang Kuol</v>
      </c>
      <c r="R67" s="306" t="str">
        <f t="shared" si="75"/>
        <v>Karim Adeyemi</v>
      </c>
      <c r="S67" s="306" t="str">
        <f t="shared" si="75"/>
        <v>Junya Ito</v>
      </c>
      <c r="T67" s="306" t="str">
        <f t="shared" si="75"/>
        <v>Gavi</v>
      </c>
      <c r="U67" s="306" t="str">
        <f t="shared" si="75"/>
        <v>Esteban Alvarado</v>
      </c>
      <c r="V67" s="306" t="str">
        <f t="shared" si="75"/>
        <v>Hakim Ziyech</v>
      </c>
      <c r="W67" s="306" t="str">
        <f t="shared" si="75"/>
        <v>Ivo Grbić</v>
      </c>
      <c r="X67" s="306" t="str">
        <f t="shared" si="75"/>
        <v>Koen Casteels</v>
      </c>
      <c r="Y67" s="306" t="str">
        <f t="shared" si="75"/>
        <v>Joel Waterman</v>
      </c>
      <c r="Z67" s="306" t="str">
        <f t="shared" si="75"/>
        <v>Ederson</v>
      </c>
      <c r="AA67" s="306" t="str">
        <f t="shared" si="75"/>
        <v>Marko Dmitrović</v>
      </c>
      <c r="AB67" s="306" t="str">
        <f t="shared" si="75"/>
        <v>Granit Xhaka</v>
      </c>
      <c r="AC67" s="306" t="str">
        <f t="shared" si="75"/>
        <v>Georges-Kévin Nkoudou</v>
      </c>
      <c r="AD67" s="306" t="str">
        <f t="shared" si="75"/>
        <v>João Félix</v>
      </c>
      <c r="AE67" s="306" t="str">
        <f t="shared" si="75"/>
        <v>Denis Odoi</v>
      </c>
      <c r="AF67" s="306" t="str">
        <f t="shared" si="75"/>
        <v>José Giménez</v>
      </c>
      <c r="AG67" s="306" t="str">
        <f t="shared" si="75"/>
        <v>Kim Min-jae</v>
      </c>
      <c r="BT67" s="306" t="str">
        <f t="shared" ca="1" si="70"/>
        <v>Qatar</v>
      </c>
      <c r="BU67" s="306">
        <f t="shared" si="71"/>
        <v>12</v>
      </c>
      <c r="BV67" s="306">
        <f t="shared" si="72"/>
        <v>1</v>
      </c>
      <c r="BW67" s="306" t="str">
        <f ca="1">OFFSET(C3,BU67,BV67)</f>
        <v>Jassem Gaber</v>
      </c>
      <c r="BX67" s="306">
        <f ca="1">COUNTIF('Group Stages'!J7:J102,BW67)</f>
        <v>0</v>
      </c>
      <c r="BY67" s="306">
        <f ca="1">COUNTIF('Group Stages'!K7:K102,BW67)</f>
        <v>0</v>
      </c>
      <c r="BZ67" s="306">
        <f ca="1">COUNTIF('Group Stages'!L7:L102,BW67)</f>
        <v>0</v>
      </c>
      <c r="CA67" s="306">
        <f ca="1">COUNTIF('Group Stages'!M7:M102,BW67)</f>
        <v>0</v>
      </c>
      <c r="CB67" s="306">
        <f ca="1">COUNTIF('Group Stages'!N7:N102,BW67)</f>
        <v>0</v>
      </c>
      <c r="CC67" s="306">
        <f ca="1">COUNTIF('Group Stages'!O7:O102,BW67)</f>
        <v>0</v>
      </c>
      <c r="CD67" s="306">
        <f ca="1">COUNTIF('Group Stages'!P7:P102,BW67)</f>
        <v>0</v>
      </c>
      <c r="CE67" s="306">
        <f ca="1">COUNTIF('Group Stages'!Q7:Q102,BW67)</f>
        <v>0</v>
      </c>
      <c r="CF67" s="306">
        <f ca="1">COUNTIF('Knock Out Stages'!K7:K50,BW67)</f>
        <v>0</v>
      </c>
      <c r="CG67" s="306">
        <f ca="1">COUNTIF('Knock Out Stages'!L7:L50,BW67)</f>
        <v>0</v>
      </c>
      <c r="CH67" s="306">
        <f ca="1">COUNTIF('Knock Out Stages'!M7:M50,BW67)</f>
        <v>0</v>
      </c>
      <c r="CI67" s="306">
        <f ca="1">COUNTIF('Knock Out Stages'!N7:N50,BW67)</f>
        <v>0</v>
      </c>
      <c r="CJ67" s="306">
        <f ca="1">COUNTIF('Knock Out Stages'!O7:O50,BW67)</f>
        <v>0</v>
      </c>
      <c r="CK67" s="306">
        <f ca="1">COUNTIF('Knock Out Stages'!P7:P50,BW67)</f>
        <v>0</v>
      </c>
      <c r="CL67" s="306">
        <f ca="1">COUNTIF('Knock Out Stages'!Q7:Q50,BW67)</f>
        <v>0</v>
      </c>
      <c r="CM67" s="306">
        <f ca="1">COUNTIF('Knock Out Stages'!R7:R50,BW67)</f>
        <v>0</v>
      </c>
      <c r="CN67" s="306">
        <f ca="1">IF(RIGHT('Group Stages'!$B$105,5)="T.com",SUM(BX67:CM67),0)</f>
        <v>0</v>
      </c>
      <c r="CO67" s="306">
        <f ca="1">RANK(CN67,CN3:CN834)+COUNTIF(CN3:CN67,CN67)-1</f>
        <v>65</v>
      </c>
      <c r="CP67" s="306" t="str">
        <f t="shared" ca="1" si="2"/>
        <v>Jassem Gaber (Qatar)</v>
      </c>
    </row>
    <row r="68" spans="1:94" x14ac:dyDescent="0.3">
      <c r="A68" s="306">
        <v>12</v>
      </c>
      <c r="B68" s="306" t="str">
        <f t="shared" si="75"/>
        <v>Ismail Jakobs</v>
      </c>
      <c r="C68" s="306" t="str">
        <f t="shared" si="75"/>
        <v>Marten de Roon</v>
      </c>
      <c r="D68" s="306" t="str">
        <f t="shared" si="75"/>
        <v>Ismaeel Mohammad</v>
      </c>
      <c r="E68" s="306" t="str">
        <f t="shared" si="75"/>
        <v>Hernán Galíndez</v>
      </c>
      <c r="F68" s="306" t="str">
        <f t="shared" si="75"/>
        <v>James Maddison</v>
      </c>
      <c r="G68" s="306" t="str">
        <f t="shared" si="75"/>
        <v>Majid Hosseini</v>
      </c>
      <c r="H68" s="306" t="str">
        <f t="shared" si="75"/>
        <v>Joe Scally</v>
      </c>
      <c r="I68" s="306" t="str">
        <f t="shared" si="75"/>
        <v>Ethan Ampadu</v>
      </c>
      <c r="J68" s="306" t="str">
        <f t="shared" si="75"/>
        <v>Guido Rodríguez</v>
      </c>
      <c r="K68" s="306" t="str">
        <f t="shared" si="75"/>
        <v>Hattan Bahebri</v>
      </c>
      <c r="L68" s="306" t="str">
        <f t="shared" si="75"/>
        <v>Henry Martín</v>
      </c>
      <c r="M68" s="306" t="str">
        <f t="shared" si="75"/>
        <v>Karol Świderski</v>
      </c>
      <c r="N68" s="306" t="str">
        <f t="shared" si="75"/>
        <v>Joakim Mæhle</v>
      </c>
      <c r="O68" s="306" t="str">
        <f t="shared" si="75"/>
        <v>Ghailene Chaalali</v>
      </c>
      <c r="P68" s="306" t="str">
        <f t="shared" si="75"/>
        <v>Jordan Veretout</v>
      </c>
      <c r="Q68" s="306" t="str">
        <f t="shared" si="75"/>
        <v>Harry Souttar</v>
      </c>
      <c r="R68" s="306" t="str">
        <f t="shared" si="75"/>
        <v>Kevin Trapp</v>
      </c>
      <c r="S68" s="306" t="str">
        <f t="shared" si="75"/>
        <v>Kaoru Mitoma</v>
      </c>
      <c r="T68" s="306" t="str">
        <f t="shared" si="75"/>
        <v>Hugo Guillamón</v>
      </c>
      <c r="U68" s="306" t="str">
        <f t="shared" si="75"/>
        <v>Francisco Calvo</v>
      </c>
      <c r="V68" s="306" t="str">
        <f t="shared" si="75"/>
        <v>Ilias Chair</v>
      </c>
      <c r="W68" s="306" t="str">
        <f t="shared" si="75"/>
        <v>Josip Juranović</v>
      </c>
      <c r="X68" s="306" t="str">
        <f t="shared" si="75"/>
        <v>Leander Dendoncker</v>
      </c>
      <c r="Y68" s="306" t="str">
        <f t="shared" si="75"/>
        <v>Jonathan David</v>
      </c>
      <c r="Z68" s="306" t="str">
        <f t="shared" si="75"/>
        <v>Éverton Ribeiro</v>
      </c>
      <c r="AA68" s="306" t="str">
        <f t="shared" si="75"/>
        <v>Marko Grujić</v>
      </c>
      <c r="AB68" s="306" t="str">
        <f t="shared" si="75"/>
        <v>Gregor Kobel</v>
      </c>
      <c r="AC68" s="306" t="str">
        <f t="shared" si="75"/>
        <v>Jean-Charles Castelletto</v>
      </c>
      <c r="AD68" s="306" t="str">
        <f t="shared" si="75"/>
        <v>João Mário</v>
      </c>
      <c r="AE68" s="306" t="str">
        <f t="shared" si="75"/>
        <v>Elisha Owusu</v>
      </c>
      <c r="AF68" s="306" t="str">
        <f t="shared" si="75"/>
        <v>José Luis Rodríguez</v>
      </c>
      <c r="AG68" s="306" t="str">
        <f t="shared" si="75"/>
        <v>Kim Moon-hwan</v>
      </c>
      <c r="BT68" s="306" t="str">
        <f t="shared" ca="1" si="70"/>
        <v>Qatar</v>
      </c>
      <c r="BU68" s="306">
        <f t="shared" si="71"/>
        <v>13</v>
      </c>
      <c r="BV68" s="306">
        <f t="shared" si="72"/>
        <v>1</v>
      </c>
      <c r="BW68" s="306" t="str">
        <f ca="1">OFFSET(C3,BU68,BV68)</f>
        <v>Karim Boudiaf</v>
      </c>
      <c r="BX68" s="306">
        <f ca="1">COUNTIF('Group Stages'!J7:J102,BW68)</f>
        <v>0</v>
      </c>
      <c r="BY68" s="306">
        <f ca="1">COUNTIF('Group Stages'!K7:K102,BW68)</f>
        <v>0</v>
      </c>
      <c r="BZ68" s="306">
        <f ca="1">COUNTIF('Group Stages'!L7:L102,BW68)</f>
        <v>0</v>
      </c>
      <c r="CA68" s="306">
        <f ca="1">COUNTIF('Group Stages'!M7:M102,BW68)</f>
        <v>0</v>
      </c>
      <c r="CB68" s="306">
        <f ca="1">COUNTIF('Group Stages'!N7:N102,BW68)</f>
        <v>0</v>
      </c>
      <c r="CC68" s="306">
        <f ca="1">COUNTIF('Group Stages'!O7:O102,BW68)</f>
        <v>0</v>
      </c>
      <c r="CD68" s="306">
        <f ca="1">COUNTIF('Group Stages'!P7:P102,BW68)</f>
        <v>0</v>
      </c>
      <c r="CE68" s="306">
        <f ca="1">COUNTIF('Group Stages'!Q7:Q102,BW68)</f>
        <v>0</v>
      </c>
      <c r="CF68" s="306">
        <f ca="1">COUNTIF('Knock Out Stages'!K7:K50,BW68)</f>
        <v>0</v>
      </c>
      <c r="CG68" s="306">
        <f ca="1">COUNTIF('Knock Out Stages'!L7:L50,BW68)</f>
        <v>0</v>
      </c>
      <c r="CH68" s="306">
        <f ca="1">COUNTIF('Knock Out Stages'!M7:M50,BW68)</f>
        <v>0</v>
      </c>
      <c r="CI68" s="306">
        <f ca="1">COUNTIF('Knock Out Stages'!N7:N50,BW68)</f>
        <v>0</v>
      </c>
      <c r="CJ68" s="306">
        <f ca="1">COUNTIF('Knock Out Stages'!O7:O50,BW68)</f>
        <v>0</v>
      </c>
      <c r="CK68" s="306">
        <f ca="1">COUNTIF('Knock Out Stages'!P7:P50,BW68)</f>
        <v>0</v>
      </c>
      <c r="CL68" s="306">
        <f ca="1">COUNTIF('Knock Out Stages'!Q7:Q50,BW68)</f>
        <v>0</v>
      </c>
      <c r="CM68" s="306">
        <f ca="1">COUNTIF('Knock Out Stages'!R7:R50,BW68)</f>
        <v>0</v>
      </c>
      <c r="CN68" s="306">
        <f ca="1">IF(RIGHT('Group Stages'!$B$105,5)="T.com",SUM(BX68:CM68),0)</f>
        <v>0</v>
      </c>
      <c r="CO68" s="306">
        <f ca="1">RANK(CN68,CN3:CN834)+COUNTIF(CN3:CN68,CN68)-1</f>
        <v>66</v>
      </c>
      <c r="CP68" s="306" t="str">
        <f t="shared" ref="CP68:CP131" ca="1" si="76">BW68&amp;" ("&amp;BT68&amp;")"</f>
        <v>Karim Boudiaf (Qatar)</v>
      </c>
    </row>
    <row r="69" spans="1:94" x14ac:dyDescent="0.3">
      <c r="A69" s="306">
        <v>13</v>
      </c>
      <c r="B69" s="306" t="str">
        <f t="shared" si="75"/>
        <v>Ismaïla Sarr</v>
      </c>
      <c r="C69" s="306" t="str">
        <f t="shared" si="75"/>
        <v>Matthijs de Ligt</v>
      </c>
      <c r="D69" s="306" t="str">
        <f t="shared" si="75"/>
        <v>Jassem Gaber</v>
      </c>
      <c r="E69" s="306" t="str">
        <f t="shared" si="75"/>
        <v>Jackson Porozo</v>
      </c>
      <c r="F69" s="306" t="str">
        <f t="shared" si="75"/>
        <v>John Stones</v>
      </c>
      <c r="G69" s="306" t="str">
        <f t="shared" si="75"/>
        <v>Mehdi Taremi</v>
      </c>
      <c r="H69" s="306" t="str">
        <f t="shared" si="75"/>
        <v>Jordan Morris</v>
      </c>
      <c r="I69" s="306" t="str">
        <f t="shared" si="75"/>
        <v>Gareth Bale</v>
      </c>
      <c r="J69" s="306" t="str">
        <f t="shared" si="75"/>
        <v>Joaquín Correa</v>
      </c>
      <c r="K69" s="306" t="str">
        <f t="shared" si="75"/>
        <v>Mohamed Kanno</v>
      </c>
      <c r="L69" s="306" t="str">
        <f t="shared" si="75"/>
        <v>Hirving Lozano</v>
      </c>
      <c r="M69" s="306" t="str">
        <f t="shared" si="75"/>
        <v>Krystian Bielik</v>
      </c>
      <c r="N69" s="306" t="str">
        <f t="shared" si="75"/>
        <v>Jonas Wind</v>
      </c>
      <c r="O69" s="306" t="str">
        <f t="shared" si="75"/>
        <v>Hannibal Mejbri</v>
      </c>
      <c r="P69" s="306" t="str">
        <f t="shared" si="75"/>
        <v>Jules Koundé</v>
      </c>
      <c r="Q69" s="306" t="str">
        <f t="shared" si="75"/>
        <v>Jackson Irvine</v>
      </c>
      <c r="R69" s="306" t="str">
        <f t="shared" si="75"/>
        <v>Leon Goretzka</v>
      </c>
      <c r="S69" s="306" t="str">
        <f t="shared" si="75"/>
        <v>Kō Itakura</v>
      </c>
      <c r="T69" s="306" t="str">
        <f t="shared" si="75"/>
        <v>Jordi Alba</v>
      </c>
      <c r="U69" s="306" t="str">
        <f t="shared" si="75"/>
        <v>Gerson Torres</v>
      </c>
      <c r="V69" s="306" t="str">
        <f t="shared" si="75"/>
        <v>Jawad El Yamiq</v>
      </c>
      <c r="W69" s="306" t="str">
        <f t="shared" si="75"/>
        <v>Josip Stanišić</v>
      </c>
      <c r="X69" s="306" t="str">
        <f t="shared" si="75"/>
        <v>Leandro Trossard</v>
      </c>
      <c r="Y69" s="306" t="str">
        <f t="shared" si="75"/>
        <v>Jonathan Osorio</v>
      </c>
      <c r="Z69" s="306" t="str">
        <f t="shared" si="75"/>
        <v>Fabinho</v>
      </c>
      <c r="AA69" s="306" t="str">
        <f t="shared" si="75"/>
        <v>Miloš Veljković</v>
      </c>
      <c r="AB69" s="306" t="str">
        <f t="shared" si="75"/>
        <v>Haris Seferovic</v>
      </c>
      <c r="AC69" s="306" t="str">
        <f t="shared" si="75"/>
        <v>Jean-Pierre Nsame</v>
      </c>
      <c r="AD69" s="306" t="str">
        <f t="shared" si="75"/>
        <v>João Palhinha</v>
      </c>
      <c r="AE69" s="306" t="str">
        <f t="shared" si="75"/>
        <v>Gideon Mensah</v>
      </c>
      <c r="AF69" s="306" t="str">
        <f t="shared" si="75"/>
        <v>Lucas Torreira</v>
      </c>
      <c r="AG69" s="306" t="str">
        <f t="shared" si="75"/>
        <v>Kim Seung-gyu</v>
      </c>
      <c r="BT69" s="306" t="str">
        <f t="shared" ca="1" si="70"/>
        <v>Qatar</v>
      </c>
      <c r="BU69" s="306">
        <f t="shared" si="71"/>
        <v>14</v>
      </c>
      <c r="BV69" s="306">
        <f t="shared" si="72"/>
        <v>1</v>
      </c>
      <c r="BW69" s="306" t="str">
        <f ca="1">OFFSET(C3,BU69,BV69)</f>
        <v>Khalid Muneer</v>
      </c>
      <c r="BX69" s="306">
        <f ca="1">COUNTIF('Group Stages'!J7:J102,BW69)</f>
        <v>0</v>
      </c>
      <c r="BY69" s="306">
        <f ca="1">COUNTIF('Group Stages'!K7:K102,BW69)</f>
        <v>0</v>
      </c>
      <c r="BZ69" s="306">
        <f ca="1">COUNTIF('Group Stages'!L7:L102,BW69)</f>
        <v>0</v>
      </c>
      <c r="CA69" s="306">
        <f ca="1">COUNTIF('Group Stages'!M7:M102,BW69)</f>
        <v>0</v>
      </c>
      <c r="CB69" s="306">
        <f ca="1">COUNTIF('Group Stages'!N7:N102,BW69)</f>
        <v>0</v>
      </c>
      <c r="CC69" s="306">
        <f ca="1">COUNTIF('Group Stages'!O7:O102,BW69)</f>
        <v>0</v>
      </c>
      <c r="CD69" s="306">
        <f ca="1">COUNTIF('Group Stages'!P7:P102,BW69)</f>
        <v>0</v>
      </c>
      <c r="CE69" s="306">
        <f ca="1">COUNTIF('Group Stages'!Q7:Q102,BW69)</f>
        <v>0</v>
      </c>
      <c r="CF69" s="306">
        <f ca="1">COUNTIF('Knock Out Stages'!K7:K50,BW69)</f>
        <v>0</v>
      </c>
      <c r="CG69" s="306">
        <f ca="1">COUNTIF('Knock Out Stages'!L7:L50,BW69)</f>
        <v>0</v>
      </c>
      <c r="CH69" s="306">
        <f ca="1">COUNTIF('Knock Out Stages'!M7:M50,BW69)</f>
        <v>0</v>
      </c>
      <c r="CI69" s="306">
        <f ca="1">COUNTIF('Knock Out Stages'!N7:N50,BW69)</f>
        <v>0</v>
      </c>
      <c r="CJ69" s="306">
        <f ca="1">COUNTIF('Knock Out Stages'!O7:O50,BW69)</f>
        <v>0</v>
      </c>
      <c r="CK69" s="306">
        <f ca="1">COUNTIF('Knock Out Stages'!P7:P50,BW69)</f>
        <v>0</v>
      </c>
      <c r="CL69" s="306">
        <f ca="1">COUNTIF('Knock Out Stages'!Q7:Q50,BW69)</f>
        <v>0</v>
      </c>
      <c r="CM69" s="306">
        <f ca="1">COUNTIF('Knock Out Stages'!R7:R50,BW69)</f>
        <v>0</v>
      </c>
      <c r="CN69" s="306">
        <f ca="1">IF(RIGHT('Group Stages'!$B$105,5)="T.com",SUM(BX69:CM69),0)</f>
        <v>0</v>
      </c>
      <c r="CO69" s="306">
        <f ca="1">RANK(CN69,CN3:CN834)+COUNTIF(CN3:CN69,CN69)-1</f>
        <v>67</v>
      </c>
      <c r="CP69" s="306" t="str">
        <f t="shared" ca="1" si="76"/>
        <v>Khalid Muneer (Qatar)</v>
      </c>
    </row>
    <row r="70" spans="1:94" x14ac:dyDescent="0.3">
      <c r="A70" s="306">
        <v>14</v>
      </c>
      <c r="B70" s="306" t="str">
        <f t="shared" si="75"/>
        <v>Kalidou Koulibaly</v>
      </c>
      <c r="C70" s="306" t="str">
        <f t="shared" si="75"/>
        <v>Memphis Depay</v>
      </c>
      <c r="D70" s="306" t="str">
        <f t="shared" si="75"/>
        <v>Karim Boudiaf</v>
      </c>
      <c r="E70" s="306" t="str">
        <f t="shared" si="75"/>
        <v>Jeremy Sarmiento</v>
      </c>
      <c r="F70" s="306" t="str">
        <f t="shared" si="75"/>
        <v>Jordan Henderson</v>
      </c>
      <c r="G70" s="306" t="str">
        <f t="shared" si="75"/>
        <v>Mehdi Torabi</v>
      </c>
      <c r="H70" s="306" t="str">
        <f t="shared" si="75"/>
        <v>Josh Sargent</v>
      </c>
      <c r="I70" s="306" t="str">
        <f t="shared" si="75"/>
        <v>Harry Wilson</v>
      </c>
      <c r="J70" s="306" t="str">
        <f t="shared" si="75"/>
        <v>Juan Foyth</v>
      </c>
      <c r="K70" s="306" t="str">
        <f t="shared" si="75"/>
        <v>Mohammed Al Rubaie</v>
      </c>
      <c r="L70" s="306" t="str">
        <f t="shared" si="75"/>
        <v>Jesús Gallardo</v>
      </c>
      <c r="M70" s="306" t="str">
        <f t="shared" si="75"/>
        <v>Krzysztof Piątek</v>
      </c>
      <c r="N70" s="306" t="str">
        <f t="shared" si="75"/>
        <v>Kasper Dolberg</v>
      </c>
      <c r="O70" s="306" t="str">
        <f t="shared" si="75"/>
        <v>Issam Jebali</v>
      </c>
      <c r="P70" s="306" t="str">
        <f t="shared" si="75"/>
        <v>Karim Benzema</v>
      </c>
      <c r="Q70" s="306" t="str">
        <f t="shared" si="75"/>
        <v>Jamie Maclaren</v>
      </c>
      <c r="R70" s="306" t="str">
        <f t="shared" si="75"/>
        <v>Leroy Sané</v>
      </c>
      <c r="S70" s="306" t="str">
        <f t="shared" si="75"/>
        <v>Maya Yoshida</v>
      </c>
      <c r="T70" s="306" t="str">
        <f t="shared" si="75"/>
        <v>José Gayà</v>
      </c>
      <c r="U70" s="306" t="str">
        <f t="shared" si="75"/>
        <v>Jewison Bennette</v>
      </c>
      <c r="V70" s="306" t="str">
        <f t="shared" si="75"/>
        <v>Munir Mohamedi</v>
      </c>
      <c r="W70" s="306" t="str">
        <f t="shared" si="75"/>
        <v>Josip Šutalo</v>
      </c>
      <c r="X70" s="306" t="str">
        <f t="shared" si="75"/>
        <v>Loïs Openda</v>
      </c>
      <c r="Y70" s="306" t="str">
        <f t="shared" si="75"/>
        <v>Junior Hoilett</v>
      </c>
      <c r="Z70" s="306" t="str">
        <f t="shared" si="75"/>
        <v>Fred</v>
      </c>
      <c r="AA70" s="306" t="str">
        <f t="shared" si="75"/>
        <v>Nemanja Gudelj</v>
      </c>
      <c r="AB70" s="306" t="str">
        <f t="shared" si="75"/>
        <v>Jonas Omlin</v>
      </c>
      <c r="AC70" s="306" t="str">
        <f t="shared" si="75"/>
        <v>Jerome Ngom Mbekeli</v>
      </c>
      <c r="AD70" s="306" t="str">
        <f t="shared" si="75"/>
        <v>José Sá</v>
      </c>
      <c r="AE70" s="306" t="str">
        <f t="shared" si="75"/>
        <v>Ibrahim Danlad</v>
      </c>
      <c r="AF70" s="306" t="str">
        <f t="shared" si="75"/>
        <v>Luis Suárez</v>
      </c>
      <c r="AG70" s="306" t="str">
        <f t="shared" si="75"/>
        <v>Kim Tae-hwan</v>
      </c>
      <c r="BT70" s="306" t="str">
        <f t="shared" ca="1" si="70"/>
        <v>Qatar</v>
      </c>
      <c r="BU70" s="306">
        <f t="shared" si="71"/>
        <v>15</v>
      </c>
      <c r="BV70" s="306">
        <f t="shared" si="72"/>
        <v>1</v>
      </c>
      <c r="BW70" s="306" t="str">
        <f ca="1">OFFSET(C3,BU70,BV70)</f>
        <v>Meshaal Barsham</v>
      </c>
      <c r="BX70" s="306">
        <f ca="1">COUNTIF('Group Stages'!J7:J102,BW70)</f>
        <v>0</v>
      </c>
      <c r="BY70" s="306">
        <f ca="1">COUNTIF('Group Stages'!K7:K102,BW70)</f>
        <v>0</v>
      </c>
      <c r="BZ70" s="306">
        <f ca="1">COUNTIF('Group Stages'!L7:L102,BW70)</f>
        <v>0</v>
      </c>
      <c r="CA70" s="306">
        <f ca="1">COUNTIF('Group Stages'!M7:M102,BW70)</f>
        <v>0</v>
      </c>
      <c r="CB70" s="306">
        <f ca="1">COUNTIF('Group Stages'!N7:N102,BW70)</f>
        <v>0</v>
      </c>
      <c r="CC70" s="306">
        <f ca="1">COUNTIF('Group Stages'!O7:O102,BW70)</f>
        <v>0</v>
      </c>
      <c r="CD70" s="306">
        <f ca="1">COUNTIF('Group Stages'!P7:P102,BW70)</f>
        <v>0</v>
      </c>
      <c r="CE70" s="306">
        <f ca="1">COUNTIF('Group Stages'!Q7:Q102,BW70)</f>
        <v>0</v>
      </c>
      <c r="CF70" s="306">
        <f ca="1">COUNTIF('Knock Out Stages'!K7:K50,BW70)</f>
        <v>0</v>
      </c>
      <c r="CG70" s="306">
        <f ca="1">COUNTIF('Knock Out Stages'!L7:L50,BW70)</f>
        <v>0</v>
      </c>
      <c r="CH70" s="306">
        <f ca="1">COUNTIF('Knock Out Stages'!M7:M50,BW70)</f>
        <v>0</v>
      </c>
      <c r="CI70" s="306">
        <f ca="1">COUNTIF('Knock Out Stages'!N7:N50,BW70)</f>
        <v>0</v>
      </c>
      <c r="CJ70" s="306">
        <f ca="1">COUNTIF('Knock Out Stages'!O7:O50,BW70)</f>
        <v>0</v>
      </c>
      <c r="CK70" s="306">
        <f ca="1">COUNTIF('Knock Out Stages'!P7:P50,BW70)</f>
        <v>0</v>
      </c>
      <c r="CL70" s="306">
        <f ca="1">COUNTIF('Knock Out Stages'!Q7:Q50,BW70)</f>
        <v>0</v>
      </c>
      <c r="CM70" s="306">
        <f ca="1">COUNTIF('Knock Out Stages'!R7:R50,BW70)</f>
        <v>0</v>
      </c>
      <c r="CN70" s="306">
        <f ca="1">IF(RIGHT('Group Stages'!$B$105,5)="T.com",SUM(BX70:CM70),0)</f>
        <v>0</v>
      </c>
      <c r="CO70" s="306">
        <f ca="1">RANK(CN70,CN3:CN834)+COUNTIF(CN3:CN70,CN70)-1</f>
        <v>68</v>
      </c>
      <c r="CP70" s="306" t="str">
        <f t="shared" ca="1" si="76"/>
        <v>Meshaal Barsham (Qatar)</v>
      </c>
    </row>
    <row r="71" spans="1:94" x14ac:dyDescent="0.3">
      <c r="A71" s="306">
        <v>15</v>
      </c>
      <c r="B71" s="306" t="str">
        <f t="shared" si="75"/>
        <v>Krépin Diatta</v>
      </c>
      <c r="C71" s="306" t="str">
        <f t="shared" si="75"/>
        <v>Nathan Aké</v>
      </c>
      <c r="D71" s="306" t="str">
        <f t="shared" si="75"/>
        <v>Khalid Muneer</v>
      </c>
      <c r="E71" s="306" t="str">
        <f t="shared" si="75"/>
        <v>José Cifuentes</v>
      </c>
      <c r="F71" s="306" t="str">
        <f t="shared" si="75"/>
        <v>Jordan Pickford</v>
      </c>
      <c r="G71" s="306" t="str">
        <f t="shared" si="75"/>
        <v>Milad Mohammadi</v>
      </c>
      <c r="H71" s="306" t="str">
        <f t="shared" si="75"/>
        <v>Kellyn Acosta</v>
      </c>
      <c r="I71" s="306" t="str">
        <f t="shared" si="75"/>
        <v>Joe Allen</v>
      </c>
      <c r="J71" s="306" t="str">
        <f t="shared" si="75"/>
        <v>Julián Álvarez</v>
      </c>
      <c r="K71" s="306" t="str">
        <f t="shared" si="75"/>
        <v>Mohammed Al-Breik</v>
      </c>
      <c r="L71" s="306" t="str">
        <f t="shared" si="75"/>
        <v>Johan Vásquez</v>
      </c>
      <c r="M71" s="306" t="str">
        <f t="shared" si="75"/>
        <v>Łukasz Skorupski</v>
      </c>
      <c r="N71" s="306" t="str">
        <f t="shared" si="75"/>
        <v>Kasper Schmeichel</v>
      </c>
      <c r="O71" s="306" t="str">
        <f t="shared" si="75"/>
        <v>Mohamed Ali Ben Romdhane</v>
      </c>
      <c r="P71" s="306" t="str">
        <f t="shared" si="75"/>
        <v>Kingsley Coman</v>
      </c>
      <c r="Q71" s="306" t="str">
        <f t="shared" si="75"/>
        <v>Jason Cummings</v>
      </c>
      <c r="R71" s="306" t="str">
        <f t="shared" si="75"/>
        <v>Lukas Klostermann</v>
      </c>
      <c r="S71" s="306" t="str">
        <f t="shared" si="75"/>
        <v>Miki Yamane</v>
      </c>
      <c r="T71" s="306" t="str">
        <f t="shared" si="75"/>
        <v>Koke</v>
      </c>
      <c r="U71" s="306" t="str">
        <f t="shared" si="75"/>
        <v>Joel Campbell</v>
      </c>
      <c r="V71" s="306" t="str">
        <f t="shared" si="75"/>
        <v>Nayef Aguerd</v>
      </c>
      <c r="W71" s="306" t="str">
        <f t="shared" si="75"/>
        <v>Joško Gvardiol</v>
      </c>
      <c r="X71" s="306" t="str">
        <f t="shared" si="75"/>
        <v>Michy Batshuayi</v>
      </c>
      <c r="Y71" s="306" t="str">
        <f t="shared" si="75"/>
        <v>Kamal Miller</v>
      </c>
      <c r="Z71" s="306" t="str">
        <f t="shared" si="75"/>
        <v>Gabriel Jesus</v>
      </c>
      <c r="AA71" s="306" t="str">
        <f t="shared" si="75"/>
        <v>Nemanja Maksimović</v>
      </c>
      <c r="AB71" s="306" t="str">
        <f t="shared" si="75"/>
        <v>Manuel Akanji</v>
      </c>
      <c r="AC71" s="306" t="str">
        <f t="shared" si="75"/>
        <v>Karl Toko Ekambi</v>
      </c>
      <c r="AD71" s="306" t="str">
        <f t="shared" si="75"/>
        <v>Matheus Nunes</v>
      </c>
      <c r="AE71" s="306" t="str">
        <f t="shared" si="75"/>
        <v>Iñaki Williams</v>
      </c>
      <c r="AF71" s="306" t="str">
        <f t="shared" si="75"/>
        <v>Manuel Ugarte</v>
      </c>
      <c r="AG71" s="306" t="str">
        <f t="shared" si="75"/>
        <v>Kim Young-gwon</v>
      </c>
      <c r="BT71" s="306" t="str">
        <f t="shared" ca="1" si="70"/>
        <v>Qatar</v>
      </c>
      <c r="BU71" s="306">
        <f t="shared" si="71"/>
        <v>16</v>
      </c>
      <c r="BV71" s="306">
        <f t="shared" si="72"/>
        <v>1</v>
      </c>
      <c r="BW71" s="306" t="str">
        <f ca="1">OFFSET(C3,BU71,BV71)</f>
        <v>Mohammed Muntari</v>
      </c>
      <c r="BX71" s="306">
        <f ca="1">COUNTIF('Group Stages'!J7:J102,BW71)</f>
        <v>0</v>
      </c>
      <c r="BY71" s="306">
        <f ca="1">COUNTIF('Group Stages'!K7:K102,BW71)</f>
        <v>0</v>
      </c>
      <c r="BZ71" s="306">
        <f ca="1">COUNTIF('Group Stages'!L7:L102,BW71)</f>
        <v>0</v>
      </c>
      <c r="CA71" s="306">
        <f ca="1">COUNTIF('Group Stages'!M7:M102,BW71)</f>
        <v>0</v>
      </c>
      <c r="CB71" s="306">
        <f ca="1">COUNTIF('Group Stages'!N7:N102,BW71)</f>
        <v>0</v>
      </c>
      <c r="CC71" s="306">
        <f ca="1">COUNTIF('Group Stages'!O7:O102,BW71)</f>
        <v>0</v>
      </c>
      <c r="CD71" s="306">
        <f ca="1">COUNTIF('Group Stages'!P7:P102,BW71)</f>
        <v>0</v>
      </c>
      <c r="CE71" s="306">
        <f ca="1">COUNTIF('Group Stages'!Q7:Q102,BW71)</f>
        <v>0</v>
      </c>
      <c r="CF71" s="306">
        <f ca="1">COUNTIF('Knock Out Stages'!K7:K50,BW71)</f>
        <v>0</v>
      </c>
      <c r="CG71" s="306">
        <f ca="1">COUNTIF('Knock Out Stages'!L7:L50,BW71)</f>
        <v>0</v>
      </c>
      <c r="CH71" s="306">
        <f ca="1">COUNTIF('Knock Out Stages'!M7:M50,BW71)</f>
        <v>0</v>
      </c>
      <c r="CI71" s="306">
        <f ca="1">COUNTIF('Knock Out Stages'!N7:N50,BW71)</f>
        <v>0</v>
      </c>
      <c r="CJ71" s="306">
        <f ca="1">COUNTIF('Knock Out Stages'!O7:O50,BW71)</f>
        <v>0</v>
      </c>
      <c r="CK71" s="306">
        <f ca="1">COUNTIF('Knock Out Stages'!P7:P50,BW71)</f>
        <v>0</v>
      </c>
      <c r="CL71" s="306">
        <f ca="1">COUNTIF('Knock Out Stages'!Q7:Q50,BW71)</f>
        <v>0</v>
      </c>
      <c r="CM71" s="306">
        <f ca="1">COUNTIF('Knock Out Stages'!R7:R50,BW71)</f>
        <v>0</v>
      </c>
      <c r="CN71" s="306">
        <f ca="1">IF(RIGHT('Group Stages'!$B$105,5)="T.com",SUM(BX71:CM71),0)</f>
        <v>0</v>
      </c>
      <c r="CO71" s="306">
        <f ca="1">RANK(CN71,CN3:CN834)+COUNTIF(CN3:CN71,CN71)-1</f>
        <v>69</v>
      </c>
      <c r="CP71" s="306" t="str">
        <f t="shared" ca="1" si="76"/>
        <v>Mohammed Muntari (Qatar)</v>
      </c>
    </row>
    <row r="72" spans="1:94" x14ac:dyDescent="0.3">
      <c r="A72" s="306">
        <v>16</v>
      </c>
      <c r="B72" s="306" t="str">
        <f t="shared" si="75"/>
        <v>Mamadou Loum</v>
      </c>
      <c r="C72" s="306" t="str">
        <f t="shared" si="75"/>
        <v>Noa Lang</v>
      </c>
      <c r="D72" s="306" t="str">
        <f t="shared" si="75"/>
        <v>Meshaal Barsham</v>
      </c>
      <c r="E72" s="306" t="str">
        <f t="shared" si="75"/>
        <v>Kevin Rodríguez</v>
      </c>
      <c r="F72" s="306" t="str">
        <f t="shared" si="75"/>
        <v>Jude Bellingham</v>
      </c>
      <c r="G72" s="306" t="str">
        <f t="shared" si="75"/>
        <v>Morteza Pouraliganji</v>
      </c>
      <c r="H72" s="306" t="str">
        <f t="shared" si="75"/>
        <v>Luca de la Torre</v>
      </c>
      <c r="I72" s="306" t="str">
        <f t="shared" si="75"/>
        <v>Joe Morrell</v>
      </c>
      <c r="J72" s="306" t="str">
        <f t="shared" si="75"/>
        <v>Lautaro Martínez</v>
      </c>
      <c r="K72" s="306" t="str">
        <f t="shared" si="75"/>
        <v>Mohammed Al-Owais</v>
      </c>
      <c r="L72" s="306" t="str">
        <f t="shared" si="75"/>
        <v>Jorge Sánchez</v>
      </c>
      <c r="M72" s="306" t="str">
        <f t="shared" si="75"/>
        <v>Mateusz Wieteska</v>
      </c>
      <c r="N72" s="306" t="str">
        <f t="shared" si="75"/>
        <v>Martin Braithwaite</v>
      </c>
      <c r="O72" s="306" t="str">
        <f t="shared" si="75"/>
        <v>Mohamed Dräger</v>
      </c>
      <c r="P72" s="306" t="str">
        <f t="shared" si="75"/>
        <v>Kylian Mbappé</v>
      </c>
      <c r="Q72" s="306" t="str">
        <f t="shared" si="75"/>
        <v>Joel King</v>
      </c>
      <c r="R72" s="306" t="str">
        <f t="shared" si="75"/>
        <v>Manuel Neuer</v>
      </c>
      <c r="S72" s="306" t="str">
        <f t="shared" si="75"/>
        <v>Ritsu Doan</v>
      </c>
      <c r="T72" s="306" t="str">
        <f t="shared" si="75"/>
        <v>Marco Asensio</v>
      </c>
      <c r="U72" s="306" t="str">
        <f t="shared" si="75"/>
        <v>Johan Venegas</v>
      </c>
      <c r="V72" s="306" t="str">
        <f t="shared" si="75"/>
        <v>Noussair Mazraoui</v>
      </c>
      <c r="W72" s="306" t="str">
        <f t="shared" si="75"/>
        <v>Kristijan Jakić</v>
      </c>
      <c r="X72" s="306" t="str">
        <f t="shared" si="75"/>
        <v>Romelu Lukaku</v>
      </c>
      <c r="Y72" s="306" t="str">
        <f t="shared" si="75"/>
        <v>Liam Fraser</v>
      </c>
      <c r="Z72" s="306" t="str">
        <f t="shared" si="75"/>
        <v>Gabriel Martinelli</v>
      </c>
      <c r="AA72" s="306" t="str">
        <f t="shared" si="75"/>
        <v>Nemanja Radonjić</v>
      </c>
      <c r="AB72" s="306" t="str">
        <f t="shared" si="75"/>
        <v>Michel Aebischer</v>
      </c>
      <c r="AC72" s="306" t="str">
        <f t="shared" si="75"/>
        <v>Marou Souaibou</v>
      </c>
      <c r="AD72" s="306" t="str">
        <f t="shared" si="75"/>
        <v>Nuno Mendes</v>
      </c>
      <c r="AE72" s="306" t="str">
        <f t="shared" si="75"/>
        <v>Jordan Ayew</v>
      </c>
      <c r="AF72" s="306" t="str">
        <f t="shared" si="75"/>
        <v>Martín Cáceres</v>
      </c>
      <c r="AG72" s="306" t="str">
        <f t="shared" ref="AG72" si="77">AG18</f>
        <v>Kwon Chang-hoon</v>
      </c>
      <c r="BT72" s="306" t="str">
        <f t="shared" ca="1" si="70"/>
        <v>Qatar</v>
      </c>
      <c r="BU72" s="306">
        <f t="shared" si="71"/>
        <v>17</v>
      </c>
      <c r="BV72" s="306">
        <f t="shared" si="72"/>
        <v>1</v>
      </c>
      <c r="BW72" s="306" t="str">
        <f ca="1">OFFSET(C3,BU72,BV72)</f>
        <v>Mohammed Waad</v>
      </c>
      <c r="BX72" s="306">
        <f ca="1">COUNTIF('Group Stages'!J7:J102,BW72)</f>
        <v>0</v>
      </c>
      <c r="BY72" s="306">
        <f ca="1">COUNTIF('Group Stages'!K7:K102,BW72)</f>
        <v>0</v>
      </c>
      <c r="BZ72" s="306">
        <f ca="1">COUNTIF('Group Stages'!L7:L102,BW72)</f>
        <v>0</v>
      </c>
      <c r="CA72" s="306">
        <f ca="1">COUNTIF('Group Stages'!M7:M102,BW72)</f>
        <v>0</v>
      </c>
      <c r="CB72" s="306">
        <f ca="1">COUNTIF('Group Stages'!N7:N102,BW72)</f>
        <v>0</v>
      </c>
      <c r="CC72" s="306">
        <f ca="1">COUNTIF('Group Stages'!O7:O102,BW72)</f>
        <v>0</v>
      </c>
      <c r="CD72" s="306">
        <f ca="1">COUNTIF('Group Stages'!P7:P102,BW72)</f>
        <v>0</v>
      </c>
      <c r="CE72" s="306">
        <f ca="1">COUNTIF('Group Stages'!Q7:Q102,BW72)</f>
        <v>0</v>
      </c>
      <c r="CF72" s="306">
        <f ca="1">COUNTIF('Knock Out Stages'!K7:K50,BW72)</f>
        <v>0</v>
      </c>
      <c r="CG72" s="306">
        <f ca="1">COUNTIF('Knock Out Stages'!L7:L50,BW72)</f>
        <v>0</v>
      </c>
      <c r="CH72" s="306">
        <f ca="1">COUNTIF('Knock Out Stages'!M7:M50,BW72)</f>
        <v>0</v>
      </c>
      <c r="CI72" s="306">
        <f ca="1">COUNTIF('Knock Out Stages'!N7:N50,BW72)</f>
        <v>0</v>
      </c>
      <c r="CJ72" s="306">
        <f ca="1">COUNTIF('Knock Out Stages'!O7:O50,BW72)</f>
        <v>0</v>
      </c>
      <c r="CK72" s="306">
        <f ca="1">COUNTIF('Knock Out Stages'!P7:P50,BW72)</f>
        <v>0</v>
      </c>
      <c r="CL72" s="306">
        <f ca="1">COUNTIF('Knock Out Stages'!Q7:Q50,BW72)</f>
        <v>0</v>
      </c>
      <c r="CM72" s="306">
        <f ca="1">COUNTIF('Knock Out Stages'!R7:R50,BW72)</f>
        <v>0</v>
      </c>
      <c r="CN72" s="306">
        <f ca="1">IF(RIGHT('Group Stages'!$B$105,5)="T.com",SUM(BX72:CM72),0)</f>
        <v>0</v>
      </c>
      <c r="CO72" s="306">
        <f ca="1">RANK(CN72,CN3:CN834)+COUNTIF(CN3:CN72,CN72)-1</f>
        <v>70</v>
      </c>
      <c r="CP72" s="306" t="str">
        <f t="shared" ca="1" si="76"/>
        <v>Mohammed Waad (Qatar)</v>
      </c>
    </row>
    <row r="73" spans="1:94" x14ac:dyDescent="0.3">
      <c r="A73" s="306">
        <v>17</v>
      </c>
      <c r="B73" s="306" t="str">
        <f t="shared" ref="B73:AG80" si="78">B19</f>
        <v>Moustapha Name</v>
      </c>
      <c r="C73" s="306" t="str">
        <f t="shared" si="78"/>
        <v>Remko Pasveer</v>
      </c>
      <c r="D73" s="306" t="str">
        <f t="shared" si="78"/>
        <v>Mohammed Muntari</v>
      </c>
      <c r="E73" s="306" t="str">
        <f t="shared" si="78"/>
        <v>Michael Estrada</v>
      </c>
      <c r="F73" s="306" t="str">
        <f t="shared" si="78"/>
        <v>Kalvin Phillips</v>
      </c>
      <c r="G73" s="306" t="str">
        <f t="shared" si="78"/>
        <v>Payam Niazmand</v>
      </c>
      <c r="H73" s="306" t="str">
        <f t="shared" si="78"/>
        <v>Matt Turner</v>
      </c>
      <c r="I73" s="306" t="str">
        <f t="shared" si="78"/>
        <v>Joe Rodon</v>
      </c>
      <c r="J73" s="306" t="str">
        <f t="shared" si="78"/>
        <v>Leandro Paredes</v>
      </c>
      <c r="K73" s="306" t="str">
        <f t="shared" si="78"/>
        <v>Nasser Al-Dawsari</v>
      </c>
      <c r="L73" s="306" t="str">
        <f t="shared" si="78"/>
        <v>Kevin Álvarez</v>
      </c>
      <c r="M73" s="306" t="str">
        <f t="shared" si="78"/>
        <v>Matty Cash</v>
      </c>
      <c r="N73" s="306" t="str">
        <f t="shared" si="78"/>
        <v>Mathias Jensen</v>
      </c>
      <c r="O73" s="306" t="str">
        <f t="shared" si="78"/>
        <v>Montassar Talbi</v>
      </c>
      <c r="P73" s="306" t="str">
        <f t="shared" si="78"/>
        <v>Lucas Hernandez</v>
      </c>
      <c r="Q73" s="306" t="str">
        <f t="shared" si="78"/>
        <v>Keanu Baccus</v>
      </c>
      <c r="R73" s="306" t="str">
        <f t="shared" si="78"/>
        <v>Marc-André ter Stegen</v>
      </c>
      <c r="S73" s="306" t="str">
        <f t="shared" si="78"/>
        <v>Shōgo Taniguchi</v>
      </c>
      <c r="T73" s="306" t="str">
        <f t="shared" si="78"/>
        <v>Marcos Llorente</v>
      </c>
      <c r="U73" s="306" t="str">
        <f t="shared" si="78"/>
        <v>Juan Pablo Vargas</v>
      </c>
      <c r="V73" s="306" t="str">
        <f t="shared" si="78"/>
        <v>Romain Saïss</v>
      </c>
      <c r="W73" s="306" t="str">
        <f t="shared" si="78"/>
        <v>Lovro Majer</v>
      </c>
      <c r="X73" s="306" t="str">
        <f t="shared" si="78"/>
        <v>Simon Mignolet</v>
      </c>
      <c r="Y73" s="306" t="str">
        <f t="shared" si="78"/>
        <v>Liam Millar</v>
      </c>
      <c r="Z73" s="306" t="str">
        <f t="shared" si="78"/>
        <v>Lucas Paquetá</v>
      </c>
      <c r="AA73" s="306" t="str">
        <f t="shared" si="78"/>
        <v>Nikola Milenković</v>
      </c>
      <c r="AB73" s="306" t="str">
        <f t="shared" si="78"/>
        <v>Nico Elvedi</v>
      </c>
      <c r="AC73" s="306" t="str">
        <f t="shared" si="78"/>
        <v>Martin Hongla</v>
      </c>
      <c r="AD73" s="306" t="str">
        <f t="shared" si="78"/>
        <v>Otávio</v>
      </c>
      <c r="AE73" s="306" t="str">
        <f t="shared" si="78"/>
        <v>Joseph Aidoo</v>
      </c>
      <c r="AF73" s="306" t="str">
        <f t="shared" si="78"/>
        <v>Mathías Olivera</v>
      </c>
      <c r="AG73" s="306" t="str">
        <f t="shared" si="78"/>
        <v>Kwon Kyung-won</v>
      </c>
      <c r="BT73" s="306" t="str">
        <f t="shared" ca="1" si="70"/>
        <v>Qatar</v>
      </c>
      <c r="BU73" s="306">
        <f t="shared" si="71"/>
        <v>18</v>
      </c>
      <c r="BV73" s="306">
        <f t="shared" si="72"/>
        <v>1</v>
      </c>
      <c r="BW73" s="306" t="str">
        <f ca="1">OFFSET(C3,BU73,BV73)</f>
        <v>Mostafa Tarek</v>
      </c>
      <c r="BX73" s="306">
        <f ca="1">COUNTIF('Group Stages'!J7:J102,BW73)</f>
        <v>0</v>
      </c>
      <c r="BY73" s="306">
        <f ca="1">COUNTIF('Group Stages'!K7:K102,BW73)</f>
        <v>0</v>
      </c>
      <c r="BZ73" s="306">
        <f ca="1">COUNTIF('Group Stages'!L7:L102,BW73)</f>
        <v>0</v>
      </c>
      <c r="CA73" s="306">
        <f ca="1">COUNTIF('Group Stages'!M7:M102,BW73)</f>
        <v>0</v>
      </c>
      <c r="CB73" s="306">
        <f ca="1">COUNTIF('Group Stages'!N7:N102,BW73)</f>
        <v>0</v>
      </c>
      <c r="CC73" s="306">
        <f ca="1">COUNTIF('Group Stages'!O7:O102,BW73)</f>
        <v>0</v>
      </c>
      <c r="CD73" s="306">
        <f ca="1">COUNTIF('Group Stages'!P7:P102,BW73)</f>
        <v>0</v>
      </c>
      <c r="CE73" s="306">
        <f ca="1">COUNTIF('Group Stages'!Q7:Q102,BW73)</f>
        <v>0</v>
      </c>
      <c r="CF73" s="306">
        <f ca="1">COUNTIF('Knock Out Stages'!K7:K50,BW73)</f>
        <v>0</v>
      </c>
      <c r="CG73" s="306">
        <f ca="1">COUNTIF('Knock Out Stages'!L7:L50,BW73)</f>
        <v>0</v>
      </c>
      <c r="CH73" s="306">
        <f ca="1">COUNTIF('Knock Out Stages'!M7:M50,BW73)</f>
        <v>0</v>
      </c>
      <c r="CI73" s="306">
        <f ca="1">COUNTIF('Knock Out Stages'!N7:N50,BW73)</f>
        <v>0</v>
      </c>
      <c r="CJ73" s="306">
        <f ca="1">COUNTIF('Knock Out Stages'!O7:O50,BW73)</f>
        <v>0</v>
      </c>
      <c r="CK73" s="306">
        <f ca="1">COUNTIF('Knock Out Stages'!P7:P50,BW73)</f>
        <v>0</v>
      </c>
      <c r="CL73" s="306">
        <f ca="1">COUNTIF('Knock Out Stages'!Q7:Q50,BW73)</f>
        <v>0</v>
      </c>
      <c r="CM73" s="306">
        <f ca="1">COUNTIF('Knock Out Stages'!R7:R50,BW73)</f>
        <v>0</v>
      </c>
      <c r="CN73" s="306">
        <f ca="1">IF(RIGHT('Group Stages'!$B$105,5)="T.com",SUM(BX73:CM73),0)</f>
        <v>0</v>
      </c>
      <c r="CO73" s="306">
        <f ca="1">RANK(CN73,CN3:CN834)+COUNTIF(CN3:CN73,CN73)-1</f>
        <v>71</v>
      </c>
      <c r="CP73" s="306" t="str">
        <f t="shared" ca="1" si="76"/>
        <v>Mostafa Tarek (Qatar)</v>
      </c>
    </row>
    <row r="74" spans="1:94" x14ac:dyDescent="0.3">
      <c r="A74" s="306">
        <v>18</v>
      </c>
      <c r="B74" s="306" t="str">
        <f t="shared" si="78"/>
        <v>Nampalys Mendy</v>
      </c>
      <c r="C74" s="306" t="str">
        <f t="shared" si="78"/>
        <v>Stefan de Vrij</v>
      </c>
      <c r="D74" s="306" t="str">
        <f t="shared" si="78"/>
        <v>Mohammed Waad</v>
      </c>
      <c r="E74" s="306" t="str">
        <f t="shared" si="78"/>
        <v>Moisés Caicedo</v>
      </c>
      <c r="F74" s="306" t="str">
        <f t="shared" si="78"/>
        <v>Kieran Trippier</v>
      </c>
      <c r="G74" s="306" t="str">
        <f t="shared" si="78"/>
        <v>Ramin Rezaeian</v>
      </c>
      <c r="H74" s="306" t="str">
        <f t="shared" si="78"/>
        <v>Sean Johnson</v>
      </c>
      <c r="I74" s="306" t="str">
        <f t="shared" si="78"/>
        <v>Jonny Williams</v>
      </c>
      <c r="J74" s="306" t="str">
        <f t="shared" si="78"/>
        <v>Lionel Messi</v>
      </c>
      <c r="K74" s="306" t="str">
        <f t="shared" si="78"/>
        <v>Nawaf Al-Aqidi</v>
      </c>
      <c r="L74" s="306" t="str">
        <f t="shared" si="78"/>
        <v>Luis Chávez</v>
      </c>
      <c r="M74" s="306" t="str">
        <f t="shared" si="78"/>
        <v>Michał Skóraś</v>
      </c>
      <c r="N74" s="306" t="str">
        <f t="shared" si="78"/>
        <v>Mikkel Damsgaard</v>
      </c>
      <c r="O74" s="306" t="str">
        <f t="shared" si="78"/>
        <v>Mouez Hassen</v>
      </c>
      <c r="P74" s="306" t="str">
        <f t="shared" si="78"/>
        <v>Matteo Guendouzi</v>
      </c>
      <c r="Q74" s="306" t="str">
        <f t="shared" si="78"/>
        <v>Kye Rowles</v>
      </c>
      <c r="R74" s="306" t="str">
        <f t="shared" si="78"/>
        <v>Mario Götze</v>
      </c>
      <c r="S74" s="306" t="str">
        <f t="shared" si="78"/>
        <v>Shūichi Gonda</v>
      </c>
      <c r="T74" s="306" t="str">
        <f t="shared" si="78"/>
        <v>Nico Williams</v>
      </c>
      <c r="U74" s="306" t="str">
        <f t="shared" si="78"/>
        <v>Kendall Waston</v>
      </c>
      <c r="V74" s="306" t="str">
        <f t="shared" si="78"/>
        <v>Selim Amallah</v>
      </c>
      <c r="W74" s="306" t="str">
        <f t="shared" si="78"/>
        <v>Luka Modrić</v>
      </c>
      <c r="X74" s="306" t="str">
        <f t="shared" si="78"/>
        <v>Thibaut Courtois</v>
      </c>
      <c r="Y74" s="306" t="str">
        <f t="shared" si="78"/>
        <v>Lucas Cavallini</v>
      </c>
      <c r="Z74" s="306" t="str">
        <f t="shared" si="78"/>
        <v>Marquinhos</v>
      </c>
      <c r="AA74" s="306" t="str">
        <f t="shared" si="78"/>
        <v>Predrag Rajković</v>
      </c>
      <c r="AB74" s="306" t="str">
        <f t="shared" si="78"/>
        <v>Noah Okafor</v>
      </c>
      <c r="AC74" s="306" t="str">
        <f t="shared" si="78"/>
        <v>Nicolas Nkoulou</v>
      </c>
      <c r="AD74" s="306" t="str">
        <f t="shared" si="78"/>
        <v>Pepe</v>
      </c>
      <c r="AE74" s="306" t="str">
        <f t="shared" si="78"/>
        <v>Kamal Sowah</v>
      </c>
      <c r="AF74" s="306" t="str">
        <f t="shared" si="78"/>
        <v>Matías Vecino</v>
      </c>
      <c r="AG74" s="306" t="str">
        <f t="shared" si="78"/>
        <v>Lee Jae-sung</v>
      </c>
      <c r="BT74" s="306" t="str">
        <f t="shared" ca="1" si="70"/>
        <v>Qatar</v>
      </c>
      <c r="BU74" s="306">
        <f t="shared" si="71"/>
        <v>19</v>
      </c>
      <c r="BV74" s="306">
        <f t="shared" si="72"/>
        <v>1</v>
      </c>
      <c r="BW74" s="306" t="str">
        <f ca="1">OFFSET(C3,BU74,BV74)</f>
        <v>Musab Kheder</v>
      </c>
      <c r="BX74" s="306">
        <f ca="1">COUNTIF('Group Stages'!J7:J102,BW74)</f>
        <v>0</v>
      </c>
      <c r="BY74" s="306">
        <f ca="1">COUNTIF('Group Stages'!K7:K102,BW74)</f>
        <v>0</v>
      </c>
      <c r="BZ74" s="306">
        <f ca="1">COUNTIF('Group Stages'!L7:L102,BW74)</f>
        <v>0</v>
      </c>
      <c r="CA74" s="306">
        <f ca="1">COUNTIF('Group Stages'!M7:M102,BW74)</f>
        <v>0</v>
      </c>
      <c r="CB74" s="306">
        <f ca="1">COUNTIF('Group Stages'!N7:N102,BW74)</f>
        <v>0</v>
      </c>
      <c r="CC74" s="306">
        <f ca="1">COUNTIF('Group Stages'!O7:O102,BW74)</f>
        <v>0</v>
      </c>
      <c r="CD74" s="306">
        <f ca="1">COUNTIF('Group Stages'!P7:P102,BW74)</f>
        <v>0</v>
      </c>
      <c r="CE74" s="306">
        <f ca="1">COUNTIF('Group Stages'!Q7:Q102,BW74)</f>
        <v>0</v>
      </c>
      <c r="CF74" s="306">
        <f ca="1">COUNTIF('Knock Out Stages'!K7:K50,BW74)</f>
        <v>0</v>
      </c>
      <c r="CG74" s="306">
        <f ca="1">COUNTIF('Knock Out Stages'!L7:L50,BW74)</f>
        <v>0</v>
      </c>
      <c r="CH74" s="306">
        <f ca="1">COUNTIF('Knock Out Stages'!M7:M50,BW74)</f>
        <v>0</v>
      </c>
      <c r="CI74" s="306">
        <f ca="1">COUNTIF('Knock Out Stages'!N7:N50,BW74)</f>
        <v>0</v>
      </c>
      <c r="CJ74" s="306">
        <f ca="1">COUNTIF('Knock Out Stages'!O7:O50,BW74)</f>
        <v>0</v>
      </c>
      <c r="CK74" s="306">
        <f ca="1">COUNTIF('Knock Out Stages'!P7:P50,BW74)</f>
        <v>0</v>
      </c>
      <c r="CL74" s="306">
        <f ca="1">COUNTIF('Knock Out Stages'!Q7:Q50,BW74)</f>
        <v>0</v>
      </c>
      <c r="CM74" s="306">
        <f ca="1">COUNTIF('Knock Out Stages'!R7:R50,BW74)</f>
        <v>0</v>
      </c>
      <c r="CN74" s="306">
        <f ca="1">IF(RIGHT('Group Stages'!$B$105,5)="T.com",SUM(BX74:CM74),0)</f>
        <v>0</v>
      </c>
      <c r="CO74" s="306">
        <f ca="1">RANK(CN74,CN3:CN834)+COUNTIF(CN3:CN74,CN74)-1</f>
        <v>72</v>
      </c>
      <c r="CP74" s="306" t="str">
        <f t="shared" ca="1" si="76"/>
        <v>Musab Kheder (Qatar)</v>
      </c>
    </row>
    <row r="75" spans="1:94" x14ac:dyDescent="0.3">
      <c r="A75" s="306">
        <v>19</v>
      </c>
      <c r="B75" s="306" t="str">
        <f t="shared" si="78"/>
        <v>Nicolas Jackson</v>
      </c>
      <c r="C75" s="306" t="str">
        <f t="shared" si="78"/>
        <v>Steven Berghuis</v>
      </c>
      <c r="D75" s="306" t="str">
        <f t="shared" si="78"/>
        <v>Mostafa Tarek</v>
      </c>
      <c r="E75" s="306" t="str">
        <f t="shared" si="78"/>
        <v>Moisés Ramírez</v>
      </c>
      <c r="F75" s="306" t="str">
        <f t="shared" si="78"/>
        <v>Kyle Walker</v>
      </c>
      <c r="G75" s="306" t="str">
        <f t="shared" si="78"/>
        <v>Rouzbeh Cheshmi</v>
      </c>
      <c r="H75" s="306" t="str">
        <f t="shared" si="78"/>
        <v>Sergiño Dest</v>
      </c>
      <c r="I75" s="306" t="str">
        <f t="shared" si="78"/>
        <v>Kieffer Moore</v>
      </c>
      <c r="J75" s="306" t="str">
        <f t="shared" si="78"/>
        <v>Lisandro Martínez</v>
      </c>
      <c r="K75" s="306" t="str">
        <f t="shared" si="78"/>
        <v>Riyadh Sharahili</v>
      </c>
      <c r="L75" s="306" t="str">
        <f t="shared" si="78"/>
        <v>Luis Romo</v>
      </c>
      <c r="M75" s="306" t="str">
        <f t="shared" si="78"/>
        <v>Nicola Zalewski</v>
      </c>
      <c r="N75" s="306" t="str">
        <f t="shared" si="78"/>
        <v>Oliver Christensen</v>
      </c>
      <c r="O75" s="306" t="str">
        <f t="shared" si="78"/>
        <v>Nader Ghandri</v>
      </c>
      <c r="P75" s="306" t="str">
        <f t="shared" si="78"/>
        <v>Olivier Giroud</v>
      </c>
      <c r="Q75" s="306" t="str">
        <f t="shared" si="78"/>
        <v>Martin Boyle</v>
      </c>
      <c r="R75" s="306" t="str">
        <f t="shared" si="78"/>
        <v>Matthias Ginter</v>
      </c>
      <c r="S75" s="306" t="str">
        <f t="shared" si="78"/>
        <v>Shūto Machino</v>
      </c>
      <c r="T75" s="306" t="str">
        <f t="shared" si="78"/>
        <v>Pablo Sarabia</v>
      </c>
      <c r="U75" s="306" t="str">
        <f t="shared" si="78"/>
        <v>Keylor Navas</v>
      </c>
      <c r="V75" s="306" t="str">
        <f t="shared" si="78"/>
        <v>Sofiane Boufal</v>
      </c>
      <c r="W75" s="306" t="str">
        <f t="shared" si="78"/>
        <v>Luka Sučić</v>
      </c>
      <c r="X75" s="306" t="str">
        <f t="shared" si="78"/>
        <v>Thomas Meunier</v>
      </c>
      <c r="Y75" s="306" t="str">
        <f t="shared" si="78"/>
        <v>Mark-Anthony Kaye</v>
      </c>
      <c r="Z75" s="306" t="str">
        <f t="shared" si="78"/>
        <v>Neymar</v>
      </c>
      <c r="AA75" s="306" t="str">
        <f t="shared" si="78"/>
        <v>Saša Lukić</v>
      </c>
      <c r="AB75" s="306" t="str">
        <f t="shared" si="78"/>
        <v>Philipp Köhn</v>
      </c>
      <c r="AC75" s="306" t="str">
        <f t="shared" si="78"/>
        <v>Nouhou Tolo</v>
      </c>
      <c r="AD75" s="306" t="str">
        <f t="shared" si="78"/>
        <v>Rafael Leão</v>
      </c>
      <c r="AE75" s="306" t="str">
        <f t="shared" si="78"/>
        <v>Kamaldeen Sulemana</v>
      </c>
      <c r="AF75" s="306" t="str">
        <f t="shared" si="78"/>
        <v>Matías Viña</v>
      </c>
      <c r="AG75" s="306" t="str">
        <f t="shared" si="78"/>
        <v>Lee Kang-in</v>
      </c>
      <c r="BT75" s="306" t="str">
        <f t="shared" ca="1" si="70"/>
        <v>Qatar</v>
      </c>
      <c r="BU75" s="306">
        <f>IF('Knock Out Stages'!$B$55="© 2022 | journalSHEET.com",BU49,15)</f>
        <v>20</v>
      </c>
      <c r="BV75" s="306">
        <f t="shared" si="72"/>
        <v>1</v>
      </c>
      <c r="BW75" s="306" t="str">
        <f ca="1">OFFSET(C3,BU75,BV75)</f>
        <v>Naif Al-Hadhrami</v>
      </c>
      <c r="BX75" s="306">
        <f ca="1">COUNTIF('Group Stages'!J7:J102,BW75)</f>
        <v>0</v>
      </c>
      <c r="BY75" s="306">
        <f ca="1">COUNTIF('Group Stages'!K7:K102,BW75)</f>
        <v>0</v>
      </c>
      <c r="BZ75" s="306">
        <f ca="1">COUNTIF('Group Stages'!L7:L102,BW75)</f>
        <v>0</v>
      </c>
      <c r="CA75" s="306">
        <f ca="1">COUNTIF('Group Stages'!M7:M102,BW75)</f>
        <v>0</v>
      </c>
      <c r="CB75" s="306">
        <f ca="1">COUNTIF('Group Stages'!N7:N102,BW75)</f>
        <v>0</v>
      </c>
      <c r="CC75" s="306">
        <f ca="1">COUNTIF('Group Stages'!O7:O102,BW75)</f>
        <v>0</v>
      </c>
      <c r="CD75" s="306">
        <f ca="1">COUNTIF('Group Stages'!P7:P102,BW75)</f>
        <v>0</v>
      </c>
      <c r="CE75" s="306">
        <f ca="1">COUNTIF('Group Stages'!Q7:Q102,BW75)</f>
        <v>0</v>
      </c>
      <c r="CF75" s="306">
        <f ca="1">COUNTIF('Knock Out Stages'!K7:K50,BW75)</f>
        <v>0</v>
      </c>
      <c r="CG75" s="306">
        <f ca="1">COUNTIF('Knock Out Stages'!L7:L50,BW75)</f>
        <v>0</v>
      </c>
      <c r="CH75" s="306">
        <f ca="1">COUNTIF('Knock Out Stages'!M7:M50,BW75)</f>
        <v>0</v>
      </c>
      <c r="CI75" s="306">
        <f ca="1">COUNTIF('Knock Out Stages'!N7:N50,BW75)</f>
        <v>0</v>
      </c>
      <c r="CJ75" s="306">
        <f ca="1">COUNTIF('Knock Out Stages'!O7:O50,BW75)</f>
        <v>0</v>
      </c>
      <c r="CK75" s="306">
        <f ca="1">COUNTIF('Knock Out Stages'!P7:P50,BW75)</f>
        <v>0</v>
      </c>
      <c r="CL75" s="306">
        <f ca="1">COUNTIF('Knock Out Stages'!Q7:Q50,BW75)</f>
        <v>0</v>
      </c>
      <c r="CM75" s="306">
        <f ca="1">COUNTIF('Knock Out Stages'!R7:R50,BW75)</f>
        <v>0</v>
      </c>
      <c r="CN75" s="306">
        <f ca="1">IF(RIGHT('Group Stages'!$B$105,5)="T.com",SUM(BX75:CM75),0)</f>
        <v>0</v>
      </c>
      <c r="CO75" s="306">
        <f ca="1">RANK(CN75,CN3:CN834)+COUNTIF(CN3:CN75,CN75)-1</f>
        <v>73</v>
      </c>
      <c r="CP75" s="306" t="str">
        <f t="shared" ca="1" si="76"/>
        <v>Naif Al-Hadhrami (Qatar)</v>
      </c>
    </row>
    <row r="76" spans="1:94" x14ac:dyDescent="0.3">
      <c r="A76" s="306">
        <v>20</v>
      </c>
      <c r="B76" s="306" t="str">
        <f t="shared" si="78"/>
        <v>Pape Abou Cissé</v>
      </c>
      <c r="C76" s="306" t="str">
        <f t="shared" si="78"/>
        <v>Steven Bergwijn</v>
      </c>
      <c r="D76" s="306" t="str">
        <f t="shared" si="78"/>
        <v>Musab Kheder</v>
      </c>
      <c r="E76" s="306" t="str">
        <f t="shared" si="78"/>
        <v>Pervis Estupiñán</v>
      </c>
      <c r="F76" s="306" t="str">
        <f t="shared" si="78"/>
        <v>Luke Shaw</v>
      </c>
      <c r="G76" s="306" t="str">
        <f t="shared" si="78"/>
        <v>Sadegh Moharrami</v>
      </c>
      <c r="H76" s="306" t="str">
        <f t="shared" si="78"/>
        <v>Shaq Moore</v>
      </c>
      <c r="I76" s="306" t="str">
        <f t="shared" si="78"/>
        <v>Mark Harris</v>
      </c>
      <c r="J76" s="306" t="str">
        <f t="shared" si="78"/>
        <v>Marcos Acuña</v>
      </c>
      <c r="K76" s="306" t="str">
        <f t="shared" si="78"/>
        <v>Saleh Al-Shehri</v>
      </c>
      <c r="L76" s="306" t="str">
        <f t="shared" si="78"/>
        <v>Néstor Araujo</v>
      </c>
      <c r="M76" s="306" t="str">
        <f t="shared" si="78"/>
        <v>Piotr Zieliński</v>
      </c>
      <c r="N76" s="306" t="str">
        <f t="shared" si="78"/>
        <v>Pierre-Emile Højbjerg</v>
      </c>
      <c r="O76" s="306" t="str">
        <f t="shared" si="78"/>
        <v>Naïm Sliti</v>
      </c>
      <c r="P76" s="306" t="str">
        <f t="shared" si="78"/>
        <v>Ousmane Dembélé</v>
      </c>
      <c r="Q76" s="306" t="str">
        <f t="shared" si="78"/>
        <v>Mathew Leckie</v>
      </c>
      <c r="R76" s="306" t="str">
        <f t="shared" si="78"/>
        <v>Niclas Füllkrug</v>
      </c>
      <c r="S76" s="306" t="str">
        <f t="shared" si="78"/>
        <v>Takefusa Kubo</v>
      </c>
      <c r="T76" s="306" t="str">
        <f t="shared" si="78"/>
        <v>Pau Torres</v>
      </c>
      <c r="U76" s="306" t="str">
        <f t="shared" si="78"/>
        <v>Keysher Fuller</v>
      </c>
      <c r="V76" s="306" t="str">
        <f t="shared" si="78"/>
        <v>Sofyan Amrabat</v>
      </c>
      <c r="W76" s="306" t="str">
        <f t="shared" si="78"/>
        <v>Marcelo Brozović</v>
      </c>
      <c r="X76" s="306" t="str">
        <f t="shared" si="78"/>
        <v>Thorgan Hazard</v>
      </c>
      <c r="Y76" s="306" t="str">
        <f t="shared" si="78"/>
        <v>Milan Borjan</v>
      </c>
      <c r="Z76" s="306" t="str">
        <f t="shared" si="78"/>
        <v>Pedro</v>
      </c>
      <c r="AA76" s="306" t="str">
        <f t="shared" si="78"/>
        <v>Sergej Milinković-Savić</v>
      </c>
      <c r="AB76" s="306" t="str">
        <f t="shared" si="78"/>
        <v>Remo Freuler</v>
      </c>
      <c r="AC76" s="306" t="str">
        <f t="shared" si="78"/>
        <v>Olivier Mbaizo</v>
      </c>
      <c r="AD76" s="306" t="str">
        <f t="shared" si="78"/>
        <v>Raphaël Guerreiro</v>
      </c>
      <c r="AE76" s="306" t="str">
        <f t="shared" si="78"/>
        <v>Lawrence Ati-Zigi</v>
      </c>
      <c r="AF76" s="306" t="str">
        <f t="shared" si="78"/>
        <v>Maxi Gómez</v>
      </c>
      <c r="AG76" s="306" t="str">
        <f t="shared" si="78"/>
        <v>Na Sang-ho</v>
      </c>
      <c r="BT76" s="306" t="str">
        <f t="shared" ca="1" si="70"/>
        <v>Qatar</v>
      </c>
      <c r="BU76" s="306">
        <f t="shared" si="71"/>
        <v>21</v>
      </c>
      <c r="BV76" s="306">
        <f t="shared" si="72"/>
        <v>1</v>
      </c>
      <c r="BW76" s="306" t="str">
        <f ca="1">OFFSET(C3,BU76,BV76)</f>
        <v>Ró-Ró</v>
      </c>
      <c r="BX76" s="306">
        <f ca="1">COUNTIF('Group Stages'!J7:J102,BW76)</f>
        <v>0</v>
      </c>
      <c r="BY76" s="306">
        <f ca="1">COUNTIF('Group Stages'!K7:K102,BW76)</f>
        <v>0</v>
      </c>
      <c r="BZ76" s="306">
        <f ca="1">COUNTIF('Group Stages'!L7:L102,BW76)</f>
        <v>0</v>
      </c>
      <c r="CA76" s="306">
        <f ca="1">COUNTIF('Group Stages'!M7:M102,BW76)</f>
        <v>0</v>
      </c>
      <c r="CB76" s="306">
        <f ca="1">COUNTIF('Group Stages'!N7:N102,BW76)</f>
        <v>0</v>
      </c>
      <c r="CC76" s="306">
        <f ca="1">COUNTIF('Group Stages'!O7:O102,BW76)</f>
        <v>0</v>
      </c>
      <c r="CD76" s="306">
        <f ca="1">COUNTIF('Group Stages'!P7:P102,BW76)</f>
        <v>0</v>
      </c>
      <c r="CE76" s="306">
        <f ca="1">COUNTIF('Group Stages'!Q7:Q102,BW76)</f>
        <v>0</v>
      </c>
      <c r="CF76" s="306">
        <f ca="1">COUNTIF('Knock Out Stages'!K7:K50,BW76)</f>
        <v>0</v>
      </c>
      <c r="CG76" s="306">
        <f ca="1">COUNTIF('Knock Out Stages'!L7:L50,BW76)</f>
        <v>0</v>
      </c>
      <c r="CH76" s="306">
        <f ca="1">COUNTIF('Knock Out Stages'!M7:M50,BW76)</f>
        <v>0</v>
      </c>
      <c r="CI76" s="306">
        <f ca="1">COUNTIF('Knock Out Stages'!N7:N50,BW76)</f>
        <v>0</v>
      </c>
      <c r="CJ76" s="306">
        <f ca="1">COUNTIF('Knock Out Stages'!O7:O50,BW76)</f>
        <v>0</v>
      </c>
      <c r="CK76" s="306">
        <f ca="1">COUNTIF('Knock Out Stages'!P7:P50,BW76)</f>
        <v>0</v>
      </c>
      <c r="CL76" s="306">
        <f ca="1">COUNTIF('Knock Out Stages'!Q7:Q50,BW76)</f>
        <v>0</v>
      </c>
      <c r="CM76" s="306">
        <f ca="1">COUNTIF('Knock Out Stages'!R7:R50,BW76)</f>
        <v>0</v>
      </c>
      <c r="CN76" s="306">
        <f ca="1">IF(RIGHT('Group Stages'!$B$105,5)="T.com",SUM(BX76:CM76),0)</f>
        <v>0</v>
      </c>
      <c r="CO76" s="306">
        <f ca="1">RANK(CN76,CN3:CN834)+COUNTIF(CN3:CN76,CN76)-1</f>
        <v>74</v>
      </c>
      <c r="CP76" s="306" t="str">
        <f t="shared" ca="1" si="76"/>
        <v>Ró-Ró (Qatar)</v>
      </c>
    </row>
    <row r="77" spans="1:94" x14ac:dyDescent="0.3">
      <c r="A77" s="306">
        <v>21</v>
      </c>
      <c r="B77" s="306" t="str">
        <f t="shared" si="78"/>
        <v>Pape Gueye</v>
      </c>
      <c r="C77" s="306" t="str">
        <f t="shared" si="78"/>
        <v>Teun Koopmeiners</v>
      </c>
      <c r="D77" s="306" t="str">
        <f t="shared" si="78"/>
        <v>Naif Al-Hadhrami</v>
      </c>
      <c r="E77" s="306" t="str">
        <f t="shared" si="78"/>
        <v>Piero Hincapié</v>
      </c>
      <c r="F77" s="306" t="str">
        <f t="shared" si="78"/>
        <v>Marcus Rashford</v>
      </c>
      <c r="G77" s="306" t="str">
        <f t="shared" si="78"/>
        <v>Saeid Ezatolahi</v>
      </c>
      <c r="H77" s="306" t="str">
        <f t="shared" si="78"/>
        <v>Tim Ream</v>
      </c>
      <c r="I77" s="306" t="str">
        <f t="shared" si="78"/>
        <v>Matthew Smith</v>
      </c>
      <c r="J77" s="306" t="str">
        <f t="shared" si="78"/>
        <v>Nahuel Molina</v>
      </c>
      <c r="K77" s="306" t="str">
        <f t="shared" si="78"/>
        <v>Salem Al-Dawsari</v>
      </c>
      <c r="L77" s="306" t="str">
        <f t="shared" si="78"/>
        <v>Orbelín Pineda</v>
      </c>
      <c r="M77" s="306" t="str">
        <f t="shared" si="78"/>
        <v>Przemysław Frankowski</v>
      </c>
      <c r="N77" s="306" t="str">
        <f t="shared" si="78"/>
        <v>Rasmus Kristensen</v>
      </c>
      <c r="O77" s="306" t="str">
        <f t="shared" si="78"/>
        <v>Seifeddine Jaziri</v>
      </c>
      <c r="P77" s="306" t="str">
        <f t="shared" si="78"/>
        <v>Presnel Kimpembe</v>
      </c>
      <c r="Q77" s="306" t="str">
        <f t="shared" si="78"/>
        <v>Mathew Ryan</v>
      </c>
      <c r="R77" s="306" t="str">
        <f t="shared" si="78"/>
        <v>Nico Schlotterbeck</v>
      </c>
      <c r="S77" s="306" t="str">
        <f t="shared" si="78"/>
        <v>Takehiro Tomiyasu</v>
      </c>
      <c r="T77" s="306" t="str">
        <f t="shared" si="78"/>
        <v>Pedri</v>
      </c>
      <c r="U77" s="306" t="str">
        <f t="shared" si="78"/>
        <v>Óscar Duarte</v>
      </c>
      <c r="V77" s="306" t="str">
        <f t="shared" si="78"/>
        <v>Walid Cheddira</v>
      </c>
      <c r="W77" s="306" t="str">
        <f t="shared" si="78"/>
        <v>Mario Pašalić</v>
      </c>
      <c r="X77" s="306" t="str">
        <f t="shared" si="78"/>
        <v>Timothy Castagne</v>
      </c>
      <c r="Y77" s="306" t="str">
        <f t="shared" si="78"/>
        <v>Richie Laryea</v>
      </c>
      <c r="Z77" s="306" t="str">
        <f t="shared" si="78"/>
        <v>Raphinha</v>
      </c>
      <c r="AA77" s="306" t="str">
        <f t="shared" si="78"/>
        <v>Srđan Babić</v>
      </c>
      <c r="AB77" s="306" t="str">
        <f t="shared" si="78"/>
        <v>Renato Steffen</v>
      </c>
      <c r="AC77" s="306" t="str">
        <f t="shared" si="78"/>
        <v>Olivier Ntcham</v>
      </c>
      <c r="AD77" s="306" t="str">
        <f t="shared" si="78"/>
        <v>Ricardo Horta</v>
      </c>
      <c r="AE77" s="306" t="str">
        <f t="shared" si="78"/>
        <v>Mohammed Kudus</v>
      </c>
      <c r="AF77" s="306" t="str">
        <f t="shared" si="78"/>
        <v>Nicolás de la Cruz</v>
      </c>
      <c r="AG77" s="306" t="str">
        <f t="shared" si="78"/>
        <v>Paik Seung-ho</v>
      </c>
      <c r="BT77" s="306" t="str">
        <f t="shared" ca="1" si="70"/>
        <v>Qatar</v>
      </c>
      <c r="BU77" s="306">
        <f t="shared" si="71"/>
        <v>22</v>
      </c>
      <c r="BV77" s="306">
        <f t="shared" si="72"/>
        <v>1</v>
      </c>
      <c r="BW77" s="306" t="str">
        <f ca="1">OFFSET(C3,BU77,BV77)</f>
        <v>Saad Al Sheeb</v>
      </c>
      <c r="BX77" s="306">
        <f ca="1">COUNTIF('Group Stages'!J7:J102,BW77)</f>
        <v>0</v>
      </c>
      <c r="BY77" s="306">
        <f ca="1">COUNTIF('Group Stages'!K7:K102,BW77)</f>
        <v>0</v>
      </c>
      <c r="BZ77" s="306">
        <f ca="1">COUNTIF('Group Stages'!L7:L102,BW77)</f>
        <v>0</v>
      </c>
      <c r="CA77" s="306">
        <f ca="1">COUNTIF('Group Stages'!M7:M102,BW77)</f>
        <v>0</v>
      </c>
      <c r="CB77" s="306">
        <f ca="1">COUNTIF('Group Stages'!N7:N102,BW77)</f>
        <v>0</v>
      </c>
      <c r="CC77" s="306">
        <f ca="1">COUNTIF('Group Stages'!O7:O102,BW77)</f>
        <v>0</v>
      </c>
      <c r="CD77" s="306">
        <f ca="1">COUNTIF('Group Stages'!P7:P102,BW77)</f>
        <v>0</v>
      </c>
      <c r="CE77" s="306">
        <f ca="1">COUNTIF('Group Stages'!Q7:Q102,BW77)</f>
        <v>0</v>
      </c>
      <c r="CF77" s="306">
        <f ca="1">COUNTIF('Knock Out Stages'!K7:K50,BW77)</f>
        <v>0</v>
      </c>
      <c r="CG77" s="306">
        <f ca="1">COUNTIF('Knock Out Stages'!L7:L50,BW77)</f>
        <v>0</v>
      </c>
      <c r="CH77" s="306">
        <f ca="1">COUNTIF('Knock Out Stages'!M7:M50,BW77)</f>
        <v>0</v>
      </c>
      <c r="CI77" s="306">
        <f ca="1">COUNTIF('Knock Out Stages'!N7:N50,BW77)</f>
        <v>0</v>
      </c>
      <c r="CJ77" s="306">
        <f ca="1">COUNTIF('Knock Out Stages'!O7:O50,BW77)</f>
        <v>0</v>
      </c>
      <c r="CK77" s="306">
        <f ca="1">COUNTIF('Knock Out Stages'!P7:P50,BW77)</f>
        <v>0</v>
      </c>
      <c r="CL77" s="306">
        <f ca="1">COUNTIF('Knock Out Stages'!Q7:Q50,BW77)</f>
        <v>0</v>
      </c>
      <c r="CM77" s="306">
        <f ca="1">COUNTIF('Knock Out Stages'!R7:R50,BW77)</f>
        <v>0</v>
      </c>
      <c r="CN77" s="306">
        <f ca="1">IF(RIGHT('Group Stages'!$B$105,5)="T.com",SUM(BX77:CM77),0)</f>
        <v>0</v>
      </c>
      <c r="CO77" s="306">
        <f ca="1">RANK(CN77,CN3:CN834)+COUNTIF(CN3:CN77,CN77)-1</f>
        <v>75</v>
      </c>
      <c r="CP77" s="306" t="str">
        <f t="shared" ca="1" si="76"/>
        <v>Saad Al Sheeb (Qatar)</v>
      </c>
    </row>
    <row r="78" spans="1:94" x14ac:dyDescent="0.3">
      <c r="A78" s="306">
        <v>22</v>
      </c>
      <c r="B78" s="306" t="str">
        <f t="shared" si="78"/>
        <v>Pape Matar Sarr</v>
      </c>
      <c r="C78" s="306" t="str">
        <f t="shared" si="78"/>
        <v>Tyrell Malacia</v>
      </c>
      <c r="D78" s="306" t="str">
        <f t="shared" si="78"/>
        <v>Ró-Ró</v>
      </c>
      <c r="E78" s="306" t="str">
        <f t="shared" si="78"/>
        <v>Robert Arboleda</v>
      </c>
      <c r="F78" s="306" t="str">
        <f t="shared" si="78"/>
        <v>Mason Mount</v>
      </c>
      <c r="G78" s="306" t="str">
        <f t="shared" si="78"/>
        <v>Saman Ghoddos</v>
      </c>
      <c r="H78" s="306" t="str">
        <f t="shared" si="78"/>
        <v>Timothy Weah</v>
      </c>
      <c r="I78" s="306" t="str">
        <f t="shared" si="78"/>
        <v>Neco Williams</v>
      </c>
      <c r="J78" s="306" t="str">
        <f t="shared" si="78"/>
        <v>Nicolás González</v>
      </c>
      <c r="K78" s="306" t="str">
        <f t="shared" si="78"/>
        <v>Salman Al-Faraj</v>
      </c>
      <c r="L78" s="306" t="str">
        <f t="shared" si="78"/>
        <v>Raúl Jiménez</v>
      </c>
      <c r="M78" s="306" t="str">
        <f t="shared" si="78"/>
        <v>Robert Gumny</v>
      </c>
      <c r="N78" s="306" t="str">
        <f t="shared" si="78"/>
        <v>Robert Skov</v>
      </c>
      <c r="O78" s="306" t="str">
        <f t="shared" si="78"/>
        <v>Taha Yassine Khenissi</v>
      </c>
      <c r="P78" s="306" t="str">
        <f t="shared" si="78"/>
        <v>Raphaël Varane</v>
      </c>
      <c r="Q78" s="306" t="str">
        <f t="shared" si="78"/>
        <v>Miloš Degenek</v>
      </c>
      <c r="R78" s="306" t="str">
        <f t="shared" si="78"/>
        <v>Niklas Süle</v>
      </c>
      <c r="S78" s="306" t="str">
        <f t="shared" si="78"/>
        <v>Takuma Asano</v>
      </c>
      <c r="T78" s="306" t="str">
        <f t="shared" si="78"/>
        <v>Robert Sánchez</v>
      </c>
      <c r="U78" s="306" t="str">
        <f t="shared" si="78"/>
        <v>Patrick Sequeira</v>
      </c>
      <c r="V78" s="306" t="str">
        <f t="shared" si="78"/>
        <v>Yahia Attiyat Allah</v>
      </c>
      <c r="W78" s="306" t="str">
        <f t="shared" si="78"/>
        <v>Marko Livaja</v>
      </c>
      <c r="X78" s="306" t="str">
        <f t="shared" si="78"/>
        <v>Toby Alderweireld</v>
      </c>
      <c r="Y78" s="306" t="str">
        <f t="shared" si="78"/>
        <v>Sam Adekugbe</v>
      </c>
      <c r="Z78" s="306" t="str">
        <f t="shared" si="78"/>
        <v>Richarlison</v>
      </c>
      <c r="AA78" s="306" t="str">
        <f t="shared" si="78"/>
        <v>Stefan Mitrović</v>
      </c>
      <c r="AB78" s="306" t="str">
        <f t="shared" si="78"/>
        <v>Ricardo Rodriguez</v>
      </c>
      <c r="AC78" s="306" t="str">
        <f t="shared" si="78"/>
        <v>Oumar Gonzalez</v>
      </c>
      <c r="AD78" s="306" t="str">
        <f t="shared" si="78"/>
        <v>Rúben Dias</v>
      </c>
      <c r="AE78" s="306" t="str">
        <f t="shared" si="78"/>
        <v>Mohammed Salisu</v>
      </c>
      <c r="AF78" s="306" t="str">
        <f t="shared" si="78"/>
        <v>Rodrigo Bentancur</v>
      </c>
      <c r="AG78" s="306" t="str">
        <f t="shared" si="78"/>
        <v>Son Heung-min</v>
      </c>
      <c r="BT78" s="306" t="str">
        <f t="shared" ca="1" si="70"/>
        <v>Qatar</v>
      </c>
      <c r="BU78" s="306">
        <f t="shared" si="71"/>
        <v>23</v>
      </c>
      <c r="BV78" s="306">
        <f t="shared" si="72"/>
        <v>1</v>
      </c>
      <c r="BW78" s="306" t="str">
        <f ca="1">OFFSET(C3,BU78,BV78)</f>
        <v>Salem Al-Hajri</v>
      </c>
      <c r="BX78" s="306">
        <f ca="1">COUNTIF('Group Stages'!J7:J102,BW78)</f>
        <v>0</v>
      </c>
      <c r="BY78" s="306">
        <f ca="1">COUNTIF('Group Stages'!K7:K102,BW78)</f>
        <v>0</v>
      </c>
      <c r="BZ78" s="306">
        <f ca="1">COUNTIF('Group Stages'!L7:L102,BW78)</f>
        <v>0</v>
      </c>
      <c r="CA78" s="306">
        <f ca="1">COUNTIF('Group Stages'!M7:M102,BW78)</f>
        <v>0</v>
      </c>
      <c r="CB78" s="306">
        <f ca="1">COUNTIF('Group Stages'!N7:N102,BW78)</f>
        <v>0</v>
      </c>
      <c r="CC78" s="306">
        <f ca="1">COUNTIF('Group Stages'!O7:O102,BW78)</f>
        <v>0</v>
      </c>
      <c r="CD78" s="306">
        <f ca="1">COUNTIF('Group Stages'!P7:P102,BW78)</f>
        <v>0</v>
      </c>
      <c r="CE78" s="306">
        <f ca="1">COUNTIF('Group Stages'!Q7:Q102,BW78)</f>
        <v>0</v>
      </c>
      <c r="CF78" s="306">
        <f ca="1">COUNTIF('Knock Out Stages'!K7:K50,BW78)</f>
        <v>0</v>
      </c>
      <c r="CG78" s="306">
        <f ca="1">COUNTIF('Knock Out Stages'!L7:L50,BW78)</f>
        <v>0</v>
      </c>
      <c r="CH78" s="306">
        <f ca="1">COUNTIF('Knock Out Stages'!M7:M50,BW78)</f>
        <v>0</v>
      </c>
      <c r="CI78" s="306">
        <f ca="1">COUNTIF('Knock Out Stages'!N7:N50,BW78)</f>
        <v>0</v>
      </c>
      <c r="CJ78" s="306">
        <f ca="1">COUNTIF('Knock Out Stages'!O7:O50,BW78)</f>
        <v>0</v>
      </c>
      <c r="CK78" s="306">
        <f ca="1">COUNTIF('Knock Out Stages'!P7:P50,BW78)</f>
        <v>0</v>
      </c>
      <c r="CL78" s="306">
        <f ca="1">COUNTIF('Knock Out Stages'!Q7:Q50,BW78)</f>
        <v>0</v>
      </c>
      <c r="CM78" s="306">
        <f ca="1">COUNTIF('Knock Out Stages'!R7:R50,BW78)</f>
        <v>0</v>
      </c>
      <c r="CN78" s="306">
        <f ca="1">IF(RIGHT('Group Stages'!$B$105,5)="T.com",SUM(BX78:CM78),0)</f>
        <v>0</v>
      </c>
      <c r="CO78" s="306">
        <f ca="1">RANK(CN78,CN3:CN834)+COUNTIF(CN3:CN78,CN78)-1</f>
        <v>76</v>
      </c>
      <c r="CP78" s="306" t="str">
        <f t="shared" ca="1" si="76"/>
        <v>Salem Al-Hajri (Qatar)</v>
      </c>
    </row>
    <row r="79" spans="1:94" x14ac:dyDescent="0.3">
      <c r="A79" s="306">
        <v>23</v>
      </c>
      <c r="B79" s="306" t="str">
        <f t="shared" si="78"/>
        <v>Pathé Ciss</v>
      </c>
      <c r="C79" s="306" t="str">
        <f t="shared" si="78"/>
        <v>Vincent Janssen</v>
      </c>
      <c r="D79" s="306" t="str">
        <f t="shared" si="78"/>
        <v>Saad Al Sheeb</v>
      </c>
      <c r="E79" s="306" t="str">
        <f t="shared" si="78"/>
        <v>Romario Ibarra</v>
      </c>
      <c r="F79" s="306" t="str">
        <f t="shared" si="78"/>
        <v>Nick Pope</v>
      </c>
      <c r="G79" s="306" t="str">
        <f t="shared" si="78"/>
        <v>Sardar Azmoun</v>
      </c>
      <c r="H79" s="306" t="str">
        <f t="shared" si="78"/>
        <v>Tyler Adams</v>
      </c>
      <c r="I79" s="306" t="str">
        <f t="shared" si="78"/>
        <v>Rubin Colwill</v>
      </c>
      <c r="J79" s="306" t="str">
        <f t="shared" si="78"/>
        <v>Nicolás Otamendi</v>
      </c>
      <c r="K79" s="306" t="str">
        <f t="shared" si="78"/>
        <v>Sami Al-Najei</v>
      </c>
      <c r="L79" s="306" t="str">
        <f t="shared" si="78"/>
        <v>Roberto Alvarado</v>
      </c>
      <c r="M79" s="306" t="str">
        <f t="shared" si="78"/>
        <v>Robert Lewandowski</v>
      </c>
      <c r="N79" s="306" t="str">
        <f t="shared" si="78"/>
        <v>Simon Kjær</v>
      </c>
      <c r="O79" s="306" t="str">
        <f t="shared" si="78"/>
        <v>Wahbi Khazri</v>
      </c>
      <c r="P79" s="306" t="str">
        <f t="shared" si="78"/>
        <v>Steve Mandanda</v>
      </c>
      <c r="Q79" s="306" t="str">
        <f t="shared" si="78"/>
        <v>Mitchell Duke</v>
      </c>
      <c r="R79" s="306" t="str">
        <f t="shared" si="78"/>
        <v>Serge Gnabry</v>
      </c>
      <c r="S79" s="306" t="str">
        <f t="shared" si="78"/>
        <v>Takumi Minamino</v>
      </c>
      <c r="T79" s="306" t="str">
        <f t="shared" si="78"/>
        <v>Rodri</v>
      </c>
      <c r="U79" s="306" t="str">
        <f t="shared" si="78"/>
        <v>Roan Wilson</v>
      </c>
      <c r="V79" s="306" t="str">
        <f t="shared" si="78"/>
        <v>Yahya Jabrane</v>
      </c>
      <c r="W79" s="306" t="str">
        <f t="shared" si="78"/>
        <v>Martin Erlić</v>
      </c>
      <c r="X79" s="306" t="str">
        <f t="shared" si="78"/>
        <v>Wout Faes</v>
      </c>
      <c r="Y79" s="306" t="str">
        <f t="shared" si="78"/>
        <v>Samuel Piette</v>
      </c>
      <c r="Z79" s="306" t="str">
        <f t="shared" si="78"/>
        <v>Rodrygo</v>
      </c>
      <c r="AA79" s="306" t="str">
        <f t="shared" si="78"/>
        <v>Strahinja Eraković</v>
      </c>
      <c r="AB79" s="306" t="str">
        <f t="shared" si="78"/>
        <v>Ruben Vargas</v>
      </c>
      <c r="AC79" s="306" t="str">
        <f t="shared" si="78"/>
        <v>Pierre Kunde</v>
      </c>
      <c r="AD79" s="306" t="str">
        <f t="shared" si="78"/>
        <v>Rúben Neves</v>
      </c>
      <c r="AE79" s="306" t="str">
        <f t="shared" si="78"/>
        <v>Osman Bukari</v>
      </c>
      <c r="AF79" s="306" t="str">
        <f t="shared" si="78"/>
        <v>Ronald Araújo</v>
      </c>
      <c r="AG79" s="306" t="str">
        <f t="shared" si="78"/>
        <v>Son Jun-ho</v>
      </c>
      <c r="BT79" s="306" t="str">
        <f t="shared" ca="1" si="70"/>
        <v>Qatar</v>
      </c>
      <c r="BU79" s="306">
        <f t="shared" si="71"/>
        <v>24</v>
      </c>
      <c r="BV79" s="306">
        <f t="shared" si="72"/>
        <v>1</v>
      </c>
      <c r="BW79" s="306" t="str">
        <f ca="1">OFFSET(C3,BU79,BV79)</f>
        <v>Tarek Salman</v>
      </c>
      <c r="BX79" s="306">
        <f ca="1">COUNTIF('Group Stages'!J7:J102,BW79)</f>
        <v>0</v>
      </c>
      <c r="BY79" s="306">
        <f ca="1">COUNTIF('Group Stages'!K7:K102,BW79)</f>
        <v>0</v>
      </c>
      <c r="BZ79" s="306">
        <f ca="1">COUNTIF('Group Stages'!L7:L102,BW79)</f>
        <v>0</v>
      </c>
      <c r="CA79" s="306">
        <f ca="1">COUNTIF('Group Stages'!M7:M102,BW79)</f>
        <v>0</v>
      </c>
      <c r="CB79" s="306">
        <f ca="1">COUNTIF('Group Stages'!N7:N102,BW79)</f>
        <v>0</v>
      </c>
      <c r="CC79" s="306">
        <f ca="1">COUNTIF('Group Stages'!O7:O102,BW79)</f>
        <v>0</v>
      </c>
      <c r="CD79" s="306">
        <f ca="1">COUNTIF('Group Stages'!P7:P102,BW79)</f>
        <v>0</v>
      </c>
      <c r="CE79" s="306">
        <f ca="1">COUNTIF('Group Stages'!Q7:Q102,BW79)</f>
        <v>0</v>
      </c>
      <c r="CF79" s="306">
        <f ca="1">COUNTIF('Knock Out Stages'!K7:K50,BW79)</f>
        <v>0</v>
      </c>
      <c r="CG79" s="306">
        <f ca="1">COUNTIF('Knock Out Stages'!L7:L50,BW79)</f>
        <v>0</v>
      </c>
      <c r="CH79" s="306">
        <f ca="1">COUNTIF('Knock Out Stages'!M7:M50,BW79)</f>
        <v>0</v>
      </c>
      <c r="CI79" s="306">
        <f ca="1">COUNTIF('Knock Out Stages'!N7:N50,BW79)</f>
        <v>0</v>
      </c>
      <c r="CJ79" s="306">
        <f ca="1">COUNTIF('Knock Out Stages'!O7:O50,BW79)</f>
        <v>0</v>
      </c>
      <c r="CK79" s="306">
        <f ca="1">COUNTIF('Knock Out Stages'!P7:P50,BW79)</f>
        <v>0</v>
      </c>
      <c r="CL79" s="306">
        <f ca="1">COUNTIF('Knock Out Stages'!Q7:Q50,BW79)</f>
        <v>0</v>
      </c>
      <c r="CM79" s="306">
        <f ca="1">COUNTIF('Knock Out Stages'!R7:R50,BW79)</f>
        <v>0</v>
      </c>
      <c r="CN79" s="306">
        <f ca="1">IF(RIGHT('Group Stages'!$B$105,5)="T.com",SUM(BX79:CM79),0)</f>
        <v>0</v>
      </c>
      <c r="CO79" s="306">
        <f ca="1">RANK(CN79,CN3:CN834)+COUNTIF(CN3:CN79,CN79)-1</f>
        <v>77</v>
      </c>
      <c r="CP79" s="306" t="str">
        <f t="shared" ca="1" si="76"/>
        <v>Tarek Salman (Qatar)</v>
      </c>
    </row>
    <row r="80" spans="1:94" x14ac:dyDescent="0.3">
      <c r="A80" s="306">
        <v>24</v>
      </c>
      <c r="B80" s="306" t="str">
        <f t="shared" si="78"/>
        <v>Sadio Mané</v>
      </c>
      <c r="C80" s="306" t="str">
        <f t="shared" si="78"/>
        <v>Virgil van Dijk</v>
      </c>
      <c r="D80" s="306" t="str">
        <f t="shared" si="78"/>
        <v>Salem Al-Hajri</v>
      </c>
      <c r="E80" s="306" t="str">
        <f t="shared" si="78"/>
        <v>Sebas Méndez</v>
      </c>
      <c r="F80" s="306" t="str">
        <f t="shared" si="78"/>
        <v>Phil Foden</v>
      </c>
      <c r="G80" s="306" t="str">
        <f t="shared" si="78"/>
        <v>Shojae Khalilzadeh</v>
      </c>
      <c r="H80" s="306" t="str">
        <f t="shared" si="78"/>
        <v>Walker Zimmerman</v>
      </c>
      <c r="I80" s="306" t="str">
        <f t="shared" si="78"/>
        <v>Sorba Thomas</v>
      </c>
      <c r="J80" s="306" t="str">
        <f t="shared" si="78"/>
        <v>Nicolás Tagliafico</v>
      </c>
      <c r="K80" s="306" t="str">
        <f t="shared" si="78"/>
        <v>Saud Abdulhamid</v>
      </c>
      <c r="L80" s="306" t="str">
        <f t="shared" si="78"/>
        <v>Rodolfo Cota</v>
      </c>
      <c r="M80" s="306" t="str">
        <f t="shared" si="78"/>
        <v>Sebastian Szymański</v>
      </c>
      <c r="N80" s="306" t="str">
        <f t="shared" si="78"/>
        <v>Thomas Delaney</v>
      </c>
      <c r="O80" s="306" t="str">
        <f t="shared" si="78"/>
        <v>Wajdi Kechrida</v>
      </c>
      <c r="P80" s="306" t="str">
        <f t="shared" si="78"/>
        <v>Theo Hernandez</v>
      </c>
      <c r="Q80" s="306" t="str">
        <f t="shared" si="78"/>
        <v>Nathaniel Atkinson</v>
      </c>
      <c r="R80" s="306" t="str">
        <f t="shared" si="78"/>
        <v>Thilo Kehrer</v>
      </c>
      <c r="S80" s="306" t="str">
        <f t="shared" si="78"/>
        <v>Wataru Endo</v>
      </c>
      <c r="T80" s="306" t="str">
        <f t="shared" si="78"/>
        <v>Sergio Busquets</v>
      </c>
      <c r="U80" s="306" t="str">
        <f t="shared" si="78"/>
        <v>Rónald Matarrita</v>
      </c>
      <c r="V80" s="306" t="str">
        <f t="shared" si="78"/>
        <v>Yassine Bounou</v>
      </c>
      <c r="W80" s="306" t="str">
        <f t="shared" si="78"/>
        <v>Mateo Kovačić</v>
      </c>
      <c r="X80" s="306" t="str">
        <f t="shared" si="78"/>
        <v>Yannick Carrasco</v>
      </c>
      <c r="Y80" s="306" t="str">
        <f t="shared" si="78"/>
        <v>Stephen Eustáquio</v>
      </c>
      <c r="Z80" s="306" t="str">
        <f t="shared" si="78"/>
        <v>Thiago Silva</v>
      </c>
      <c r="AA80" s="306" t="str">
        <f t="shared" si="78"/>
        <v>Strahinja Pavlović</v>
      </c>
      <c r="AB80" s="306" t="str">
        <f t="shared" si="78"/>
        <v>Silvan Widmer</v>
      </c>
      <c r="AC80" s="306" t="str">
        <f t="shared" si="78"/>
        <v>Samuel Gouet</v>
      </c>
      <c r="AD80" s="306" t="str">
        <f t="shared" si="78"/>
        <v>Rui Patrício</v>
      </c>
      <c r="AE80" s="306" t="str">
        <f t="shared" si="78"/>
        <v>Salis Abdul Samed</v>
      </c>
      <c r="AF80" s="306" t="str">
        <f t="shared" si="78"/>
        <v>Sebastián Coates</v>
      </c>
      <c r="AG80" s="306" t="str">
        <f t="shared" ref="AG80" si="79">AG26</f>
        <v>Song Bum-keun</v>
      </c>
      <c r="BT80" s="306" t="str">
        <f t="shared" ca="1" si="70"/>
        <v>Qatar</v>
      </c>
      <c r="BU80" s="306">
        <f t="shared" si="71"/>
        <v>25</v>
      </c>
      <c r="BV80" s="306">
        <f t="shared" si="72"/>
        <v>1</v>
      </c>
      <c r="BW80" s="306" t="str">
        <f ca="1">OFFSET(C3,BU80,BV80)</f>
        <v>Yousef Hassan</v>
      </c>
      <c r="BX80" s="306">
        <f ca="1">COUNTIF('Group Stages'!J7:J102,BW80)</f>
        <v>0</v>
      </c>
      <c r="BY80" s="306">
        <f ca="1">COUNTIF('Group Stages'!K7:K102,BW80)</f>
        <v>0</v>
      </c>
      <c r="BZ80" s="306">
        <f ca="1">COUNTIF('Group Stages'!L7:L102,BW80)</f>
        <v>0</v>
      </c>
      <c r="CA80" s="306">
        <f ca="1">COUNTIF('Group Stages'!M7:M102,BW80)</f>
        <v>0</v>
      </c>
      <c r="CB80" s="306">
        <f ca="1">COUNTIF('Group Stages'!N7:N102,BW80)</f>
        <v>0</v>
      </c>
      <c r="CC80" s="306">
        <f ca="1">COUNTIF('Group Stages'!O7:O102,BW80)</f>
        <v>0</v>
      </c>
      <c r="CD80" s="306">
        <f ca="1">COUNTIF('Group Stages'!P7:P102,BW80)</f>
        <v>0</v>
      </c>
      <c r="CE80" s="306">
        <f ca="1">COUNTIF('Group Stages'!Q7:Q102,BW80)</f>
        <v>0</v>
      </c>
      <c r="CF80" s="306">
        <f ca="1">COUNTIF('Knock Out Stages'!K7:K50,BW80)</f>
        <v>0</v>
      </c>
      <c r="CG80" s="306">
        <f ca="1">COUNTIF('Knock Out Stages'!L7:L50,BW80)</f>
        <v>0</v>
      </c>
      <c r="CH80" s="306">
        <f ca="1">COUNTIF('Knock Out Stages'!M7:M50,BW80)</f>
        <v>0</v>
      </c>
      <c r="CI80" s="306">
        <f ca="1">COUNTIF('Knock Out Stages'!N7:N50,BW80)</f>
        <v>0</v>
      </c>
      <c r="CJ80" s="306">
        <f ca="1">COUNTIF('Knock Out Stages'!O7:O50,BW80)</f>
        <v>0</v>
      </c>
      <c r="CK80" s="306">
        <f ca="1">COUNTIF('Knock Out Stages'!P7:P50,BW80)</f>
        <v>0</v>
      </c>
      <c r="CL80" s="306">
        <f ca="1">COUNTIF('Knock Out Stages'!Q7:Q50,BW80)</f>
        <v>0</v>
      </c>
      <c r="CM80" s="306">
        <f ca="1">COUNTIF('Knock Out Stages'!R7:R50,BW80)</f>
        <v>0</v>
      </c>
      <c r="CN80" s="306">
        <f ca="1">IF(RIGHT('Group Stages'!$B$105,5)="T.com",SUM(BX80:CM80),0)</f>
        <v>0</v>
      </c>
      <c r="CO80" s="306">
        <f ca="1">RANK(CN80,CN3:CN834)+COUNTIF(CN3:CN80,CN80)-1</f>
        <v>78</v>
      </c>
      <c r="CP80" s="306" t="str">
        <f t="shared" ca="1" si="76"/>
        <v>Yousef Hassan (Qatar)</v>
      </c>
    </row>
    <row r="81" spans="1:94" x14ac:dyDescent="0.3">
      <c r="A81" s="306">
        <v>25</v>
      </c>
      <c r="B81" s="306" t="str">
        <f t="shared" ref="B81:AG82" si="80">B27</f>
        <v>Seny Dieng</v>
      </c>
      <c r="C81" s="306" t="str">
        <f t="shared" si="80"/>
        <v>Wout Weghorst</v>
      </c>
      <c r="D81" s="306" t="str">
        <f t="shared" si="80"/>
        <v>Tarek Salman</v>
      </c>
      <c r="E81" s="306" t="str">
        <f t="shared" si="80"/>
        <v>William Pacho</v>
      </c>
      <c r="F81" s="306" t="str">
        <f t="shared" si="80"/>
        <v>Raheem Sterling</v>
      </c>
      <c r="G81" s="306" t="str">
        <f t="shared" si="80"/>
        <v>Vahid Amiri</v>
      </c>
      <c r="H81" s="306" t="str">
        <f t="shared" si="80"/>
        <v>Weston McKennie</v>
      </c>
      <c r="I81" s="306" t="str">
        <f t="shared" si="80"/>
        <v>Tom Lockyer</v>
      </c>
      <c r="J81" s="306" t="str">
        <f t="shared" si="80"/>
        <v>Paulo Dybala</v>
      </c>
      <c r="K81" s="306" t="str">
        <f t="shared" si="80"/>
        <v>Sultan Al-Ghanam</v>
      </c>
      <c r="L81" s="306" t="str">
        <f t="shared" si="80"/>
        <v>Rogelio Funes Mori</v>
      </c>
      <c r="M81" s="306" t="str">
        <f t="shared" si="80"/>
        <v>Szymon Żurkowski</v>
      </c>
      <c r="N81" s="306" t="str">
        <f t="shared" si="80"/>
        <v>Victor Nelsson</v>
      </c>
      <c r="O81" s="306" t="str">
        <f t="shared" si="80"/>
        <v>Yassine Meriah</v>
      </c>
      <c r="P81" s="306" t="str">
        <f t="shared" si="80"/>
        <v>William Saliba</v>
      </c>
      <c r="Q81" s="306" t="str">
        <f t="shared" si="80"/>
        <v>Riley McGree</v>
      </c>
      <c r="R81" s="306" t="str">
        <f t="shared" si="80"/>
        <v>Thomas Müller</v>
      </c>
      <c r="S81" s="306" t="str">
        <f t="shared" si="80"/>
        <v>Yūki Sōma</v>
      </c>
      <c r="T81" s="306" t="str">
        <f t="shared" si="80"/>
        <v>Unai Simón</v>
      </c>
      <c r="U81" s="306" t="str">
        <f t="shared" si="80"/>
        <v>Yeltsin Tejeda</v>
      </c>
      <c r="V81" s="306" t="str">
        <f t="shared" si="80"/>
        <v>Youssef En-Nesyri</v>
      </c>
      <c r="W81" s="306" t="str">
        <f t="shared" si="80"/>
        <v>Mislav Oršić</v>
      </c>
      <c r="X81" s="306" t="str">
        <f t="shared" si="80"/>
        <v>Youri Tielemans</v>
      </c>
      <c r="Y81" s="306" t="str">
        <f t="shared" si="80"/>
        <v>Steven Vitória</v>
      </c>
      <c r="Z81" s="306" t="str">
        <f t="shared" si="80"/>
        <v>Vinícius Júnior</v>
      </c>
      <c r="AA81" s="306" t="str">
        <f t="shared" si="80"/>
        <v>Uroš Račić</v>
      </c>
      <c r="AB81" s="306" t="str">
        <f t="shared" si="80"/>
        <v>Xherdan Shaqiri</v>
      </c>
      <c r="AC81" s="306" t="str">
        <f t="shared" si="80"/>
        <v>Simon Ngapandouetnbu</v>
      </c>
      <c r="AD81" s="306" t="str">
        <f t="shared" si="80"/>
        <v>Vitinha</v>
      </c>
      <c r="AE81" s="306" t="str">
        <f t="shared" si="80"/>
        <v>Tariq Lamptey</v>
      </c>
      <c r="AF81" s="306" t="str">
        <f t="shared" si="80"/>
        <v>Sebastián Sosa</v>
      </c>
      <c r="AG81" s="306" t="str">
        <f t="shared" si="80"/>
        <v>Song Min-kyu</v>
      </c>
      <c r="BT81" s="306" t="str">
        <f ca="1">OFFSET(C2,BU81,BV81)</f>
        <v>Ecuador</v>
      </c>
      <c r="BU81" s="306">
        <f t="shared" si="71"/>
        <v>0</v>
      </c>
      <c r="BV81" s="306">
        <f t="shared" si="72"/>
        <v>2</v>
      </c>
      <c r="BW81" s="306" t="str">
        <f ca="1">OFFSET(C3,BU81,BV81)</f>
        <v>Alan Franco</v>
      </c>
      <c r="BX81" s="306">
        <f ca="1">COUNTIF('Group Stages'!J7:J102,BW81)</f>
        <v>0</v>
      </c>
      <c r="BY81" s="306">
        <f ca="1">COUNTIF('Group Stages'!K7:K102,BW81)</f>
        <v>0</v>
      </c>
      <c r="BZ81" s="306">
        <f ca="1">COUNTIF('Group Stages'!L7:L102,BW81)</f>
        <v>0</v>
      </c>
      <c r="CA81" s="306">
        <f ca="1">COUNTIF('Group Stages'!M7:M102,BW81)</f>
        <v>0</v>
      </c>
      <c r="CB81" s="306">
        <f ca="1">COUNTIF('Group Stages'!N7:N102,BW81)</f>
        <v>0</v>
      </c>
      <c r="CC81" s="306">
        <f ca="1">COUNTIF('Group Stages'!O7:O102,BW81)</f>
        <v>0</v>
      </c>
      <c r="CD81" s="306">
        <f ca="1">COUNTIF('Group Stages'!P7:P102,BW81)</f>
        <v>0</v>
      </c>
      <c r="CE81" s="306">
        <f ca="1">COUNTIF('Group Stages'!Q7:Q102,BW81)</f>
        <v>0</v>
      </c>
      <c r="CF81" s="306">
        <f ca="1">COUNTIF('Knock Out Stages'!K7:K50,BW81)</f>
        <v>0</v>
      </c>
      <c r="CG81" s="306">
        <f ca="1">COUNTIF('Knock Out Stages'!L7:L50,BW81)</f>
        <v>0</v>
      </c>
      <c r="CH81" s="306">
        <f ca="1">COUNTIF('Knock Out Stages'!M7:M50,BW81)</f>
        <v>0</v>
      </c>
      <c r="CI81" s="306">
        <f ca="1">COUNTIF('Knock Out Stages'!N7:N50,BW81)</f>
        <v>0</v>
      </c>
      <c r="CJ81" s="306">
        <f ca="1">COUNTIF('Knock Out Stages'!O7:O50,BW81)</f>
        <v>0</v>
      </c>
      <c r="CK81" s="306">
        <f ca="1">COUNTIF('Knock Out Stages'!P7:P50,BW81)</f>
        <v>0</v>
      </c>
      <c r="CL81" s="306">
        <f ca="1">COUNTIF('Knock Out Stages'!Q7:Q50,BW81)</f>
        <v>0</v>
      </c>
      <c r="CM81" s="306">
        <f ca="1">COUNTIF('Knock Out Stages'!R7:R50,BW81)</f>
        <v>0</v>
      </c>
      <c r="CN81" s="306">
        <f ca="1">IF(RIGHT('Group Stages'!$B$105,5)="T.com",SUM(BX81:CM81),0)</f>
        <v>0</v>
      </c>
      <c r="CO81" s="306">
        <f ca="1">RANK(CN81,CN3:CN834)+COUNTIF(CN3:CN81,CN81)-1</f>
        <v>79</v>
      </c>
      <c r="CP81" s="306" t="str">
        <f t="shared" ca="1" si="76"/>
        <v>Alan Franco (Ecuador)</v>
      </c>
    </row>
    <row r="82" spans="1:94" x14ac:dyDescent="0.3">
      <c r="A82" s="306">
        <v>26</v>
      </c>
      <c r="B82" s="306" t="str">
        <f t="shared" si="80"/>
        <v>Youssouf Sabaly</v>
      </c>
      <c r="C82" s="306" t="str">
        <f t="shared" si="80"/>
        <v>Xavi Simons</v>
      </c>
      <c r="D82" s="306" t="str">
        <f t="shared" si="80"/>
        <v>Yousef Hassan</v>
      </c>
      <c r="E82" s="306" t="str">
        <f t="shared" si="80"/>
        <v>Xavier Arreaga</v>
      </c>
      <c r="F82" s="306" t="str">
        <f t="shared" si="80"/>
        <v>Trent Alexander-Arnold</v>
      </c>
      <c r="G82" s="306">
        <f t="shared" si="80"/>
        <v>0</v>
      </c>
      <c r="H82" s="306" t="str">
        <f t="shared" si="80"/>
        <v>Yunus Musah</v>
      </c>
      <c r="I82" s="306" t="str">
        <f t="shared" si="80"/>
        <v>Wayne Hennessey</v>
      </c>
      <c r="J82" s="306" t="str">
        <f t="shared" si="80"/>
        <v>Rodrigo De Paul</v>
      </c>
      <c r="K82" s="306" t="str">
        <f t="shared" si="80"/>
        <v>Yasser Al-Shahrani</v>
      </c>
      <c r="L82" s="306" t="str">
        <f t="shared" si="80"/>
        <v>Uriel Antuna</v>
      </c>
      <c r="M82" s="306" t="str">
        <f t="shared" si="80"/>
        <v>Wojciech Szczęsny</v>
      </c>
      <c r="N82" s="306" t="str">
        <f t="shared" si="80"/>
        <v>Yussuf Poulsen</v>
      </c>
      <c r="O82" s="306" t="str">
        <f t="shared" si="80"/>
        <v>Youssef Msakni</v>
      </c>
      <c r="P82" s="306" t="str">
        <f t="shared" si="80"/>
        <v>Youssouf Fofana</v>
      </c>
      <c r="Q82" s="306" t="str">
        <f t="shared" si="80"/>
        <v>Thomas Deng</v>
      </c>
      <c r="R82" s="306" t="str">
        <f t="shared" si="80"/>
        <v>Youssoufa Moukoko</v>
      </c>
      <c r="S82" s="306" t="str">
        <f t="shared" si="80"/>
        <v>Yūto Nagatomo</v>
      </c>
      <c r="T82" s="306" t="str">
        <f t="shared" si="80"/>
        <v>Yeremy Pino</v>
      </c>
      <c r="U82" s="306" t="str">
        <f t="shared" si="80"/>
        <v>Youstin Salas</v>
      </c>
      <c r="V82" s="306" t="str">
        <f t="shared" si="80"/>
        <v>Zakaria Aboukhlal</v>
      </c>
      <c r="W82" s="306" t="str">
        <f t="shared" si="80"/>
        <v>Nikola Vlašić</v>
      </c>
      <c r="X82" s="306" t="str">
        <f t="shared" si="80"/>
        <v>Zeno Debast</v>
      </c>
      <c r="Y82" s="306" t="str">
        <f t="shared" si="80"/>
        <v>Tajon Buchanan</v>
      </c>
      <c r="Z82" s="306" t="str">
        <f t="shared" si="80"/>
        <v>Weverton</v>
      </c>
      <c r="AA82" s="306" t="str">
        <f t="shared" si="80"/>
        <v>Vanja Milinković-Savić</v>
      </c>
      <c r="AB82" s="306" t="str">
        <f t="shared" si="80"/>
        <v>Yann Sommer</v>
      </c>
      <c r="AC82" s="306" t="str">
        <f t="shared" si="80"/>
        <v>Vincent Aboubakar</v>
      </c>
      <c r="AD82" s="306" t="str">
        <f t="shared" si="80"/>
        <v>William Carvalho</v>
      </c>
      <c r="AE82" s="306" t="str">
        <f t="shared" si="80"/>
        <v>Thomas Partey</v>
      </c>
      <c r="AF82" s="306" t="str">
        <f t="shared" si="80"/>
        <v>Sergio Rochet</v>
      </c>
      <c r="AG82" s="306" t="str">
        <f t="shared" si="80"/>
        <v>Yoon Jong-gyu</v>
      </c>
      <c r="BT82" s="306" t="str">
        <f t="shared" ref="BT82" ca="1" si="81">BT81</f>
        <v>Ecuador</v>
      </c>
      <c r="BU82" s="306">
        <f t="shared" si="71"/>
        <v>1</v>
      </c>
      <c r="BV82" s="306">
        <f t="shared" si="72"/>
        <v>2</v>
      </c>
      <c r="BW82" s="306" t="str">
        <f ca="1">OFFSET(C3,BU82,BV82)</f>
        <v>Alexander Domínguez</v>
      </c>
      <c r="BX82" s="306">
        <f ca="1">COUNTIF('Group Stages'!J7:J102,BW82)</f>
        <v>0</v>
      </c>
      <c r="BY82" s="306">
        <f ca="1">COUNTIF('Group Stages'!K7:K102,BW82)</f>
        <v>0</v>
      </c>
      <c r="BZ82" s="306">
        <f ca="1">COUNTIF('Group Stages'!L7:L102,BW82)</f>
        <v>0</v>
      </c>
      <c r="CA82" s="306">
        <f ca="1">COUNTIF('Group Stages'!M7:M102,BW82)</f>
        <v>0</v>
      </c>
      <c r="CB82" s="306">
        <f ca="1">COUNTIF('Group Stages'!N7:N102,BW82)</f>
        <v>0</v>
      </c>
      <c r="CC82" s="306">
        <f ca="1">COUNTIF('Group Stages'!O7:O102,BW82)</f>
        <v>0</v>
      </c>
      <c r="CD82" s="306">
        <f ca="1">COUNTIF('Group Stages'!P7:P102,BW82)</f>
        <v>0</v>
      </c>
      <c r="CE82" s="306">
        <f ca="1">COUNTIF('Group Stages'!Q7:Q102,BW82)</f>
        <v>0</v>
      </c>
      <c r="CF82" s="306">
        <f ca="1">COUNTIF('Knock Out Stages'!K7:K50,BW82)</f>
        <v>0</v>
      </c>
      <c r="CG82" s="306">
        <f ca="1">COUNTIF('Knock Out Stages'!L7:L50,BW82)</f>
        <v>0</v>
      </c>
      <c r="CH82" s="306">
        <f ca="1">COUNTIF('Knock Out Stages'!M7:M50,BW82)</f>
        <v>0</v>
      </c>
      <c r="CI82" s="306">
        <f ca="1">COUNTIF('Knock Out Stages'!N7:N50,BW82)</f>
        <v>0</v>
      </c>
      <c r="CJ82" s="306">
        <f ca="1">COUNTIF('Knock Out Stages'!O7:O50,BW82)</f>
        <v>0</v>
      </c>
      <c r="CK82" s="306">
        <f ca="1">COUNTIF('Knock Out Stages'!P7:P50,BW82)</f>
        <v>0</v>
      </c>
      <c r="CL82" s="306">
        <f ca="1">COUNTIF('Knock Out Stages'!Q7:Q50,BW82)</f>
        <v>0</v>
      </c>
      <c r="CM82" s="306">
        <f ca="1">COUNTIF('Knock Out Stages'!R7:R50,BW82)</f>
        <v>0</v>
      </c>
      <c r="CN82" s="306">
        <f ca="1">IF(RIGHT('Group Stages'!$B$105,5)="T.com",SUM(BX82:CM82),0)</f>
        <v>0</v>
      </c>
      <c r="CO82" s="306">
        <f ca="1">RANK(CN82,CN3:CN834)+COUNTIF(CN3:CN82,CN82)-1</f>
        <v>80</v>
      </c>
      <c r="CP82" s="306" t="str">
        <f t="shared" ca="1" si="76"/>
        <v>Alexander Domínguez (Ecuador)</v>
      </c>
    </row>
    <row r="83" spans="1:94" x14ac:dyDescent="0.3">
      <c r="A83" s="306">
        <f t="shared" ref="A83:A108" si="82">A57</f>
        <v>1</v>
      </c>
      <c r="B83" s="306" t="str">
        <f t="shared" ref="B83:B108" si="83">D3&amp;" (og)"</f>
        <v>Abdelkarim Hassan (og)</v>
      </c>
      <c r="C83" s="306" t="str">
        <f t="shared" ref="C83:C108" si="84">D3&amp;" (og)"</f>
        <v>Abdelkarim Hassan (og)</v>
      </c>
      <c r="D83" s="306" t="str">
        <f t="shared" ref="D83:D108" si="85">C3&amp;" (og)"</f>
        <v>Andries Noppert (og)</v>
      </c>
      <c r="E83" s="306" t="str">
        <f t="shared" ref="E83:E108" si="86">C3&amp;" (og)"</f>
        <v>Andries Noppert (og)</v>
      </c>
      <c r="F83" s="306" t="str">
        <f t="shared" ref="F83:F108" si="87">H3&amp;" (og)"</f>
        <v>Aaron Long (og)</v>
      </c>
      <c r="G83" s="306" t="str">
        <f t="shared" ref="G83:G108" si="88">H3&amp;" (og)"</f>
        <v>Aaron Long (og)</v>
      </c>
      <c r="H83" s="306" t="str">
        <f t="shared" ref="H83:H108" si="89">G3&amp;" (og)"</f>
        <v>Abolfazl Jalali (og)</v>
      </c>
      <c r="I83" s="306" t="str">
        <f t="shared" ref="I83:I108" si="90">G3&amp;" (og)"</f>
        <v>Abolfazl Jalali (og)</v>
      </c>
      <c r="J83" s="306" t="str">
        <f t="shared" ref="J83:J108" si="91">L3&amp;" (og)"</f>
        <v>Alexis Vega (og)</v>
      </c>
      <c r="K83" s="306" t="str">
        <f t="shared" ref="K83:K108" si="92">L3&amp;" (og)"</f>
        <v>Alexis Vega (og)</v>
      </c>
      <c r="L83" s="306" t="str">
        <f t="shared" ref="L83:L108" si="93">K3&amp;" (og)"</f>
        <v>Abdulelah Al-Amri (og)</v>
      </c>
      <c r="M83" s="306" t="str">
        <f t="shared" ref="M83:M108" si="94">K3&amp;" (og)"</f>
        <v>Abdulelah Al-Amri (og)</v>
      </c>
      <c r="N83" s="306" t="str">
        <f t="shared" ref="N83:N108" si="95">P3&amp;" (og)"</f>
        <v>Adrien Rabiot (og)</v>
      </c>
      <c r="O83" s="306" t="str">
        <f t="shared" ref="O83:O108" si="96">P3&amp;" (og)"</f>
        <v>Adrien Rabiot (og)</v>
      </c>
      <c r="P83" s="306" t="str">
        <f t="shared" ref="P83:P108" si="97">O3&amp;" (og)"</f>
        <v>Aïssa Laïdouni (og)</v>
      </c>
      <c r="Q83" s="306" t="str">
        <f t="shared" ref="Q83:Q108" si="98">O3&amp;" (og)"</f>
        <v>Aïssa Laïdouni (og)</v>
      </c>
      <c r="R83" s="306" t="str">
        <f t="shared" ref="R83:R108" si="99">T3&amp;" (og)"</f>
        <v>Álvaro Morata (og)</v>
      </c>
      <c r="S83" s="306" t="str">
        <f t="shared" ref="S83:S108" si="100">T3&amp;" (og)"</f>
        <v>Álvaro Morata (og)</v>
      </c>
      <c r="T83" s="306" t="str">
        <f t="shared" ref="T83:T108" si="101">S3&amp;" (og)"</f>
        <v>Ao Tanaka (og)</v>
      </c>
      <c r="U83" s="306" t="str">
        <f t="shared" ref="U83:U108" si="102">S3&amp;" (og)"</f>
        <v>Ao Tanaka (og)</v>
      </c>
      <c r="V83" s="306" t="str">
        <f t="shared" ref="V83:V108" si="103">X3&amp;" (og)"</f>
        <v>Amadou Onana (og)</v>
      </c>
      <c r="W83" s="306" t="str">
        <f t="shared" ref="W83:W108" si="104">X3&amp;" (og)"</f>
        <v>Amadou Onana (og)</v>
      </c>
      <c r="X83" s="306" t="str">
        <f t="shared" ref="X83:X108" si="105">W3&amp;" (og)"</f>
        <v>Andrej Kramarić (og)</v>
      </c>
      <c r="Y83" s="306" t="str">
        <f t="shared" ref="Y83:Y108" si="106">W3&amp;" (og)"</f>
        <v>Andrej Kramarić (og)</v>
      </c>
      <c r="Z83" s="306" t="str">
        <f t="shared" ref="Z83:Z108" si="107">AB3&amp;" (og)"</f>
        <v>Ardon Jashari (og)</v>
      </c>
      <c r="AA83" s="306" t="str">
        <f t="shared" ref="AA83:AA108" si="108">AB3&amp;" (og)"</f>
        <v>Ardon Jashari (og)</v>
      </c>
      <c r="AB83" s="306" t="str">
        <f t="shared" ref="AB83:AB108" si="109">AA3&amp;" (og)"</f>
        <v>Aleksandar Mitrović (og)</v>
      </c>
      <c r="AC83" s="306" t="str">
        <f t="shared" ref="AC83:AC108" si="110">AA3&amp;" (og)"</f>
        <v>Aleksandar Mitrović (og)</v>
      </c>
      <c r="AD83" s="306" t="str">
        <f t="shared" ref="AD83:AD108" si="111">AF3&amp;" (og)"</f>
        <v>Agustín Canobbio (og)</v>
      </c>
      <c r="AE83" s="306" t="str">
        <f t="shared" ref="AE83:AE108" si="112">AF3&amp;" (og)"</f>
        <v>Agustín Canobbio (og)</v>
      </c>
      <c r="AF83" s="306" t="str">
        <f t="shared" ref="AF83:AF108" si="113">AE3&amp;" (og)"</f>
        <v>Abdul Fatawu Issahaku (og)</v>
      </c>
      <c r="AG83" s="306" t="str">
        <f t="shared" ref="AG83:AG108" si="114">AE3&amp;" (og)"</f>
        <v>Abdul Fatawu Issahaku (og)</v>
      </c>
      <c r="BT83" s="306" t="str">
        <f t="shared" ca="1" si="70"/>
        <v>Ecuador</v>
      </c>
      <c r="BU83" s="306">
        <f t="shared" si="71"/>
        <v>2</v>
      </c>
      <c r="BV83" s="306">
        <f t="shared" si="72"/>
        <v>2</v>
      </c>
      <c r="BW83" s="306" t="str">
        <f ca="1">OFFSET(C3,BU83,BV83)</f>
        <v>Ángel Mena</v>
      </c>
      <c r="BX83" s="306">
        <f ca="1">COUNTIF('Group Stages'!J7:J102,BW83)</f>
        <v>0</v>
      </c>
      <c r="BY83" s="306">
        <f ca="1">COUNTIF('Group Stages'!K7:K102,BW83)</f>
        <v>0</v>
      </c>
      <c r="BZ83" s="306">
        <f ca="1">COUNTIF('Group Stages'!L7:L102,BW83)</f>
        <v>0</v>
      </c>
      <c r="CA83" s="306">
        <f ca="1">COUNTIF('Group Stages'!M7:M102,BW83)</f>
        <v>0</v>
      </c>
      <c r="CB83" s="306">
        <f ca="1">COUNTIF('Group Stages'!N7:N102,BW83)</f>
        <v>0</v>
      </c>
      <c r="CC83" s="306">
        <f ca="1">COUNTIF('Group Stages'!O7:O102,BW83)</f>
        <v>0</v>
      </c>
      <c r="CD83" s="306">
        <f ca="1">COUNTIF('Group Stages'!P7:P102,BW83)</f>
        <v>0</v>
      </c>
      <c r="CE83" s="306">
        <f ca="1">COUNTIF('Group Stages'!Q7:Q102,BW83)</f>
        <v>0</v>
      </c>
      <c r="CF83" s="306">
        <f ca="1">COUNTIF('Knock Out Stages'!K7:K50,BW83)</f>
        <v>0</v>
      </c>
      <c r="CG83" s="306">
        <f ca="1">COUNTIF('Knock Out Stages'!L7:L50,BW83)</f>
        <v>0</v>
      </c>
      <c r="CH83" s="306">
        <f ca="1">COUNTIF('Knock Out Stages'!M7:M50,BW83)</f>
        <v>0</v>
      </c>
      <c r="CI83" s="306">
        <f ca="1">COUNTIF('Knock Out Stages'!N7:N50,BW83)</f>
        <v>0</v>
      </c>
      <c r="CJ83" s="306">
        <f ca="1">COUNTIF('Knock Out Stages'!O7:O50,BW83)</f>
        <v>0</v>
      </c>
      <c r="CK83" s="306">
        <f ca="1">COUNTIF('Knock Out Stages'!P7:P50,BW83)</f>
        <v>0</v>
      </c>
      <c r="CL83" s="306">
        <f ca="1">COUNTIF('Knock Out Stages'!Q7:Q50,BW83)</f>
        <v>0</v>
      </c>
      <c r="CM83" s="306">
        <f ca="1">COUNTIF('Knock Out Stages'!R7:R50,BW83)</f>
        <v>0</v>
      </c>
      <c r="CN83" s="306">
        <f ca="1">IF(RIGHT('Group Stages'!$B$105,5)="T.com",SUM(BX83:CM83),0)</f>
        <v>0</v>
      </c>
      <c r="CO83" s="306">
        <f ca="1">RANK(CN83,CN3:CN834)+COUNTIF(CN3:CN83,CN83)-1</f>
        <v>81</v>
      </c>
      <c r="CP83" s="306" t="str">
        <f t="shared" ca="1" si="76"/>
        <v>Ángel Mena (Ecuador)</v>
      </c>
    </row>
    <row r="84" spans="1:94" x14ac:dyDescent="0.3">
      <c r="A84" s="306">
        <f t="shared" si="82"/>
        <v>2</v>
      </c>
      <c r="B84" s="306" t="str">
        <f t="shared" si="83"/>
        <v>Abdulaziz Hatem (og)</v>
      </c>
      <c r="C84" s="306" t="str">
        <f t="shared" si="84"/>
        <v>Abdulaziz Hatem (og)</v>
      </c>
      <c r="D84" s="306" t="str">
        <f t="shared" si="85"/>
        <v>Cody Gakpo (og)</v>
      </c>
      <c r="E84" s="306" t="str">
        <f t="shared" si="86"/>
        <v>Cody Gakpo (og)</v>
      </c>
      <c r="F84" s="306" t="str">
        <f t="shared" si="87"/>
        <v>Antonee Robinson (og)</v>
      </c>
      <c r="G84" s="306" t="str">
        <f t="shared" si="88"/>
        <v>Antonee Robinson (og)</v>
      </c>
      <c r="H84" s="306" t="str">
        <f t="shared" si="89"/>
        <v>Ahmad Nourollahi (og)</v>
      </c>
      <c r="I84" s="306" t="str">
        <f t="shared" si="90"/>
        <v>Ahmad Nourollahi (og)</v>
      </c>
      <c r="J84" s="306" t="str">
        <f t="shared" si="91"/>
        <v>Alfredo Talavera (og)</v>
      </c>
      <c r="K84" s="306" t="str">
        <f t="shared" si="92"/>
        <v>Alfredo Talavera (og)</v>
      </c>
      <c r="L84" s="306" t="str">
        <f t="shared" si="93"/>
        <v>Abdulellah Al-Malki (og)</v>
      </c>
      <c r="M84" s="306" t="str">
        <f t="shared" si="94"/>
        <v>Abdulellah Al-Malki (og)</v>
      </c>
      <c r="N84" s="306" t="str">
        <f t="shared" si="95"/>
        <v>Alphonse Areola (og)</v>
      </c>
      <c r="O84" s="306" t="str">
        <f t="shared" si="96"/>
        <v>Alphonse Areola (og)</v>
      </c>
      <c r="P84" s="306" t="str">
        <f t="shared" si="97"/>
        <v>Ali Abdi (og)</v>
      </c>
      <c r="Q84" s="306" t="str">
        <f t="shared" si="98"/>
        <v>Ali Abdi (og)</v>
      </c>
      <c r="R84" s="306" t="str">
        <f t="shared" si="99"/>
        <v>Ansu Fati (og)</v>
      </c>
      <c r="S84" s="306" t="str">
        <f t="shared" si="100"/>
        <v>Ansu Fati (og)</v>
      </c>
      <c r="T84" s="306" t="str">
        <f t="shared" si="101"/>
        <v>Ayase Ueda (og)</v>
      </c>
      <c r="U84" s="306" t="str">
        <f t="shared" si="102"/>
        <v>Ayase Ueda (og)</v>
      </c>
      <c r="V84" s="306" t="str">
        <f t="shared" si="103"/>
        <v>Arthur Theate (og)</v>
      </c>
      <c r="W84" s="306" t="str">
        <f t="shared" si="104"/>
        <v>Arthur Theate (og)</v>
      </c>
      <c r="X84" s="306" t="str">
        <f t="shared" si="105"/>
        <v>Ante Budimir (og)</v>
      </c>
      <c r="Y84" s="306" t="str">
        <f t="shared" si="106"/>
        <v>Ante Budimir (og)</v>
      </c>
      <c r="Z84" s="306" t="str">
        <f t="shared" si="107"/>
        <v>Breel Embolo (og)</v>
      </c>
      <c r="AA84" s="306" t="str">
        <f t="shared" si="108"/>
        <v>Breel Embolo (og)</v>
      </c>
      <c r="AB84" s="306" t="str">
        <f t="shared" si="109"/>
        <v>Andrija Živković (og)</v>
      </c>
      <c r="AC84" s="306" t="str">
        <f t="shared" si="110"/>
        <v>Andrija Živković (og)</v>
      </c>
      <c r="AD84" s="306" t="str">
        <f t="shared" si="111"/>
        <v>Darwin Núñez (og)</v>
      </c>
      <c r="AE84" s="306" t="str">
        <f t="shared" si="112"/>
        <v>Darwin Núñez (og)</v>
      </c>
      <c r="AF84" s="306" t="str">
        <f t="shared" si="113"/>
        <v>Abdul Manaf Nurudeen (og)</v>
      </c>
      <c r="AG84" s="306" t="str">
        <f t="shared" si="114"/>
        <v>Abdul Manaf Nurudeen (og)</v>
      </c>
      <c r="BT84" s="306" t="str">
        <f t="shared" ca="1" si="70"/>
        <v>Ecuador</v>
      </c>
      <c r="BU84" s="306">
        <f t="shared" si="71"/>
        <v>3</v>
      </c>
      <c r="BV84" s="306">
        <f t="shared" si="72"/>
        <v>2</v>
      </c>
      <c r="BW84" s="306" t="str">
        <f ca="1">OFFSET(C3,BU84,BV84)</f>
        <v>Ángelo Preciado</v>
      </c>
      <c r="BX84" s="306">
        <f ca="1">COUNTIF('Group Stages'!J7:J102,BW84)</f>
        <v>0</v>
      </c>
      <c r="BY84" s="306">
        <f ca="1">COUNTIF('Group Stages'!K7:K102,BW84)</f>
        <v>0</v>
      </c>
      <c r="BZ84" s="306">
        <f ca="1">COUNTIF('Group Stages'!L7:L102,BW84)</f>
        <v>0</v>
      </c>
      <c r="CA84" s="306">
        <f ca="1">COUNTIF('Group Stages'!M7:M102,BW84)</f>
        <v>0</v>
      </c>
      <c r="CB84" s="306">
        <f ca="1">COUNTIF('Group Stages'!N7:N102,BW84)</f>
        <v>0</v>
      </c>
      <c r="CC84" s="306">
        <f ca="1">COUNTIF('Group Stages'!O7:O102,BW84)</f>
        <v>0</v>
      </c>
      <c r="CD84" s="306">
        <f ca="1">COUNTIF('Group Stages'!P7:P102,BW84)</f>
        <v>0</v>
      </c>
      <c r="CE84" s="306">
        <f ca="1">COUNTIF('Group Stages'!Q7:Q102,BW84)</f>
        <v>0</v>
      </c>
      <c r="CF84" s="306">
        <f ca="1">COUNTIF('Knock Out Stages'!K7:K50,BW84)</f>
        <v>0</v>
      </c>
      <c r="CG84" s="306">
        <f ca="1">COUNTIF('Knock Out Stages'!L7:L50,BW84)</f>
        <v>0</v>
      </c>
      <c r="CH84" s="306">
        <f ca="1">COUNTIF('Knock Out Stages'!M7:M50,BW84)</f>
        <v>0</v>
      </c>
      <c r="CI84" s="306">
        <f ca="1">COUNTIF('Knock Out Stages'!N7:N50,BW84)</f>
        <v>0</v>
      </c>
      <c r="CJ84" s="306">
        <f ca="1">COUNTIF('Knock Out Stages'!O7:O50,BW84)</f>
        <v>0</v>
      </c>
      <c r="CK84" s="306">
        <f ca="1">COUNTIF('Knock Out Stages'!P7:P50,BW84)</f>
        <v>0</v>
      </c>
      <c r="CL84" s="306">
        <f ca="1">COUNTIF('Knock Out Stages'!Q7:Q50,BW84)</f>
        <v>0</v>
      </c>
      <c r="CM84" s="306">
        <f ca="1">COUNTIF('Knock Out Stages'!R7:R50,BW84)</f>
        <v>0</v>
      </c>
      <c r="CN84" s="306">
        <f ca="1">IF(RIGHT('Group Stages'!$B$105,5)="T.com",SUM(BX84:CM84),0)</f>
        <v>0</v>
      </c>
      <c r="CO84" s="306">
        <f ca="1">RANK(CN84,CN3:CN834)+COUNTIF(CN3:CN84,CN84)-1</f>
        <v>82</v>
      </c>
      <c r="CP84" s="306" t="str">
        <f t="shared" ca="1" si="76"/>
        <v>Ángelo Preciado (Ecuador)</v>
      </c>
    </row>
    <row r="85" spans="1:94" x14ac:dyDescent="0.3">
      <c r="A85" s="306">
        <f t="shared" si="82"/>
        <v>3</v>
      </c>
      <c r="B85" s="306" t="str">
        <f t="shared" si="83"/>
        <v>Ahmed Alaaeldin (og)</v>
      </c>
      <c r="C85" s="306" t="str">
        <f t="shared" si="84"/>
        <v>Ahmed Alaaeldin (og)</v>
      </c>
      <c r="D85" s="306" t="str">
        <f t="shared" si="85"/>
        <v>Daley Blind (og)</v>
      </c>
      <c r="E85" s="306" t="str">
        <f t="shared" si="86"/>
        <v>Daley Blind (og)</v>
      </c>
      <c r="F85" s="306" t="str">
        <f t="shared" si="87"/>
        <v>Brenden Aaronson (og)</v>
      </c>
      <c r="G85" s="306" t="str">
        <f t="shared" si="88"/>
        <v>Brenden Aaronson (og)</v>
      </c>
      <c r="H85" s="306" t="str">
        <f t="shared" si="89"/>
        <v>Ali Gholizadeh (og)</v>
      </c>
      <c r="I85" s="306" t="str">
        <f t="shared" si="90"/>
        <v>Ali Gholizadeh (og)</v>
      </c>
      <c r="J85" s="306" t="str">
        <f t="shared" si="91"/>
        <v>Andrés Guardado (og)</v>
      </c>
      <c r="K85" s="306" t="str">
        <f t="shared" si="92"/>
        <v>Andrés Guardado (og)</v>
      </c>
      <c r="L85" s="306" t="str">
        <f t="shared" si="93"/>
        <v>Abdullah Madu (og)</v>
      </c>
      <c r="M85" s="306" t="str">
        <f t="shared" si="94"/>
        <v>Abdullah Madu (og)</v>
      </c>
      <c r="N85" s="306" t="str">
        <f t="shared" si="95"/>
        <v>Antoine Griezmann (og)</v>
      </c>
      <c r="O85" s="306" t="str">
        <f t="shared" si="96"/>
        <v>Antoine Griezmann (og)</v>
      </c>
      <c r="P85" s="306" t="str">
        <f t="shared" si="97"/>
        <v>Ali Maâloul (og)</v>
      </c>
      <c r="Q85" s="306" t="str">
        <f t="shared" si="98"/>
        <v>Ali Maâloul (og)</v>
      </c>
      <c r="R85" s="306" t="str">
        <f t="shared" si="99"/>
        <v>Aymeric Laporte (og)</v>
      </c>
      <c r="S85" s="306" t="str">
        <f t="shared" si="100"/>
        <v>Aymeric Laporte (og)</v>
      </c>
      <c r="T85" s="306" t="str">
        <f t="shared" si="101"/>
        <v>Daichi Kamada (og)</v>
      </c>
      <c r="U85" s="306" t="str">
        <f t="shared" si="102"/>
        <v>Daichi Kamada (og)</v>
      </c>
      <c r="V85" s="306" t="str">
        <f t="shared" si="103"/>
        <v>Axel Witsel (og)</v>
      </c>
      <c r="W85" s="306" t="str">
        <f t="shared" si="104"/>
        <v>Axel Witsel (og)</v>
      </c>
      <c r="X85" s="306" t="str">
        <f t="shared" si="105"/>
        <v>Borna Barišić (og)</v>
      </c>
      <c r="Y85" s="306" t="str">
        <f t="shared" si="106"/>
        <v>Borna Barišić (og)</v>
      </c>
      <c r="Z85" s="306" t="str">
        <f t="shared" si="107"/>
        <v>Christian Fassnacht (og)</v>
      </c>
      <c r="AA85" s="306" t="str">
        <f t="shared" si="108"/>
        <v>Christian Fassnacht (og)</v>
      </c>
      <c r="AB85" s="306" t="str">
        <f t="shared" si="109"/>
        <v>Darko Lazović (og)</v>
      </c>
      <c r="AC85" s="306" t="str">
        <f t="shared" si="110"/>
        <v>Darko Lazović (og)</v>
      </c>
      <c r="AD85" s="306" t="str">
        <f t="shared" si="111"/>
        <v>Diego Godín (og)</v>
      </c>
      <c r="AE85" s="306" t="str">
        <f t="shared" si="112"/>
        <v>Diego Godín (og)</v>
      </c>
      <c r="AF85" s="306" t="str">
        <f t="shared" si="113"/>
        <v>Alexander Djiku (og)</v>
      </c>
      <c r="AG85" s="306" t="str">
        <f t="shared" si="114"/>
        <v>Alexander Djiku (og)</v>
      </c>
      <c r="BT85" s="306" t="str">
        <f t="shared" ca="1" si="70"/>
        <v>Ecuador</v>
      </c>
      <c r="BU85" s="306">
        <f t="shared" si="71"/>
        <v>4</v>
      </c>
      <c r="BV85" s="306">
        <f t="shared" si="72"/>
        <v>2</v>
      </c>
      <c r="BW85" s="306" t="str">
        <f ca="1">OFFSET(C3,BU85,BV85)</f>
        <v>Ayrton Preciado</v>
      </c>
      <c r="BX85" s="306">
        <f ca="1">COUNTIF('Group Stages'!J7:J102,BW85)</f>
        <v>0</v>
      </c>
      <c r="BY85" s="306">
        <f ca="1">COUNTIF('Group Stages'!K7:K102,BW85)</f>
        <v>0</v>
      </c>
      <c r="BZ85" s="306">
        <f ca="1">COUNTIF('Group Stages'!L7:L102,BW85)</f>
        <v>0</v>
      </c>
      <c r="CA85" s="306">
        <f ca="1">COUNTIF('Group Stages'!M7:M102,BW85)</f>
        <v>0</v>
      </c>
      <c r="CB85" s="306">
        <f ca="1">COUNTIF('Group Stages'!N7:N102,BW85)</f>
        <v>0</v>
      </c>
      <c r="CC85" s="306">
        <f ca="1">COUNTIF('Group Stages'!O7:O102,BW85)</f>
        <v>0</v>
      </c>
      <c r="CD85" s="306">
        <f ca="1">COUNTIF('Group Stages'!P7:P102,BW85)</f>
        <v>0</v>
      </c>
      <c r="CE85" s="306">
        <f ca="1">COUNTIF('Group Stages'!Q7:Q102,BW85)</f>
        <v>0</v>
      </c>
      <c r="CF85" s="306">
        <f ca="1">COUNTIF('Knock Out Stages'!K7:K50,BW85)</f>
        <v>0</v>
      </c>
      <c r="CG85" s="306">
        <f ca="1">COUNTIF('Knock Out Stages'!L7:L50,BW85)</f>
        <v>0</v>
      </c>
      <c r="CH85" s="306">
        <f ca="1">COUNTIF('Knock Out Stages'!M7:M50,BW85)</f>
        <v>0</v>
      </c>
      <c r="CI85" s="306">
        <f ca="1">COUNTIF('Knock Out Stages'!N7:N50,BW85)</f>
        <v>0</v>
      </c>
      <c r="CJ85" s="306">
        <f ca="1">COUNTIF('Knock Out Stages'!O7:O50,BW85)</f>
        <v>0</v>
      </c>
      <c r="CK85" s="306">
        <f ca="1">COUNTIF('Knock Out Stages'!P7:P50,BW85)</f>
        <v>0</v>
      </c>
      <c r="CL85" s="306">
        <f ca="1">COUNTIF('Knock Out Stages'!Q7:Q50,BW85)</f>
        <v>0</v>
      </c>
      <c r="CM85" s="306">
        <f ca="1">COUNTIF('Knock Out Stages'!R7:R50,BW85)</f>
        <v>0</v>
      </c>
      <c r="CN85" s="306">
        <f ca="1">IF(RIGHT('Group Stages'!$B$105,5)="T.com",SUM(BX85:CM85),0)</f>
        <v>0</v>
      </c>
      <c r="CO85" s="306">
        <f ca="1">RANK(CN85,CN3:CN834)+COUNTIF(CN3:CN85,CN85)-1</f>
        <v>83</v>
      </c>
      <c r="CP85" s="306" t="str">
        <f t="shared" ca="1" si="76"/>
        <v>Ayrton Preciado (Ecuador)</v>
      </c>
    </row>
    <row r="86" spans="1:94" x14ac:dyDescent="0.3">
      <c r="A86" s="306">
        <f t="shared" si="82"/>
        <v>4</v>
      </c>
      <c r="B86" s="306" t="str">
        <f t="shared" si="83"/>
        <v>Akram Afif (og)</v>
      </c>
      <c r="C86" s="306" t="str">
        <f t="shared" si="84"/>
        <v>Akram Afif (og)</v>
      </c>
      <c r="D86" s="306" t="str">
        <f t="shared" si="85"/>
        <v>Davy Klaassen (og)</v>
      </c>
      <c r="E86" s="306" t="str">
        <f t="shared" si="86"/>
        <v>Davy Klaassen (og)</v>
      </c>
      <c r="F86" s="306" t="str">
        <f t="shared" si="87"/>
        <v>Cameron Carter-Vickers (og)</v>
      </c>
      <c r="G86" s="306" t="str">
        <f t="shared" si="88"/>
        <v>Cameron Carter-Vickers (og)</v>
      </c>
      <c r="H86" s="306" t="str">
        <f t="shared" si="89"/>
        <v>Ali Karimi (og)</v>
      </c>
      <c r="I86" s="306" t="str">
        <f t="shared" si="90"/>
        <v>Ali Karimi (og)</v>
      </c>
      <c r="J86" s="306" t="str">
        <f t="shared" si="91"/>
        <v>Carlos Rodríguez (og)</v>
      </c>
      <c r="K86" s="306" t="str">
        <f t="shared" si="92"/>
        <v>Carlos Rodríguez (og)</v>
      </c>
      <c r="L86" s="306" t="str">
        <f t="shared" si="93"/>
        <v>Abdullah Otayf (og)</v>
      </c>
      <c r="M86" s="306" t="str">
        <f t="shared" si="94"/>
        <v>Abdullah Otayf (og)</v>
      </c>
      <c r="N86" s="306" t="str">
        <f t="shared" si="95"/>
        <v>Aurélien Tchouaméni (og)</v>
      </c>
      <c r="O86" s="306" t="str">
        <f t="shared" si="96"/>
        <v>Aurélien Tchouaméni (og)</v>
      </c>
      <c r="P86" s="306" t="str">
        <f t="shared" si="97"/>
        <v>Anis Ben Slimane (og)</v>
      </c>
      <c r="Q86" s="306" t="str">
        <f t="shared" si="98"/>
        <v>Anis Ben Slimane (og)</v>
      </c>
      <c r="R86" s="306" t="str">
        <f t="shared" si="99"/>
        <v>Carlos Soler (og)</v>
      </c>
      <c r="S86" s="306" t="str">
        <f t="shared" si="100"/>
        <v>Carlos Soler (og)</v>
      </c>
      <c r="T86" s="306" t="str">
        <f t="shared" si="101"/>
        <v>Daizen Maeda (og)</v>
      </c>
      <c r="U86" s="306" t="str">
        <f t="shared" si="102"/>
        <v>Daizen Maeda (og)</v>
      </c>
      <c r="V86" s="306" t="str">
        <f t="shared" si="103"/>
        <v>Charles De Ketelaere (og)</v>
      </c>
      <c r="W86" s="306" t="str">
        <f t="shared" si="104"/>
        <v>Charles De Ketelaere (og)</v>
      </c>
      <c r="X86" s="306" t="str">
        <f t="shared" si="105"/>
        <v>Borna Sosa (og)</v>
      </c>
      <c r="Y86" s="306" t="str">
        <f t="shared" si="106"/>
        <v>Borna Sosa (og)</v>
      </c>
      <c r="Z86" s="306" t="str">
        <f t="shared" si="107"/>
        <v>Denis Zakaria (og)</v>
      </c>
      <c r="AA86" s="306" t="str">
        <f t="shared" si="108"/>
        <v>Denis Zakaria (og)</v>
      </c>
      <c r="AB86" s="306" t="str">
        <f t="shared" si="109"/>
        <v>Dušan Tadić (og)</v>
      </c>
      <c r="AC86" s="306" t="str">
        <f t="shared" si="110"/>
        <v>Dušan Tadić (og)</v>
      </c>
      <c r="AD86" s="306" t="str">
        <f t="shared" si="111"/>
        <v>Edinson Cavani (og)</v>
      </c>
      <c r="AE86" s="306" t="str">
        <f t="shared" si="112"/>
        <v>Edinson Cavani (og)</v>
      </c>
      <c r="AF86" s="306" t="str">
        <f t="shared" si="113"/>
        <v>Alidu Seidu (og)</v>
      </c>
      <c r="AG86" s="306" t="str">
        <f t="shared" si="114"/>
        <v>Alidu Seidu (og)</v>
      </c>
      <c r="BT86" s="306" t="str">
        <f t="shared" ca="1" si="70"/>
        <v>Ecuador</v>
      </c>
      <c r="BU86" s="306">
        <f t="shared" si="71"/>
        <v>5</v>
      </c>
      <c r="BV86" s="306">
        <f t="shared" si="72"/>
        <v>2</v>
      </c>
      <c r="BW86" s="306" t="str">
        <f ca="1">OFFSET(C3,BU86,BV86)</f>
        <v>Carlos Gruezo</v>
      </c>
      <c r="BX86" s="306">
        <f ca="1">COUNTIF('Group Stages'!J7:J102,BW86)</f>
        <v>0</v>
      </c>
      <c r="BY86" s="306">
        <f ca="1">COUNTIF('Group Stages'!K7:K102,BW86)</f>
        <v>0</v>
      </c>
      <c r="BZ86" s="306">
        <f ca="1">COUNTIF('Group Stages'!L7:L102,BW86)</f>
        <v>0</v>
      </c>
      <c r="CA86" s="306">
        <f ca="1">COUNTIF('Group Stages'!M7:M102,BW86)</f>
        <v>0</v>
      </c>
      <c r="CB86" s="306">
        <f ca="1">COUNTIF('Group Stages'!N7:N102,BW86)</f>
        <v>0</v>
      </c>
      <c r="CC86" s="306">
        <f ca="1">COUNTIF('Group Stages'!O7:O102,BW86)</f>
        <v>0</v>
      </c>
      <c r="CD86" s="306">
        <f ca="1">COUNTIF('Group Stages'!P7:P102,BW86)</f>
        <v>0</v>
      </c>
      <c r="CE86" s="306">
        <f ca="1">COUNTIF('Group Stages'!Q7:Q102,BW86)</f>
        <v>0</v>
      </c>
      <c r="CF86" s="306">
        <f ca="1">COUNTIF('Knock Out Stages'!K7:K50,BW86)</f>
        <v>0</v>
      </c>
      <c r="CG86" s="306">
        <f ca="1">COUNTIF('Knock Out Stages'!L7:L50,BW86)</f>
        <v>0</v>
      </c>
      <c r="CH86" s="306">
        <f ca="1">COUNTIF('Knock Out Stages'!M7:M50,BW86)</f>
        <v>0</v>
      </c>
      <c r="CI86" s="306">
        <f ca="1">COUNTIF('Knock Out Stages'!N7:N50,BW86)</f>
        <v>0</v>
      </c>
      <c r="CJ86" s="306">
        <f ca="1">COUNTIF('Knock Out Stages'!O7:O50,BW86)</f>
        <v>0</v>
      </c>
      <c r="CK86" s="306">
        <f ca="1">COUNTIF('Knock Out Stages'!P7:P50,BW86)</f>
        <v>0</v>
      </c>
      <c r="CL86" s="306">
        <f ca="1">COUNTIF('Knock Out Stages'!Q7:Q50,BW86)</f>
        <v>0</v>
      </c>
      <c r="CM86" s="306">
        <f ca="1">COUNTIF('Knock Out Stages'!R7:R50,BW86)</f>
        <v>0</v>
      </c>
      <c r="CN86" s="306">
        <f ca="1">IF(RIGHT('Group Stages'!$B$105,5)="T.com",SUM(BX86:CM86),0)</f>
        <v>0</v>
      </c>
      <c r="CO86" s="306">
        <f ca="1">RANK(CN86,CN3:CN834)+COUNTIF(CN3:CN86,CN86)-1</f>
        <v>84</v>
      </c>
      <c r="CP86" s="306" t="str">
        <f t="shared" ca="1" si="76"/>
        <v>Carlos Gruezo (Ecuador)</v>
      </c>
    </row>
    <row r="87" spans="1:94" x14ac:dyDescent="0.3">
      <c r="A87" s="306">
        <f t="shared" si="82"/>
        <v>5</v>
      </c>
      <c r="B87" s="306" t="str">
        <f t="shared" si="83"/>
        <v>Ali Assadalla (og)</v>
      </c>
      <c r="C87" s="306" t="str">
        <f t="shared" si="84"/>
        <v>Ali Assadalla (og)</v>
      </c>
      <c r="D87" s="306" t="str">
        <f t="shared" si="85"/>
        <v>Denzel Dumfries (og)</v>
      </c>
      <c r="E87" s="306" t="str">
        <f t="shared" si="86"/>
        <v>Denzel Dumfries (og)</v>
      </c>
      <c r="F87" s="306" t="str">
        <f t="shared" si="87"/>
        <v>Christian Pulisic (og)</v>
      </c>
      <c r="G87" s="306" t="str">
        <f t="shared" si="88"/>
        <v>Christian Pulisic (og)</v>
      </c>
      <c r="H87" s="306" t="str">
        <f t="shared" si="89"/>
        <v>Alireza Beiranvand (og)</v>
      </c>
      <c r="I87" s="306" t="str">
        <f t="shared" si="90"/>
        <v>Alireza Beiranvand (og)</v>
      </c>
      <c r="J87" s="306" t="str">
        <f t="shared" si="91"/>
        <v>César Montes (og)</v>
      </c>
      <c r="K87" s="306" t="str">
        <f t="shared" si="92"/>
        <v>César Montes (og)</v>
      </c>
      <c r="L87" s="306" t="str">
        <f t="shared" si="93"/>
        <v>Abdulrahman Al-Aboud (og)</v>
      </c>
      <c r="M87" s="306" t="str">
        <f t="shared" si="94"/>
        <v>Abdulrahman Al-Aboud (og)</v>
      </c>
      <c r="N87" s="306" t="str">
        <f t="shared" si="95"/>
        <v>Benjamin Pavard (og)</v>
      </c>
      <c r="O87" s="306" t="str">
        <f t="shared" si="96"/>
        <v>Benjamin Pavard (og)</v>
      </c>
      <c r="P87" s="306" t="str">
        <f t="shared" si="97"/>
        <v>Aymen Dahmen (og)</v>
      </c>
      <c r="Q87" s="306" t="str">
        <f t="shared" si="98"/>
        <v>Aymen Dahmen (og)</v>
      </c>
      <c r="R87" s="306" t="str">
        <f t="shared" si="99"/>
        <v>César Azpilicueta (og)</v>
      </c>
      <c r="S87" s="306" t="str">
        <f t="shared" si="100"/>
        <v>César Azpilicueta (og)</v>
      </c>
      <c r="T87" s="306" t="str">
        <f t="shared" si="101"/>
        <v>Daniel Schmidt (og)</v>
      </c>
      <c r="U87" s="306" t="str">
        <f t="shared" si="102"/>
        <v>Daniel Schmidt (og)</v>
      </c>
      <c r="V87" s="306" t="str">
        <f t="shared" si="103"/>
        <v>Dries Mertens (og)</v>
      </c>
      <c r="W87" s="306" t="str">
        <f t="shared" si="104"/>
        <v>Dries Mertens (og)</v>
      </c>
      <c r="X87" s="306" t="str">
        <f t="shared" si="105"/>
        <v>Bruno Petković (og)</v>
      </c>
      <c r="Y87" s="306" t="str">
        <f t="shared" si="106"/>
        <v>Bruno Petković (og)</v>
      </c>
      <c r="Z87" s="306" t="str">
        <f t="shared" si="107"/>
        <v>Djibril Sow (og)</v>
      </c>
      <c r="AA87" s="306" t="str">
        <f t="shared" si="108"/>
        <v>Djibril Sow (og)</v>
      </c>
      <c r="AB87" s="306" t="str">
        <f t="shared" si="109"/>
        <v>Dušan Vlahović (og)</v>
      </c>
      <c r="AC87" s="306" t="str">
        <f t="shared" si="110"/>
        <v>Dušan Vlahović (og)</v>
      </c>
      <c r="AD87" s="306" t="str">
        <f t="shared" si="111"/>
        <v>Facundo Pellistri (og)</v>
      </c>
      <c r="AE87" s="306" t="str">
        <f t="shared" si="112"/>
        <v>Facundo Pellistri (og)</v>
      </c>
      <c r="AF87" s="306" t="str">
        <f t="shared" si="113"/>
        <v>André Ayew (og)</v>
      </c>
      <c r="AG87" s="306" t="str">
        <f t="shared" si="114"/>
        <v>André Ayew (og)</v>
      </c>
      <c r="BT87" s="306" t="str">
        <f t="shared" ca="1" si="70"/>
        <v>Ecuador</v>
      </c>
      <c r="BU87" s="306">
        <f t="shared" si="71"/>
        <v>6</v>
      </c>
      <c r="BV87" s="306">
        <f t="shared" si="72"/>
        <v>2</v>
      </c>
      <c r="BW87" s="306" t="str">
        <f ca="1">OFFSET(C3,BU87,BV87)</f>
        <v>Diego Palacios</v>
      </c>
      <c r="BX87" s="306">
        <f ca="1">COUNTIF('Group Stages'!J7:J102,BW87)</f>
        <v>0</v>
      </c>
      <c r="BY87" s="306">
        <f ca="1">COUNTIF('Group Stages'!K7:K102,BW87)</f>
        <v>0</v>
      </c>
      <c r="BZ87" s="306">
        <f ca="1">COUNTIF('Group Stages'!L7:L102,BW87)</f>
        <v>0</v>
      </c>
      <c r="CA87" s="306">
        <f ca="1">COUNTIF('Group Stages'!M7:M102,BW87)</f>
        <v>0</v>
      </c>
      <c r="CB87" s="306">
        <f ca="1">COUNTIF('Group Stages'!N7:N102,BW87)</f>
        <v>0</v>
      </c>
      <c r="CC87" s="306">
        <f ca="1">COUNTIF('Group Stages'!O7:O102,BW87)</f>
        <v>0</v>
      </c>
      <c r="CD87" s="306">
        <f ca="1">COUNTIF('Group Stages'!P7:P102,BW87)</f>
        <v>0</v>
      </c>
      <c r="CE87" s="306">
        <f ca="1">COUNTIF('Group Stages'!Q7:Q102,BW87)</f>
        <v>0</v>
      </c>
      <c r="CF87" s="306">
        <f ca="1">COUNTIF('Knock Out Stages'!K7:K50,BW87)</f>
        <v>0</v>
      </c>
      <c r="CG87" s="306">
        <f ca="1">COUNTIF('Knock Out Stages'!L7:L50,BW87)</f>
        <v>0</v>
      </c>
      <c r="CH87" s="306">
        <f ca="1">COUNTIF('Knock Out Stages'!M7:M50,BW87)</f>
        <v>0</v>
      </c>
      <c r="CI87" s="306">
        <f ca="1">COUNTIF('Knock Out Stages'!N7:N50,BW87)</f>
        <v>0</v>
      </c>
      <c r="CJ87" s="306">
        <f ca="1">COUNTIF('Knock Out Stages'!O7:O50,BW87)</f>
        <v>0</v>
      </c>
      <c r="CK87" s="306">
        <f ca="1">COUNTIF('Knock Out Stages'!P7:P50,BW87)</f>
        <v>0</v>
      </c>
      <c r="CL87" s="306">
        <f ca="1">COUNTIF('Knock Out Stages'!Q7:Q50,BW87)</f>
        <v>0</v>
      </c>
      <c r="CM87" s="306">
        <f ca="1">COUNTIF('Knock Out Stages'!R7:R50,BW87)</f>
        <v>0</v>
      </c>
      <c r="CN87" s="306">
        <f ca="1">IF(RIGHT('Group Stages'!$B$105,5)="T.com",SUM(BX87:CM87),0)</f>
        <v>0</v>
      </c>
      <c r="CO87" s="306">
        <f ca="1">RANK(CN87,CN3:CN834)+COUNTIF(CN3:CN87,CN87)-1</f>
        <v>85</v>
      </c>
      <c r="CP87" s="306" t="str">
        <f t="shared" ca="1" si="76"/>
        <v>Diego Palacios (Ecuador)</v>
      </c>
    </row>
    <row r="88" spans="1:94" x14ac:dyDescent="0.3">
      <c r="A88" s="306">
        <f t="shared" si="82"/>
        <v>6</v>
      </c>
      <c r="B88" s="306" t="str">
        <f t="shared" si="83"/>
        <v>Almoez Ali (og)</v>
      </c>
      <c r="C88" s="306" t="str">
        <f t="shared" si="84"/>
        <v>Almoez Ali (og)</v>
      </c>
      <c r="D88" s="306" t="str">
        <f t="shared" si="85"/>
        <v>Frenkie de Jong (og)</v>
      </c>
      <c r="E88" s="306" t="str">
        <f t="shared" si="86"/>
        <v>Frenkie de Jong (og)</v>
      </c>
      <c r="F88" s="306" t="str">
        <f t="shared" si="87"/>
        <v>Cristian Roldan (og)</v>
      </c>
      <c r="G88" s="306" t="str">
        <f t="shared" si="88"/>
        <v>Cristian Roldan (og)</v>
      </c>
      <c r="H88" s="306" t="str">
        <f t="shared" si="89"/>
        <v>Alireza Jahanbakhsh (og)</v>
      </c>
      <c r="I88" s="306" t="str">
        <f t="shared" si="90"/>
        <v>Alireza Jahanbakhsh (og)</v>
      </c>
      <c r="J88" s="306" t="str">
        <f t="shared" si="91"/>
        <v>Edson Álvarez (og)</v>
      </c>
      <c r="K88" s="306" t="str">
        <f t="shared" si="92"/>
        <v>Edson Álvarez (og)</v>
      </c>
      <c r="L88" s="306" t="str">
        <f t="shared" si="93"/>
        <v>Ali Al-Bulaihi (og)</v>
      </c>
      <c r="M88" s="306" t="str">
        <f t="shared" si="94"/>
        <v>Ali Al-Bulaihi (og)</v>
      </c>
      <c r="N88" s="306" t="str">
        <f t="shared" si="95"/>
        <v>Benoit Badiashile (og)</v>
      </c>
      <c r="O88" s="306" t="str">
        <f t="shared" si="96"/>
        <v>Benoit Badiashile (og)</v>
      </c>
      <c r="P88" s="306" t="str">
        <f t="shared" si="97"/>
        <v>Aymen Mathlouthi (og)</v>
      </c>
      <c r="Q88" s="306" t="str">
        <f t="shared" si="98"/>
        <v>Aymen Mathlouthi (og)</v>
      </c>
      <c r="R88" s="306" t="str">
        <f t="shared" si="99"/>
        <v>Dani Carvajal (og)</v>
      </c>
      <c r="S88" s="306" t="str">
        <f t="shared" si="100"/>
        <v>Dani Carvajal (og)</v>
      </c>
      <c r="T88" s="306" t="str">
        <f t="shared" si="101"/>
        <v>Eiji Kawashima (og)</v>
      </c>
      <c r="U88" s="306" t="str">
        <f t="shared" si="102"/>
        <v>Eiji Kawashima (og)</v>
      </c>
      <c r="V88" s="306" t="str">
        <f t="shared" si="103"/>
        <v>Eden Hazard (og)</v>
      </c>
      <c r="W88" s="306" t="str">
        <f t="shared" si="104"/>
        <v>Eden Hazard (og)</v>
      </c>
      <c r="X88" s="306" t="str">
        <f t="shared" si="105"/>
        <v>Dejan Lovren (og)</v>
      </c>
      <c r="Y88" s="306" t="str">
        <f t="shared" si="106"/>
        <v>Dejan Lovren (og)</v>
      </c>
      <c r="Z88" s="306" t="str">
        <f t="shared" si="107"/>
        <v>Edimilson Fernandes (og)</v>
      </c>
      <c r="AA88" s="306" t="str">
        <f t="shared" si="108"/>
        <v>Edimilson Fernandes (og)</v>
      </c>
      <c r="AB88" s="306" t="str">
        <f t="shared" si="109"/>
        <v>Filip Đuričić (og)</v>
      </c>
      <c r="AC88" s="306" t="str">
        <f t="shared" si="110"/>
        <v>Filip Đuričić (og)</v>
      </c>
      <c r="AD88" s="306" t="str">
        <f t="shared" si="111"/>
        <v>Facundo Torres (og)</v>
      </c>
      <c r="AE88" s="306" t="str">
        <f t="shared" si="112"/>
        <v>Facundo Torres (og)</v>
      </c>
      <c r="AF88" s="306" t="str">
        <f t="shared" si="113"/>
        <v>Antoine Semenyo (og)</v>
      </c>
      <c r="AG88" s="306" t="str">
        <f t="shared" si="114"/>
        <v>Antoine Semenyo (og)</v>
      </c>
      <c r="BT88" s="306" t="str">
        <f t="shared" ca="1" si="70"/>
        <v>Ecuador</v>
      </c>
      <c r="BU88" s="306">
        <f t="shared" si="71"/>
        <v>7</v>
      </c>
      <c r="BV88" s="306">
        <f t="shared" si="72"/>
        <v>2</v>
      </c>
      <c r="BW88" s="306" t="str">
        <f ca="1">OFFSET(C3,BU88,BV88)</f>
        <v>Djorkaeff Reasco</v>
      </c>
      <c r="BX88" s="306">
        <f ca="1">COUNTIF('Group Stages'!J7:J102,BW88)</f>
        <v>0</v>
      </c>
      <c r="BY88" s="306">
        <f ca="1">COUNTIF('Group Stages'!K7:K102,BW88)</f>
        <v>0</v>
      </c>
      <c r="BZ88" s="306">
        <f ca="1">COUNTIF('Group Stages'!L7:L102,BW88)</f>
        <v>0</v>
      </c>
      <c r="CA88" s="306">
        <f ca="1">COUNTIF('Group Stages'!M7:M102,BW88)</f>
        <v>0</v>
      </c>
      <c r="CB88" s="306">
        <f ca="1">COUNTIF('Group Stages'!N7:N102,BW88)</f>
        <v>0</v>
      </c>
      <c r="CC88" s="306">
        <f ca="1">COUNTIF('Group Stages'!O7:O102,BW88)</f>
        <v>0</v>
      </c>
      <c r="CD88" s="306">
        <f ca="1">COUNTIF('Group Stages'!P7:P102,BW88)</f>
        <v>0</v>
      </c>
      <c r="CE88" s="306">
        <f ca="1">COUNTIF('Group Stages'!Q7:Q102,BW88)</f>
        <v>0</v>
      </c>
      <c r="CF88" s="306">
        <f ca="1">COUNTIF('Knock Out Stages'!K7:K50,BW88)</f>
        <v>0</v>
      </c>
      <c r="CG88" s="306">
        <f ca="1">COUNTIF('Knock Out Stages'!L7:L50,BW88)</f>
        <v>0</v>
      </c>
      <c r="CH88" s="306">
        <f ca="1">COUNTIF('Knock Out Stages'!M7:M50,BW88)</f>
        <v>0</v>
      </c>
      <c r="CI88" s="306">
        <f ca="1">COUNTIF('Knock Out Stages'!N7:N50,BW88)</f>
        <v>0</v>
      </c>
      <c r="CJ88" s="306">
        <f ca="1">COUNTIF('Knock Out Stages'!O7:O50,BW88)</f>
        <v>0</v>
      </c>
      <c r="CK88" s="306">
        <f ca="1">COUNTIF('Knock Out Stages'!P7:P50,BW88)</f>
        <v>0</v>
      </c>
      <c r="CL88" s="306">
        <f ca="1">COUNTIF('Knock Out Stages'!Q7:Q50,BW88)</f>
        <v>0</v>
      </c>
      <c r="CM88" s="306">
        <f ca="1">COUNTIF('Knock Out Stages'!R7:R50,BW88)</f>
        <v>0</v>
      </c>
      <c r="CN88" s="306">
        <f ca="1">IF(RIGHT('Group Stages'!$B$105,5)="T.com",SUM(BX88:CM88),0)</f>
        <v>0</v>
      </c>
      <c r="CO88" s="306">
        <f ca="1">RANK(CN88,CN3:CN834)+COUNTIF(CN3:CN88,CN88)-1</f>
        <v>86</v>
      </c>
      <c r="CP88" s="306" t="str">
        <f t="shared" ca="1" si="76"/>
        <v>Djorkaeff Reasco (Ecuador)</v>
      </c>
    </row>
    <row r="89" spans="1:94" x14ac:dyDescent="0.3">
      <c r="A89" s="306">
        <f t="shared" si="82"/>
        <v>7</v>
      </c>
      <c r="B89" s="306" t="str">
        <f t="shared" si="83"/>
        <v>Assim Madibo (og)</v>
      </c>
      <c r="C89" s="306" t="str">
        <f t="shared" si="84"/>
        <v>Assim Madibo (og)</v>
      </c>
      <c r="D89" s="306" t="str">
        <f t="shared" si="85"/>
        <v>Jeremie Frimpong (og)</v>
      </c>
      <c r="E89" s="306" t="str">
        <f t="shared" si="86"/>
        <v>Jeremie Frimpong (og)</v>
      </c>
      <c r="F89" s="306" t="str">
        <f t="shared" si="87"/>
        <v>DeAndre Yedlin (og)</v>
      </c>
      <c r="G89" s="306" t="str">
        <f t="shared" si="88"/>
        <v>DeAndre Yedlin (og)</v>
      </c>
      <c r="H89" s="306" t="str">
        <f t="shared" si="89"/>
        <v>Amir Abedzadeh (og)</v>
      </c>
      <c r="I89" s="306" t="str">
        <f t="shared" si="90"/>
        <v>Amir Abedzadeh (og)</v>
      </c>
      <c r="J89" s="306" t="str">
        <f t="shared" si="91"/>
        <v>Érick Gutiérrez (og)</v>
      </c>
      <c r="K89" s="306" t="str">
        <f t="shared" si="92"/>
        <v>Érick Gutiérrez (og)</v>
      </c>
      <c r="L89" s="306" t="str">
        <f t="shared" si="93"/>
        <v>Ali Al-Hassan (og)</v>
      </c>
      <c r="M89" s="306" t="str">
        <f t="shared" si="94"/>
        <v>Ali Al-Hassan (og)</v>
      </c>
      <c r="N89" s="306" t="str">
        <f t="shared" si="95"/>
        <v>Christopher Nkunku (og)</v>
      </c>
      <c r="O89" s="306" t="str">
        <f t="shared" si="96"/>
        <v>Christopher Nkunku (og)</v>
      </c>
      <c r="P89" s="306" t="str">
        <f t="shared" si="97"/>
        <v>Bechir Ben Saïd (og)</v>
      </c>
      <c r="Q89" s="306" t="str">
        <f t="shared" si="98"/>
        <v>Bechir Ben Saïd (og)</v>
      </c>
      <c r="R89" s="306" t="str">
        <f t="shared" si="99"/>
        <v>Dani Olmo (og)</v>
      </c>
      <c r="S89" s="306" t="str">
        <f t="shared" si="100"/>
        <v>Dani Olmo (og)</v>
      </c>
      <c r="T89" s="306" t="str">
        <f t="shared" si="101"/>
        <v>Gaku Shibasaki (og)</v>
      </c>
      <c r="U89" s="306" t="str">
        <f t="shared" si="102"/>
        <v>Gaku Shibasaki (og)</v>
      </c>
      <c r="V89" s="306" t="str">
        <f t="shared" si="103"/>
        <v>Hans Vanaken (og)</v>
      </c>
      <c r="W89" s="306" t="str">
        <f t="shared" si="104"/>
        <v>Hans Vanaken (og)</v>
      </c>
      <c r="X89" s="306" t="str">
        <f t="shared" si="105"/>
        <v>Domagoj Vida (og)</v>
      </c>
      <c r="Y89" s="306" t="str">
        <f t="shared" si="106"/>
        <v>Domagoj Vida (og)</v>
      </c>
      <c r="Z89" s="306" t="str">
        <f t="shared" si="107"/>
        <v>Eray Cömert (og)</v>
      </c>
      <c r="AA89" s="306" t="str">
        <f t="shared" si="108"/>
        <v>Eray Cömert (og)</v>
      </c>
      <c r="AB89" s="306" t="str">
        <f t="shared" si="109"/>
        <v>Filip Kostić (og)</v>
      </c>
      <c r="AC89" s="306" t="str">
        <f t="shared" si="110"/>
        <v>Filip Kostić (og)</v>
      </c>
      <c r="AD89" s="306" t="str">
        <f t="shared" si="111"/>
        <v>Federico Valverde (og)</v>
      </c>
      <c r="AE89" s="306" t="str">
        <f t="shared" si="112"/>
        <v>Federico Valverde (og)</v>
      </c>
      <c r="AF89" s="306" t="str">
        <f t="shared" si="113"/>
        <v>Baba Rahman (og)</v>
      </c>
      <c r="AG89" s="306" t="str">
        <f t="shared" si="114"/>
        <v>Baba Rahman (og)</v>
      </c>
      <c r="BT89" s="306" t="str">
        <f t="shared" ca="1" si="70"/>
        <v>Ecuador</v>
      </c>
      <c r="BU89" s="306">
        <f t="shared" si="71"/>
        <v>8</v>
      </c>
      <c r="BV89" s="306">
        <f t="shared" si="72"/>
        <v>2</v>
      </c>
      <c r="BW89" s="306" t="str">
        <f ca="1">OFFSET(C3,BU89,BV89)</f>
        <v>Enner Valencia</v>
      </c>
      <c r="BX89" s="306">
        <f ca="1">COUNTIF('Group Stages'!J7:J102,BW89)</f>
        <v>0</v>
      </c>
      <c r="BY89" s="306">
        <f ca="1">COUNTIF('Group Stages'!K7:K102,BW89)</f>
        <v>0</v>
      </c>
      <c r="BZ89" s="306">
        <f ca="1">COUNTIF('Group Stages'!L7:L102,BW89)</f>
        <v>0</v>
      </c>
      <c r="CA89" s="306">
        <f ca="1">COUNTIF('Group Stages'!M7:M102,BW89)</f>
        <v>0</v>
      </c>
      <c r="CB89" s="306">
        <f ca="1">COUNTIF('Group Stages'!N7:N102,BW89)</f>
        <v>0</v>
      </c>
      <c r="CC89" s="306">
        <f ca="1">COUNTIF('Group Stages'!O7:O102,BW89)</f>
        <v>0</v>
      </c>
      <c r="CD89" s="306">
        <f ca="1">COUNTIF('Group Stages'!P7:P102,BW89)</f>
        <v>0</v>
      </c>
      <c r="CE89" s="306">
        <f ca="1">COUNTIF('Group Stages'!Q7:Q102,BW89)</f>
        <v>0</v>
      </c>
      <c r="CF89" s="306">
        <f ca="1">COUNTIF('Knock Out Stages'!K7:K50,BW89)</f>
        <v>0</v>
      </c>
      <c r="CG89" s="306">
        <f ca="1">COUNTIF('Knock Out Stages'!L7:L50,BW89)</f>
        <v>0</v>
      </c>
      <c r="CH89" s="306">
        <f ca="1">COUNTIF('Knock Out Stages'!M7:M50,BW89)</f>
        <v>0</v>
      </c>
      <c r="CI89" s="306">
        <f ca="1">COUNTIF('Knock Out Stages'!N7:N50,BW89)</f>
        <v>0</v>
      </c>
      <c r="CJ89" s="306">
        <f ca="1">COUNTIF('Knock Out Stages'!O7:O50,BW89)</f>
        <v>0</v>
      </c>
      <c r="CK89" s="306">
        <f ca="1">COUNTIF('Knock Out Stages'!P7:P50,BW89)</f>
        <v>0</v>
      </c>
      <c r="CL89" s="306">
        <f ca="1">COUNTIF('Knock Out Stages'!Q7:Q50,BW89)</f>
        <v>0</v>
      </c>
      <c r="CM89" s="306">
        <f ca="1">COUNTIF('Knock Out Stages'!R7:R50,BW89)</f>
        <v>0</v>
      </c>
      <c r="CN89" s="306">
        <f ca="1">IF(RIGHT('Group Stages'!$B$105,5)="T.com",SUM(BX89:CM89),0)</f>
        <v>0</v>
      </c>
      <c r="CO89" s="306">
        <f ca="1">RANK(CN89,CN3:CN834)+COUNTIF(CN3:CN89,CN89)-1</f>
        <v>87</v>
      </c>
      <c r="CP89" s="306" t="str">
        <f t="shared" ca="1" si="76"/>
        <v>Enner Valencia (Ecuador)</v>
      </c>
    </row>
    <row r="90" spans="1:94" x14ac:dyDescent="0.3">
      <c r="A90" s="306">
        <f t="shared" si="82"/>
        <v>8</v>
      </c>
      <c r="B90" s="306" t="str">
        <f t="shared" si="83"/>
        <v>Bassam Al-Rawi (og)</v>
      </c>
      <c r="C90" s="306" t="str">
        <f t="shared" si="84"/>
        <v>Bassam Al-Rawi (og)</v>
      </c>
      <c r="D90" s="306" t="str">
        <f t="shared" si="85"/>
        <v>Jurriën Timber (og)</v>
      </c>
      <c r="E90" s="306" t="str">
        <f t="shared" si="86"/>
        <v>Jurriën Timber (og)</v>
      </c>
      <c r="F90" s="306" t="str">
        <f t="shared" si="87"/>
        <v>Ethan Horvath (og)</v>
      </c>
      <c r="G90" s="306" t="str">
        <f t="shared" si="88"/>
        <v>Ethan Horvath (og)</v>
      </c>
      <c r="H90" s="306" t="str">
        <f t="shared" si="89"/>
        <v>Ehsan Hajsafi (og)</v>
      </c>
      <c r="I90" s="306" t="str">
        <f t="shared" si="90"/>
        <v>Ehsan Hajsafi (og)</v>
      </c>
      <c r="J90" s="306" t="str">
        <f t="shared" si="91"/>
        <v>Gerardo Arteaga (og)</v>
      </c>
      <c r="K90" s="306" t="str">
        <f t="shared" si="92"/>
        <v>Gerardo Arteaga (og)</v>
      </c>
      <c r="L90" s="306" t="str">
        <f t="shared" si="93"/>
        <v>Fahad Al-Muwallad (og)</v>
      </c>
      <c r="M90" s="306" t="str">
        <f t="shared" si="94"/>
        <v>Fahad Al-Muwallad (og)</v>
      </c>
      <c r="N90" s="306" t="str">
        <f t="shared" si="95"/>
        <v>Dayot Upamecano (og)</v>
      </c>
      <c r="O90" s="306" t="str">
        <f t="shared" si="96"/>
        <v>Dayot Upamecano (og)</v>
      </c>
      <c r="P90" s="306" t="str">
        <f t="shared" si="97"/>
        <v>Bilel Ifa (og)</v>
      </c>
      <c r="Q90" s="306" t="str">
        <f t="shared" si="98"/>
        <v>Bilel Ifa (og)</v>
      </c>
      <c r="R90" s="306" t="str">
        <f t="shared" si="99"/>
        <v>David Raya (og)</v>
      </c>
      <c r="S90" s="306" t="str">
        <f t="shared" si="100"/>
        <v>David Raya (og)</v>
      </c>
      <c r="T90" s="306" t="str">
        <f t="shared" si="101"/>
        <v>Hidemasa Morita (og)</v>
      </c>
      <c r="U90" s="306" t="str">
        <f t="shared" si="102"/>
        <v>Hidemasa Morita (og)</v>
      </c>
      <c r="V90" s="306" t="str">
        <f t="shared" si="103"/>
        <v>Jan Vertonghen (og)</v>
      </c>
      <c r="W90" s="306" t="str">
        <f t="shared" si="104"/>
        <v>Jan Vertonghen (og)</v>
      </c>
      <c r="X90" s="306" t="str">
        <f t="shared" si="105"/>
        <v>Dominik Livaković (og)</v>
      </c>
      <c r="Y90" s="306" t="str">
        <f t="shared" si="106"/>
        <v>Dominik Livaković (og)</v>
      </c>
      <c r="Z90" s="306" t="str">
        <f t="shared" si="107"/>
        <v>Fabian Frei (og)</v>
      </c>
      <c r="AA90" s="306" t="str">
        <f t="shared" si="108"/>
        <v>Fabian Frei (og)</v>
      </c>
      <c r="AB90" s="306" t="str">
        <f t="shared" si="109"/>
        <v>Filip Mladenović (og)</v>
      </c>
      <c r="AC90" s="306" t="str">
        <f t="shared" si="110"/>
        <v>Filip Mladenović (og)</v>
      </c>
      <c r="AD90" s="306" t="str">
        <f t="shared" si="111"/>
        <v>Fernando Muslera (og)</v>
      </c>
      <c r="AE90" s="306" t="str">
        <f t="shared" si="112"/>
        <v>Fernando Muslera (og)</v>
      </c>
      <c r="AF90" s="306" t="str">
        <f t="shared" si="113"/>
        <v>Daniel Afriyie (og)</v>
      </c>
      <c r="AG90" s="306" t="str">
        <f t="shared" si="114"/>
        <v>Daniel Afriyie (og)</v>
      </c>
      <c r="BT90" s="306" t="str">
        <f t="shared" ca="1" si="70"/>
        <v>Ecuador</v>
      </c>
      <c r="BU90" s="306">
        <f t="shared" si="71"/>
        <v>9</v>
      </c>
      <c r="BV90" s="306">
        <f t="shared" si="72"/>
        <v>2</v>
      </c>
      <c r="BW90" s="306" t="str">
        <f ca="1">OFFSET(C3,BU90,BV90)</f>
        <v>Félix Torres</v>
      </c>
      <c r="BX90" s="306">
        <f ca="1">COUNTIF('Group Stages'!J7:J102,BW90)</f>
        <v>0</v>
      </c>
      <c r="BY90" s="306">
        <f ca="1">COUNTIF('Group Stages'!K7:K102,BW90)</f>
        <v>0</v>
      </c>
      <c r="BZ90" s="306">
        <f ca="1">COUNTIF('Group Stages'!L7:L102,BW90)</f>
        <v>0</v>
      </c>
      <c r="CA90" s="306">
        <f ca="1">COUNTIF('Group Stages'!M7:M102,BW90)</f>
        <v>0</v>
      </c>
      <c r="CB90" s="306">
        <f ca="1">COUNTIF('Group Stages'!N7:N102,BW90)</f>
        <v>0</v>
      </c>
      <c r="CC90" s="306">
        <f ca="1">COUNTIF('Group Stages'!O7:O102,BW90)</f>
        <v>0</v>
      </c>
      <c r="CD90" s="306">
        <f ca="1">COUNTIF('Group Stages'!P7:P102,BW90)</f>
        <v>0</v>
      </c>
      <c r="CE90" s="306">
        <f ca="1">COUNTIF('Group Stages'!Q7:Q102,BW90)</f>
        <v>0</v>
      </c>
      <c r="CF90" s="306">
        <f ca="1">COUNTIF('Knock Out Stages'!K7:K50,BW90)</f>
        <v>0</v>
      </c>
      <c r="CG90" s="306">
        <f ca="1">COUNTIF('Knock Out Stages'!L7:L50,BW90)</f>
        <v>0</v>
      </c>
      <c r="CH90" s="306">
        <f ca="1">COUNTIF('Knock Out Stages'!M7:M50,BW90)</f>
        <v>0</v>
      </c>
      <c r="CI90" s="306">
        <f ca="1">COUNTIF('Knock Out Stages'!N7:N50,BW90)</f>
        <v>0</v>
      </c>
      <c r="CJ90" s="306">
        <f ca="1">COUNTIF('Knock Out Stages'!O7:O50,BW90)</f>
        <v>0</v>
      </c>
      <c r="CK90" s="306">
        <f ca="1">COUNTIF('Knock Out Stages'!P7:P50,BW90)</f>
        <v>0</v>
      </c>
      <c r="CL90" s="306">
        <f ca="1">COUNTIF('Knock Out Stages'!Q7:Q50,BW90)</f>
        <v>0</v>
      </c>
      <c r="CM90" s="306">
        <f ca="1">COUNTIF('Knock Out Stages'!R7:R50,BW90)</f>
        <v>0</v>
      </c>
      <c r="CN90" s="306">
        <f ca="1">IF(RIGHT('Group Stages'!$B$105,5)="T.com",SUM(BX90:CM90),0)</f>
        <v>0</v>
      </c>
      <c r="CO90" s="306">
        <f ca="1">RANK(CN90,CN3:CN834)+COUNTIF(CN3:CN90,CN90)-1</f>
        <v>88</v>
      </c>
      <c r="CP90" s="306" t="str">
        <f t="shared" ca="1" si="76"/>
        <v>Félix Torres (Ecuador)</v>
      </c>
    </row>
    <row r="91" spans="1:94" x14ac:dyDescent="0.3">
      <c r="A91" s="306">
        <f t="shared" si="82"/>
        <v>9</v>
      </c>
      <c r="B91" s="306" t="str">
        <f t="shared" si="83"/>
        <v>Boualem Khoukhi (og)</v>
      </c>
      <c r="C91" s="306" t="str">
        <f t="shared" si="84"/>
        <v>Boualem Khoukhi (og)</v>
      </c>
      <c r="D91" s="306" t="str">
        <f t="shared" si="85"/>
        <v>Justin Bijlow (og)</v>
      </c>
      <c r="E91" s="306" t="str">
        <f t="shared" si="86"/>
        <v>Justin Bijlow (og)</v>
      </c>
      <c r="F91" s="306" t="str">
        <f t="shared" si="87"/>
        <v>Giovanni Reyna (og)</v>
      </c>
      <c r="G91" s="306" t="str">
        <f t="shared" si="88"/>
        <v>Giovanni Reyna (og)</v>
      </c>
      <c r="H91" s="306" t="str">
        <f t="shared" si="89"/>
        <v>Hossein Hosseini (og)</v>
      </c>
      <c r="I91" s="306" t="str">
        <f t="shared" si="90"/>
        <v>Hossein Hosseini (og)</v>
      </c>
      <c r="J91" s="306" t="str">
        <f t="shared" si="91"/>
        <v>Guillermo Ochoa (og)</v>
      </c>
      <c r="K91" s="306" t="str">
        <f t="shared" si="92"/>
        <v>Guillermo Ochoa (og)</v>
      </c>
      <c r="L91" s="306" t="str">
        <f t="shared" si="93"/>
        <v>Firas Al-Buraikan (og)</v>
      </c>
      <c r="M91" s="306" t="str">
        <f t="shared" si="94"/>
        <v>Firas Al-Buraikan (og)</v>
      </c>
      <c r="N91" s="306" t="str">
        <f t="shared" si="95"/>
        <v>Eduardo Camavinga (og)</v>
      </c>
      <c r="O91" s="306" t="str">
        <f t="shared" si="96"/>
        <v>Eduardo Camavinga (og)</v>
      </c>
      <c r="P91" s="306" t="str">
        <f t="shared" si="97"/>
        <v>Dylan Bronn (og)</v>
      </c>
      <c r="Q91" s="306" t="str">
        <f t="shared" si="98"/>
        <v>Dylan Bronn (og)</v>
      </c>
      <c r="R91" s="306" t="str">
        <f t="shared" si="99"/>
        <v>Eric García (og)</v>
      </c>
      <c r="S91" s="306" t="str">
        <f t="shared" si="100"/>
        <v>Eric García (og)</v>
      </c>
      <c r="T91" s="306" t="str">
        <f t="shared" si="101"/>
        <v>Hiroki Itō (og)</v>
      </c>
      <c r="U91" s="306" t="str">
        <f t="shared" si="102"/>
        <v>Hiroki Itō (og)</v>
      </c>
      <c r="V91" s="306" t="str">
        <f t="shared" si="103"/>
        <v>Jérémy Doku (og)</v>
      </c>
      <c r="W91" s="306" t="str">
        <f t="shared" si="104"/>
        <v>Jérémy Doku (og)</v>
      </c>
      <c r="X91" s="306" t="str">
        <f t="shared" si="105"/>
        <v>Ivan Perišić (og)</v>
      </c>
      <c r="Y91" s="306" t="str">
        <f t="shared" si="106"/>
        <v>Ivan Perišić (og)</v>
      </c>
      <c r="Z91" s="306" t="str">
        <f t="shared" si="107"/>
        <v>Fabian Rieder (og)</v>
      </c>
      <c r="AA91" s="306" t="str">
        <f t="shared" si="108"/>
        <v>Fabian Rieder (og)</v>
      </c>
      <c r="AB91" s="306" t="str">
        <f t="shared" si="109"/>
        <v>Ivan Ilić (og)</v>
      </c>
      <c r="AC91" s="306" t="str">
        <f t="shared" si="110"/>
        <v>Ivan Ilić (og)</v>
      </c>
      <c r="AD91" s="306" t="str">
        <f t="shared" si="111"/>
        <v>Giorgian de Arrascaeta (og)</v>
      </c>
      <c r="AE91" s="306" t="str">
        <f t="shared" si="112"/>
        <v>Giorgian de Arrascaeta (og)</v>
      </c>
      <c r="AF91" s="306" t="str">
        <f t="shared" si="113"/>
        <v>Daniel Amartey (og)</v>
      </c>
      <c r="AG91" s="306" t="str">
        <f t="shared" si="114"/>
        <v>Daniel Amartey (og)</v>
      </c>
      <c r="BT91" s="306" t="str">
        <f t="shared" ca="1" si="70"/>
        <v>Ecuador</v>
      </c>
      <c r="BU91" s="306">
        <f t="shared" si="71"/>
        <v>10</v>
      </c>
      <c r="BV91" s="306">
        <f t="shared" si="72"/>
        <v>2</v>
      </c>
      <c r="BW91" s="306" t="str">
        <f ca="1">OFFSET(C3,BU91,BV91)</f>
        <v>Gonzalo Plata</v>
      </c>
      <c r="BX91" s="306">
        <f ca="1">COUNTIF('Group Stages'!J7:J102,BW91)</f>
        <v>0</v>
      </c>
      <c r="BY91" s="306">
        <f ca="1">COUNTIF('Group Stages'!K7:K102,BW91)</f>
        <v>0</v>
      </c>
      <c r="BZ91" s="306">
        <f ca="1">COUNTIF('Group Stages'!L7:L102,BW91)</f>
        <v>0</v>
      </c>
      <c r="CA91" s="306">
        <f ca="1">COUNTIF('Group Stages'!M7:M102,BW91)</f>
        <v>0</v>
      </c>
      <c r="CB91" s="306">
        <f ca="1">COUNTIF('Group Stages'!N7:N102,BW91)</f>
        <v>0</v>
      </c>
      <c r="CC91" s="306">
        <f ca="1">COUNTIF('Group Stages'!O7:O102,BW91)</f>
        <v>0</v>
      </c>
      <c r="CD91" s="306">
        <f ca="1">COUNTIF('Group Stages'!P7:P102,BW91)</f>
        <v>0</v>
      </c>
      <c r="CE91" s="306">
        <f ca="1">COUNTIF('Group Stages'!Q7:Q102,BW91)</f>
        <v>0</v>
      </c>
      <c r="CF91" s="306">
        <f ca="1">COUNTIF('Knock Out Stages'!K7:K50,BW91)</f>
        <v>0</v>
      </c>
      <c r="CG91" s="306">
        <f ca="1">COUNTIF('Knock Out Stages'!L7:L50,BW91)</f>
        <v>0</v>
      </c>
      <c r="CH91" s="306">
        <f ca="1">COUNTIF('Knock Out Stages'!M7:M50,BW91)</f>
        <v>0</v>
      </c>
      <c r="CI91" s="306">
        <f ca="1">COUNTIF('Knock Out Stages'!N7:N50,BW91)</f>
        <v>0</v>
      </c>
      <c r="CJ91" s="306">
        <f ca="1">COUNTIF('Knock Out Stages'!O7:O50,BW91)</f>
        <v>0</v>
      </c>
      <c r="CK91" s="306">
        <f ca="1">COUNTIF('Knock Out Stages'!P7:P50,BW91)</f>
        <v>0</v>
      </c>
      <c r="CL91" s="306">
        <f ca="1">COUNTIF('Knock Out Stages'!Q7:Q50,BW91)</f>
        <v>0</v>
      </c>
      <c r="CM91" s="306">
        <f ca="1">COUNTIF('Knock Out Stages'!R7:R50,BW91)</f>
        <v>0</v>
      </c>
      <c r="CN91" s="306">
        <f ca="1">IF(RIGHT('Group Stages'!$B$105,5)="T.com",SUM(BX91:CM91),0)</f>
        <v>0</v>
      </c>
      <c r="CO91" s="306">
        <f ca="1">RANK(CN91,CN3:CN834)+COUNTIF(CN3:CN91,CN91)-1</f>
        <v>89</v>
      </c>
      <c r="CP91" s="306" t="str">
        <f t="shared" ca="1" si="76"/>
        <v>Gonzalo Plata (Ecuador)</v>
      </c>
    </row>
    <row r="92" spans="1:94" x14ac:dyDescent="0.3">
      <c r="A92" s="306">
        <f t="shared" si="82"/>
        <v>10</v>
      </c>
      <c r="B92" s="306" t="str">
        <f t="shared" si="83"/>
        <v>Hassan Al-Haydos (og)</v>
      </c>
      <c r="C92" s="306" t="str">
        <f t="shared" si="84"/>
        <v>Hassan Al-Haydos (og)</v>
      </c>
      <c r="D92" s="306" t="str">
        <f t="shared" si="85"/>
        <v>Kenneth Taylor (og)</v>
      </c>
      <c r="E92" s="306" t="str">
        <f t="shared" si="86"/>
        <v>Kenneth Taylor (og)</v>
      </c>
      <c r="F92" s="306" t="str">
        <f t="shared" si="87"/>
        <v>Haji Wright (og)</v>
      </c>
      <c r="G92" s="306" t="str">
        <f t="shared" si="88"/>
        <v>Haji Wright (og)</v>
      </c>
      <c r="H92" s="306" t="str">
        <f t="shared" si="89"/>
        <v>Hossein Kanaanizadegan (og)</v>
      </c>
      <c r="I92" s="306" t="str">
        <f t="shared" si="90"/>
        <v>Hossein Kanaanizadegan (og)</v>
      </c>
      <c r="J92" s="306" t="str">
        <f t="shared" si="91"/>
        <v>Héctor Herrera (og)</v>
      </c>
      <c r="K92" s="306" t="str">
        <f t="shared" si="92"/>
        <v>Héctor Herrera (og)</v>
      </c>
      <c r="L92" s="306" t="str">
        <f t="shared" si="93"/>
        <v>Haitham Asiri (og)</v>
      </c>
      <c r="M92" s="306" t="str">
        <f t="shared" si="94"/>
        <v>Haitham Asiri (og)</v>
      </c>
      <c r="N92" s="306" t="str">
        <f t="shared" si="95"/>
        <v>Hugo Lloris (og)</v>
      </c>
      <c r="O92" s="306" t="str">
        <f t="shared" si="96"/>
        <v>Hugo Lloris (og)</v>
      </c>
      <c r="P92" s="306" t="str">
        <f t="shared" si="97"/>
        <v>Ellyes Skhiri (og)</v>
      </c>
      <c r="Q92" s="306" t="str">
        <f t="shared" si="98"/>
        <v>Ellyes Skhiri (og)</v>
      </c>
      <c r="R92" s="306" t="str">
        <f t="shared" si="99"/>
        <v>Ferran Torres (og)</v>
      </c>
      <c r="S92" s="306" t="str">
        <f t="shared" si="100"/>
        <v>Ferran Torres (og)</v>
      </c>
      <c r="T92" s="306" t="str">
        <f t="shared" si="101"/>
        <v>Hiroki Sakai (og)</v>
      </c>
      <c r="U92" s="306" t="str">
        <f t="shared" si="102"/>
        <v>Hiroki Sakai (og)</v>
      </c>
      <c r="V92" s="306" t="str">
        <f t="shared" si="103"/>
        <v>Kevin De Bruyne (og)</v>
      </c>
      <c r="W92" s="306" t="str">
        <f t="shared" si="104"/>
        <v>Kevin De Bruyne (og)</v>
      </c>
      <c r="X92" s="306" t="str">
        <f t="shared" si="105"/>
        <v>Ivica Ivušić (og)</v>
      </c>
      <c r="Y92" s="306" t="str">
        <f t="shared" si="106"/>
        <v>Ivica Ivušić (og)</v>
      </c>
      <c r="Z92" s="306" t="str">
        <f t="shared" si="107"/>
        <v>Fabian Schär (og)</v>
      </c>
      <c r="AA92" s="306" t="str">
        <f t="shared" si="108"/>
        <v>Fabian Schär (og)</v>
      </c>
      <c r="AB92" s="306" t="str">
        <f t="shared" si="109"/>
        <v>Luka Jović (og)</v>
      </c>
      <c r="AC92" s="306" t="str">
        <f t="shared" si="110"/>
        <v>Luka Jović (og)</v>
      </c>
      <c r="AD92" s="306" t="str">
        <f t="shared" si="111"/>
        <v>Guillermo Varela (og)</v>
      </c>
      <c r="AE92" s="306" t="str">
        <f t="shared" si="112"/>
        <v>Guillermo Varela (og)</v>
      </c>
      <c r="AF92" s="306" t="str">
        <f t="shared" si="113"/>
        <v>Daniel-Kofi Kyereh (og)</v>
      </c>
      <c r="AG92" s="306" t="str">
        <f t="shared" si="114"/>
        <v>Daniel-Kofi Kyereh (og)</v>
      </c>
      <c r="BT92" s="306" t="str">
        <f t="shared" ca="1" si="70"/>
        <v>Ecuador</v>
      </c>
      <c r="BU92" s="306">
        <f t="shared" si="71"/>
        <v>11</v>
      </c>
      <c r="BV92" s="306">
        <f t="shared" si="72"/>
        <v>2</v>
      </c>
      <c r="BW92" s="306" t="str">
        <f ca="1">OFFSET(C3,BU92,BV92)</f>
        <v>Hernán Galíndez</v>
      </c>
      <c r="BX92" s="306">
        <f ca="1">COUNTIF('Group Stages'!J7:J102,BW92)</f>
        <v>0</v>
      </c>
      <c r="BY92" s="306">
        <f ca="1">COUNTIF('Group Stages'!K7:K102,BW92)</f>
        <v>0</v>
      </c>
      <c r="BZ92" s="306">
        <f ca="1">COUNTIF('Group Stages'!L7:L102,BW92)</f>
        <v>0</v>
      </c>
      <c r="CA92" s="306">
        <f ca="1">COUNTIF('Group Stages'!M7:M102,BW92)</f>
        <v>0</v>
      </c>
      <c r="CB92" s="306">
        <f ca="1">COUNTIF('Group Stages'!N7:N102,BW92)</f>
        <v>0</v>
      </c>
      <c r="CC92" s="306">
        <f ca="1">COUNTIF('Group Stages'!O7:O102,BW92)</f>
        <v>0</v>
      </c>
      <c r="CD92" s="306">
        <f ca="1">COUNTIF('Group Stages'!P7:P102,BW92)</f>
        <v>0</v>
      </c>
      <c r="CE92" s="306">
        <f ca="1">COUNTIF('Group Stages'!Q7:Q102,BW92)</f>
        <v>0</v>
      </c>
      <c r="CF92" s="306">
        <f ca="1">COUNTIF('Knock Out Stages'!K7:K50,BW92)</f>
        <v>0</v>
      </c>
      <c r="CG92" s="306">
        <f ca="1">COUNTIF('Knock Out Stages'!L7:L50,BW92)</f>
        <v>0</v>
      </c>
      <c r="CH92" s="306">
        <f ca="1">COUNTIF('Knock Out Stages'!M7:M50,BW92)</f>
        <v>0</v>
      </c>
      <c r="CI92" s="306">
        <f ca="1">COUNTIF('Knock Out Stages'!N7:N50,BW92)</f>
        <v>0</v>
      </c>
      <c r="CJ92" s="306">
        <f ca="1">COUNTIF('Knock Out Stages'!O7:O50,BW92)</f>
        <v>0</v>
      </c>
      <c r="CK92" s="306">
        <f ca="1">COUNTIF('Knock Out Stages'!P7:P50,BW92)</f>
        <v>0</v>
      </c>
      <c r="CL92" s="306">
        <f ca="1">COUNTIF('Knock Out Stages'!Q7:Q50,BW92)</f>
        <v>0</v>
      </c>
      <c r="CM92" s="306">
        <f ca="1">COUNTIF('Knock Out Stages'!R7:R50,BW92)</f>
        <v>0</v>
      </c>
      <c r="CN92" s="306">
        <f ca="1">IF(RIGHT('Group Stages'!$B$105,5)="T.com",SUM(BX92:CM92),0)</f>
        <v>0</v>
      </c>
      <c r="CO92" s="306">
        <f ca="1">RANK(CN92,CN3:CN834)+COUNTIF(CN3:CN92,CN92)-1</f>
        <v>90</v>
      </c>
      <c r="CP92" s="306" t="str">
        <f t="shared" ca="1" si="76"/>
        <v>Hernán Galíndez (Ecuador)</v>
      </c>
    </row>
    <row r="93" spans="1:94" x14ac:dyDescent="0.3">
      <c r="A93" s="306">
        <f t="shared" si="82"/>
        <v>11</v>
      </c>
      <c r="B93" s="306" t="str">
        <f t="shared" si="83"/>
        <v>Homam Ahmed (og)</v>
      </c>
      <c r="C93" s="306" t="str">
        <f t="shared" si="84"/>
        <v>Homam Ahmed (og)</v>
      </c>
      <c r="D93" s="306" t="str">
        <f t="shared" si="85"/>
        <v>Luuk de Jong (og)</v>
      </c>
      <c r="E93" s="306" t="str">
        <f t="shared" si="86"/>
        <v>Luuk de Jong (og)</v>
      </c>
      <c r="F93" s="306" t="str">
        <f t="shared" si="87"/>
        <v>Jesús Ferreira (og)</v>
      </c>
      <c r="G93" s="306" t="str">
        <f t="shared" si="88"/>
        <v>Jesús Ferreira (og)</v>
      </c>
      <c r="H93" s="306" t="str">
        <f t="shared" si="89"/>
        <v>Karim Ansarifard (og)</v>
      </c>
      <c r="I93" s="306" t="str">
        <f t="shared" si="90"/>
        <v>Karim Ansarifard (og)</v>
      </c>
      <c r="J93" s="306" t="str">
        <f t="shared" si="91"/>
        <v>Héctor Moreno (og)</v>
      </c>
      <c r="K93" s="306" t="str">
        <f t="shared" si="92"/>
        <v>Héctor Moreno (og)</v>
      </c>
      <c r="L93" s="306" t="str">
        <f t="shared" si="93"/>
        <v>Hassan Tambakti (og)</v>
      </c>
      <c r="M93" s="306" t="str">
        <f t="shared" si="94"/>
        <v>Hassan Tambakti (og)</v>
      </c>
      <c r="N93" s="306" t="str">
        <f t="shared" si="95"/>
        <v>Ibrahima Konaté (og)</v>
      </c>
      <c r="O93" s="306" t="str">
        <f t="shared" si="96"/>
        <v>Ibrahima Konaté (og)</v>
      </c>
      <c r="P93" s="306" t="str">
        <f t="shared" si="97"/>
        <v>Ferjani Sassi (og)</v>
      </c>
      <c r="Q93" s="306" t="str">
        <f t="shared" si="98"/>
        <v>Ferjani Sassi (og)</v>
      </c>
      <c r="R93" s="306" t="str">
        <f t="shared" si="99"/>
        <v>Gavi (og)</v>
      </c>
      <c r="S93" s="306" t="str">
        <f t="shared" si="100"/>
        <v>Gavi (og)</v>
      </c>
      <c r="T93" s="306" t="str">
        <f t="shared" si="101"/>
        <v>Junya Ito (og)</v>
      </c>
      <c r="U93" s="306" t="str">
        <f t="shared" si="102"/>
        <v>Junya Ito (og)</v>
      </c>
      <c r="V93" s="306" t="str">
        <f t="shared" si="103"/>
        <v>Koen Casteels (og)</v>
      </c>
      <c r="W93" s="306" t="str">
        <f t="shared" si="104"/>
        <v>Koen Casteels (og)</v>
      </c>
      <c r="X93" s="306" t="str">
        <f t="shared" si="105"/>
        <v>Ivo Grbić (og)</v>
      </c>
      <c r="Y93" s="306" t="str">
        <f t="shared" si="106"/>
        <v>Ivo Grbić (og)</v>
      </c>
      <c r="Z93" s="306" t="str">
        <f t="shared" si="107"/>
        <v>Granit Xhaka (og)</v>
      </c>
      <c r="AA93" s="306" t="str">
        <f t="shared" si="108"/>
        <v>Granit Xhaka (og)</v>
      </c>
      <c r="AB93" s="306" t="str">
        <f t="shared" si="109"/>
        <v>Marko Dmitrović (og)</v>
      </c>
      <c r="AC93" s="306" t="str">
        <f t="shared" si="110"/>
        <v>Marko Dmitrović (og)</v>
      </c>
      <c r="AD93" s="306" t="str">
        <f t="shared" si="111"/>
        <v>José Giménez (og)</v>
      </c>
      <c r="AE93" s="306" t="str">
        <f t="shared" si="112"/>
        <v>José Giménez (og)</v>
      </c>
      <c r="AF93" s="306" t="str">
        <f t="shared" si="113"/>
        <v>Denis Odoi (og)</v>
      </c>
      <c r="AG93" s="306" t="str">
        <f t="shared" si="114"/>
        <v>Denis Odoi (og)</v>
      </c>
      <c r="BT93" s="306" t="str">
        <f t="shared" ca="1" si="70"/>
        <v>Ecuador</v>
      </c>
      <c r="BU93" s="306">
        <f t="shared" si="71"/>
        <v>12</v>
      </c>
      <c r="BV93" s="306">
        <f t="shared" si="72"/>
        <v>2</v>
      </c>
      <c r="BW93" s="306" t="str">
        <f ca="1">OFFSET(C3,BU93,BV93)</f>
        <v>Jackson Porozo</v>
      </c>
      <c r="BX93" s="306">
        <f ca="1">COUNTIF('Group Stages'!J7:J102,BW93)</f>
        <v>0</v>
      </c>
      <c r="BY93" s="306">
        <f ca="1">COUNTIF('Group Stages'!K7:K102,BW93)</f>
        <v>0</v>
      </c>
      <c r="BZ93" s="306">
        <f ca="1">COUNTIF('Group Stages'!L7:L102,BW93)</f>
        <v>0</v>
      </c>
      <c r="CA93" s="306">
        <f ca="1">COUNTIF('Group Stages'!M7:M102,BW93)</f>
        <v>0</v>
      </c>
      <c r="CB93" s="306">
        <f ca="1">COUNTIF('Group Stages'!N7:N102,BW93)</f>
        <v>0</v>
      </c>
      <c r="CC93" s="306">
        <f ca="1">COUNTIF('Group Stages'!O7:O102,BW93)</f>
        <v>0</v>
      </c>
      <c r="CD93" s="306">
        <f ca="1">COUNTIF('Group Stages'!P7:P102,BW93)</f>
        <v>0</v>
      </c>
      <c r="CE93" s="306">
        <f ca="1">COUNTIF('Group Stages'!Q7:Q102,BW93)</f>
        <v>0</v>
      </c>
      <c r="CF93" s="306">
        <f ca="1">COUNTIF('Knock Out Stages'!K7:K50,BW93)</f>
        <v>0</v>
      </c>
      <c r="CG93" s="306">
        <f ca="1">COUNTIF('Knock Out Stages'!L7:L50,BW93)</f>
        <v>0</v>
      </c>
      <c r="CH93" s="306">
        <f ca="1">COUNTIF('Knock Out Stages'!M7:M50,BW93)</f>
        <v>0</v>
      </c>
      <c r="CI93" s="306">
        <f ca="1">COUNTIF('Knock Out Stages'!N7:N50,BW93)</f>
        <v>0</v>
      </c>
      <c r="CJ93" s="306">
        <f ca="1">COUNTIF('Knock Out Stages'!O7:O50,BW93)</f>
        <v>0</v>
      </c>
      <c r="CK93" s="306">
        <f ca="1">COUNTIF('Knock Out Stages'!P7:P50,BW93)</f>
        <v>0</v>
      </c>
      <c r="CL93" s="306">
        <f ca="1">COUNTIF('Knock Out Stages'!Q7:Q50,BW93)</f>
        <v>0</v>
      </c>
      <c r="CM93" s="306">
        <f ca="1">COUNTIF('Knock Out Stages'!R7:R50,BW93)</f>
        <v>0</v>
      </c>
      <c r="CN93" s="306">
        <f ca="1">IF(RIGHT('Group Stages'!$B$105,5)="T.com",SUM(BX93:CM93),0)</f>
        <v>0</v>
      </c>
      <c r="CO93" s="306">
        <f ca="1">RANK(CN93,CN3:CN834)+COUNTIF(CN3:CN93,CN93)-1</f>
        <v>91</v>
      </c>
      <c r="CP93" s="306" t="str">
        <f t="shared" ca="1" si="76"/>
        <v>Jackson Porozo (Ecuador)</v>
      </c>
    </row>
    <row r="94" spans="1:94" x14ac:dyDescent="0.3">
      <c r="A94" s="306">
        <f t="shared" si="82"/>
        <v>12</v>
      </c>
      <c r="B94" s="306" t="str">
        <f t="shared" si="83"/>
        <v>Ismaeel Mohammad (og)</v>
      </c>
      <c r="C94" s="306" t="str">
        <f t="shared" si="84"/>
        <v>Ismaeel Mohammad (og)</v>
      </c>
      <c r="D94" s="306" t="str">
        <f t="shared" si="85"/>
        <v>Marten de Roon (og)</v>
      </c>
      <c r="E94" s="306" t="str">
        <f t="shared" si="86"/>
        <v>Marten de Roon (og)</v>
      </c>
      <c r="F94" s="306" t="str">
        <f t="shared" si="87"/>
        <v>Joe Scally (og)</v>
      </c>
      <c r="G94" s="306" t="str">
        <f t="shared" si="88"/>
        <v>Joe Scally (og)</v>
      </c>
      <c r="H94" s="306" t="str">
        <f t="shared" si="89"/>
        <v>Majid Hosseini (og)</v>
      </c>
      <c r="I94" s="306" t="str">
        <f t="shared" si="90"/>
        <v>Majid Hosseini (og)</v>
      </c>
      <c r="J94" s="306" t="str">
        <f t="shared" si="91"/>
        <v>Henry Martín (og)</v>
      </c>
      <c r="K94" s="306" t="str">
        <f t="shared" si="92"/>
        <v>Henry Martín (og)</v>
      </c>
      <c r="L94" s="306" t="str">
        <f t="shared" si="93"/>
        <v>Hattan Bahebri (og)</v>
      </c>
      <c r="M94" s="306" t="str">
        <f t="shared" si="94"/>
        <v>Hattan Bahebri (og)</v>
      </c>
      <c r="N94" s="306" t="str">
        <f t="shared" si="95"/>
        <v>Jordan Veretout (og)</v>
      </c>
      <c r="O94" s="306" t="str">
        <f t="shared" si="96"/>
        <v>Jordan Veretout (og)</v>
      </c>
      <c r="P94" s="306" t="str">
        <f t="shared" si="97"/>
        <v>Ghailene Chaalali (og)</v>
      </c>
      <c r="Q94" s="306" t="str">
        <f t="shared" si="98"/>
        <v>Ghailene Chaalali (og)</v>
      </c>
      <c r="R94" s="306" t="str">
        <f t="shared" si="99"/>
        <v>Hugo Guillamón (og)</v>
      </c>
      <c r="S94" s="306" t="str">
        <f t="shared" si="100"/>
        <v>Hugo Guillamón (og)</v>
      </c>
      <c r="T94" s="306" t="str">
        <f t="shared" si="101"/>
        <v>Kaoru Mitoma (og)</v>
      </c>
      <c r="U94" s="306" t="str">
        <f t="shared" si="102"/>
        <v>Kaoru Mitoma (og)</v>
      </c>
      <c r="V94" s="306" t="str">
        <f t="shared" si="103"/>
        <v>Leander Dendoncker (og)</v>
      </c>
      <c r="W94" s="306" t="str">
        <f t="shared" si="104"/>
        <v>Leander Dendoncker (og)</v>
      </c>
      <c r="X94" s="306" t="str">
        <f t="shared" si="105"/>
        <v>Josip Juranović (og)</v>
      </c>
      <c r="Y94" s="306" t="str">
        <f t="shared" si="106"/>
        <v>Josip Juranović (og)</v>
      </c>
      <c r="Z94" s="306" t="str">
        <f t="shared" si="107"/>
        <v>Gregor Kobel (og)</v>
      </c>
      <c r="AA94" s="306" t="str">
        <f t="shared" si="108"/>
        <v>Gregor Kobel (og)</v>
      </c>
      <c r="AB94" s="306" t="str">
        <f t="shared" si="109"/>
        <v>Marko Grujić (og)</v>
      </c>
      <c r="AC94" s="306" t="str">
        <f t="shared" si="110"/>
        <v>Marko Grujić (og)</v>
      </c>
      <c r="AD94" s="306" t="str">
        <f t="shared" si="111"/>
        <v>José Luis Rodríguez (og)</v>
      </c>
      <c r="AE94" s="306" t="str">
        <f t="shared" si="112"/>
        <v>José Luis Rodríguez (og)</v>
      </c>
      <c r="AF94" s="306" t="str">
        <f t="shared" si="113"/>
        <v>Elisha Owusu (og)</v>
      </c>
      <c r="AG94" s="306" t="str">
        <f t="shared" si="114"/>
        <v>Elisha Owusu (og)</v>
      </c>
      <c r="BT94" s="306" t="str">
        <f t="shared" ca="1" si="70"/>
        <v>Ecuador</v>
      </c>
      <c r="BU94" s="306">
        <f t="shared" si="71"/>
        <v>13</v>
      </c>
      <c r="BV94" s="306">
        <f t="shared" si="72"/>
        <v>2</v>
      </c>
      <c r="BW94" s="306" t="str">
        <f ca="1">OFFSET(C3,BU94,BV94)</f>
        <v>Jeremy Sarmiento</v>
      </c>
      <c r="BX94" s="306">
        <f ca="1">COUNTIF('Group Stages'!J7:J102,BW94)</f>
        <v>0</v>
      </c>
      <c r="BY94" s="306">
        <f ca="1">COUNTIF('Group Stages'!K7:K102,BW94)</f>
        <v>0</v>
      </c>
      <c r="BZ94" s="306">
        <f ca="1">COUNTIF('Group Stages'!L7:L102,BW94)</f>
        <v>0</v>
      </c>
      <c r="CA94" s="306">
        <f ca="1">COUNTIF('Group Stages'!M7:M102,BW94)</f>
        <v>0</v>
      </c>
      <c r="CB94" s="306">
        <f ca="1">COUNTIF('Group Stages'!N7:N102,BW94)</f>
        <v>0</v>
      </c>
      <c r="CC94" s="306">
        <f ca="1">COUNTIF('Group Stages'!O7:O102,BW94)</f>
        <v>0</v>
      </c>
      <c r="CD94" s="306">
        <f ca="1">COUNTIF('Group Stages'!P7:P102,BW94)</f>
        <v>0</v>
      </c>
      <c r="CE94" s="306">
        <f ca="1">COUNTIF('Group Stages'!Q7:Q102,BW94)</f>
        <v>0</v>
      </c>
      <c r="CF94" s="306">
        <f ca="1">COUNTIF('Knock Out Stages'!K7:K50,BW94)</f>
        <v>0</v>
      </c>
      <c r="CG94" s="306">
        <f ca="1">COUNTIF('Knock Out Stages'!L7:L50,BW94)</f>
        <v>0</v>
      </c>
      <c r="CH94" s="306">
        <f ca="1">COUNTIF('Knock Out Stages'!M7:M50,BW94)</f>
        <v>0</v>
      </c>
      <c r="CI94" s="306">
        <f ca="1">COUNTIF('Knock Out Stages'!N7:N50,BW94)</f>
        <v>0</v>
      </c>
      <c r="CJ94" s="306">
        <f ca="1">COUNTIF('Knock Out Stages'!O7:O50,BW94)</f>
        <v>0</v>
      </c>
      <c r="CK94" s="306">
        <f ca="1">COUNTIF('Knock Out Stages'!P7:P50,BW94)</f>
        <v>0</v>
      </c>
      <c r="CL94" s="306">
        <f ca="1">COUNTIF('Knock Out Stages'!Q7:Q50,BW94)</f>
        <v>0</v>
      </c>
      <c r="CM94" s="306">
        <f ca="1">COUNTIF('Knock Out Stages'!R7:R50,BW94)</f>
        <v>0</v>
      </c>
      <c r="CN94" s="306">
        <f ca="1">IF(RIGHT('Group Stages'!$B$105,5)="T.com",SUM(BX94:CM94),0)</f>
        <v>0</v>
      </c>
      <c r="CO94" s="306">
        <f ca="1">RANK(CN94,CN3:CN834)+COUNTIF(CN3:CN94,CN94)-1</f>
        <v>92</v>
      </c>
      <c r="CP94" s="306" t="str">
        <f t="shared" ca="1" si="76"/>
        <v>Jeremy Sarmiento (Ecuador)</v>
      </c>
    </row>
    <row r="95" spans="1:94" x14ac:dyDescent="0.3">
      <c r="A95" s="306">
        <f t="shared" si="82"/>
        <v>13</v>
      </c>
      <c r="B95" s="306" t="str">
        <f t="shared" si="83"/>
        <v>Jassem Gaber (og)</v>
      </c>
      <c r="C95" s="306" t="str">
        <f t="shared" si="84"/>
        <v>Jassem Gaber (og)</v>
      </c>
      <c r="D95" s="306" t="str">
        <f t="shared" si="85"/>
        <v>Matthijs de Ligt (og)</v>
      </c>
      <c r="E95" s="306" t="str">
        <f t="shared" si="86"/>
        <v>Matthijs de Ligt (og)</v>
      </c>
      <c r="F95" s="306" t="str">
        <f t="shared" si="87"/>
        <v>Jordan Morris (og)</v>
      </c>
      <c r="G95" s="306" t="str">
        <f t="shared" si="88"/>
        <v>Jordan Morris (og)</v>
      </c>
      <c r="H95" s="306" t="str">
        <f t="shared" si="89"/>
        <v>Mehdi Taremi (og)</v>
      </c>
      <c r="I95" s="306" t="str">
        <f t="shared" si="90"/>
        <v>Mehdi Taremi (og)</v>
      </c>
      <c r="J95" s="306" t="str">
        <f t="shared" si="91"/>
        <v>Hirving Lozano (og)</v>
      </c>
      <c r="K95" s="306" t="str">
        <f t="shared" si="92"/>
        <v>Hirving Lozano (og)</v>
      </c>
      <c r="L95" s="306" t="str">
        <f t="shared" si="93"/>
        <v>Mohamed Kanno (og)</v>
      </c>
      <c r="M95" s="306" t="str">
        <f t="shared" si="94"/>
        <v>Mohamed Kanno (og)</v>
      </c>
      <c r="N95" s="306" t="str">
        <f t="shared" si="95"/>
        <v>Jules Koundé (og)</v>
      </c>
      <c r="O95" s="306" t="str">
        <f t="shared" si="96"/>
        <v>Jules Koundé (og)</v>
      </c>
      <c r="P95" s="306" t="str">
        <f t="shared" si="97"/>
        <v>Hannibal Mejbri (og)</v>
      </c>
      <c r="Q95" s="306" t="str">
        <f t="shared" si="98"/>
        <v>Hannibal Mejbri (og)</v>
      </c>
      <c r="R95" s="306" t="str">
        <f t="shared" si="99"/>
        <v>Jordi Alba (og)</v>
      </c>
      <c r="S95" s="306" t="str">
        <f t="shared" si="100"/>
        <v>Jordi Alba (og)</v>
      </c>
      <c r="T95" s="306" t="str">
        <f t="shared" si="101"/>
        <v>Kō Itakura (og)</v>
      </c>
      <c r="U95" s="306" t="str">
        <f t="shared" si="102"/>
        <v>Kō Itakura (og)</v>
      </c>
      <c r="V95" s="306" t="str">
        <f t="shared" si="103"/>
        <v>Leandro Trossard (og)</v>
      </c>
      <c r="W95" s="306" t="str">
        <f t="shared" si="104"/>
        <v>Leandro Trossard (og)</v>
      </c>
      <c r="X95" s="306" t="str">
        <f t="shared" si="105"/>
        <v>Josip Stanišić (og)</v>
      </c>
      <c r="Y95" s="306" t="str">
        <f t="shared" si="106"/>
        <v>Josip Stanišić (og)</v>
      </c>
      <c r="Z95" s="306" t="str">
        <f t="shared" si="107"/>
        <v>Haris Seferovic (og)</v>
      </c>
      <c r="AA95" s="306" t="str">
        <f t="shared" si="108"/>
        <v>Haris Seferovic (og)</v>
      </c>
      <c r="AB95" s="306" t="str">
        <f t="shared" si="109"/>
        <v>Miloš Veljković (og)</v>
      </c>
      <c r="AC95" s="306" t="str">
        <f t="shared" si="110"/>
        <v>Miloš Veljković (og)</v>
      </c>
      <c r="AD95" s="306" t="str">
        <f t="shared" si="111"/>
        <v>Lucas Torreira (og)</v>
      </c>
      <c r="AE95" s="306" t="str">
        <f t="shared" si="112"/>
        <v>Lucas Torreira (og)</v>
      </c>
      <c r="AF95" s="306" t="str">
        <f t="shared" si="113"/>
        <v>Gideon Mensah (og)</v>
      </c>
      <c r="AG95" s="306" t="str">
        <f t="shared" si="114"/>
        <v>Gideon Mensah (og)</v>
      </c>
      <c r="BT95" s="306" t="str">
        <f t="shared" ca="1" si="70"/>
        <v>Ecuador</v>
      </c>
      <c r="BU95" s="306">
        <f t="shared" si="71"/>
        <v>14</v>
      </c>
      <c r="BV95" s="306">
        <f t="shared" si="72"/>
        <v>2</v>
      </c>
      <c r="BW95" s="306" t="str">
        <f ca="1">OFFSET(C3,BU95,BV95)</f>
        <v>José Cifuentes</v>
      </c>
      <c r="BX95" s="306">
        <f ca="1">COUNTIF('Group Stages'!J7:J102,BW95)</f>
        <v>0</v>
      </c>
      <c r="BY95" s="306">
        <f ca="1">COUNTIF('Group Stages'!K7:K102,BW95)</f>
        <v>0</v>
      </c>
      <c r="BZ95" s="306">
        <f ca="1">COUNTIF('Group Stages'!L7:L102,BW95)</f>
        <v>0</v>
      </c>
      <c r="CA95" s="306">
        <f ca="1">COUNTIF('Group Stages'!M7:M102,BW95)</f>
        <v>0</v>
      </c>
      <c r="CB95" s="306">
        <f ca="1">COUNTIF('Group Stages'!N7:N102,BW95)</f>
        <v>0</v>
      </c>
      <c r="CC95" s="306">
        <f ca="1">COUNTIF('Group Stages'!O7:O102,BW95)</f>
        <v>0</v>
      </c>
      <c r="CD95" s="306">
        <f ca="1">COUNTIF('Group Stages'!P7:P102,BW95)</f>
        <v>0</v>
      </c>
      <c r="CE95" s="306">
        <f ca="1">COUNTIF('Group Stages'!Q7:Q102,BW95)</f>
        <v>0</v>
      </c>
      <c r="CF95" s="306">
        <f ca="1">COUNTIF('Knock Out Stages'!K7:K50,BW95)</f>
        <v>0</v>
      </c>
      <c r="CG95" s="306">
        <f ca="1">COUNTIF('Knock Out Stages'!L7:L50,BW95)</f>
        <v>0</v>
      </c>
      <c r="CH95" s="306">
        <f ca="1">COUNTIF('Knock Out Stages'!M7:M50,BW95)</f>
        <v>0</v>
      </c>
      <c r="CI95" s="306">
        <f ca="1">COUNTIF('Knock Out Stages'!N7:N50,BW95)</f>
        <v>0</v>
      </c>
      <c r="CJ95" s="306">
        <f ca="1">COUNTIF('Knock Out Stages'!O7:O50,BW95)</f>
        <v>0</v>
      </c>
      <c r="CK95" s="306">
        <f ca="1">COUNTIF('Knock Out Stages'!P7:P50,BW95)</f>
        <v>0</v>
      </c>
      <c r="CL95" s="306">
        <f ca="1">COUNTIF('Knock Out Stages'!Q7:Q50,BW95)</f>
        <v>0</v>
      </c>
      <c r="CM95" s="306">
        <f ca="1">COUNTIF('Knock Out Stages'!R7:R50,BW95)</f>
        <v>0</v>
      </c>
      <c r="CN95" s="306">
        <f ca="1">IF(RIGHT('Group Stages'!$B$105,5)="T.com",SUM(BX95:CM95),0)</f>
        <v>0</v>
      </c>
      <c r="CO95" s="306">
        <f ca="1">RANK(CN95,CN3:CN834)+COUNTIF(CN3:CN95,CN95)-1</f>
        <v>93</v>
      </c>
      <c r="CP95" s="306" t="str">
        <f t="shared" ca="1" si="76"/>
        <v>José Cifuentes (Ecuador)</v>
      </c>
    </row>
    <row r="96" spans="1:94" x14ac:dyDescent="0.3">
      <c r="A96" s="306">
        <f t="shared" si="82"/>
        <v>14</v>
      </c>
      <c r="B96" s="306" t="str">
        <f t="shared" si="83"/>
        <v>Karim Boudiaf (og)</v>
      </c>
      <c r="C96" s="306" t="str">
        <f t="shared" si="84"/>
        <v>Karim Boudiaf (og)</v>
      </c>
      <c r="D96" s="306" t="str">
        <f t="shared" si="85"/>
        <v>Memphis Depay (og)</v>
      </c>
      <c r="E96" s="306" t="str">
        <f t="shared" si="86"/>
        <v>Memphis Depay (og)</v>
      </c>
      <c r="F96" s="306" t="str">
        <f t="shared" si="87"/>
        <v>Josh Sargent (og)</v>
      </c>
      <c r="G96" s="306" t="str">
        <f t="shared" si="88"/>
        <v>Josh Sargent (og)</v>
      </c>
      <c r="H96" s="306" t="str">
        <f t="shared" si="89"/>
        <v>Mehdi Torabi (og)</v>
      </c>
      <c r="I96" s="306" t="str">
        <f t="shared" si="90"/>
        <v>Mehdi Torabi (og)</v>
      </c>
      <c r="J96" s="306" t="str">
        <f t="shared" si="91"/>
        <v>Jesús Gallardo (og)</v>
      </c>
      <c r="K96" s="306" t="str">
        <f t="shared" si="92"/>
        <v>Jesús Gallardo (og)</v>
      </c>
      <c r="L96" s="306" t="str">
        <f t="shared" si="93"/>
        <v>Mohammed Al Rubaie (og)</v>
      </c>
      <c r="M96" s="306" t="str">
        <f t="shared" si="94"/>
        <v>Mohammed Al Rubaie (og)</v>
      </c>
      <c r="N96" s="306" t="str">
        <f t="shared" si="95"/>
        <v>Karim Benzema (og)</v>
      </c>
      <c r="O96" s="306" t="str">
        <f t="shared" si="96"/>
        <v>Karim Benzema (og)</v>
      </c>
      <c r="P96" s="306" t="str">
        <f t="shared" si="97"/>
        <v>Issam Jebali (og)</v>
      </c>
      <c r="Q96" s="306" t="str">
        <f t="shared" si="98"/>
        <v>Issam Jebali (og)</v>
      </c>
      <c r="R96" s="306" t="str">
        <f t="shared" si="99"/>
        <v>José Gayà (og)</v>
      </c>
      <c r="S96" s="306" t="str">
        <f t="shared" si="100"/>
        <v>José Gayà (og)</v>
      </c>
      <c r="T96" s="306" t="str">
        <f t="shared" si="101"/>
        <v>Maya Yoshida (og)</v>
      </c>
      <c r="U96" s="306" t="str">
        <f t="shared" si="102"/>
        <v>Maya Yoshida (og)</v>
      </c>
      <c r="V96" s="306" t="str">
        <f t="shared" si="103"/>
        <v>Loïs Openda (og)</v>
      </c>
      <c r="W96" s="306" t="str">
        <f t="shared" si="104"/>
        <v>Loïs Openda (og)</v>
      </c>
      <c r="X96" s="306" t="str">
        <f t="shared" si="105"/>
        <v>Josip Šutalo (og)</v>
      </c>
      <c r="Y96" s="306" t="str">
        <f t="shared" si="106"/>
        <v>Josip Šutalo (og)</v>
      </c>
      <c r="Z96" s="306" t="str">
        <f t="shared" si="107"/>
        <v>Jonas Omlin (og)</v>
      </c>
      <c r="AA96" s="306" t="str">
        <f t="shared" si="108"/>
        <v>Jonas Omlin (og)</v>
      </c>
      <c r="AB96" s="306" t="str">
        <f t="shared" si="109"/>
        <v>Nemanja Gudelj (og)</v>
      </c>
      <c r="AC96" s="306" t="str">
        <f t="shared" si="110"/>
        <v>Nemanja Gudelj (og)</v>
      </c>
      <c r="AD96" s="306" t="str">
        <f t="shared" si="111"/>
        <v>Luis Suárez (og)</v>
      </c>
      <c r="AE96" s="306" t="str">
        <f t="shared" si="112"/>
        <v>Luis Suárez (og)</v>
      </c>
      <c r="AF96" s="306" t="str">
        <f t="shared" si="113"/>
        <v>Ibrahim Danlad (og)</v>
      </c>
      <c r="AG96" s="306" t="str">
        <f t="shared" si="114"/>
        <v>Ibrahim Danlad (og)</v>
      </c>
      <c r="BT96" s="306" t="str">
        <f t="shared" ca="1" si="70"/>
        <v>Ecuador</v>
      </c>
      <c r="BU96" s="306">
        <f t="shared" si="71"/>
        <v>15</v>
      </c>
      <c r="BV96" s="306">
        <f t="shared" si="72"/>
        <v>2</v>
      </c>
      <c r="BW96" s="306" t="str">
        <f ca="1">OFFSET(C3,BU96,BV96)</f>
        <v>Kevin Rodríguez</v>
      </c>
      <c r="BX96" s="306">
        <f ca="1">COUNTIF('Group Stages'!J7:J102,BW96)</f>
        <v>0</v>
      </c>
      <c r="BY96" s="306">
        <f ca="1">COUNTIF('Group Stages'!K7:K102,BW96)</f>
        <v>0</v>
      </c>
      <c r="BZ96" s="306">
        <f ca="1">COUNTIF('Group Stages'!L7:L102,BW96)</f>
        <v>0</v>
      </c>
      <c r="CA96" s="306">
        <f ca="1">COUNTIF('Group Stages'!M7:M102,BW96)</f>
        <v>0</v>
      </c>
      <c r="CB96" s="306">
        <f ca="1">COUNTIF('Group Stages'!N7:N102,BW96)</f>
        <v>0</v>
      </c>
      <c r="CC96" s="306">
        <f ca="1">COUNTIF('Group Stages'!O7:O102,BW96)</f>
        <v>0</v>
      </c>
      <c r="CD96" s="306">
        <f ca="1">COUNTIF('Group Stages'!P7:P102,BW96)</f>
        <v>0</v>
      </c>
      <c r="CE96" s="306">
        <f ca="1">COUNTIF('Group Stages'!Q7:Q102,BW96)</f>
        <v>0</v>
      </c>
      <c r="CF96" s="306">
        <f ca="1">COUNTIF('Knock Out Stages'!K7:K50,BW96)</f>
        <v>0</v>
      </c>
      <c r="CG96" s="306">
        <f ca="1">COUNTIF('Knock Out Stages'!L7:L50,BW96)</f>
        <v>0</v>
      </c>
      <c r="CH96" s="306">
        <f ca="1">COUNTIF('Knock Out Stages'!M7:M50,BW96)</f>
        <v>0</v>
      </c>
      <c r="CI96" s="306">
        <f ca="1">COUNTIF('Knock Out Stages'!N7:N50,BW96)</f>
        <v>0</v>
      </c>
      <c r="CJ96" s="306">
        <f ca="1">COUNTIF('Knock Out Stages'!O7:O50,BW96)</f>
        <v>0</v>
      </c>
      <c r="CK96" s="306">
        <f ca="1">COUNTIF('Knock Out Stages'!P7:P50,BW96)</f>
        <v>0</v>
      </c>
      <c r="CL96" s="306">
        <f ca="1">COUNTIF('Knock Out Stages'!Q7:Q50,BW96)</f>
        <v>0</v>
      </c>
      <c r="CM96" s="306">
        <f ca="1">COUNTIF('Knock Out Stages'!R7:R50,BW96)</f>
        <v>0</v>
      </c>
      <c r="CN96" s="306">
        <f ca="1">IF(RIGHT('Group Stages'!$B$105,5)="T.com",SUM(BX96:CM96),0)</f>
        <v>0</v>
      </c>
      <c r="CO96" s="306">
        <f ca="1">RANK(CN96,CN3:CN834)+COUNTIF(CN3:CN96,CN96)-1</f>
        <v>94</v>
      </c>
      <c r="CP96" s="306" t="str">
        <f t="shared" ca="1" si="76"/>
        <v>Kevin Rodríguez (Ecuador)</v>
      </c>
    </row>
    <row r="97" spans="1:94" x14ac:dyDescent="0.3">
      <c r="A97" s="306">
        <f t="shared" si="82"/>
        <v>15</v>
      </c>
      <c r="B97" s="306" t="str">
        <f t="shared" si="83"/>
        <v>Khalid Muneer (og)</v>
      </c>
      <c r="C97" s="306" t="str">
        <f t="shared" si="84"/>
        <v>Khalid Muneer (og)</v>
      </c>
      <c r="D97" s="306" t="str">
        <f t="shared" si="85"/>
        <v>Nathan Aké (og)</v>
      </c>
      <c r="E97" s="306" t="str">
        <f t="shared" si="86"/>
        <v>Nathan Aké (og)</v>
      </c>
      <c r="F97" s="306" t="str">
        <f t="shared" si="87"/>
        <v>Kellyn Acosta (og)</v>
      </c>
      <c r="G97" s="306" t="str">
        <f t="shared" si="88"/>
        <v>Kellyn Acosta (og)</v>
      </c>
      <c r="H97" s="306" t="str">
        <f t="shared" si="89"/>
        <v>Milad Mohammadi (og)</v>
      </c>
      <c r="I97" s="306" t="str">
        <f t="shared" si="90"/>
        <v>Milad Mohammadi (og)</v>
      </c>
      <c r="J97" s="306" t="str">
        <f t="shared" si="91"/>
        <v>Johan Vásquez (og)</v>
      </c>
      <c r="K97" s="306" t="str">
        <f t="shared" si="92"/>
        <v>Johan Vásquez (og)</v>
      </c>
      <c r="L97" s="306" t="str">
        <f t="shared" si="93"/>
        <v>Mohammed Al-Breik (og)</v>
      </c>
      <c r="M97" s="306" t="str">
        <f t="shared" si="94"/>
        <v>Mohammed Al-Breik (og)</v>
      </c>
      <c r="N97" s="306" t="str">
        <f t="shared" si="95"/>
        <v>Kingsley Coman (og)</v>
      </c>
      <c r="O97" s="306" t="str">
        <f t="shared" si="96"/>
        <v>Kingsley Coman (og)</v>
      </c>
      <c r="P97" s="306" t="str">
        <f t="shared" si="97"/>
        <v>Mohamed Ali Ben Romdhane (og)</v>
      </c>
      <c r="Q97" s="306" t="str">
        <f t="shared" si="98"/>
        <v>Mohamed Ali Ben Romdhane (og)</v>
      </c>
      <c r="R97" s="306" t="str">
        <f t="shared" si="99"/>
        <v>Koke (og)</v>
      </c>
      <c r="S97" s="306" t="str">
        <f t="shared" si="100"/>
        <v>Koke (og)</v>
      </c>
      <c r="T97" s="306" t="str">
        <f t="shared" si="101"/>
        <v>Miki Yamane (og)</v>
      </c>
      <c r="U97" s="306" t="str">
        <f t="shared" si="102"/>
        <v>Miki Yamane (og)</v>
      </c>
      <c r="V97" s="306" t="str">
        <f t="shared" si="103"/>
        <v>Michy Batshuayi (og)</v>
      </c>
      <c r="W97" s="306" t="str">
        <f t="shared" si="104"/>
        <v>Michy Batshuayi (og)</v>
      </c>
      <c r="X97" s="306" t="str">
        <f t="shared" si="105"/>
        <v>Joško Gvardiol (og)</v>
      </c>
      <c r="Y97" s="306" t="str">
        <f t="shared" si="106"/>
        <v>Joško Gvardiol (og)</v>
      </c>
      <c r="Z97" s="306" t="str">
        <f t="shared" si="107"/>
        <v>Manuel Akanji (og)</v>
      </c>
      <c r="AA97" s="306" t="str">
        <f t="shared" si="108"/>
        <v>Manuel Akanji (og)</v>
      </c>
      <c r="AB97" s="306" t="str">
        <f t="shared" si="109"/>
        <v>Nemanja Maksimović (og)</v>
      </c>
      <c r="AC97" s="306" t="str">
        <f t="shared" si="110"/>
        <v>Nemanja Maksimović (og)</v>
      </c>
      <c r="AD97" s="306" t="str">
        <f t="shared" si="111"/>
        <v>Manuel Ugarte (og)</v>
      </c>
      <c r="AE97" s="306" t="str">
        <f t="shared" si="112"/>
        <v>Manuel Ugarte (og)</v>
      </c>
      <c r="AF97" s="306" t="str">
        <f t="shared" si="113"/>
        <v>Iñaki Williams (og)</v>
      </c>
      <c r="AG97" s="306" t="str">
        <f t="shared" si="114"/>
        <v>Iñaki Williams (og)</v>
      </c>
      <c r="BT97" s="306" t="str">
        <f t="shared" ca="1" si="70"/>
        <v>Ecuador</v>
      </c>
      <c r="BU97" s="306">
        <f t="shared" si="71"/>
        <v>16</v>
      </c>
      <c r="BV97" s="306">
        <f t="shared" si="72"/>
        <v>2</v>
      </c>
      <c r="BW97" s="306" t="str">
        <f ca="1">OFFSET(C3,BU97,BV97)</f>
        <v>Michael Estrada</v>
      </c>
      <c r="BX97" s="306">
        <f ca="1">COUNTIF('Group Stages'!J7:J102,BW97)</f>
        <v>0</v>
      </c>
      <c r="BY97" s="306">
        <f ca="1">COUNTIF('Group Stages'!K7:K102,BW97)</f>
        <v>0</v>
      </c>
      <c r="BZ97" s="306">
        <f ca="1">COUNTIF('Group Stages'!L7:L102,BW97)</f>
        <v>0</v>
      </c>
      <c r="CA97" s="306">
        <f ca="1">COUNTIF('Group Stages'!M7:M102,BW97)</f>
        <v>0</v>
      </c>
      <c r="CB97" s="306">
        <f ca="1">COUNTIF('Group Stages'!N7:N102,BW97)</f>
        <v>0</v>
      </c>
      <c r="CC97" s="306">
        <f ca="1">COUNTIF('Group Stages'!O7:O102,BW97)</f>
        <v>0</v>
      </c>
      <c r="CD97" s="306">
        <f ca="1">COUNTIF('Group Stages'!P7:P102,BW97)</f>
        <v>0</v>
      </c>
      <c r="CE97" s="306">
        <f ca="1">COUNTIF('Group Stages'!Q7:Q102,BW97)</f>
        <v>0</v>
      </c>
      <c r="CF97" s="306">
        <f ca="1">COUNTIF('Knock Out Stages'!K7:K50,BW97)</f>
        <v>0</v>
      </c>
      <c r="CG97" s="306">
        <f ca="1">COUNTIF('Knock Out Stages'!L7:L50,BW97)</f>
        <v>0</v>
      </c>
      <c r="CH97" s="306">
        <f ca="1">COUNTIF('Knock Out Stages'!M7:M50,BW97)</f>
        <v>0</v>
      </c>
      <c r="CI97" s="306">
        <f ca="1">COUNTIF('Knock Out Stages'!N7:N50,BW97)</f>
        <v>0</v>
      </c>
      <c r="CJ97" s="306">
        <f ca="1">COUNTIF('Knock Out Stages'!O7:O50,BW97)</f>
        <v>0</v>
      </c>
      <c r="CK97" s="306">
        <f ca="1">COUNTIF('Knock Out Stages'!P7:P50,BW97)</f>
        <v>0</v>
      </c>
      <c r="CL97" s="306">
        <f ca="1">COUNTIF('Knock Out Stages'!Q7:Q50,BW97)</f>
        <v>0</v>
      </c>
      <c r="CM97" s="306">
        <f ca="1">COUNTIF('Knock Out Stages'!R7:R50,BW97)</f>
        <v>0</v>
      </c>
      <c r="CN97" s="306">
        <f ca="1">IF(RIGHT('Group Stages'!$B$105,5)="T.com",SUM(BX97:CM97),0)</f>
        <v>0</v>
      </c>
      <c r="CO97" s="306">
        <f ca="1">RANK(CN97,CN3:CN834)+COUNTIF(CN3:CN97,CN97)-1</f>
        <v>95</v>
      </c>
      <c r="CP97" s="306" t="str">
        <f t="shared" ca="1" si="76"/>
        <v>Michael Estrada (Ecuador)</v>
      </c>
    </row>
    <row r="98" spans="1:94" x14ac:dyDescent="0.3">
      <c r="A98" s="306">
        <f t="shared" si="82"/>
        <v>16</v>
      </c>
      <c r="B98" s="306" t="str">
        <f t="shared" si="83"/>
        <v>Meshaal Barsham (og)</v>
      </c>
      <c r="C98" s="306" t="str">
        <f t="shared" si="84"/>
        <v>Meshaal Barsham (og)</v>
      </c>
      <c r="D98" s="306" t="str">
        <f t="shared" si="85"/>
        <v>Noa Lang (og)</v>
      </c>
      <c r="E98" s="306" t="str">
        <f t="shared" si="86"/>
        <v>Noa Lang (og)</v>
      </c>
      <c r="F98" s="306" t="str">
        <f t="shared" si="87"/>
        <v>Luca de la Torre (og)</v>
      </c>
      <c r="G98" s="306" t="str">
        <f t="shared" si="88"/>
        <v>Luca de la Torre (og)</v>
      </c>
      <c r="H98" s="306" t="str">
        <f t="shared" si="89"/>
        <v>Morteza Pouraliganji (og)</v>
      </c>
      <c r="I98" s="306" t="str">
        <f t="shared" si="90"/>
        <v>Morteza Pouraliganji (og)</v>
      </c>
      <c r="J98" s="306" t="str">
        <f t="shared" si="91"/>
        <v>Jorge Sánchez (og)</v>
      </c>
      <c r="K98" s="306" t="str">
        <f t="shared" si="92"/>
        <v>Jorge Sánchez (og)</v>
      </c>
      <c r="L98" s="306" t="str">
        <f t="shared" si="93"/>
        <v>Mohammed Al-Owais (og)</v>
      </c>
      <c r="M98" s="306" t="str">
        <f t="shared" si="94"/>
        <v>Mohammed Al-Owais (og)</v>
      </c>
      <c r="N98" s="306" t="str">
        <f t="shared" si="95"/>
        <v>Kylian Mbappé (og)</v>
      </c>
      <c r="O98" s="306" t="str">
        <f t="shared" si="96"/>
        <v>Kylian Mbappé (og)</v>
      </c>
      <c r="P98" s="306" t="str">
        <f t="shared" si="97"/>
        <v>Mohamed Dräger (og)</v>
      </c>
      <c r="Q98" s="306" t="str">
        <f t="shared" si="98"/>
        <v>Mohamed Dräger (og)</v>
      </c>
      <c r="R98" s="306" t="str">
        <f t="shared" si="99"/>
        <v>Marco Asensio (og)</v>
      </c>
      <c r="S98" s="306" t="str">
        <f t="shared" si="100"/>
        <v>Marco Asensio (og)</v>
      </c>
      <c r="T98" s="306" t="str">
        <f t="shared" si="101"/>
        <v>Ritsu Doan (og)</v>
      </c>
      <c r="U98" s="306" t="str">
        <f t="shared" si="102"/>
        <v>Ritsu Doan (og)</v>
      </c>
      <c r="V98" s="306" t="str">
        <f t="shared" si="103"/>
        <v>Romelu Lukaku (og)</v>
      </c>
      <c r="W98" s="306" t="str">
        <f t="shared" si="104"/>
        <v>Romelu Lukaku (og)</v>
      </c>
      <c r="X98" s="306" t="str">
        <f t="shared" si="105"/>
        <v>Kristijan Jakić (og)</v>
      </c>
      <c r="Y98" s="306" t="str">
        <f t="shared" si="106"/>
        <v>Kristijan Jakić (og)</v>
      </c>
      <c r="Z98" s="306" t="str">
        <f t="shared" si="107"/>
        <v>Michel Aebischer (og)</v>
      </c>
      <c r="AA98" s="306" t="str">
        <f t="shared" si="108"/>
        <v>Michel Aebischer (og)</v>
      </c>
      <c r="AB98" s="306" t="str">
        <f t="shared" si="109"/>
        <v>Nemanja Radonjić (og)</v>
      </c>
      <c r="AC98" s="306" t="str">
        <f t="shared" si="110"/>
        <v>Nemanja Radonjić (og)</v>
      </c>
      <c r="AD98" s="306" t="str">
        <f t="shared" si="111"/>
        <v>Martín Cáceres (og)</v>
      </c>
      <c r="AE98" s="306" t="str">
        <f t="shared" si="112"/>
        <v>Martín Cáceres (og)</v>
      </c>
      <c r="AF98" s="306" t="str">
        <f t="shared" si="113"/>
        <v>Jordan Ayew (og)</v>
      </c>
      <c r="AG98" s="306" t="str">
        <f t="shared" si="114"/>
        <v>Jordan Ayew (og)</v>
      </c>
      <c r="BT98" s="306" t="str">
        <f t="shared" ca="1" si="70"/>
        <v>Ecuador</v>
      </c>
      <c r="BU98" s="306">
        <f t="shared" si="71"/>
        <v>17</v>
      </c>
      <c r="BV98" s="306">
        <f t="shared" si="72"/>
        <v>2</v>
      </c>
      <c r="BW98" s="306" t="str">
        <f ca="1">OFFSET(C3,BU98,BV98)</f>
        <v>Moisés Caicedo</v>
      </c>
      <c r="BX98" s="306">
        <f ca="1">COUNTIF('Group Stages'!J7:J102,BW98)</f>
        <v>0</v>
      </c>
      <c r="BY98" s="306">
        <f ca="1">COUNTIF('Group Stages'!K7:K102,BW98)</f>
        <v>0</v>
      </c>
      <c r="BZ98" s="306">
        <f ca="1">COUNTIF('Group Stages'!L7:L102,BW98)</f>
        <v>0</v>
      </c>
      <c r="CA98" s="306">
        <f ca="1">COUNTIF('Group Stages'!M7:M102,BW98)</f>
        <v>0</v>
      </c>
      <c r="CB98" s="306">
        <f ca="1">COUNTIF('Group Stages'!N7:N102,BW98)</f>
        <v>0</v>
      </c>
      <c r="CC98" s="306">
        <f ca="1">COUNTIF('Group Stages'!O7:O102,BW98)</f>
        <v>0</v>
      </c>
      <c r="CD98" s="306">
        <f ca="1">COUNTIF('Group Stages'!P7:P102,BW98)</f>
        <v>0</v>
      </c>
      <c r="CE98" s="306">
        <f ca="1">COUNTIF('Group Stages'!Q7:Q102,BW98)</f>
        <v>0</v>
      </c>
      <c r="CF98" s="306">
        <f ca="1">COUNTIF('Knock Out Stages'!K7:K50,BW98)</f>
        <v>0</v>
      </c>
      <c r="CG98" s="306">
        <f ca="1">COUNTIF('Knock Out Stages'!L7:L50,BW98)</f>
        <v>0</v>
      </c>
      <c r="CH98" s="306">
        <f ca="1">COUNTIF('Knock Out Stages'!M7:M50,BW98)</f>
        <v>0</v>
      </c>
      <c r="CI98" s="306">
        <f ca="1">COUNTIF('Knock Out Stages'!N7:N50,BW98)</f>
        <v>0</v>
      </c>
      <c r="CJ98" s="306">
        <f ca="1">COUNTIF('Knock Out Stages'!O7:O50,BW98)</f>
        <v>0</v>
      </c>
      <c r="CK98" s="306">
        <f ca="1">COUNTIF('Knock Out Stages'!P7:P50,BW98)</f>
        <v>0</v>
      </c>
      <c r="CL98" s="306">
        <f ca="1">COUNTIF('Knock Out Stages'!Q7:Q50,BW98)</f>
        <v>0</v>
      </c>
      <c r="CM98" s="306">
        <f ca="1">COUNTIF('Knock Out Stages'!R7:R50,BW98)</f>
        <v>0</v>
      </c>
      <c r="CN98" s="306">
        <f ca="1">IF(RIGHT('Group Stages'!$B$105,5)="T.com",SUM(BX98:CM98),0)</f>
        <v>0</v>
      </c>
      <c r="CO98" s="306">
        <f ca="1">RANK(CN98,CN3:CN834)+COUNTIF(CN3:CN98,CN98)-1</f>
        <v>96</v>
      </c>
      <c r="CP98" s="306" t="str">
        <f t="shared" ca="1" si="76"/>
        <v>Moisés Caicedo (Ecuador)</v>
      </c>
    </row>
    <row r="99" spans="1:94" x14ac:dyDescent="0.3">
      <c r="A99" s="306">
        <f t="shared" si="82"/>
        <v>17</v>
      </c>
      <c r="B99" s="306" t="str">
        <f t="shared" si="83"/>
        <v>Mohammed Muntari (og)</v>
      </c>
      <c r="C99" s="306" t="str">
        <f t="shared" si="84"/>
        <v>Mohammed Muntari (og)</v>
      </c>
      <c r="D99" s="306" t="str">
        <f t="shared" si="85"/>
        <v>Remko Pasveer (og)</v>
      </c>
      <c r="E99" s="306" t="str">
        <f t="shared" si="86"/>
        <v>Remko Pasveer (og)</v>
      </c>
      <c r="F99" s="306" t="str">
        <f t="shared" si="87"/>
        <v>Matt Turner (og)</v>
      </c>
      <c r="G99" s="306" t="str">
        <f t="shared" si="88"/>
        <v>Matt Turner (og)</v>
      </c>
      <c r="H99" s="306" t="str">
        <f t="shared" si="89"/>
        <v>Payam Niazmand (og)</v>
      </c>
      <c r="I99" s="306" t="str">
        <f t="shared" si="90"/>
        <v>Payam Niazmand (og)</v>
      </c>
      <c r="J99" s="306" t="str">
        <f t="shared" si="91"/>
        <v>Kevin Álvarez (og)</v>
      </c>
      <c r="K99" s="306" t="str">
        <f t="shared" si="92"/>
        <v>Kevin Álvarez (og)</v>
      </c>
      <c r="L99" s="306" t="str">
        <f t="shared" si="93"/>
        <v>Nasser Al-Dawsari (og)</v>
      </c>
      <c r="M99" s="306" t="str">
        <f t="shared" si="94"/>
        <v>Nasser Al-Dawsari (og)</v>
      </c>
      <c r="N99" s="306" t="str">
        <f t="shared" si="95"/>
        <v>Lucas Hernandez (og)</v>
      </c>
      <c r="O99" s="306" t="str">
        <f t="shared" si="96"/>
        <v>Lucas Hernandez (og)</v>
      </c>
      <c r="P99" s="306" t="str">
        <f t="shared" si="97"/>
        <v>Montassar Talbi (og)</v>
      </c>
      <c r="Q99" s="306" t="str">
        <f t="shared" si="98"/>
        <v>Montassar Talbi (og)</v>
      </c>
      <c r="R99" s="306" t="str">
        <f t="shared" si="99"/>
        <v>Marcos Llorente (og)</v>
      </c>
      <c r="S99" s="306" t="str">
        <f t="shared" si="100"/>
        <v>Marcos Llorente (og)</v>
      </c>
      <c r="T99" s="306" t="str">
        <f t="shared" si="101"/>
        <v>Shōgo Taniguchi (og)</v>
      </c>
      <c r="U99" s="306" t="str">
        <f t="shared" si="102"/>
        <v>Shōgo Taniguchi (og)</v>
      </c>
      <c r="V99" s="306" t="str">
        <f t="shared" si="103"/>
        <v>Simon Mignolet (og)</v>
      </c>
      <c r="W99" s="306" t="str">
        <f t="shared" si="104"/>
        <v>Simon Mignolet (og)</v>
      </c>
      <c r="X99" s="306" t="str">
        <f t="shared" si="105"/>
        <v>Lovro Majer (og)</v>
      </c>
      <c r="Y99" s="306" t="str">
        <f t="shared" si="106"/>
        <v>Lovro Majer (og)</v>
      </c>
      <c r="Z99" s="306" t="str">
        <f t="shared" si="107"/>
        <v>Nico Elvedi (og)</v>
      </c>
      <c r="AA99" s="306" t="str">
        <f t="shared" si="108"/>
        <v>Nico Elvedi (og)</v>
      </c>
      <c r="AB99" s="306" t="str">
        <f t="shared" si="109"/>
        <v>Nikola Milenković (og)</v>
      </c>
      <c r="AC99" s="306" t="str">
        <f t="shared" si="110"/>
        <v>Nikola Milenković (og)</v>
      </c>
      <c r="AD99" s="306" t="str">
        <f t="shared" si="111"/>
        <v>Mathías Olivera (og)</v>
      </c>
      <c r="AE99" s="306" t="str">
        <f t="shared" si="112"/>
        <v>Mathías Olivera (og)</v>
      </c>
      <c r="AF99" s="306" t="str">
        <f t="shared" si="113"/>
        <v>Joseph Aidoo (og)</v>
      </c>
      <c r="AG99" s="306" t="str">
        <f t="shared" si="114"/>
        <v>Joseph Aidoo (og)</v>
      </c>
      <c r="BT99" s="306" t="str">
        <f t="shared" ca="1" si="70"/>
        <v>Ecuador</v>
      </c>
      <c r="BU99" s="306">
        <f t="shared" si="71"/>
        <v>18</v>
      </c>
      <c r="BV99" s="306">
        <f t="shared" si="72"/>
        <v>2</v>
      </c>
      <c r="BW99" s="306" t="str">
        <f ca="1">OFFSET(C3,BU99,BV99)</f>
        <v>Moisés Ramírez</v>
      </c>
      <c r="BX99" s="306">
        <f ca="1">COUNTIF('Group Stages'!J7:J102,BW99)</f>
        <v>0</v>
      </c>
      <c r="BY99" s="306">
        <f ca="1">COUNTIF('Group Stages'!K7:K102,BW99)</f>
        <v>0</v>
      </c>
      <c r="BZ99" s="306">
        <f ca="1">COUNTIF('Group Stages'!L7:L102,BW99)</f>
        <v>0</v>
      </c>
      <c r="CA99" s="306">
        <f ca="1">COUNTIF('Group Stages'!M7:M102,BW99)</f>
        <v>0</v>
      </c>
      <c r="CB99" s="306">
        <f ca="1">COUNTIF('Group Stages'!N7:N102,BW99)</f>
        <v>0</v>
      </c>
      <c r="CC99" s="306">
        <f ca="1">COUNTIF('Group Stages'!O7:O102,BW99)</f>
        <v>0</v>
      </c>
      <c r="CD99" s="306">
        <f ca="1">COUNTIF('Group Stages'!P7:P102,BW99)</f>
        <v>0</v>
      </c>
      <c r="CE99" s="306">
        <f ca="1">COUNTIF('Group Stages'!Q7:Q102,BW99)</f>
        <v>0</v>
      </c>
      <c r="CF99" s="306">
        <f ca="1">COUNTIF('Knock Out Stages'!K7:K50,BW99)</f>
        <v>0</v>
      </c>
      <c r="CG99" s="306">
        <f ca="1">COUNTIF('Knock Out Stages'!L7:L50,BW99)</f>
        <v>0</v>
      </c>
      <c r="CH99" s="306">
        <f ca="1">COUNTIF('Knock Out Stages'!M7:M50,BW99)</f>
        <v>0</v>
      </c>
      <c r="CI99" s="306">
        <f ca="1">COUNTIF('Knock Out Stages'!N7:N50,BW99)</f>
        <v>0</v>
      </c>
      <c r="CJ99" s="306">
        <f ca="1">COUNTIF('Knock Out Stages'!O7:O50,BW99)</f>
        <v>0</v>
      </c>
      <c r="CK99" s="306">
        <f ca="1">COUNTIF('Knock Out Stages'!P7:P50,BW99)</f>
        <v>0</v>
      </c>
      <c r="CL99" s="306">
        <f ca="1">COUNTIF('Knock Out Stages'!Q7:Q50,BW99)</f>
        <v>0</v>
      </c>
      <c r="CM99" s="306">
        <f ca="1">COUNTIF('Knock Out Stages'!R7:R50,BW99)</f>
        <v>0</v>
      </c>
      <c r="CN99" s="306">
        <f ca="1">IF(RIGHT('Group Stages'!$B$105,5)="T.com",SUM(BX99:CM99),0)</f>
        <v>0</v>
      </c>
      <c r="CO99" s="306">
        <f ca="1">RANK(CN99,CN3:CN834)+COUNTIF(CN3:CN99,CN99)-1</f>
        <v>97</v>
      </c>
      <c r="CP99" s="306" t="str">
        <f t="shared" ca="1" si="76"/>
        <v>Moisés Ramírez (Ecuador)</v>
      </c>
    </row>
    <row r="100" spans="1:94" x14ac:dyDescent="0.3">
      <c r="A100" s="306">
        <f t="shared" si="82"/>
        <v>18</v>
      </c>
      <c r="B100" s="306" t="str">
        <f t="shared" si="83"/>
        <v>Mohammed Waad (og)</v>
      </c>
      <c r="C100" s="306" t="str">
        <f t="shared" si="84"/>
        <v>Mohammed Waad (og)</v>
      </c>
      <c r="D100" s="306" t="str">
        <f t="shared" si="85"/>
        <v>Stefan de Vrij (og)</v>
      </c>
      <c r="E100" s="306" t="str">
        <f t="shared" si="86"/>
        <v>Stefan de Vrij (og)</v>
      </c>
      <c r="F100" s="306" t="str">
        <f t="shared" si="87"/>
        <v>Sean Johnson (og)</v>
      </c>
      <c r="G100" s="306" t="str">
        <f t="shared" si="88"/>
        <v>Sean Johnson (og)</v>
      </c>
      <c r="H100" s="306" t="str">
        <f t="shared" si="89"/>
        <v>Ramin Rezaeian (og)</v>
      </c>
      <c r="I100" s="306" t="str">
        <f t="shared" si="90"/>
        <v>Ramin Rezaeian (og)</v>
      </c>
      <c r="J100" s="306" t="str">
        <f t="shared" si="91"/>
        <v>Luis Chávez (og)</v>
      </c>
      <c r="K100" s="306" t="str">
        <f t="shared" si="92"/>
        <v>Luis Chávez (og)</v>
      </c>
      <c r="L100" s="306" t="str">
        <f t="shared" si="93"/>
        <v>Nawaf Al-Aqidi (og)</v>
      </c>
      <c r="M100" s="306" t="str">
        <f t="shared" si="94"/>
        <v>Nawaf Al-Aqidi (og)</v>
      </c>
      <c r="N100" s="306" t="str">
        <f t="shared" si="95"/>
        <v>Matteo Guendouzi (og)</v>
      </c>
      <c r="O100" s="306" t="str">
        <f t="shared" si="96"/>
        <v>Matteo Guendouzi (og)</v>
      </c>
      <c r="P100" s="306" t="str">
        <f t="shared" si="97"/>
        <v>Mouez Hassen (og)</v>
      </c>
      <c r="Q100" s="306" t="str">
        <f t="shared" si="98"/>
        <v>Mouez Hassen (og)</v>
      </c>
      <c r="R100" s="306" t="str">
        <f t="shared" si="99"/>
        <v>Nico Williams (og)</v>
      </c>
      <c r="S100" s="306" t="str">
        <f t="shared" si="100"/>
        <v>Nico Williams (og)</v>
      </c>
      <c r="T100" s="306" t="str">
        <f t="shared" si="101"/>
        <v>Shūichi Gonda (og)</v>
      </c>
      <c r="U100" s="306" t="str">
        <f t="shared" si="102"/>
        <v>Shūichi Gonda (og)</v>
      </c>
      <c r="V100" s="306" t="str">
        <f t="shared" si="103"/>
        <v>Thibaut Courtois (og)</v>
      </c>
      <c r="W100" s="306" t="str">
        <f t="shared" si="104"/>
        <v>Thibaut Courtois (og)</v>
      </c>
      <c r="X100" s="306" t="str">
        <f t="shared" si="105"/>
        <v>Luka Modrić (og)</v>
      </c>
      <c r="Y100" s="306" t="str">
        <f t="shared" si="106"/>
        <v>Luka Modrić (og)</v>
      </c>
      <c r="Z100" s="306" t="str">
        <f t="shared" si="107"/>
        <v>Noah Okafor (og)</v>
      </c>
      <c r="AA100" s="306" t="str">
        <f t="shared" si="108"/>
        <v>Noah Okafor (og)</v>
      </c>
      <c r="AB100" s="306" t="str">
        <f t="shared" si="109"/>
        <v>Predrag Rajković (og)</v>
      </c>
      <c r="AC100" s="306" t="str">
        <f t="shared" si="110"/>
        <v>Predrag Rajković (og)</v>
      </c>
      <c r="AD100" s="306" t="str">
        <f t="shared" si="111"/>
        <v>Matías Vecino (og)</v>
      </c>
      <c r="AE100" s="306" t="str">
        <f t="shared" si="112"/>
        <v>Matías Vecino (og)</v>
      </c>
      <c r="AF100" s="306" t="str">
        <f t="shared" si="113"/>
        <v>Kamal Sowah (og)</v>
      </c>
      <c r="AG100" s="306" t="str">
        <f t="shared" si="114"/>
        <v>Kamal Sowah (og)</v>
      </c>
      <c r="BT100" s="306" t="str">
        <f t="shared" ca="1" si="70"/>
        <v>Ecuador</v>
      </c>
      <c r="BU100" s="306">
        <f t="shared" si="71"/>
        <v>19</v>
      </c>
      <c r="BV100" s="306">
        <f t="shared" si="72"/>
        <v>2</v>
      </c>
      <c r="BW100" s="306" t="str">
        <f ca="1">OFFSET(C3,BU100,BV100)</f>
        <v>Pervis Estupiñán</v>
      </c>
      <c r="BX100" s="306">
        <f ca="1">COUNTIF('Group Stages'!J7:J102,BW100)</f>
        <v>0</v>
      </c>
      <c r="BY100" s="306">
        <f ca="1">COUNTIF('Group Stages'!K7:K102,BW100)</f>
        <v>0</v>
      </c>
      <c r="BZ100" s="306">
        <f ca="1">COUNTIF('Group Stages'!L7:L102,BW100)</f>
        <v>0</v>
      </c>
      <c r="CA100" s="306">
        <f ca="1">COUNTIF('Group Stages'!M7:M102,BW100)</f>
        <v>0</v>
      </c>
      <c r="CB100" s="306">
        <f ca="1">COUNTIF('Group Stages'!N7:N102,BW100)</f>
        <v>0</v>
      </c>
      <c r="CC100" s="306">
        <f ca="1">COUNTIF('Group Stages'!O7:O102,BW100)</f>
        <v>0</v>
      </c>
      <c r="CD100" s="306">
        <f ca="1">COUNTIF('Group Stages'!P7:P102,BW100)</f>
        <v>0</v>
      </c>
      <c r="CE100" s="306">
        <f ca="1">COUNTIF('Group Stages'!Q7:Q102,BW100)</f>
        <v>0</v>
      </c>
      <c r="CF100" s="306">
        <f ca="1">COUNTIF('Knock Out Stages'!K7:K50,BW100)</f>
        <v>0</v>
      </c>
      <c r="CG100" s="306">
        <f ca="1">COUNTIF('Knock Out Stages'!L7:L50,BW100)</f>
        <v>0</v>
      </c>
      <c r="CH100" s="306">
        <f ca="1">COUNTIF('Knock Out Stages'!M7:M50,BW100)</f>
        <v>0</v>
      </c>
      <c r="CI100" s="306">
        <f ca="1">COUNTIF('Knock Out Stages'!N7:N50,BW100)</f>
        <v>0</v>
      </c>
      <c r="CJ100" s="306">
        <f ca="1">COUNTIF('Knock Out Stages'!O7:O50,BW100)</f>
        <v>0</v>
      </c>
      <c r="CK100" s="306">
        <f ca="1">COUNTIF('Knock Out Stages'!P7:P50,BW100)</f>
        <v>0</v>
      </c>
      <c r="CL100" s="306">
        <f ca="1">COUNTIF('Knock Out Stages'!Q7:Q50,BW100)</f>
        <v>0</v>
      </c>
      <c r="CM100" s="306">
        <f ca="1">COUNTIF('Knock Out Stages'!R7:R50,BW100)</f>
        <v>0</v>
      </c>
      <c r="CN100" s="306">
        <f ca="1">IF(RIGHT('Group Stages'!$B$105,5)="T.com",SUM(BX100:CM100),0)</f>
        <v>0</v>
      </c>
      <c r="CO100" s="306">
        <f ca="1">RANK(CN100,CN3:CN834)+COUNTIF(CN3:CN100,CN100)-1</f>
        <v>98</v>
      </c>
      <c r="CP100" s="306" t="str">
        <f t="shared" ca="1" si="76"/>
        <v>Pervis Estupiñán (Ecuador)</v>
      </c>
    </row>
    <row r="101" spans="1:94" x14ac:dyDescent="0.3">
      <c r="A101" s="306">
        <f t="shared" si="82"/>
        <v>19</v>
      </c>
      <c r="B101" s="306" t="str">
        <f t="shared" si="83"/>
        <v>Mostafa Tarek (og)</v>
      </c>
      <c r="C101" s="306" t="str">
        <f t="shared" si="84"/>
        <v>Mostafa Tarek (og)</v>
      </c>
      <c r="D101" s="306" t="str">
        <f t="shared" si="85"/>
        <v>Steven Berghuis (og)</v>
      </c>
      <c r="E101" s="306" t="str">
        <f t="shared" si="86"/>
        <v>Steven Berghuis (og)</v>
      </c>
      <c r="F101" s="306" t="str">
        <f t="shared" si="87"/>
        <v>Sergiño Dest (og)</v>
      </c>
      <c r="G101" s="306" t="str">
        <f t="shared" si="88"/>
        <v>Sergiño Dest (og)</v>
      </c>
      <c r="H101" s="306" t="str">
        <f t="shared" si="89"/>
        <v>Rouzbeh Cheshmi (og)</v>
      </c>
      <c r="I101" s="306" t="str">
        <f t="shared" si="90"/>
        <v>Rouzbeh Cheshmi (og)</v>
      </c>
      <c r="J101" s="306" t="str">
        <f t="shared" si="91"/>
        <v>Luis Romo (og)</v>
      </c>
      <c r="K101" s="306" t="str">
        <f t="shared" si="92"/>
        <v>Luis Romo (og)</v>
      </c>
      <c r="L101" s="306" t="str">
        <f t="shared" si="93"/>
        <v>Riyadh Sharahili (og)</v>
      </c>
      <c r="M101" s="306" t="str">
        <f t="shared" si="94"/>
        <v>Riyadh Sharahili (og)</v>
      </c>
      <c r="N101" s="306" t="str">
        <f t="shared" si="95"/>
        <v>Olivier Giroud (og)</v>
      </c>
      <c r="O101" s="306" t="str">
        <f t="shared" si="96"/>
        <v>Olivier Giroud (og)</v>
      </c>
      <c r="P101" s="306" t="str">
        <f t="shared" si="97"/>
        <v>Nader Ghandri (og)</v>
      </c>
      <c r="Q101" s="306" t="str">
        <f t="shared" si="98"/>
        <v>Nader Ghandri (og)</v>
      </c>
      <c r="R101" s="306" t="str">
        <f t="shared" si="99"/>
        <v>Pablo Sarabia (og)</v>
      </c>
      <c r="S101" s="306" t="str">
        <f t="shared" si="100"/>
        <v>Pablo Sarabia (og)</v>
      </c>
      <c r="T101" s="306" t="str">
        <f t="shared" si="101"/>
        <v>Shūto Machino (og)</v>
      </c>
      <c r="U101" s="306" t="str">
        <f t="shared" si="102"/>
        <v>Shūto Machino (og)</v>
      </c>
      <c r="V101" s="306" t="str">
        <f t="shared" si="103"/>
        <v>Thomas Meunier (og)</v>
      </c>
      <c r="W101" s="306" t="str">
        <f t="shared" si="104"/>
        <v>Thomas Meunier (og)</v>
      </c>
      <c r="X101" s="306" t="str">
        <f t="shared" si="105"/>
        <v>Luka Sučić (og)</v>
      </c>
      <c r="Y101" s="306" t="str">
        <f t="shared" si="106"/>
        <v>Luka Sučić (og)</v>
      </c>
      <c r="Z101" s="306" t="str">
        <f t="shared" si="107"/>
        <v>Philipp Köhn (og)</v>
      </c>
      <c r="AA101" s="306" t="str">
        <f t="shared" si="108"/>
        <v>Philipp Köhn (og)</v>
      </c>
      <c r="AB101" s="306" t="str">
        <f t="shared" si="109"/>
        <v>Saša Lukić (og)</v>
      </c>
      <c r="AC101" s="306" t="str">
        <f t="shared" si="110"/>
        <v>Saša Lukić (og)</v>
      </c>
      <c r="AD101" s="306" t="str">
        <f t="shared" si="111"/>
        <v>Matías Viña (og)</v>
      </c>
      <c r="AE101" s="306" t="str">
        <f t="shared" si="112"/>
        <v>Matías Viña (og)</v>
      </c>
      <c r="AF101" s="306" t="str">
        <f t="shared" si="113"/>
        <v>Kamaldeen Sulemana (og)</v>
      </c>
      <c r="AG101" s="306" t="str">
        <f t="shared" si="114"/>
        <v>Kamaldeen Sulemana (og)</v>
      </c>
      <c r="BT101" s="306" t="str">
        <f t="shared" ca="1" si="70"/>
        <v>Ecuador</v>
      </c>
      <c r="BU101" s="306">
        <f t="shared" si="71"/>
        <v>20</v>
      </c>
      <c r="BV101" s="306">
        <f t="shared" si="72"/>
        <v>2</v>
      </c>
      <c r="BW101" s="306" t="str">
        <f ca="1">OFFSET(C3,BU101,BV101)</f>
        <v>Piero Hincapié</v>
      </c>
      <c r="BX101" s="306">
        <f ca="1">COUNTIF('Group Stages'!J7:J102,BW101)</f>
        <v>0</v>
      </c>
      <c r="BY101" s="306">
        <f ca="1">COUNTIF('Group Stages'!K7:K102,BW101)</f>
        <v>0</v>
      </c>
      <c r="BZ101" s="306">
        <f ca="1">COUNTIF('Group Stages'!L7:L102,BW101)</f>
        <v>0</v>
      </c>
      <c r="CA101" s="306">
        <f ca="1">COUNTIF('Group Stages'!M7:M102,BW101)</f>
        <v>0</v>
      </c>
      <c r="CB101" s="306">
        <f ca="1">COUNTIF('Group Stages'!N7:N102,BW101)</f>
        <v>0</v>
      </c>
      <c r="CC101" s="306">
        <f ca="1">COUNTIF('Group Stages'!O7:O102,BW101)</f>
        <v>0</v>
      </c>
      <c r="CD101" s="306">
        <f ca="1">COUNTIF('Group Stages'!P7:P102,BW101)</f>
        <v>0</v>
      </c>
      <c r="CE101" s="306">
        <f ca="1">COUNTIF('Group Stages'!Q7:Q102,BW101)</f>
        <v>0</v>
      </c>
      <c r="CF101" s="306">
        <f ca="1">COUNTIF('Knock Out Stages'!K7:K50,BW101)</f>
        <v>0</v>
      </c>
      <c r="CG101" s="306">
        <f ca="1">COUNTIF('Knock Out Stages'!L7:L50,BW101)</f>
        <v>0</v>
      </c>
      <c r="CH101" s="306">
        <f ca="1">COUNTIF('Knock Out Stages'!M7:M50,BW101)</f>
        <v>0</v>
      </c>
      <c r="CI101" s="306">
        <f ca="1">COUNTIF('Knock Out Stages'!N7:N50,BW101)</f>
        <v>0</v>
      </c>
      <c r="CJ101" s="306">
        <f ca="1">COUNTIF('Knock Out Stages'!O7:O50,BW101)</f>
        <v>0</v>
      </c>
      <c r="CK101" s="306">
        <f ca="1">COUNTIF('Knock Out Stages'!P7:P50,BW101)</f>
        <v>0</v>
      </c>
      <c r="CL101" s="306">
        <f ca="1">COUNTIF('Knock Out Stages'!Q7:Q50,BW101)</f>
        <v>0</v>
      </c>
      <c r="CM101" s="306">
        <f ca="1">COUNTIF('Knock Out Stages'!R7:R50,BW101)</f>
        <v>0</v>
      </c>
      <c r="CN101" s="306">
        <f ca="1">IF(RIGHT('Group Stages'!$B$105,5)="T.com",SUM(BX101:CM101),0)</f>
        <v>0</v>
      </c>
      <c r="CO101" s="306">
        <f ca="1">RANK(CN101,CN3:CN834)+COUNTIF(CN3:CN101,CN101)-1</f>
        <v>99</v>
      </c>
      <c r="CP101" s="306" t="str">
        <f t="shared" ca="1" si="76"/>
        <v>Piero Hincapié (Ecuador)</v>
      </c>
    </row>
    <row r="102" spans="1:94" x14ac:dyDescent="0.3">
      <c r="A102" s="306">
        <f t="shared" si="82"/>
        <v>20</v>
      </c>
      <c r="B102" s="306" t="str">
        <f t="shared" si="83"/>
        <v>Musab Kheder (og)</v>
      </c>
      <c r="C102" s="306" t="str">
        <f t="shared" si="84"/>
        <v>Musab Kheder (og)</v>
      </c>
      <c r="D102" s="306" t="str">
        <f t="shared" si="85"/>
        <v>Steven Bergwijn (og)</v>
      </c>
      <c r="E102" s="306" t="str">
        <f t="shared" si="86"/>
        <v>Steven Bergwijn (og)</v>
      </c>
      <c r="F102" s="306" t="str">
        <f t="shared" si="87"/>
        <v>Shaq Moore (og)</v>
      </c>
      <c r="G102" s="306" t="str">
        <f t="shared" si="88"/>
        <v>Shaq Moore (og)</v>
      </c>
      <c r="H102" s="306" t="str">
        <f t="shared" si="89"/>
        <v>Sadegh Moharrami (og)</v>
      </c>
      <c r="I102" s="306" t="str">
        <f t="shared" si="90"/>
        <v>Sadegh Moharrami (og)</v>
      </c>
      <c r="J102" s="306" t="str">
        <f t="shared" si="91"/>
        <v>Néstor Araujo (og)</v>
      </c>
      <c r="K102" s="306" t="str">
        <f t="shared" si="92"/>
        <v>Néstor Araujo (og)</v>
      </c>
      <c r="L102" s="306" t="str">
        <f t="shared" si="93"/>
        <v>Saleh Al-Shehri (og)</v>
      </c>
      <c r="M102" s="306" t="str">
        <f t="shared" si="94"/>
        <v>Saleh Al-Shehri (og)</v>
      </c>
      <c r="N102" s="306" t="str">
        <f t="shared" si="95"/>
        <v>Ousmane Dembélé (og)</v>
      </c>
      <c r="O102" s="306" t="str">
        <f t="shared" si="96"/>
        <v>Ousmane Dembélé (og)</v>
      </c>
      <c r="P102" s="306" t="str">
        <f t="shared" si="97"/>
        <v>Naïm Sliti (og)</v>
      </c>
      <c r="Q102" s="306" t="str">
        <f t="shared" si="98"/>
        <v>Naïm Sliti (og)</v>
      </c>
      <c r="R102" s="306" t="str">
        <f t="shared" si="99"/>
        <v>Pau Torres (og)</v>
      </c>
      <c r="S102" s="306" t="str">
        <f t="shared" si="100"/>
        <v>Pau Torres (og)</v>
      </c>
      <c r="T102" s="306" t="str">
        <f t="shared" si="101"/>
        <v>Takefusa Kubo (og)</v>
      </c>
      <c r="U102" s="306" t="str">
        <f t="shared" si="102"/>
        <v>Takefusa Kubo (og)</v>
      </c>
      <c r="V102" s="306" t="str">
        <f t="shared" si="103"/>
        <v>Thorgan Hazard (og)</v>
      </c>
      <c r="W102" s="306" t="str">
        <f t="shared" si="104"/>
        <v>Thorgan Hazard (og)</v>
      </c>
      <c r="X102" s="306" t="str">
        <f t="shared" si="105"/>
        <v>Marcelo Brozović (og)</v>
      </c>
      <c r="Y102" s="306" t="str">
        <f t="shared" si="106"/>
        <v>Marcelo Brozović (og)</v>
      </c>
      <c r="Z102" s="306" t="str">
        <f t="shared" si="107"/>
        <v>Remo Freuler (og)</v>
      </c>
      <c r="AA102" s="306" t="str">
        <f t="shared" si="108"/>
        <v>Remo Freuler (og)</v>
      </c>
      <c r="AB102" s="306" t="str">
        <f t="shared" si="109"/>
        <v>Sergej Milinković-Savić (og)</v>
      </c>
      <c r="AC102" s="306" t="str">
        <f t="shared" si="110"/>
        <v>Sergej Milinković-Savić (og)</v>
      </c>
      <c r="AD102" s="306" t="str">
        <f t="shared" si="111"/>
        <v>Maxi Gómez (og)</v>
      </c>
      <c r="AE102" s="306" t="str">
        <f t="shared" si="112"/>
        <v>Maxi Gómez (og)</v>
      </c>
      <c r="AF102" s="306" t="str">
        <f t="shared" si="113"/>
        <v>Lawrence Ati-Zigi (og)</v>
      </c>
      <c r="AG102" s="306" t="str">
        <f t="shared" si="114"/>
        <v>Lawrence Ati-Zigi (og)</v>
      </c>
      <c r="BT102" s="306" t="str">
        <f t="shared" ca="1" si="70"/>
        <v>Ecuador</v>
      </c>
      <c r="BU102" s="306">
        <f t="shared" si="71"/>
        <v>21</v>
      </c>
      <c r="BV102" s="306">
        <f t="shared" si="72"/>
        <v>2</v>
      </c>
      <c r="BW102" s="306" t="str">
        <f ca="1">OFFSET(C3,BU102,BV102)</f>
        <v>Robert Arboleda</v>
      </c>
      <c r="BX102" s="306">
        <f ca="1">COUNTIF('Group Stages'!J7:J102,BW102)</f>
        <v>0</v>
      </c>
      <c r="BY102" s="306">
        <f ca="1">COUNTIF('Group Stages'!K7:K102,BW102)</f>
        <v>0</v>
      </c>
      <c r="BZ102" s="306">
        <f ca="1">COUNTIF('Group Stages'!L7:L102,BW102)</f>
        <v>0</v>
      </c>
      <c r="CA102" s="306">
        <f ca="1">COUNTIF('Group Stages'!M7:M102,BW102)</f>
        <v>0</v>
      </c>
      <c r="CB102" s="306">
        <f ca="1">COUNTIF('Group Stages'!N7:N102,BW102)</f>
        <v>0</v>
      </c>
      <c r="CC102" s="306">
        <f ca="1">COUNTIF('Group Stages'!O7:O102,BW102)</f>
        <v>0</v>
      </c>
      <c r="CD102" s="306">
        <f ca="1">COUNTIF('Group Stages'!P7:P102,BW102)</f>
        <v>0</v>
      </c>
      <c r="CE102" s="306">
        <f ca="1">COUNTIF('Group Stages'!Q7:Q102,BW102)</f>
        <v>0</v>
      </c>
      <c r="CF102" s="306">
        <f ca="1">COUNTIF('Knock Out Stages'!K7:K50,BW102)</f>
        <v>0</v>
      </c>
      <c r="CG102" s="306">
        <f ca="1">COUNTIF('Knock Out Stages'!L7:L50,BW102)</f>
        <v>0</v>
      </c>
      <c r="CH102" s="306">
        <f ca="1">COUNTIF('Knock Out Stages'!M7:M50,BW102)</f>
        <v>0</v>
      </c>
      <c r="CI102" s="306">
        <f ca="1">COUNTIF('Knock Out Stages'!N7:N50,BW102)</f>
        <v>0</v>
      </c>
      <c r="CJ102" s="306">
        <f ca="1">COUNTIF('Knock Out Stages'!O7:O50,BW102)</f>
        <v>0</v>
      </c>
      <c r="CK102" s="306">
        <f ca="1">COUNTIF('Knock Out Stages'!P7:P50,BW102)</f>
        <v>0</v>
      </c>
      <c r="CL102" s="306">
        <f ca="1">COUNTIF('Knock Out Stages'!Q7:Q50,BW102)</f>
        <v>0</v>
      </c>
      <c r="CM102" s="306">
        <f ca="1">COUNTIF('Knock Out Stages'!R7:R50,BW102)</f>
        <v>0</v>
      </c>
      <c r="CN102" s="306">
        <f ca="1">IF(RIGHT('Group Stages'!$B$105,5)="T.com",SUM(BX102:CM102),0)</f>
        <v>0</v>
      </c>
      <c r="CO102" s="306">
        <f ca="1">RANK(CN102,CN3:CN834)+COUNTIF(CN3:CN102,CN102)-1</f>
        <v>100</v>
      </c>
      <c r="CP102" s="306" t="str">
        <f t="shared" ca="1" si="76"/>
        <v>Robert Arboleda (Ecuador)</v>
      </c>
    </row>
    <row r="103" spans="1:94" x14ac:dyDescent="0.3">
      <c r="A103" s="306">
        <f t="shared" si="82"/>
        <v>21</v>
      </c>
      <c r="B103" s="306" t="str">
        <f t="shared" si="83"/>
        <v>Naif Al-Hadhrami (og)</v>
      </c>
      <c r="C103" s="306" t="str">
        <f t="shared" si="84"/>
        <v>Naif Al-Hadhrami (og)</v>
      </c>
      <c r="D103" s="306" t="str">
        <f t="shared" si="85"/>
        <v>Teun Koopmeiners (og)</v>
      </c>
      <c r="E103" s="306" t="str">
        <f t="shared" si="86"/>
        <v>Teun Koopmeiners (og)</v>
      </c>
      <c r="F103" s="306" t="str">
        <f t="shared" si="87"/>
        <v>Tim Ream (og)</v>
      </c>
      <c r="G103" s="306" t="str">
        <f t="shared" si="88"/>
        <v>Tim Ream (og)</v>
      </c>
      <c r="H103" s="306" t="str">
        <f t="shared" si="89"/>
        <v>Saeid Ezatolahi (og)</v>
      </c>
      <c r="I103" s="306" t="str">
        <f t="shared" si="90"/>
        <v>Saeid Ezatolahi (og)</v>
      </c>
      <c r="J103" s="306" t="str">
        <f t="shared" si="91"/>
        <v>Orbelín Pineda (og)</v>
      </c>
      <c r="K103" s="306" t="str">
        <f t="shared" si="92"/>
        <v>Orbelín Pineda (og)</v>
      </c>
      <c r="L103" s="306" t="str">
        <f t="shared" si="93"/>
        <v>Salem Al-Dawsari (og)</v>
      </c>
      <c r="M103" s="306" t="str">
        <f t="shared" si="94"/>
        <v>Salem Al-Dawsari (og)</v>
      </c>
      <c r="N103" s="306" t="str">
        <f t="shared" si="95"/>
        <v>Presnel Kimpembe (og)</v>
      </c>
      <c r="O103" s="306" t="str">
        <f t="shared" si="96"/>
        <v>Presnel Kimpembe (og)</v>
      </c>
      <c r="P103" s="306" t="str">
        <f t="shared" si="97"/>
        <v>Seifeddine Jaziri (og)</v>
      </c>
      <c r="Q103" s="306" t="str">
        <f t="shared" si="98"/>
        <v>Seifeddine Jaziri (og)</v>
      </c>
      <c r="R103" s="306" t="str">
        <f t="shared" si="99"/>
        <v>Pedri (og)</v>
      </c>
      <c r="S103" s="306" t="str">
        <f t="shared" si="100"/>
        <v>Pedri (og)</v>
      </c>
      <c r="T103" s="306" t="str">
        <f t="shared" si="101"/>
        <v>Takehiro Tomiyasu (og)</v>
      </c>
      <c r="U103" s="306" t="str">
        <f t="shared" si="102"/>
        <v>Takehiro Tomiyasu (og)</v>
      </c>
      <c r="V103" s="306" t="str">
        <f t="shared" si="103"/>
        <v>Timothy Castagne (og)</v>
      </c>
      <c r="W103" s="306" t="str">
        <f t="shared" si="104"/>
        <v>Timothy Castagne (og)</v>
      </c>
      <c r="X103" s="306" t="str">
        <f t="shared" si="105"/>
        <v>Mario Pašalić (og)</v>
      </c>
      <c r="Y103" s="306" t="str">
        <f t="shared" si="106"/>
        <v>Mario Pašalić (og)</v>
      </c>
      <c r="Z103" s="306" t="str">
        <f t="shared" si="107"/>
        <v>Renato Steffen (og)</v>
      </c>
      <c r="AA103" s="306" t="str">
        <f t="shared" si="108"/>
        <v>Renato Steffen (og)</v>
      </c>
      <c r="AB103" s="306" t="str">
        <f t="shared" si="109"/>
        <v>Srđan Babić (og)</v>
      </c>
      <c r="AC103" s="306" t="str">
        <f t="shared" si="110"/>
        <v>Srđan Babić (og)</v>
      </c>
      <c r="AD103" s="306" t="str">
        <f t="shared" si="111"/>
        <v>Nicolás de la Cruz (og)</v>
      </c>
      <c r="AE103" s="306" t="str">
        <f t="shared" si="112"/>
        <v>Nicolás de la Cruz (og)</v>
      </c>
      <c r="AF103" s="306" t="str">
        <f t="shared" si="113"/>
        <v>Mohammed Kudus (og)</v>
      </c>
      <c r="AG103" s="306" t="str">
        <f t="shared" si="114"/>
        <v>Mohammed Kudus (og)</v>
      </c>
      <c r="BT103" s="306" t="str">
        <f t="shared" ca="1" si="70"/>
        <v>Ecuador</v>
      </c>
      <c r="BU103" s="306">
        <f t="shared" si="71"/>
        <v>22</v>
      </c>
      <c r="BV103" s="306">
        <f t="shared" si="72"/>
        <v>2</v>
      </c>
      <c r="BW103" s="306" t="str">
        <f ca="1">OFFSET(C3,BU103,BV103)</f>
        <v>Romario Ibarra</v>
      </c>
      <c r="BX103" s="306">
        <f ca="1">COUNTIF('Group Stages'!J7:J102,BW103)</f>
        <v>0</v>
      </c>
      <c r="BY103" s="306">
        <f ca="1">COUNTIF('Group Stages'!K7:K102,BW103)</f>
        <v>0</v>
      </c>
      <c r="BZ103" s="306">
        <f ca="1">COUNTIF('Group Stages'!L7:L102,BW103)</f>
        <v>0</v>
      </c>
      <c r="CA103" s="306">
        <f ca="1">COUNTIF('Group Stages'!M7:M102,BW103)</f>
        <v>0</v>
      </c>
      <c r="CB103" s="306">
        <f ca="1">COUNTIF('Group Stages'!N7:N102,BW103)</f>
        <v>0</v>
      </c>
      <c r="CC103" s="306">
        <f ca="1">COUNTIF('Group Stages'!O7:O102,BW103)</f>
        <v>0</v>
      </c>
      <c r="CD103" s="306">
        <f ca="1">COUNTIF('Group Stages'!P7:P102,BW103)</f>
        <v>0</v>
      </c>
      <c r="CE103" s="306">
        <f ca="1">COUNTIF('Group Stages'!Q7:Q102,BW103)</f>
        <v>0</v>
      </c>
      <c r="CF103" s="306">
        <f ca="1">COUNTIF('Knock Out Stages'!K7:K50,BW103)</f>
        <v>0</v>
      </c>
      <c r="CG103" s="306">
        <f ca="1">COUNTIF('Knock Out Stages'!L7:L50,BW103)</f>
        <v>0</v>
      </c>
      <c r="CH103" s="306">
        <f ca="1">COUNTIF('Knock Out Stages'!M7:M50,BW103)</f>
        <v>0</v>
      </c>
      <c r="CI103" s="306">
        <f ca="1">COUNTIF('Knock Out Stages'!N7:N50,BW103)</f>
        <v>0</v>
      </c>
      <c r="CJ103" s="306">
        <f ca="1">COUNTIF('Knock Out Stages'!O7:O50,BW103)</f>
        <v>0</v>
      </c>
      <c r="CK103" s="306">
        <f ca="1">COUNTIF('Knock Out Stages'!P7:P50,BW103)</f>
        <v>0</v>
      </c>
      <c r="CL103" s="306">
        <f ca="1">COUNTIF('Knock Out Stages'!Q7:Q50,BW103)</f>
        <v>0</v>
      </c>
      <c r="CM103" s="306">
        <f ca="1">COUNTIF('Knock Out Stages'!R7:R50,BW103)</f>
        <v>0</v>
      </c>
      <c r="CN103" s="306">
        <f ca="1">IF(RIGHT('Group Stages'!$B$105,5)="T.com",SUM(BX103:CM103),0)</f>
        <v>0</v>
      </c>
      <c r="CO103" s="306">
        <f ca="1">RANK(CN103,CN3:CN834)+COUNTIF(CN3:CN103,CN103)-1</f>
        <v>101</v>
      </c>
      <c r="CP103" s="306" t="str">
        <f t="shared" ca="1" si="76"/>
        <v>Romario Ibarra (Ecuador)</v>
      </c>
    </row>
    <row r="104" spans="1:94" x14ac:dyDescent="0.3">
      <c r="A104" s="306">
        <f t="shared" si="82"/>
        <v>22</v>
      </c>
      <c r="B104" s="306" t="str">
        <f t="shared" si="83"/>
        <v>Ró-Ró (og)</v>
      </c>
      <c r="C104" s="306" t="str">
        <f t="shared" si="84"/>
        <v>Ró-Ró (og)</v>
      </c>
      <c r="D104" s="306" t="str">
        <f t="shared" si="85"/>
        <v>Tyrell Malacia (og)</v>
      </c>
      <c r="E104" s="306" t="str">
        <f t="shared" si="86"/>
        <v>Tyrell Malacia (og)</v>
      </c>
      <c r="F104" s="306" t="str">
        <f t="shared" si="87"/>
        <v>Timothy Weah (og)</v>
      </c>
      <c r="G104" s="306" t="str">
        <f t="shared" si="88"/>
        <v>Timothy Weah (og)</v>
      </c>
      <c r="H104" s="306" t="str">
        <f t="shared" si="89"/>
        <v>Saman Ghoddos (og)</v>
      </c>
      <c r="I104" s="306" t="str">
        <f t="shared" si="90"/>
        <v>Saman Ghoddos (og)</v>
      </c>
      <c r="J104" s="306" t="str">
        <f t="shared" si="91"/>
        <v>Raúl Jiménez (og)</v>
      </c>
      <c r="K104" s="306" t="str">
        <f t="shared" si="92"/>
        <v>Raúl Jiménez (og)</v>
      </c>
      <c r="L104" s="306" t="str">
        <f t="shared" si="93"/>
        <v>Salman Al-Faraj (og)</v>
      </c>
      <c r="M104" s="306" t="str">
        <f t="shared" si="94"/>
        <v>Salman Al-Faraj (og)</v>
      </c>
      <c r="N104" s="306" t="str">
        <f t="shared" si="95"/>
        <v>Raphaël Varane (og)</v>
      </c>
      <c r="O104" s="306" t="str">
        <f t="shared" si="96"/>
        <v>Raphaël Varane (og)</v>
      </c>
      <c r="P104" s="306" t="str">
        <f t="shared" si="97"/>
        <v>Taha Yassine Khenissi (og)</v>
      </c>
      <c r="Q104" s="306" t="str">
        <f t="shared" si="98"/>
        <v>Taha Yassine Khenissi (og)</v>
      </c>
      <c r="R104" s="306" t="str">
        <f t="shared" si="99"/>
        <v>Robert Sánchez (og)</v>
      </c>
      <c r="S104" s="306" t="str">
        <f t="shared" si="100"/>
        <v>Robert Sánchez (og)</v>
      </c>
      <c r="T104" s="306" t="str">
        <f t="shared" si="101"/>
        <v>Takuma Asano (og)</v>
      </c>
      <c r="U104" s="306" t="str">
        <f t="shared" si="102"/>
        <v>Takuma Asano (og)</v>
      </c>
      <c r="V104" s="306" t="str">
        <f t="shared" si="103"/>
        <v>Toby Alderweireld (og)</v>
      </c>
      <c r="W104" s="306" t="str">
        <f t="shared" si="104"/>
        <v>Toby Alderweireld (og)</v>
      </c>
      <c r="X104" s="306" t="str">
        <f t="shared" si="105"/>
        <v>Marko Livaja (og)</v>
      </c>
      <c r="Y104" s="306" t="str">
        <f t="shared" si="106"/>
        <v>Marko Livaja (og)</v>
      </c>
      <c r="Z104" s="306" t="str">
        <f t="shared" si="107"/>
        <v>Ricardo Rodriguez (og)</v>
      </c>
      <c r="AA104" s="306" t="str">
        <f t="shared" si="108"/>
        <v>Ricardo Rodriguez (og)</v>
      </c>
      <c r="AB104" s="306" t="str">
        <f t="shared" si="109"/>
        <v>Stefan Mitrović (og)</v>
      </c>
      <c r="AC104" s="306" t="str">
        <f t="shared" si="110"/>
        <v>Stefan Mitrović (og)</v>
      </c>
      <c r="AD104" s="306" t="str">
        <f t="shared" si="111"/>
        <v>Rodrigo Bentancur (og)</v>
      </c>
      <c r="AE104" s="306" t="str">
        <f t="shared" si="112"/>
        <v>Rodrigo Bentancur (og)</v>
      </c>
      <c r="AF104" s="306" t="str">
        <f t="shared" si="113"/>
        <v>Mohammed Salisu (og)</v>
      </c>
      <c r="AG104" s="306" t="str">
        <f t="shared" si="114"/>
        <v>Mohammed Salisu (og)</v>
      </c>
      <c r="BT104" s="306" t="str">
        <f t="shared" ca="1" si="70"/>
        <v>Ecuador</v>
      </c>
      <c r="BU104" s="306">
        <f t="shared" si="71"/>
        <v>23</v>
      </c>
      <c r="BV104" s="306">
        <f t="shared" si="72"/>
        <v>2</v>
      </c>
      <c r="BW104" s="306" t="str">
        <f ca="1">OFFSET(C3,BU104,BV104)</f>
        <v>Sebas Méndez</v>
      </c>
      <c r="BX104" s="306">
        <f ca="1">COUNTIF('Group Stages'!J7:J102,BW104)</f>
        <v>0</v>
      </c>
      <c r="BY104" s="306">
        <f ca="1">COUNTIF('Group Stages'!K7:K102,BW104)</f>
        <v>0</v>
      </c>
      <c r="BZ104" s="306">
        <f ca="1">COUNTIF('Group Stages'!L7:L102,BW104)</f>
        <v>0</v>
      </c>
      <c r="CA104" s="306">
        <f ca="1">COUNTIF('Group Stages'!M7:M102,BW104)</f>
        <v>0</v>
      </c>
      <c r="CB104" s="306">
        <f ca="1">COUNTIF('Group Stages'!N7:N102,BW104)</f>
        <v>0</v>
      </c>
      <c r="CC104" s="306">
        <f ca="1">COUNTIF('Group Stages'!O7:O102,BW104)</f>
        <v>0</v>
      </c>
      <c r="CD104" s="306">
        <f ca="1">COUNTIF('Group Stages'!P7:P102,BW104)</f>
        <v>0</v>
      </c>
      <c r="CE104" s="306">
        <f ca="1">COUNTIF('Group Stages'!Q7:Q102,BW104)</f>
        <v>0</v>
      </c>
      <c r="CF104" s="306">
        <f ca="1">COUNTIF('Knock Out Stages'!K7:K50,BW104)</f>
        <v>0</v>
      </c>
      <c r="CG104" s="306">
        <f ca="1">COUNTIF('Knock Out Stages'!L7:L50,BW104)</f>
        <v>0</v>
      </c>
      <c r="CH104" s="306">
        <f ca="1">COUNTIF('Knock Out Stages'!M7:M50,BW104)</f>
        <v>0</v>
      </c>
      <c r="CI104" s="306">
        <f ca="1">COUNTIF('Knock Out Stages'!N7:N50,BW104)</f>
        <v>0</v>
      </c>
      <c r="CJ104" s="306">
        <f ca="1">COUNTIF('Knock Out Stages'!O7:O50,BW104)</f>
        <v>0</v>
      </c>
      <c r="CK104" s="306">
        <f ca="1">COUNTIF('Knock Out Stages'!P7:P50,BW104)</f>
        <v>0</v>
      </c>
      <c r="CL104" s="306">
        <f ca="1">COUNTIF('Knock Out Stages'!Q7:Q50,BW104)</f>
        <v>0</v>
      </c>
      <c r="CM104" s="306">
        <f ca="1">COUNTIF('Knock Out Stages'!R7:R50,BW104)</f>
        <v>0</v>
      </c>
      <c r="CN104" s="306">
        <f ca="1">IF(RIGHT('Group Stages'!$B$105,5)="T.com",SUM(BX104:CM104),0)</f>
        <v>0</v>
      </c>
      <c r="CO104" s="306">
        <f ca="1">RANK(CN104,CN3:CN834)+COUNTIF(CN3:CN104,CN104)-1</f>
        <v>102</v>
      </c>
      <c r="CP104" s="306" t="str">
        <f t="shared" ca="1" si="76"/>
        <v>Sebas Méndez (Ecuador)</v>
      </c>
    </row>
    <row r="105" spans="1:94" x14ac:dyDescent="0.3">
      <c r="A105" s="306">
        <f t="shared" si="82"/>
        <v>23</v>
      </c>
      <c r="B105" s="306" t="str">
        <f t="shared" si="83"/>
        <v>Saad Al Sheeb (og)</v>
      </c>
      <c r="C105" s="306" t="str">
        <f t="shared" si="84"/>
        <v>Saad Al Sheeb (og)</v>
      </c>
      <c r="D105" s="306" t="str">
        <f t="shared" si="85"/>
        <v>Vincent Janssen (og)</v>
      </c>
      <c r="E105" s="306" t="str">
        <f t="shared" si="86"/>
        <v>Vincent Janssen (og)</v>
      </c>
      <c r="F105" s="306" t="str">
        <f t="shared" si="87"/>
        <v>Tyler Adams (og)</v>
      </c>
      <c r="G105" s="306" t="str">
        <f t="shared" si="88"/>
        <v>Tyler Adams (og)</v>
      </c>
      <c r="H105" s="306" t="str">
        <f t="shared" si="89"/>
        <v>Sardar Azmoun (og)</v>
      </c>
      <c r="I105" s="306" t="str">
        <f t="shared" si="90"/>
        <v>Sardar Azmoun (og)</v>
      </c>
      <c r="J105" s="306" t="str">
        <f t="shared" si="91"/>
        <v>Roberto Alvarado (og)</v>
      </c>
      <c r="K105" s="306" t="str">
        <f t="shared" si="92"/>
        <v>Roberto Alvarado (og)</v>
      </c>
      <c r="L105" s="306" t="str">
        <f t="shared" si="93"/>
        <v>Sami Al-Najei (og)</v>
      </c>
      <c r="M105" s="306" t="str">
        <f t="shared" si="94"/>
        <v>Sami Al-Najei (og)</v>
      </c>
      <c r="N105" s="306" t="str">
        <f t="shared" si="95"/>
        <v>Steve Mandanda (og)</v>
      </c>
      <c r="O105" s="306" t="str">
        <f t="shared" si="96"/>
        <v>Steve Mandanda (og)</v>
      </c>
      <c r="P105" s="306" t="str">
        <f t="shared" si="97"/>
        <v>Wahbi Khazri (og)</v>
      </c>
      <c r="Q105" s="306" t="str">
        <f t="shared" si="98"/>
        <v>Wahbi Khazri (og)</v>
      </c>
      <c r="R105" s="306" t="str">
        <f t="shared" si="99"/>
        <v>Rodri (og)</v>
      </c>
      <c r="S105" s="306" t="str">
        <f t="shared" si="100"/>
        <v>Rodri (og)</v>
      </c>
      <c r="T105" s="306" t="str">
        <f t="shared" si="101"/>
        <v>Takumi Minamino (og)</v>
      </c>
      <c r="U105" s="306" t="str">
        <f t="shared" si="102"/>
        <v>Takumi Minamino (og)</v>
      </c>
      <c r="V105" s="306" t="str">
        <f t="shared" si="103"/>
        <v>Wout Faes (og)</v>
      </c>
      <c r="W105" s="306" t="str">
        <f t="shared" si="104"/>
        <v>Wout Faes (og)</v>
      </c>
      <c r="X105" s="306" t="str">
        <f t="shared" si="105"/>
        <v>Martin Erlić (og)</v>
      </c>
      <c r="Y105" s="306" t="str">
        <f t="shared" si="106"/>
        <v>Martin Erlić (og)</v>
      </c>
      <c r="Z105" s="306" t="str">
        <f t="shared" si="107"/>
        <v>Ruben Vargas (og)</v>
      </c>
      <c r="AA105" s="306" t="str">
        <f t="shared" si="108"/>
        <v>Ruben Vargas (og)</v>
      </c>
      <c r="AB105" s="306" t="str">
        <f t="shared" si="109"/>
        <v>Strahinja Eraković (og)</v>
      </c>
      <c r="AC105" s="306" t="str">
        <f t="shared" si="110"/>
        <v>Strahinja Eraković (og)</v>
      </c>
      <c r="AD105" s="306" t="str">
        <f t="shared" si="111"/>
        <v>Ronald Araújo (og)</v>
      </c>
      <c r="AE105" s="306" t="str">
        <f t="shared" si="112"/>
        <v>Ronald Araújo (og)</v>
      </c>
      <c r="AF105" s="306" t="str">
        <f t="shared" si="113"/>
        <v>Osman Bukari (og)</v>
      </c>
      <c r="AG105" s="306" t="str">
        <f t="shared" si="114"/>
        <v>Osman Bukari (og)</v>
      </c>
      <c r="BT105" s="306" t="str">
        <f t="shared" ca="1" si="70"/>
        <v>Ecuador</v>
      </c>
      <c r="BU105" s="306">
        <f t="shared" si="71"/>
        <v>24</v>
      </c>
      <c r="BV105" s="306">
        <f t="shared" si="72"/>
        <v>2</v>
      </c>
      <c r="BW105" s="306" t="str">
        <f ca="1">OFFSET(C3,BU105,BV105)</f>
        <v>William Pacho</v>
      </c>
      <c r="BX105" s="306">
        <f ca="1">COUNTIF('Group Stages'!J7:J102,BW105)</f>
        <v>0</v>
      </c>
      <c r="BY105" s="306">
        <f ca="1">COUNTIF('Group Stages'!K7:K102,BW105)</f>
        <v>0</v>
      </c>
      <c r="BZ105" s="306">
        <f ca="1">COUNTIF('Group Stages'!L7:L102,BW105)</f>
        <v>0</v>
      </c>
      <c r="CA105" s="306">
        <f ca="1">COUNTIF('Group Stages'!M7:M102,BW105)</f>
        <v>0</v>
      </c>
      <c r="CB105" s="306">
        <f ca="1">COUNTIF('Group Stages'!N7:N102,BW105)</f>
        <v>0</v>
      </c>
      <c r="CC105" s="306">
        <f ca="1">COUNTIF('Group Stages'!O7:O102,BW105)</f>
        <v>0</v>
      </c>
      <c r="CD105" s="306">
        <f ca="1">COUNTIF('Group Stages'!P7:P102,BW105)</f>
        <v>0</v>
      </c>
      <c r="CE105" s="306">
        <f ca="1">COUNTIF('Group Stages'!Q7:Q102,BW105)</f>
        <v>0</v>
      </c>
      <c r="CF105" s="306">
        <f ca="1">COUNTIF('Knock Out Stages'!K7:K50,BW105)</f>
        <v>0</v>
      </c>
      <c r="CG105" s="306">
        <f ca="1">COUNTIF('Knock Out Stages'!L7:L50,BW105)</f>
        <v>0</v>
      </c>
      <c r="CH105" s="306">
        <f ca="1">COUNTIF('Knock Out Stages'!M7:M50,BW105)</f>
        <v>0</v>
      </c>
      <c r="CI105" s="306">
        <f ca="1">COUNTIF('Knock Out Stages'!N7:N50,BW105)</f>
        <v>0</v>
      </c>
      <c r="CJ105" s="306">
        <f ca="1">COUNTIF('Knock Out Stages'!O7:O50,BW105)</f>
        <v>0</v>
      </c>
      <c r="CK105" s="306">
        <f ca="1">COUNTIF('Knock Out Stages'!P7:P50,BW105)</f>
        <v>0</v>
      </c>
      <c r="CL105" s="306">
        <f ca="1">COUNTIF('Knock Out Stages'!Q7:Q50,BW105)</f>
        <v>0</v>
      </c>
      <c r="CM105" s="306">
        <f ca="1">COUNTIF('Knock Out Stages'!R7:R50,BW105)</f>
        <v>0</v>
      </c>
      <c r="CN105" s="306">
        <f ca="1">IF(RIGHT('Group Stages'!$B$105,5)="T.com",SUM(BX105:CM105),0)</f>
        <v>0</v>
      </c>
      <c r="CO105" s="306">
        <f ca="1">RANK(CN105,CN3:CN834)+COUNTIF(CN3:CN105,CN105)-1</f>
        <v>103</v>
      </c>
      <c r="CP105" s="306" t="str">
        <f t="shared" ca="1" si="76"/>
        <v>William Pacho (Ecuador)</v>
      </c>
    </row>
    <row r="106" spans="1:94" x14ac:dyDescent="0.3">
      <c r="A106" s="306">
        <f t="shared" si="82"/>
        <v>24</v>
      </c>
      <c r="B106" s="306" t="str">
        <f t="shared" si="83"/>
        <v>Salem Al-Hajri (og)</v>
      </c>
      <c r="C106" s="306" t="str">
        <f t="shared" si="84"/>
        <v>Salem Al-Hajri (og)</v>
      </c>
      <c r="D106" s="306" t="str">
        <f t="shared" si="85"/>
        <v>Virgil van Dijk (og)</v>
      </c>
      <c r="E106" s="306" t="str">
        <f t="shared" si="86"/>
        <v>Virgil van Dijk (og)</v>
      </c>
      <c r="F106" s="306" t="str">
        <f t="shared" si="87"/>
        <v>Walker Zimmerman (og)</v>
      </c>
      <c r="G106" s="306" t="str">
        <f t="shared" si="88"/>
        <v>Walker Zimmerman (og)</v>
      </c>
      <c r="H106" s="306" t="str">
        <f t="shared" si="89"/>
        <v>Shojae Khalilzadeh (og)</v>
      </c>
      <c r="I106" s="306" t="str">
        <f t="shared" si="90"/>
        <v>Shojae Khalilzadeh (og)</v>
      </c>
      <c r="J106" s="306" t="str">
        <f t="shared" si="91"/>
        <v>Rodolfo Cota (og)</v>
      </c>
      <c r="K106" s="306" t="str">
        <f t="shared" si="92"/>
        <v>Rodolfo Cota (og)</v>
      </c>
      <c r="L106" s="306" t="str">
        <f t="shared" si="93"/>
        <v>Saud Abdulhamid (og)</v>
      </c>
      <c r="M106" s="306" t="str">
        <f t="shared" si="94"/>
        <v>Saud Abdulhamid (og)</v>
      </c>
      <c r="N106" s="306" t="str">
        <f t="shared" si="95"/>
        <v>Theo Hernandez (og)</v>
      </c>
      <c r="O106" s="306" t="str">
        <f t="shared" si="96"/>
        <v>Theo Hernandez (og)</v>
      </c>
      <c r="P106" s="306" t="str">
        <f t="shared" si="97"/>
        <v>Wajdi Kechrida (og)</v>
      </c>
      <c r="Q106" s="306" t="str">
        <f t="shared" si="98"/>
        <v>Wajdi Kechrida (og)</v>
      </c>
      <c r="R106" s="306" t="str">
        <f t="shared" si="99"/>
        <v>Sergio Busquets (og)</v>
      </c>
      <c r="S106" s="306" t="str">
        <f t="shared" si="100"/>
        <v>Sergio Busquets (og)</v>
      </c>
      <c r="T106" s="306" t="str">
        <f t="shared" si="101"/>
        <v>Wataru Endo (og)</v>
      </c>
      <c r="U106" s="306" t="str">
        <f t="shared" si="102"/>
        <v>Wataru Endo (og)</v>
      </c>
      <c r="V106" s="306" t="str">
        <f t="shared" si="103"/>
        <v>Yannick Carrasco (og)</v>
      </c>
      <c r="W106" s="306" t="str">
        <f t="shared" si="104"/>
        <v>Yannick Carrasco (og)</v>
      </c>
      <c r="X106" s="306" t="str">
        <f t="shared" si="105"/>
        <v>Mateo Kovačić (og)</v>
      </c>
      <c r="Y106" s="306" t="str">
        <f t="shared" si="106"/>
        <v>Mateo Kovačić (og)</v>
      </c>
      <c r="Z106" s="306" t="str">
        <f t="shared" si="107"/>
        <v>Silvan Widmer (og)</v>
      </c>
      <c r="AA106" s="306" t="str">
        <f t="shared" si="108"/>
        <v>Silvan Widmer (og)</v>
      </c>
      <c r="AB106" s="306" t="str">
        <f t="shared" si="109"/>
        <v>Strahinja Pavlović (og)</v>
      </c>
      <c r="AC106" s="306" t="str">
        <f t="shared" si="110"/>
        <v>Strahinja Pavlović (og)</v>
      </c>
      <c r="AD106" s="306" t="str">
        <f t="shared" si="111"/>
        <v>Sebastián Coates (og)</v>
      </c>
      <c r="AE106" s="306" t="str">
        <f t="shared" si="112"/>
        <v>Sebastián Coates (og)</v>
      </c>
      <c r="AF106" s="306" t="str">
        <f t="shared" si="113"/>
        <v>Salis Abdul Samed (og)</v>
      </c>
      <c r="AG106" s="306" t="str">
        <f t="shared" si="114"/>
        <v>Salis Abdul Samed (og)</v>
      </c>
      <c r="BT106" s="306" t="str">
        <f t="shared" ca="1" si="70"/>
        <v>Ecuador</v>
      </c>
      <c r="BU106" s="306">
        <f t="shared" si="71"/>
        <v>25</v>
      </c>
      <c r="BV106" s="306">
        <f t="shared" si="72"/>
        <v>2</v>
      </c>
      <c r="BW106" s="306" t="str">
        <f ca="1">OFFSET(C3,BU106,BV106)</f>
        <v>Xavier Arreaga</v>
      </c>
      <c r="BX106" s="306">
        <f ca="1">COUNTIF('Group Stages'!J7:J102,BW106)</f>
        <v>0</v>
      </c>
      <c r="BY106" s="306">
        <f ca="1">COUNTIF('Group Stages'!K7:K102,BW106)</f>
        <v>0</v>
      </c>
      <c r="BZ106" s="306">
        <f ca="1">COUNTIF('Group Stages'!L7:L102,BW106)</f>
        <v>0</v>
      </c>
      <c r="CA106" s="306">
        <f ca="1">COUNTIF('Group Stages'!M7:M102,BW106)</f>
        <v>0</v>
      </c>
      <c r="CB106" s="306">
        <f ca="1">COUNTIF('Group Stages'!N7:N102,BW106)</f>
        <v>0</v>
      </c>
      <c r="CC106" s="306">
        <f ca="1">COUNTIF('Group Stages'!O7:O102,BW106)</f>
        <v>0</v>
      </c>
      <c r="CD106" s="306">
        <f ca="1">COUNTIF('Group Stages'!P7:P102,BW106)</f>
        <v>0</v>
      </c>
      <c r="CE106" s="306">
        <f ca="1">COUNTIF('Group Stages'!Q7:Q102,BW106)</f>
        <v>0</v>
      </c>
      <c r="CF106" s="306">
        <f ca="1">COUNTIF('Knock Out Stages'!K7:K50,BW106)</f>
        <v>0</v>
      </c>
      <c r="CG106" s="306">
        <f ca="1">COUNTIF('Knock Out Stages'!L7:L50,BW106)</f>
        <v>0</v>
      </c>
      <c r="CH106" s="306">
        <f ca="1">COUNTIF('Knock Out Stages'!M7:M50,BW106)</f>
        <v>0</v>
      </c>
      <c r="CI106" s="306">
        <f ca="1">COUNTIF('Knock Out Stages'!N7:N50,BW106)</f>
        <v>0</v>
      </c>
      <c r="CJ106" s="306">
        <f ca="1">COUNTIF('Knock Out Stages'!O7:O50,BW106)</f>
        <v>0</v>
      </c>
      <c r="CK106" s="306">
        <f ca="1">COUNTIF('Knock Out Stages'!P7:P50,BW106)</f>
        <v>0</v>
      </c>
      <c r="CL106" s="306">
        <f ca="1">COUNTIF('Knock Out Stages'!Q7:Q50,BW106)</f>
        <v>0</v>
      </c>
      <c r="CM106" s="306">
        <f ca="1">COUNTIF('Knock Out Stages'!R7:R50,BW106)</f>
        <v>0</v>
      </c>
      <c r="CN106" s="306">
        <f ca="1">IF(RIGHT('Group Stages'!$B$105,5)="T.com",SUM(BX106:CM106),0)</f>
        <v>0</v>
      </c>
      <c r="CO106" s="306">
        <f ca="1">RANK(CN106,CN3:CN834)+COUNTIF(CN3:CN106,CN106)-1</f>
        <v>104</v>
      </c>
      <c r="CP106" s="306" t="str">
        <f t="shared" ca="1" si="76"/>
        <v>Xavier Arreaga (Ecuador)</v>
      </c>
    </row>
    <row r="107" spans="1:94" x14ac:dyDescent="0.3">
      <c r="A107" s="306">
        <f t="shared" si="82"/>
        <v>25</v>
      </c>
      <c r="B107" s="306" t="str">
        <f t="shared" si="83"/>
        <v>Tarek Salman (og)</v>
      </c>
      <c r="C107" s="306" t="str">
        <f t="shared" si="84"/>
        <v>Tarek Salman (og)</v>
      </c>
      <c r="D107" s="306" t="str">
        <f t="shared" si="85"/>
        <v>Wout Weghorst (og)</v>
      </c>
      <c r="E107" s="306" t="str">
        <f t="shared" si="86"/>
        <v>Wout Weghorst (og)</v>
      </c>
      <c r="F107" s="306" t="str">
        <f t="shared" si="87"/>
        <v>Weston McKennie (og)</v>
      </c>
      <c r="G107" s="306" t="str">
        <f t="shared" si="88"/>
        <v>Weston McKennie (og)</v>
      </c>
      <c r="H107" s="306" t="str">
        <f t="shared" si="89"/>
        <v>Vahid Amiri (og)</v>
      </c>
      <c r="I107" s="306" t="str">
        <f t="shared" si="90"/>
        <v>Vahid Amiri (og)</v>
      </c>
      <c r="J107" s="306" t="str">
        <f t="shared" si="91"/>
        <v>Rogelio Funes Mori (og)</v>
      </c>
      <c r="K107" s="306" t="str">
        <f t="shared" si="92"/>
        <v>Rogelio Funes Mori (og)</v>
      </c>
      <c r="L107" s="306" t="str">
        <f t="shared" si="93"/>
        <v>Sultan Al-Ghanam (og)</v>
      </c>
      <c r="M107" s="306" t="str">
        <f t="shared" si="94"/>
        <v>Sultan Al-Ghanam (og)</v>
      </c>
      <c r="N107" s="306" t="str">
        <f t="shared" si="95"/>
        <v>William Saliba (og)</v>
      </c>
      <c r="O107" s="306" t="str">
        <f t="shared" si="96"/>
        <v>William Saliba (og)</v>
      </c>
      <c r="P107" s="306" t="str">
        <f t="shared" si="97"/>
        <v>Yassine Meriah (og)</v>
      </c>
      <c r="Q107" s="306" t="str">
        <f t="shared" si="98"/>
        <v>Yassine Meriah (og)</v>
      </c>
      <c r="R107" s="306" t="str">
        <f t="shared" si="99"/>
        <v>Unai Simón (og)</v>
      </c>
      <c r="S107" s="306" t="str">
        <f t="shared" si="100"/>
        <v>Unai Simón (og)</v>
      </c>
      <c r="T107" s="306" t="str">
        <f t="shared" si="101"/>
        <v>Yūki Sōma (og)</v>
      </c>
      <c r="U107" s="306" t="str">
        <f t="shared" si="102"/>
        <v>Yūki Sōma (og)</v>
      </c>
      <c r="V107" s="306" t="str">
        <f t="shared" si="103"/>
        <v>Youri Tielemans (og)</v>
      </c>
      <c r="W107" s="306" t="str">
        <f t="shared" si="104"/>
        <v>Youri Tielemans (og)</v>
      </c>
      <c r="X107" s="306" t="str">
        <f t="shared" si="105"/>
        <v>Mislav Oršić (og)</v>
      </c>
      <c r="Y107" s="306" t="str">
        <f t="shared" si="106"/>
        <v>Mislav Oršić (og)</v>
      </c>
      <c r="Z107" s="306" t="str">
        <f t="shared" si="107"/>
        <v>Xherdan Shaqiri (og)</v>
      </c>
      <c r="AA107" s="306" t="str">
        <f t="shared" si="108"/>
        <v>Xherdan Shaqiri (og)</v>
      </c>
      <c r="AB107" s="306" t="str">
        <f t="shared" si="109"/>
        <v>Uroš Račić (og)</v>
      </c>
      <c r="AC107" s="306" t="str">
        <f t="shared" si="110"/>
        <v>Uroš Račić (og)</v>
      </c>
      <c r="AD107" s="306" t="str">
        <f t="shared" si="111"/>
        <v>Sebastián Sosa (og)</v>
      </c>
      <c r="AE107" s="306" t="str">
        <f t="shared" si="112"/>
        <v>Sebastián Sosa (og)</v>
      </c>
      <c r="AF107" s="306" t="str">
        <f t="shared" si="113"/>
        <v>Tariq Lamptey (og)</v>
      </c>
      <c r="AG107" s="306" t="str">
        <f t="shared" si="114"/>
        <v>Tariq Lamptey (og)</v>
      </c>
      <c r="BT107" s="306" t="str">
        <f ca="1">OFFSET(C2,BU107,BV107)</f>
        <v>England</v>
      </c>
      <c r="BU107" s="306">
        <f t="shared" si="71"/>
        <v>0</v>
      </c>
      <c r="BV107" s="306">
        <f t="shared" si="72"/>
        <v>3</v>
      </c>
      <c r="BW107" s="306" t="str">
        <f ca="1">OFFSET(C3,BU107,BV107)</f>
        <v>Aaron Ramsdale</v>
      </c>
      <c r="BX107" s="306">
        <f ca="1">COUNTIF('Group Stages'!J7:J102,BW107)</f>
        <v>0</v>
      </c>
      <c r="BY107" s="306">
        <f ca="1">COUNTIF('Group Stages'!K7:K102,BW107)</f>
        <v>0</v>
      </c>
      <c r="BZ107" s="306">
        <f ca="1">COUNTIF('Group Stages'!L7:L102,BW107)</f>
        <v>0</v>
      </c>
      <c r="CA107" s="306">
        <f ca="1">COUNTIF('Group Stages'!M7:M102,BW107)</f>
        <v>0</v>
      </c>
      <c r="CB107" s="306">
        <f ca="1">COUNTIF('Group Stages'!N7:N102,BW107)</f>
        <v>0</v>
      </c>
      <c r="CC107" s="306">
        <f ca="1">COUNTIF('Group Stages'!O7:O102,BW107)</f>
        <v>0</v>
      </c>
      <c r="CD107" s="306">
        <f ca="1">COUNTIF('Group Stages'!P7:P102,BW107)</f>
        <v>0</v>
      </c>
      <c r="CE107" s="306">
        <f ca="1">COUNTIF('Group Stages'!Q7:Q102,BW107)</f>
        <v>0</v>
      </c>
      <c r="CF107" s="306">
        <f ca="1">COUNTIF('Knock Out Stages'!K7:K50,BW107)</f>
        <v>0</v>
      </c>
      <c r="CG107" s="306">
        <f ca="1">COUNTIF('Knock Out Stages'!L7:L50,BW107)</f>
        <v>0</v>
      </c>
      <c r="CH107" s="306">
        <f ca="1">COUNTIF('Knock Out Stages'!M7:M50,BW107)</f>
        <v>0</v>
      </c>
      <c r="CI107" s="306">
        <f ca="1">COUNTIF('Knock Out Stages'!N7:N50,BW107)</f>
        <v>0</v>
      </c>
      <c r="CJ107" s="306">
        <f ca="1">COUNTIF('Knock Out Stages'!O7:O50,BW107)</f>
        <v>0</v>
      </c>
      <c r="CK107" s="306">
        <f ca="1">COUNTIF('Knock Out Stages'!P7:P50,BW107)</f>
        <v>0</v>
      </c>
      <c r="CL107" s="306">
        <f ca="1">COUNTIF('Knock Out Stages'!Q7:Q50,BW107)</f>
        <v>0</v>
      </c>
      <c r="CM107" s="306">
        <f ca="1">COUNTIF('Knock Out Stages'!R7:R50,BW107)</f>
        <v>0</v>
      </c>
      <c r="CN107" s="306">
        <f ca="1">IF(RIGHT('Group Stages'!$B$105,5)="T.com",SUM(BX107:CM107),0)</f>
        <v>0</v>
      </c>
      <c r="CO107" s="306">
        <f ca="1">RANK(CN107,CN3:CN834)+COUNTIF(CN3:CN107,CN107)-1</f>
        <v>105</v>
      </c>
      <c r="CP107" s="306" t="str">
        <f t="shared" ca="1" si="76"/>
        <v>Aaron Ramsdale (England)</v>
      </c>
    </row>
    <row r="108" spans="1:94" x14ac:dyDescent="0.3">
      <c r="A108" s="306">
        <f t="shared" si="82"/>
        <v>26</v>
      </c>
      <c r="B108" s="306" t="str">
        <f t="shared" si="83"/>
        <v>Yousef Hassan (og)</v>
      </c>
      <c r="C108" s="306" t="str">
        <f t="shared" si="84"/>
        <v>Yousef Hassan (og)</v>
      </c>
      <c r="D108" s="306" t="str">
        <f t="shared" si="85"/>
        <v>Xavi Simons (og)</v>
      </c>
      <c r="E108" s="306" t="str">
        <f t="shared" si="86"/>
        <v>Xavi Simons (og)</v>
      </c>
      <c r="F108" s="306" t="str">
        <f t="shared" si="87"/>
        <v>Yunus Musah (og)</v>
      </c>
      <c r="G108" s="306" t="str">
        <f t="shared" si="88"/>
        <v>Yunus Musah (og)</v>
      </c>
      <c r="H108" s="306" t="str">
        <f t="shared" si="89"/>
        <v>0 (og)</v>
      </c>
      <c r="I108" s="306" t="str">
        <f t="shared" si="90"/>
        <v>0 (og)</v>
      </c>
      <c r="J108" s="306" t="str">
        <f t="shared" si="91"/>
        <v>Uriel Antuna (og)</v>
      </c>
      <c r="K108" s="306" t="str">
        <f t="shared" si="92"/>
        <v>Uriel Antuna (og)</v>
      </c>
      <c r="L108" s="306" t="str">
        <f t="shared" si="93"/>
        <v>Yasser Al-Shahrani (og)</v>
      </c>
      <c r="M108" s="306" t="str">
        <f t="shared" si="94"/>
        <v>Yasser Al-Shahrani (og)</v>
      </c>
      <c r="N108" s="306" t="str">
        <f t="shared" si="95"/>
        <v>Youssouf Fofana (og)</v>
      </c>
      <c r="O108" s="306" t="str">
        <f t="shared" si="96"/>
        <v>Youssouf Fofana (og)</v>
      </c>
      <c r="P108" s="306" t="str">
        <f t="shared" si="97"/>
        <v>Youssef Msakni (og)</v>
      </c>
      <c r="Q108" s="306" t="str">
        <f t="shared" si="98"/>
        <v>Youssef Msakni (og)</v>
      </c>
      <c r="R108" s="306" t="str">
        <f t="shared" si="99"/>
        <v>Yeremy Pino (og)</v>
      </c>
      <c r="S108" s="306" t="str">
        <f t="shared" si="100"/>
        <v>Yeremy Pino (og)</v>
      </c>
      <c r="T108" s="306" t="str">
        <f t="shared" si="101"/>
        <v>Yūto Nagatomo (og)</v>
      </c>
      <c r="U108" s="306" t="str">
        <f t="shared" si="102"/>
        <v>Yūto Nagatomo (og)</v>
      </c>
      <c r="V108" s="306" t="str">
        <f t="shared" si="103"/>
        <v>Zeno Debast (og)</v>
      </c>
      <c r="W108" s="306" t="str">
        <f t="shared" si="104"/>
        <v>Zeno Debast (og)</v>
      </c>
      <c r="X108" s="306" t="str">
        <f t="shared" si="105"/>
        <v>Nikola Vlašić (og)</v>
      </c>
      <c r="Y108" s="306" t="str">
        <f t="shared" si="106"/>
        <v>Nikola Vlašić (og)</v>
      </c>
      <c r="Z108" s="306" t="str">
        <f t="shared" si="107"/>
        <v>Yann Sommer (og)</v>
      </c>
      <c r="AA108" s="306" t="str">
        <f t="shared" si="108"/>
        <v>Yann Sommer (og)</v>
      </c>
      <c r="AB108" s="306" t="str">
        <f t="shared" si="109"/>
        <v>Vanja Milinković-Savić (og)</v>
      </c>
      <c r="AC108" s="306" t="str">
        <f t="shared" si="110"/>
        <v>Vanja Milinković-Savić (og)</v>
      </c>
      <c r="AD108" s="306" t="str">
        <f t="shared" si="111"/>
        <v>Sergio Rochet (og)</v>
      </c>
      <c r="AE108" s="306" t="str">
        <f t="shared" si="112"/>
        <v>Sergio Rochet (og)</v>
      </c>
      <c r="AF108" s="306" t="str">
        <f t="shared" si="113"/>
        <v>Thomas Partey (og)</v>
      </c>
      <c r="AG108" s="306" t="str">
        <f t="shared" si="114"/>
        <v>Thomas Partey (og)</v>
      </c>
      <c r="BT108" s="306" t="str">
        <f t="shared" ref="BT108" ca="1" si="115">BT107</f>
        <v>England</v>
      </c>
      <c r="BU108" s="306">
        <f t="shared" si="71"/>
        <v>1</v>
      </c>
      <c r="BV108" s="306">
        <f t="shared" si="72"/>
        <v>3</v>
      </c>
      <c r="BW108" s="306" t="str">
        <f ca="1">OFFSET(C3,BU108,BV108)</f>
        <v>Ben White</v>
      </c>
      <c r="BX108" s="306">
        <f ca="1">COUNTIF('Group Stages'!J7:J102,BW108)</f>
        <v>0</v>
      </c>
      <c r="BY108" s="306">
        <f ca="1">COUNTIF('Group Stages'!K7:K102,BW108)</f>
        <v>0</v>
      </c>
      <c r="BZ108" s="306">
        <f ca="1">COUNTIF('Group Stages'!L7:L102,BW108)</f>
        <v>0</v>
      </c>
      <c r="CA108" s="306">
        <f ca="1">COUNTIF('Group Stages'!M7:M102,BW108)</f>
        <v>0</v>
      </c>
      <c r="CB108" s="306">
        <f ca="1">COUNTIF('Group Stages'!N7:N102,BW108)</f>
        <v>0</v>
      </c>
      <c r="CC108" s="306">
        <f ca="1">COUNTIF('Group Stages'!O7:O102,BW108)</f>
        <v>0</v>
      </c>
      <c r="CD108" s="306">
        <f ca="1">COUNTIF('Group Stages'!P7:P102,BW108)</f>
        <v>0</v>
      </c>
      <c r="CE108" s="306">
        <f ca="1">COUNTIF('Group Stages'!Q7:Q102,BW108)</f>
        <v>0</v>
      </c>
      <c r="CF108" s="306">
        <f ca="1">COUNTIF('Knock Out Stages'!K7:K50,BW108)</f>
        <v>0</v>
      </c>
      <c r="CG108" s="306">
        <f ca="1">COUNTIF('Knock Out Stages'!L7:L50,BW108)</f>
        <v>0</v>
      </c>
      <c r="CH108" s="306">
        <f ca="1">COUNTIF('Knock Out Stages'!M7:M50,BW108)</f>
        <v>0</v>
      </c>
      <c r="CI108" s="306">
        <f ca="1">COUNTIF('Knock Out Stages'!N7:N50,BW108)</f>
        <v>0</v>
      </c>
      <c r="CJ108" s="306">
        <f ca="1">COUNTIF('Knock Out Stages'!O7:O50,BW108)</f>
        <v>0</v>
      </c>
      <c r="CK108" s="306">
        <f ca="1">COUNTIF('Knock Out Stages'!P7:P50,BW108)</f>
        <v>0</v>
      </c>
      <c r="CL108" s="306">
        <f ca="1">COUNTIF('Knock Out Stages'!Q7:Q50,BW108)</f>
        <v>0</v>
      </c>
      <c r="CM108" s="306">
        <f ca="1">COUNTIF('Knock Out Stages'!R7:R50,BW108)</f>
        <v>0</v>
      </c>
      <c r="CN108" s="306">
        <f ca="1">IF(RIGHT('Group Stages'!$B$105,5)="T.com",SUM(BX108:CM108),0)</f>
        <v>0</v>
      </c>
      <c r="CO108" s="306">
        <f ca="1">RANK(CN108,CN3:CN834)+COUNTIF(CN3:CN108,CN108)-1</f>
        <v>106</v>
      </c>
      <c r="CP108" s="306" t="str">
        <f t="shared" ca="1" si="76"/>
        <v>Ben White (England)</v>
      </c>
    </row>
    <row r="109" spans="1:94" x14ac:dyDescent="0.3">
      <c r="BT109" s="306" t="str">
        <f t="shared" ca="1" si="70"/>
        <v>England</v>
      </c>
      <c r="BU109" s="306">
        <f t="shared" si="71"/>
        <v>2</v>
      </c>
      <c r="BV109" s="306">
        <f t="shared" si="72"/>
        <v>3</v>
      </c>
      <c r="BW109" s="306" t="str">
        <f ca="1">OFFSET(C3,BU109,BV109)</f>
        <v>Bukayo Saka</v>
      </c>
      <c r="BX109" s="306">
        <f ca="1">COUNTIF('Group Stages'!J7:J102,BW109)</f>
        <v>0</v>
      </c>
      <c r="BY109" s="306">
        <f ca="1">COUNTIF('Group Stages'!K7:K102,BW109)</f>
        <v>0</v>
      </c>
      <c r="BZ109" s="306">
        <f ca="1">COUNTIF('Group Stages'!L7:L102,BW109)</f>
        <v>0</v>
      </c>
      <c r="CA109" s="306">
        <f ca="1">COUNTIF('Group Stages'!M7:M102,BW109)</f>
        <v>0</v>
      </c>
      <c r="CB109" s="306">
        <f ca="1">COUNTIF('Group Stages'!N7:N102,BW109)</f>
        <v>0</v>
      </c>
      <c r="CC109" s="306">
        <f ca="1">COUNTIF('Group Stages'!O7:O102,BW109)</f>
        <v>0</v>
      </c>
      <c r="CD109" s="306">
        <f ca="1">COUNTIF('Group Stages'!P7:P102,BW109)</f>
        <v>0</v>
      </c>
      <c r="CE109" s="306">
        <f ca="1">COUNTIF('Group Stages'!Q7:Q102,BW109)</f>
        <v>0</v>
      </c>
      <c r="CF109" s="306">
        <f ca="1">COUNTIF('Knock Out Stages'!K7:K50,BW109)</f>
        <v>0</v>
      </c>
      <c r="CG109" s="306">
        <f ca="1">COUNTIF('Knock Out Stages'!L7:L50,BW109)</f>
        <v>0</v>
      </c>
      <c r="CH109" s="306">
        <f ca="1">COUNTIF('Knock Out Stages'!M7:M50,BW109)</f>
        <v>0</v>
      </c>
      <c r="CI109" s="306">
        <f ca="1">COUNTIF('Knock Out Stages'!N7:N50,BW109)</f>
        <v>0</v>
      </c>
      <c r="CJ109" s="306">
        <f ca="1">COUNTIF('Knock Out Stages'!O7:O50,BW109)</f>
        <v>0</v>
      </c>
      <c r="CK109" s="306">
        <f ca="1">COUNTIF('Knock Out Stages'!P7:P50,BW109)</f>
        <v>0</v>
      </c>
      <c r="CL109" s="306">
        <f ca="1">COUNTIF('Knock Out Stages'!Q7:Q50,BW109)</f>
        <v>0</v>
      </c>
      <c r="CM109" s="306">
        <f ca="1">COUNTIF('Knock Out Stages'!R7:R50,BW109)</f>
        <v>0</v>
      </c>
      <c r="CN109" s="306">
        <f ca="1">IF(RIGHT('Group Stages'!$B$105,5)="T.com",SUM(BX109:CM109),0)</f>
        <v>0</v>
      </c>
      <c r="CO109" s="306">
        <f ca="1">RANK(CN109,CN3:CN834)+COUNTIF(CN3:CN109,CN109)-1</f>
        <v>107</v>
      </c>
      <c r="CP109" s="306" t="str">
        <f t="shared" ca="1" si="76"/>
        <v>Bukayo Saka (England)</v>
      </c>
    </row>
    <row r="110" spans="1:94" x14ac:dyDescent="0.3">
      <c r="A110" s="306">
        <v>3</v>
      </c>
      <c r="BT110" s="306" t="str">
        <f t="shared" ca="1" si="70"/>
        <v>England</v>
      </c>
      <c r="BU110" s="306">
        <f t="shared" si="71"/>
        <v>3</v>
      </c>
      <c r="BV110" s="306">
        <f t="shared" si="72"/>
        <v>3</v>
      </c>
      <c r="BW110" s="306" t="str">
        <f ca="1">OFFSET(C3,BU110,BV110)</f>
        <v>Callum Wilson</v>
      </c>
      <c r="BX110" s="306">
        <f ca="1">COUNTIF('Group Stages'!J7:J102,BW110)</f>
        <v>0</v>
      </c>
      <c r="BY110" s="306">
        <f ca="1">COUNTIF('Group Stages'!K7:K102,BW110)</f>
        <v>0</v>
      </c>
      <c r="BZ110" s="306">
        <f ca="1">COUNTIF('Group Stages'!L7:L102,BW110)</f>
        <v>0</v>
      </c>
      <c r="CA110" s="306">
        <f ca="1">COUNTIF('Group Stages'!M7:M102,BW110)</f>
        <v>0</v>
      </c>
      <c r="CB110" s="306">
        <f ca="1">COUNTIF('Group Stages'!N7:N102,BW110)</f>
        <v>0</v>
      </c>
      <c r="CC110" s="306">
        <f ca="1">COUNTIF('Group Stages'!O7:O102,BW110)</f>
        <v>0</v>
      </c>
      <c r="CD110" s="306">
        <f ca="1">COUNTIF('Group Stages'!P7:P102,BW110)</f>
        <v>0</v>
      </c>
      <c r="CE110" s="306">
        <f ca="1">COUNTIF('Group Stages'!Q7:Q102,BW110)</f>
        <v>0</v>
      </c>
      <c r="CF110" s="306">
        <f ca="1">COUNTIF('Knock Out Stages'!K7:K50,BW110)</f>
        <v>0</v>
      </c>
      <c r="CG110" s="306">
        <f ca="1">COUNTIF('Knock Out Stages'!L7:L50,BW110)</f>
        <v>0</v>
      </c>
      <c r="CH110" s="306">
        <f ca="1">COUNTIF('Knock Out Stages'!M7:M50,BW110)</f>
        <v>0</v>
      </c>
      <c r="CI110" s="306">
        <f ca="1">COUNTIF('Knock Out Stages'!N7:N50,BW110)</f>
        <v>0</v>
      </c>
      <c r="CJ110" s="306">
        <f ca="1">COUNTIF('Knock Out Stages'!O7:O50,BW110)</f>
        <v>0</v>
      </c>
      <c r="CK110" s="306">
        <f ca="1">COUNTIF('Knock Out Stages'!P7:P50,BW110)</f>
        <v>0</v>
      </c>
      <c r="CL110" s="306">
        <f ca="1">COUNTIF('Knock Out Stages'!Q7:Q50,BW110)</f>
        <v>0</v>
      </c>
      <c r="CM110" s="306">
        <f ca="1">COUNTIF('Knock Out Stages'!R7:R50,BW110)</f>
        <v>0</v>
      </c>
      <c r="CN110" s="306">
        <f ca="1">IF(RIGHT('Group Stages'!$B$105,5)="T.com",SUM(BX110:CM110),0)</f>
        <v>0</v>
      </c>
      <c r="CO110" s="306">
        <f ca="1">RANK(CN110,CN3:CN834)+COUNTIF(CN3:CN110,CN110)-1</f>
        <v>108</v>
      </c>
      <c r="CP110" s="306" t="str">
        <f t="shared" ca="1" si="76"/>
        <v>Callum Wilson (England)</v>
      </c>
    </row>
    <row r="111" spans="1:94" x14ac:dyDescent="0.3">
      <c r="A111" s="306">
        <v>1</v>
      </c>
      <c r="B111" s="306" t="str">
        <f t="shared" ref="B111:B136" si="116">B57</f>
        <v>Abdou Diallo</v>
      </c>
      <c r="C111" s="306" t="str">
        <f t="shared" ref="C111:E126" si="117">C3</f>
        <v>Andries Noppert</v>
      </c>
      <c r="D111" s="306" t="str">
        <f t="shared" si="117"/>
        <v>Abdelkarim Hassan</v>
      </c>
      <c r="E111" s="306" t="str">
        <f t="shared" si="117"/>
        <v>Alan Franco</v>
      </c>
      <c r="F111" s="306" t="str">
        <f t="shared" ref="F111:F136" si="118">F57</f>
        <v>Aaron Ramsdale</v>
      </c>
      <c r="G111" s="306" t="str">
        <f t="shared" ref="G111:I126" si="119">G3</f>
        <v>Abolfazl Jalali</v>
      </c>
      <c r="H111" s="306" t="str">
        <f t="shared" si="119"/>
        <v>Aaron Long</v>
      </c>
      <c r="I111" s="306" t="str">
        <f t="shared" si="119"/>
        <v>Aaron Ramsey</v>
      </c>
      <c r="J111" s="306" t="str">
        <f t="shared" ref="J111:J136" si="120">J57</f>
        <v>Alejandro Gómez</v>
      </c>
      <c r="K111" s="306" t="str">
        <f t="shared" ref="K111:M126" si="121">K3</f>
        <v>Abdulelah Al-Amri</v>
      </c>
      <c r="L111" s="306" t="str">
        <f t="shared" si="121"/>
        <v>Alexis Vega</v>
      </c>
      <c r="M111" s="306" t="str">
        <f t="shared" si="121"/>
        <v>Arkadiusz Milik</v>
      </c>
      <c r="N111" s="306" t="str">
        <f t="shared" ref="N111:N136" si="122">N57</f>
        <v>Alexander Bah</v>
      </c>
      <c r="O111" s="306" t="str">
        <f t="shared" ref="O111:Q126" si="123">O3</f>
        <v>Aïssa Laïdouni</v>
      </c>
      <c r="P111" s="306" t="str">
        <f t="shared" si="123"/>
        <v>Adrien Rabiot</v>
      </c>
      <c r="Q111" s="306" t="str">
        <f t="shared" si="123"/>
        <v>Aaron Mooy</v>
      </c>
      <c r="R111" s="306" t="str">
        <f t="shared" ref="R111:R136" si="124">R57</f>
        <v>Antonio Rüdiger</v>
      </c>
      <c r="S111" s="306" t="str">
        <f t="shared" ref="S111:U126" si="125">S3</f>
        <v>Ao Tanaka</v>
      </c>
      <c r="T111" s="306" t="str">
        <f t="shared" si="125"/>
        <v>Álvaro Morata</v>
      </c>
      <c r="U111" s="306" t="str">
        <f t="shared" si="125"/>
        <v>Álvaro Zamora</v>
      </c>
      <c r="V111" s="306" t="str">
        <f t="shared" ref="V111:V136" si="126">V57</f>
        <v>Abde Ezzalzouli</v>
      </c>
      <c r="W111" s="306" t="str">
        <f t="shared" ref="W111:Y126" si="127">W3</f>
        <v>Andrej Kramarić</v>
      </c>
      <c r="X111" s="306" t="str">
        <f t="shared" si="127"/>
        <v>Amadou Onana</v>
      </c>
      <c r="Y111" s="306" t="str">
        <f t="shared" si="127"/>
        <v>Alistair Johnston</v>
      </c>
      <c r="Z111" s="306" t="str">
        <f t="shared" ref="Z111:Z136" si="128">Z57</f>
        <v>Alex Sandro</v>
      </c>
      <c r="AA111" s="306" t="str">
        <f t="shared" ref="AA111:AC126" si="129">AA3</f>
        <v>Aleksandar Mitrović</v>
      </c>
      <c r="AB111" s="306" t="str">
        <f t="shared" si="129"/>
        <v>Ardon Jashari</v>
      </c>
      <c r="AC111" s="306" t="str">
        <f t="shared" si="129"/>
        <v>André Onana</v>
      </c>
      <c r="AD111" s="306" t="str">
        <f t="shared" ref="AD111:AD136" si="130">AD57</f>
        <v>André Silva</v>
      </c>
      <c r="AE111" s="306" t="str">
        <f t="shared" ref="AE111:AG126" si="131">AE3</f>
        <v>Abdul Fatawu Issahaku</v>
      </c>
      <c r="AF111" s="306" t="str">
        <f t="shared" si="131"/>
        <v>Agustín Canobbio</v>
      </c>
      <c r="AG111" s="306" t="str">
        <f t="shared" si="131"/>
        <v>Cho Gue-sung</v>
      </c>
      <c r="BT111" s="306" t="str">
        <f t="shared" ca="1" si="70"/>
        <v>England</v>
      </c>
      <c r="BU111" s="306">
        <f t="shared" si="71"/>
        <v>4</v>
      </c>
      <c r="BV111" s="306">
        <f t="shared" si="72"/>
        <v>3</v>
      </c>
      <c r="BW111" s="306" t="str">
        <f ca="1">OFFSET(C3,BU111,BV111)</f>
        <v>Conor Coady</v>
      </c>
      <c r="BX111" s="306">
        <f ca="1">COUNTIF('Group Stages'!J7:J102,BW111)</f>
        <v>0</v>
      </c>
      <c r="BY111" s="306">
        <f ca="1">COUNTIF('Group Stages'!K7:K102,BW111)</f>
        <v>0</v>
      </c>
      <c r="BZ111" s="306">
        <f ca="1">COUNTIF('Group Stages'!L7:L102,BW111)</f>
        <v>0</v>
      </c>
      <c r="CA111" s="306">
        <f ca="1">COUNTIF('Group Stages'!M7:M102,BW111)</f>
        <v>0</v>
      </c>
      <c r="CB111" s="306">
        <f ca="1">COUNTIF('Group Stages'!N7:N102,BW111)</f>
        <v>0</v>
      </c>
      <c r="CC111" s="306">
        <f ca="1">COUNTIF('Group Stages'!O7:O102,BW111)</f>
        <v>0</v>
      </c>
      <c r="CD111" s="306">
        <f ca="1">COUNTIF('Group Stages'!P7:P102,BW111)</f>
        <v>0</v>
      </c>
      <c r="CE111" s="306">
        <f ca="1">COUNTIF('Group Stages'!Q7:Q102,BW111)</f>
        <v>0</v>
      </c>
      <c r="CF111" s="306">
        <f ca="1">COUNTIF('Knock Out Stages'!K7:K50,BW111)</f>
        <v>0</v>
      </c>
      <c r="CG111" s="306">
        <f ca="1">COUNTIF('Knock Out Stages'!L7:L50,BW111)</f>
        <v>0</v>
      </c>
      <c r="CH111" s="306">
        <f ca="1">COUNTIF('Knock Out Stages'!M7:M50,BW111)</f>
        <v>0</v>
      </c>
      <c r="CI111" s="306">
        <f ca="1">COUNTIF('Knock Out Stages'!N7:N50,BW111)</f>
        <v>0</v>
      </c>
      <c r="CJ111" s="306">
        <f ca="1">COUNTIF('Knock Out Stages'!O7:O50,BW111)</f>
        <v>0</v>
      </c>
      <c r="CK111" s="306">
        <f ca="1">COUNTIF('Knock Out Stages'!P7:P50,BW111)</f>
        <v>0</v>
      </c>
      <c r="CL111" s="306">
        <f ca="1">COUNTIF('Knock Out Stages'!Q7:Q50,BW111)</f>
        <v>0</v>
      </c>
      <c r="CM111" s="306">
        <f ca="1">COUNTIF('Knock Out Stages'!R7:R50,BW111)</f>
        <v>0</v>
      </c>
      <c r="CN111" s="306">
        <f ca="1">IF(RIGHT('Group Stages'!$B$105,5)="T.com",SUM(BX111:CM111),0)</f>
        <v>0</v>
      </c>
      <c r="CO111" s="306">
        <f ca="1">RANK(CN111,CN3:CN834)+COUNTIF(CN3:CN111,CN111)-1</f>
        <v>109</v>
      </c>
      <c r="CP111" s="306" t="str">
        <f t="shared" ca="1" si="76"/>
        <v>Conor Coady (England)</v>
      </c>
    </row>
    <row r="112" spans="1:94" x14ac:dyDescent="0.3">
      <c r="A112" s="306">
        <v>2</v>
      </c>
      <c r="B112" s="306" t="str">
        <f t="shared" si="116"/>
        <v>Alfred Gomis</v>
      </c>
      <c r="C112" s="306" t="str">
        <f t="shared" si="117"/>
        <v>Cody Gakpo</v>
      </c>
      <c r="D112" s="306" t="str">
        <f t="shared" si="117"/>
        <v>Abdulaziz Hatem</v>
      </c>
      <c r="E112" s="306" t="str">
        <f t="shared" si="117"/>
        <v>Alexander Domínguez</v>
      </c>
      <c r="F112" s="306" t="str">
        <f t="shared" si="118"/>
        <v>Ben White</v>
      </c>
      <c r="G112" s="306" t="str">
        <f t="shared" si="119"/>
        <v>Ahmad Nourollahi</v>
      </c>
      <c r="H112" s="306" t="str">
        <f t="shared" si="119"/>
        <v>Antonee Robinson</v>
      </c>
      <c r="I112" s="306" t="str">
        <f t="shared" si="119"/>
        <v>Adam Davies</v>
      </c>
      <c r="J112" s="306" t="str">
        <f t="shared" si="120"/>
        <v>Alexis Mac Allister</v>
      </c>
      <c r="K112" s="306" t="str">
        <f t="shared" si="121"/>
        <v>Abdulellah Al-Malki</v>
      </c>
      <c r="L112" s="306" t="str">
        <f t="shared" si="121"/>
        <v>Alfredo Talavera</v>
      </c>
      <c r="M112" s="306" t="str">
        <f t="shared" si="121"/>
        <v>Artur Jędrzejczyk</v>
      </c>
      <c r="N112" s="306" t="str">
        <f t="shared" si="122"/>
        <v>Andreas Christensen</v>
      </c>
      <c r="O112" s="306" t="str">
        <f t="shared" si="123"/>
        <v>Ali Abdi</v>
      </c>
      <c r="P112" s="306" t="str">
        <f t="shared" si="123"/>
        <v>Alphonse Areola</v>
      </c>
      <c r="Q112" s="306" t="str">
        <f t="shared" si="123"/>
        <v>Ajdin Hrustic</v>
      </c>
      <c r="R112" s="306" t="str">
        <f t="shared" si="124"/>
        <v>Armel Bella-Kotchap</v>
      </c>
      <c r="S112" s="306" t="str">
        <f t="shared" si="125"/>
        <v>Ayase Ueda</v>
      </c>
      <c r="T112" s="306" t="str">
        <f t="shared" si="125"/>
        <v>Ansu Fati</v>
      </c>
      <c r="U112" s="306" t="str">
        <f t="shared" si="125"/>
        <v>Anthony Contreras</v>
      </c>
      <c r="V112" s="306" t="str">
        <f t="shared" si="126"/>
        <v>Abdelhamid Sabiri</v>
      </c>
      <c r="W112" s="306" t="str">
        <f t="shared" si="127"/>
        <v>Ante Budimir</v>
      </c>
      <c r="X112" s="306" t="str">
        <f t="shared" si="127"/>
        <v>Arthur Theate</v>
      </c>
      <c r="Y112" s="306" t="str">
        <f t="shared" si="127"/>
        <v>Alphonso Davies</v>
      </c>
      <c r="Z112" s="306" t="str">
        <f t="shared" si="128"/>
        <v>Alex Telles</v>
      </c>
      <c r="AA112" s="306" t="str">
        <f t="shared" si="129"/>
        <v>Andrija Živković</v>
      </c>
      <c r="AB112" s="306" t="str">
        <f t="shared" si="129"/>
        <v>Breel Embolo</v>
      </c>
      <c r="AC112" s="306" t="str">
        <f t="shared" si="129"/>
        <v>André-Frank Zambo Anguissa</v>
      </c>
      <c r="AD112" s="306" t="str">
        <f t="shared" si="130"/>
        <v>António Silva</v>
      </c>
      <c r="AE112" s="306" t="str">
        <f t="shared" si="131"/>
        <v>Abdul Manaf Nurudeen</v>
      </c>
      <c r="AF112" s="306" t="str">
        <f t="shared" si="131"/>
        <v>Darwin Núñez</v>
      </c>
      <c r="AG112" s="306" t="str">
        <f t="shared" si="131"/>
        <v>Cho Yu-min</v>
      </c>
      <c r="BT112" s="306" t="str">
        <f t="shared" ca="1" si="70"/>
        <v>England</v>
      </c>
      <c r="BU112" s="306">
        <f t="shared" si="71"/>
        <v>5</v>
      </c>
      <c r="BV112" s="306">
        <f t="shared" si="72"/>
        <v>3</v>
      </c>
      <c r="BW112" s="306" t="str">
        <f ca="1">OFFSET(C3,BU112,BV112)</f>
        <v>Conor Gallagher</v>
      </c>
      <c r="BX112" s="306">
        <f ca="1">COUNTIF('Group Stages'!J7:J102,BW112)</f>
        <v>0</v>
      </c>
      <c r="BY112" s="306">
        <f ca="1">COUNTIF('Group Stages'!K7:K102,BW112)</f>
        <v>0</v>
      </c>
      <c r="BZ112" s="306">
        <f ca="1">COUNTIF('Group Stages'!L7:L102,BW112)</f>
        <v>0</v>
      </c>
      <c r="CA112" s="306">
        <f ca="1">COUNTIF('Group Stages'!M7:M102,BW112)</f>
        <v>0</v>
      </c>
      <c r="CB112" s="306">
        <f ca="1">COUNTIF('Group Stages'!N7:N102,BW112)</f>
        <v>0</v>
      </c>
      <c r="CC112" s="306">
        <f ca="1">COUNTIF('Group Stages'!O7:O102,BW112)</f>
        <v>0</v>
      </c>
      <c r="CD112" s="306">
        <f ca="1">COUNTIF('Group Stages'!P7:P102,BW112)</f>
        <v>0</v>
      </c>
      <c r="CE112" s="306">
        <f ca="1">COUNTIF('Group Stages'!Q7:Q102,BW112)</f>
        <v>0</v>
      </c>
      <c r="CF112" s="306">
        <f ca="1">COUNTIF('Knock Out Stages'!K7:K50,BW112)</f>
        <v>0</v>
      </c>
      <c r="CG112" s="306">
        <f ca="1">COUNTIF('Knock Out Stages'!L7:L50,BW112)</f>
        <v>0</v>
      </c>
      <c r="CH112" s="306">
        <f ca="1">COUNTIF('Knock Out Stages'!M7:M50,BW112)</f>
        <v>0</v>
      </c>
      <c r="CI112" s="306">
        <f ca="1">COUNTIF('Knock Out Stages'!N7:N50,BW112)</f>
        <v>0</v>
      </c>
      <c r="CJ112" s="306">
        <f ca="1">COUNTIF('Knock Out Stages'!O7:O50,BW112)</f>
        <v>0</v>
      </c>
      <c r="CK112" s="306">
        <f ca="1">COUNTIF('Knock Out Stages'!P7:P50,BW112)</f>
        <v>0</v>
      </c>
      <c r="CL112" s="306">
        <f ca="1">COUNTIF('Knock Out Stages'!Q7:Q50,BW112)</f>
        <v>0</v>
      </c>
      <c r="CM112" s="306">
        <f ca="1">COUNTIF('Knock Out Stages'!R7:R50,BW112)</f>
        <v>0</v>
      </c>
      <c r="CN112" s="306">
        <f ca="1">IF(RIGHT('Group Stages'!$B$105,5)="T.com",SUM(BX112:CM112),0)</f>
        <v>0</v>
      </c>
      <c r="CO112" s="306">
        <f ca="1">RANK(CN112,CN3:CN834)+COUNTIF(CN3:CN112,CN112)-1</f>
        <v>110</v>
      </c>
      <c r="CP112" s="306" t="str">
        <f t="shared" ca="1" si="76"/>
        <v>Conor Gallagher (England)</v>
      </c>
    </row>
    <row r="113" spans="1:94" x14ac:dyDescent="0.3">
      <c r="A113" s="306">
        <v>3</v>
      </c>
      <c r="B113" s="306" t="str">
        <f t="shared" si="116"/>
        <v>Bamba Dieng</v>
      </c>
      <c r="C113" s="306" t="str">
        <f t="shared" si="117"/>
        <v>Daley Blind</v>
      </c>
      <c r="D113" s="306" t="str">
        <f t="shared" si="117"/>
        <v>Ahmed Alaaeldin</v>
      </c>
      <c r="E113" s="306" t="str">
        <f t="shared" si="117"/>
        <v>Ángel Mena</v>
      </c>
      <c r="F113" s="306" t="str">
        <f t="shared" si="118"/>
        <v>Bukayo Saka</v>
      </c>
      <c r="G113" s="306" t="str">
        <f t="shared" si="119"/>
        <v>Ali Gholizadeh</v>
      </c>
      <c r="H113" s="306" t="str">
        <f t="shared" si="119"/>
        <v>Brenden Aaronson</v>
      </c>
      <c r="I113" s="306" t="str">
        <f t="shared" si="119"/>
        <v>Ben Cabango</v>
      </c>
      <c r="J113" s="306" t="str">
        <f t="shared" si="120"/>
        <v>Ángel Di María</v>
      </c>
      <c r="K113" s="306" t="str">
        <f t="shared" si="121"/>
        <v>Abdullah Madu</v>
      </c>
      <c r="L113" s="306" t="str">
        <f t="shared" si="121"/>
        <v>Andrés Guardado</v>
      </c>
      <c r="M113" s="306" t="str">
        <f t="shared" si="121"/>
        <v>Bartłomiej Drągowski</v>
      </c>
      <c r="N113" s="306" t="str">
        <f t="shared" si="122"/>
        <v>Andreas Cornelius</v>
      </c>
      <c r="O113" s="306" t="str">
        <f t="shared" si="123"/>
        <v>Ali Maâloul</v>
      </c>
      <c r="P113" s="306" t="str">
        <f t="shared" si="123"/>
        <v>Antoine Griezmann</v>
      </c>
      <c r="Q113" s="306" t="str">
        <f t="shared" si="123"/>
        <v>Andrew Redmayne</v>
      </c>
      <c r="R113" s="306" t="str">
        <f t="shared" si="124"/>
        <v>Christian Günter</v>
      </c>
      <c r="S113" s="306" t="str">
        <f t="shared" si="125"/>
        <v>Daichi Kamada</v>
      </c>
      <c r="T113" s="306" t="str">
        <f t="shared" si="125"/>
        <v>Aymeric Laporte</v>
      </c>
      <c r="U113" s="306" t="str">
        <f t="shared" si="125"/>
        <v>Anthony Hernández</v>
      </c>
      <c r="V113" s="306" t="str">
        <f t="shared" si="126"/>
        <v>Abderrazak Hamdallah</v>
      </c>
      <c r="W113" s="306" t="str">
        <f t="shared" si="127"/>
        <v>Borna Barišić</v>
      </c>
      <c r="X113" s="306" t="str">
        <f t="shared" si="127"/>
        <v>Axel Witsel</v>
      </c>
      <c r="Y113" s="306" t="str">
        <f t="shared" si="127"/>
        <v>Atiba Hutchinson</v>
      </c>
      <c r="Z113" s="306" t="str">
        <f t="shared" si="128"/>
        <v>Alisson</v>
      </c>
      <c r="AA113" s="306" t="str">
        <f t="shared" si="129"/>
        <v>Darko Lazović</v>
      </c>
      <c r="AB113" s="306" t="str">
        <f t="shared" si="129"/>
        <v>Christian Fassnacht</v>
      </c>
      <c r="AC113" s="306" t="str">
        <f t="shared" si="129"/>
        <v>Bryan Mbeumo</v>
      </c>
      <c r="AD113" s="306" t="str">
        <f t="shared" si="130"/>
        <v>Bernardo Silva</v>
      </c>
      <c r="AE113" s="306" t="str">
        <f t="shared" si="131"/>
        <v>Alexander Djiku</v>
      </c>
      <c r="AF113" s="306" t="str">
        <f t="shared" si="131"/>
        <v>Diego Godín</v>
      </c>
      <c r="AG113" s="306" t="str">
        <f t="shared" si="131"/>
        <v>Hong Chul</v>
      </c>
      <c r="BT113" s="306" t="str">
        <f t="shared" ca="1" si="70"/>
        <v>England</v>
      </c>
      <c r="BU113" s="306">
        <f t="shared" si="71"/>
        <v>6</v>
      </c>
      <c r="BV113" s="306">
        <f t="shared" si="72"/>
        <v>3</v>
      </c>
      <c r="BW113" s="306" t="str">
        <f ca="1">OFFSET(C3,BU113,BV113)</f>
        <v>Declan Rice</v>
      </c>
      <c r="BX113" s="306">
        <f ca="1">COUNTIF('Group Stages'!J7:J102,BW113)</f>
        <v>0</v>
      </c>
      <c r="BY113" s="306">
        <f ca="1">COUNTIF('Group Stages'!K7:K102,BW113)</f>
        <v>0</v>
      </c>
      <c r="BZ113" s="306">
        <f ca="1">COUNTIF('Group Stages'!L7:L102,BW113)</f>
        <v>0</v>
      </c>
      <c r="CA113" s="306">
        <f ca="1">COUNTIF('Group Stages'!M7:M102,BW113)</f>
        <v>0</v>
      </c>
      <c r="CB113" s="306">
        <f ca="1">COUNTIF('Group Stages'!N7:N102,BW113)</f>
        <v>0</v>
      </c>
      <c r="CC113" s="306">
        <f ca="1">COUNTIF('Group Stages'!O7:O102,BW113)</f>
        <v>0</v>
      </c>
      <c r="CD113" s="306">
        <f ca="1">COUNTIF('Group Stages'!P7:P102,BW113)</f>
        <v>0</v>
      </c>
      <c r="CE113" s="306">
        <f ca="1">COUNTIF('Group Stages'!Q7:Q102,BW113)</f>
        <v>0</v>
      </c>
      <c r="CF113" s="306">
        <f ca="1">COUNTIF('Knock Out Stages'!K7:K50,BW113)</f>
        <v>0</v>
      </c>
      <c r="CG113" s="306">
        <f ca="1">COUNTIF('Knock Out Stages'!L7:L50,BW113)</f>
        <v>0</v>
      </c>
      <c r="CH113" s="306">
        <f ca="1">COUNTIF('Knock Out Stages'!M7:M50,BW113)</f>
        <v>0</v>
      </c>
      <c r="CI113" s="306">
        <f ca="1">COUNTIF('Knock Out Stages'!N7:N50,BW113)</f>
        <v>0</v>
      </c>
      <c r="CJ113" s="306">
        <f ca="1">COUNTIF('Knock Out Stages'!O7:O50,BW113)</f>
        <v>0</v>
      </c>
      <c r="CK113" s="306">
        <f ca="1">COUNTIF('Knock Out Stages'!P7:P50,BW113)</f>
        <v>0</v>
      </c>
      <c r="CL113" s="306">
        <f ca="1">COUNTIF('Knock Out Stages'!Q7:Q50,BW113)</f>
        <v>0</v>
      </c>
      <c r="CM113" s="306">
        <f ca="1">COUNTIF('Knock Out Stages'!R7:R50,BW113)</f>
        <v>0</v>
      </c>
      <c r="CN113" s="306">
        <f ca="1">IF(RIGHT('Group Stages'!$B$105,5)="T.com",SUM(BX113:CM113),0)</f>
        <v>0</v>
      </c>
      <c r="CO113" s="306">
        <f ca="1">RANK(CN113,CN3:CN834)+COUNTIF(CN3:CN113,CN113)-1</f>
        <v>111</v>
      </c>
      <c r="CP113" s="306" t="str">
        <f t="shared" ca="1" si="76"/>
        <v>Declan Rice (England)</v>
      </c>
    </row>
    <row r="114" spans="1:94" x14ac:dyDescent="0.3">
      <c r="A114" s="306">
        <v>4</v>
      </c>
      <c r="B114" s="306" t="str">
        <f t="shared" si="116"/>
        <v>Boulaye Dia</v>
      </c>
      <c r="C114" s="306" t="str">
        <f t="shared" si="117"/>
        <v>Davy Klaassen</v>
      </c>
      <c r="D114" s="306" t="str">
        <f t="shared" si="117"/>
        <v>Akram Afif</v>
      </c>
      <c r="E114" s="306" t="str">
        <f t="shared" si="117"/>
        <v>Ángelo Preciado</v>
      </c>
      <c r="F114" s="306" t="str">
        <f t="shared" si="118"/>
        <v>Callum Wilson</v>
      </c>
      <c r="G114" s="306" t="str">
        <f t="shared" si="119"/>
        <v>Ali Karimi</v>
      </c>
      <c r="H114" s="306" t="str">
        <f t="shared" si="119"/>
        <v>Cameron Carter-Vickers</v>
      </c>
      <c r="I114" s="306" t="str">
        <f t="shared" si="119"/>
        <v>Ben Davies</v>
      </c>
      <c r="J114" s="306" t="str">
        <f t="shared" si="120"/>
        <v>Cristian Romero</v>
      </c>
      <c r="K114" s="306" t="str">
        <f t="shared" si="121"/>
        <v>Abdullah Otayf</v>
      </c>
      <c r="L114" s="306" t="str">
        <f t="shared" si="121"/>
        <v>Carlos Rodríguez</v>
      </c>
      <c r="M114" s="306" t="str">
        <f t="shared" si="121"/>
        <v>Bartosz Bereszyński</v>
      </c>
      <c r="N114" s="306" t="str">
        <f t="shared" si="122"/>
        <v>Andreas Skov Olsen</v>
      </c>
      <c r="O114" s="306" t="str">
        <f t="shared" si="123"/>
        <v>Anis Ben Slimane</v>
      </c>
      <c r="P114" s="306" t="str">
        <f t="shared" si="123"/>
        <v>Aurélien Tchouaméni</v>
      </c>
      <c r="Q114" s="306" t="str">
        <f t="shared" si="123"/>
        <v>Awer Mabil</v>
      </c>
      <c r="R114" s="306" t="str">
        <f t="shared" si="124"/>
        <v>David Raum</v>
      </c>
      <c r="S114" s="306" t="str">
        <f t="shared" si="125"/>
        <v>Daizen Maeda</v>
      </c>
      <c r="T114" s="306" t="str">
        <f t="shared" si="125"/>
        <v>Carlos Soler</v>
      </c>
      <c r="U114" s="306" t="str">
        <f t="shared" si="125"/>
        <v>Brandon Aguilera</v>
      </c>
      <c r="V114" s="306" t="str">
        <f t="shared" si="126"/>
        <v>Achraf Dari</v>
      </c>
      <c r="W114" s="306" t="str">
        <f t="shared" si="127"/>
        <v>Borna Sosa</v>
      </c>
      <c r="X114" s="306" t="str">
        <f t="shared" si="127"/>
        <v>Charles De Ketelaere</v>
      </c>
      <c r="Y114" s="306" t="str">
        <f t="shared" si="127"/>
        <v>Cyle Larin</v>
      </c>
      <c r="Z114" s="306" t="str">
        <f t="shared" si="128"/>
        <v>Antony</v>
      </c>
      <c r="AA114" s="306" t="str">
        <f t="shared" si="129"/>
        <v>Dušan Tadić</v>
      </c>
      <c r="AB114" s="306" t="str">
        <f t="shared" si="129"/>
        <v>Denis Zakaria</v>
      </c>
      <c r="AC114" s="306" t="str">
        <f t="shared" si="129"/>
        <v>Christian Bassogog</v>
      </c>
      <c r="AD114" s="306" t="str">
        <f t="shared" si="130"/>
        <v>Bruno Fernandes</v>
      </c>
      <c r="AE114" s="306" t="str">
        <f t="shared" si="131"/>
        <v>Alidu Seidu</v>
      </c>
      <c r="AF114" s="306" t="str">
        <f t="shared" si="131"/>
        <v>Edinson Cavani</v>
      </c>
      <c r="AG114" s="306" t="str">
        <f t="shared" si="131"/>
        <v>Hwang Hee-chan</v>
      </c>
      <c r="BT114" s="306" t="str">
        <f t="shared" ca="1" si="70"/>
        <v>England</v>
      </c>
      <c r="BU114" s="306">
        <f t="shared" si="71"/>
        <v>7</v>
      </c>
      <c r="BV114" s="306">
        <f t="shared" si="72"/>
        <v>3</v>
      </c>
      <c r="BW114" s="306" t="str">
        <f ca="1">OFFSET(C3,BU114,BV114)</f>
        <v>Eric Dier</v>
      </c>
      <c r="BX114" s="306">
        <f ca="1">COUNTIF('Group Stages'!J7:J102,BW114)</f>
        <v>0</v>
      </c>
      <c r="BY114" s="306">
        <f ca="1">COUNTIF('Group Stages'!K7:K102,BW114)</f>
        <v>0</v>
      </c>
      <c r="BZ114" s="306">
        <f ca="1">COUNTIF('Group Stages'!L7:L102,BW114)</f>
        <v>0</v>
      </c>
      <c r="CA114" s="306">
        <f ca="1">COUNTIF('Group Stages'!M7:M102,BW114)</f>
        <v>0</v>
      </c>
      <c r="CB114" s="306">
        <f ca="1">COUNTIF('Group Stages'!N7:N102,BW114)</f>
        <v>0</v>
      </c>
      <c r="CC114" s="306">
        <f ca="1">COUNTIF('Group Stages'!O7:O102,BW114)</f>
        <v>0</v>
      </c>
      <c r="CD114" s="306">
        <f ca="1">COUNTIF('Group Stages'!P7:P102,BW114)</f>
        <v>0</v>
      </c>
      <c r="CE114" s="306">
        <f ca="1">COUNTIF('Group Stages'!Q7:Q102,BW114)</f>
        <v>0</v>
      </c>
      <c r="CF114" s="306">
        <f ca="1">COUNTIF('Knock Out Stages'!K7:K50,BW114)</f>
        <v>0</v>
      </c>
      <c r="CG114" s="306">
        <f ca="1">COUNTIF('Knock Out Stages'!L7:L50,BW114)</f>
        <v>0</v>
      </c>
      <c r="CH114" s="306">
        <f ca="1">COUNTIF('Knock Out Stages'!M7:M50,BW114)</f>
        <v>0</v>
      </c>
      <c r="CI114" s="306">
        <f ca="1">COUNTIF('Knock Out Stages'!N7:N50,BW114)</f>
        <v>0</v>
      </c>
      <c r="CJ114" s="306">
        <f ca="1">COUNTIF('Knock Out Stages'!O7:O50,BW114)</f>
        <v>0</v>
      </c>
      <c r="CK114" s="306">
        <f ca="1">COUNTIF('Knock Out Stages'!P7:P50,BW114)</f>
        <v>0</v>
      </c>
      <c r="CL114" s="306">
        <f ca="1">COUNTIF('Knock Out Stages'!Q7:Q50,BW114)</f>
        <v>0</v>
      </c>
      <c r="CM114" s="306">
        <f ca="1">COUNTIF('Knock Out Stages'!R7:R50,BW114)</f>
        <v>0</v>
      </c>
      <c r="CN114" s="306">
        <f ca="1">IF(RIGHT('Group Stages'!$B$105,5)="T.com",SUM(BX114:CM114),0)</f>
        <v>0</v>
      </c>
      <c r="CO114" s="306">
        <f ca="1">RANK(CN114,CN3:CN834)+COUNTIF(CN3:CN114,CN114)-1</f>
        <v>112</v>
      </c>
      <c r="CP114" s="306" t="str">
        <f t="shared" ca="1" si="76"/>
        <v>Eric Dier (England)</v>
      </c>
    </row>
    <row r="115" spans="1:94" x14ac:dyDescent="0.3">
      <c r="A115" s="306">
        <v>5</v>
      </c>
      <c r="B115" s="306" t="str">
        <f t="shared" si="116"/>
        <v>Cheikhou Kouyaté</v>
      </c>
      <c r="C115" s="306" t="str">
        <f t="shared" si="117"/>
        <v>Denzel Dumfries</v>
      </c>
      <c r="D115" s="306" t="str">
        <f t="shared" si="117"/>
        <v>Ali Assadalla</v>
      </c>
      <c r="E115" s="306" t="str">
        <f t="shared" si="117"/>
        <v>Ayrton Preciado</v>
      </c>
      <c r="F115" s="306" t="str">
        <f t="shared" si="118"/>
        <v>Conor Coady</v>
      </c>
      <c r="G115" s="306" t="str">
        <f t="shared" si="119"/>
        <v>Alireza Beiranvand</v>
      </c>
      <c r="H115" s="306" t="str">
        <f t="shared" si="119"/>
        <v>Christian Pulisic</v>
      </c>
      <c r="I115" s="306" t="str">
        <f t="shared" si="119"/>
        <v>Brennan Johnson</v>
      </c>
      <c r="J115" s="306" t="str">
        <f t="shared" si="120"/>
        <v>Emiliano Martínez</v>
      </c>
      <c r="K115" s="306" t="str">
        <f t="shared" si="121"/>
        <v>Abdulrahman Al-Aboud</v>
      </c>
      <c r="L115" s="306" t="str">
        <f t="shared" si="121"/>
        <v>César Montes</v>
      </c>
      <c r="M115" s="306" t="str">
        <f t="shared" si="121"/>
        <v>Damian Szymański</v>
      </c>
      <c r="N115" s="306" t="str">
        <f t="shared" si="122"/>
        <v>Christian Eriksen</v>
      </c>
      <c r="O115" s="306" t="str">
        <f t="shared" si="123"/>
        <v>Aymen Dahmen</v>
      </c>
      <c r="P115" s="306" t="str">
        <f t="shared" si="123"/>
        <v>Benjamin Pavard</v>
      </c>
      <c r="Q115" s="306" t="str">
        <f t="shared" si="123"/>
        <v>Aziz Behich</v>
      </c>
      <c r="R115" s="306" t="str">
        <f t="shared" si="124"/>
        <v>İlkay Gündoğan</v>
      </c>
      <c r="S115" s="306" t="str">
        <f t="shared" si="125"/>
        <v>Daniel Schmidt</v>
      </c>
      <c r="T115" s="306" t="str">
        <f t="shared" si="125"/>
        <v>César Azpilicueta</v>
      </c>
      <c r="U115" s="306" t="str">
        <f t="shared" si="125"/>
        <v>Bryan Oviedo</v>
      </c>
      <c r="V115" s="306" t="str">
        <f t="shared" si="126"/>
        <v>Achraf Hakimi</v>
      </c>
      <c r="W115" s="306" t="str">
        <f t="shared" si="127"/>
        <v>Bruno Petković</v>
      </c>
      <c r="X115" s="306" t="str">
        <f t="shared" si="127"/>
        <v>Dries Mertens</v>
      </c>
      <c r="Y115" s="306" t="str">
        <f t="shared" si="127"/>
        <v>David Wotherspoon</v>
      </c>
      <c r="Z115" s="306" t="str">
        <f t="shared" si="128"/>
        <v>Bremer</v>
      </c>
      <c r="AA115" s="306" t="str">
        <f t="shared" si="129"/>
        <v>Dušan Vlahović</v>
      </c>
      <c r="AB115" s="306" t="str">
        <f t="shared" si="129"/>
        <v>Djibril Sow</v>
      </c>
      <c r="AC115" s="306" t="str">
        <f t="shared" si="129"/>
        <v>Christopher Wooh</v>
      </c>
      <c r="AD115" s="306" t="str">
        <f t="shared" si="130"/>
        <v>Cristiano Ronaldo</v>
      </c>
      <c r="AE115" s="306" t="str">
        <f t="shared" si="131"/>
        <v>André Ayew</v>
      </c>
      <c r="AF115" s="306" t="str">
        <f t="shared" si="131"/>
        <v>Facundo Pellistri</v>
      </c>
      <c r="AG115" s="306" t="str">
        <f t="shared" si="131"/>
        <v>Hwang In-beom</v>
      </c>
      <c r="BT115" s="306" t="str">
        <f t="shared" ca="1" si="70"/>
        <v>England</v>
      </c>
      <c r="BU115" s="306">
        <f t="shared" si="71"/>
        <v>8</v>
      </c>
      <c r="BV115" s="306">
        <f t="shared" si="72"/>
        <v>3</v>
      </c>
      <c r="BW115" s="306" t="str">
        <f ca="1">OFFSET(C3,BU115,BV115)</f>
        <v>Harry Kane</v>
      </c>
      <c r="BX115" s="306">
        <f ca="1">COUNTIF('Group Stages'!J7:J102,BW115)</f>
        <v>0</v>
      </c>
      <c r="BY115" s="306">
        <f ca="1">COUNTIF('Group Stages'!K7:K102,BW115)</f>
        <v>0</v>
      </c>
      <c r="BZ115" s="306">
        <f ca="1">COUNTIF('Group Stages'!L7:L102,BW115)</f>
        <v>0</v>
      </c>
      <c r="CA115" s="306">
        <f ca="1">COUNTIF('Group Stages'!M7:M102,BW115)</f>
        <v>0</v>
      </c>
      <c r="CB115" s="306">
        <f ca="1">COUNTIF('Group Stages'!N7:N102,BW115)</f>
        <v>0</v>
      </c>
      <c r="CC115" s="306">
        <f ca="1">COUNTIF('Group Stages'!O7:O102,BW115)</f>
        <v>0</v>
      </c>
      <c r="CD115" s="306">
        <f ca="1">COUNTIF('Group Stages'!P7:P102,BW115)</f>
        <v>0</v>
      </c>
      <c r="CE115" s="306">
        <f ca="1">COUNTIF('Group Stages'!Q7:Q102,BW115)</f>
        <v>0</v>
      </c>
      <c r="CF115" s="306">
        <f ca="1">COUNTIF('Knock Out Stages'!K7:K50,BW115)</f>
        <v>0</v>
      </c>
      <c r="CG115" s="306">
        <f ca="1">COUNTIF('Knock Out Stages'!L7:L50,BW115)</f>
        <v>0</v>
      </c>
      <c r="CH115" s="306">
        <f ca="1">COUNTIF('Knock Out Stages'!M7:M50,BW115)</f>
        <v>0</v>
      </c>
      <c r="CI115" s="306">
        <f ca="1">COUNTIF('Knock Out Stages'!N7:N50,BW115)</f>
        <v>0</v>
      </c>
      <c r="CJ115" s="306">
        <f ca="1">COUNTIF('Knock Out Stages'!O7:O50,BW115)</f>
        <v>0</v>
      </c>
      <c r="CK115" s="306">
        <f ca="1">COUNTIF('Knock Out Stages'!P7:P50,BW115)</f>
        <v>0</v>
      </c>
      <c r="CL115" s="306">
        <f ca="1">COUNTIF('Knock Out Stages'!Q7:Q50,BW115)</f>
        <v>0</v>
      </c>
      <c r="CM115" s="306">
        <f ca="1">COUNTIF('Knock Out Stages'!R7:R50,BW115)</f>
        <v>0</v>
      </c>
      <c r="CN115" s="306">
        <f ca="1">IF(RIGHT('Group Stages'!$B$105,5)="T.com",SUM(BX115:CM115),0)</f>
        <v>0</v>
      </c>
      <c r="CO115" s="306">
        <f ca="1">RANK(CN115,CN3:CN834)+COUNTIF(CN3:CN115,CN115)-1</f>
        <v>113</v>
      </c>
      <c r="CP115" s="306" t="str">
        <f t="shared" ca="1" si="76"/>
        <v>Harry Kane (England)</v>
      </c>
    </row>
    <row r="116" spans="1:94" x14ac:dyDescent="0.3">
      <c r="A116" s="306">
        <v>6</v>
      </c>
      <c r="B116" s="306" t="str">
        <f t="shared" si="116"/>
        <v>Édouard Mendy</v>
      </c>
      <c r="C116" s="306" t="str">
        <f t="shared" si="117"/>
        <v>Frenkie de Jong</v>
      </c>
      <c r="D116" s="306" t="str">
        <f t="shared" si="117"/>
        <v>Almoez Ali</v>
      </c>
      <c r="E116" s="306" t="str">
        <f t="shared" si="117"/>
        <v>Carlos Gruezo</v>
      </c>
      <c r="F116" s="306" t="str">
        <f t="shared" si="118"/>
        <v>Conor Gallagher</v>
      </c>
      <c r="G116" s="306" t="str">
        <f t="shared" si="119"/>
        <v>Alireza Jahanbakhsh</v>
      </c>
      <c r="H116" s="306" t="str">
        <f t="shared" si="119"/>
        <v>Cristian Roldan</v>
      </c>
      <c r="I116" s="306" t="str">
        <f t="shared" si="119"/>
        <v>Chris Gunter</v>
      </c>
      <c r="J116" s="306" t="str">
        <f t="shared" si="120"/>
        <v>Enzo Fernández</v>
      </c>
      <c r="K116" s="306" t="str">
        <f t="shared" si="121"/>
        <v>Ali Al-Bulaihi</v>
      </c>
      <c r="L116" s="306" t="str">
        <f t="shared" si="121"/>
        <v>Edson Álvarez</v>
      </c>
      <c r="M116" s="306" t="str">
        <f t="shared" si="121"/>
        <v>Grzegorz Krychowiak</v>
      </c>
      <c r="N116" s="306" t="str">
        <f t="shared" si="122"/>
        <v>Christian Nørgaard</v>
      </c>
      <c r="O116" s="306" t="str">
        <f t="shared" si="123"/>
        <v>Aymen Mathlouthi</v>
      </c>
      <c r="P116" s="306" t="str">
        <f t="shared" si="123"/>
        <v>Benoit Badiashile</v>
      </c>
      <c r="Q116" s="306" t="str">
        <f t="shared" si="123"/>
        <v>Bailey Wright</v>
      </c>
      <c r="R116" s="306" t="str">
        <f t="shared" si="124"/>
        <v>Jamal Musiala</v>
      </c>
      <c r="S116" s="306" t="str">
        <f t="shared" si="125"/>
        <v>Eiji Kawashima</v>
      </c>
      <c r="T116" s="306" t="str">
        <f t="shared" si="125"/>
        <v>Dani Carvajal</v>
      </c>
      <c r="U116" s="306" t="str">
        <f t="shared" si="125"/>
        <v>Bryan Ruiz</v>
      </c>
      <c r="V116" s="306" t="str">
        <f t="shared" si="126"/>
        <v>Ahmed Reda Tagnaouti</v>
      </c>
      <c r="W116" s="306" t="str">
        <f t="shared" si="127"/>
        <v>Dejan Lovren</v>
      </c>
      <c r="X116" s="306" t="str">
        <f t="shared" si="127"/>
        <v>Eden Hazard</v>
      </c>
      <c r="Y116" s="306" t="str">
        <f t="shared" si="127"/>
        <v>Dayne St. Clair</v>
      </c>
      <c r="Z116" s="306" t="str">
        <f t="shared" si="128"/>
        <v>Bruno Guimarães</v>
      </c>
      <c r="AA116" s="306" t="str">
        <f t="shared" si="129"/>
        <v>Filip Đuričić</v>
      </c>
      <c r="AB116" s="306" t="str">
        <f t="shared" si="129"/>
        <v>Edimilson Fernandes</v>
      </c>
      <c r="AC116" s="306" t="str">
        <f t="shared" si="129"/>
        <v>Collins Fai</v>
      </c>
      <c r="AD116" s="306" t="str">
        <f t="shared" si="130"/>
        <v>Danilo Pereira</v>
      </c>
      <c r="AE116" s="306" t="str">
        <f t="shared" si="131"/>
        <v>Antoine Semenyo</v>
      </c>
      <c r="AF116" s="306" t="str">
        <f t="shared" si="131"/>
        <v>Facundo Torres</v>
      </c>
      <c r="AG116" s="306" t="str">
        <f t="shared" si="131"/>
        <v>Hwang Ui-jo</v>
      </c>
      <c r="BT116" s="306" t="str">
        <f t="shared" ca="1" si="70"/>
        <v>England</v>
      </c>
      <c r="BU116" s="306">
        <f t="shared" si="71"/>
        <v>9</v>
      </c>
      <c r="BV116" s="306">
        <f t="shared" si="72"/>
        <v>3</v>
      </c>
      <c r="BW116" s="306" t="str">
        <f ca="1">OFFSET(C3,BU116,BV116)</f>
        <v>Harry Maguire</v>
      </c>
      <c r="BX116" s="306">
        <f ca="1">COUNTIF('Group Stages'!J7:J102,BW116)</f>
        <v>0</v>
      </c>
      <c r="BY116" s="306">
        <f ca="1">COUNTIF('Group Stages'!K7:K102,BW116)</f>
        <v>0</v>
      </c>
      <c r="BZ116" s="306">
        <f ca="1">COUNTIF('Group Stages'!L7:L102,BW116)</f>
        <v>0</v>
      </c>
      <c r="CA116" s="306">
        <f ca="1">COUNTIF('Group Stages'!M7:M102,BW116)</f>
        <v>0</v>
      </c>
      <c r="CB116" s="306">
        <f ca="1">COUNTIF('Group Stages'!N7:N102,BW116)</f>
        <v>0</v>
      </c>
      <c r="CC116" s="306">
        <f ca="1">COUNTIF('Group Stages'!O7:O102,BW116)</f>
        <v>0</v>
      </c>
      <c r="CD116" s="306">
        <f ca="1">COUNTIF('Group Stages'!P7:P102,BW116)</f>
        <v>0</v>
      </c>
      <c r="CE116" s="306">
        <f ca="1">COUNTIF('Group Stages'!Q7:Q102,BW116)</f>
        <v>0</v>
      </c>
      <c r="CF116" s="306">
        <f ca="1">COUNTIF('Knock Out Stages'!K7:K50,BW116)</f>
        <v>0</v>
      </c>
      <c r="CG116" s="306">
        <f ca="1">COUNTIF('Knock Out Stages'!L7:L50,BW116)</f>
        <v>0</v>
      </c>
      <c r="CH116" s="306">
        <f ca="1">COUNTIF('Knock Out Stages'!M7:M50,BW116)</f>
        <v>0</v>
      </c>
      <c r="CI116" s="306">
        <f ca="1">COUNTIF('Knock Out Stages'!N7:N50,BW116)</f>
        <v>0</v>
      </c>
      <c r="CJ116" s="306">
        <f ca="1">COUNTIF('Knock Out Stages'!O7:O50,BW116)</f>
        <v>0</v>
      </c>
      <c r="CK116" s="306">
        <f ca="1">COUNTIF('Knock Out Stages'!P7:P50,BW116)</f>
        <v>0</v>
      </c>
      <c r="CL116" s="306">
        <f ca="1">COUNTIF('Knock Out Stages'!Q7:Q50,BW116)</f>
        <v>0</v>
      </c>
      <c r="CM116" s="306">
        <f ca="1">COUNTIF('Knock Out Stages'!R7:R50,BW116)</f>
        <v>0</v>
      </c>
      <c r="CN116" s="306">
        <f ca="1">IF(RIGHT('Group Stages'!$B$105,5)="T.com",SUM(BX116:CM116),0)</f>
        <v>0</v>
      </c>
      <c r="CO116" s="306">
        <f ca="1">RANK(CN116,CN3:CN834)+COUNTIF(CN3:CN116,CN116)-1</f>
        <v>114</v>
      </c>
      <c r="CP116" s="306" t="str">
        <f t="shared" ca="1" si="76"/>
        <v>Harry Maguire (England)</v>
      </c>
    </row>
    <row r="117" spans="1:94" x14ac:dyDescent="0.3">
      <c r="A117" s="306">
        <v>7</v>
      </c>
      <c r="B117" s="306" t="str">
        <f t="shared" si="116"/>
        <v>Famara Diédhiou</v>
      </c>
      <c r="C117" s="306" t="str">
        <f t="shared" si="117"/>
        <v>Jeremie Frimpong</v>
      </c>
      <c r="D117" s="306" t="str">
        <f t="shared" si="117"/>
        <v>Assim Madibo</v>
      </c>
      <c r="E117" s="306" t="str">
        <f t="shared" si="117"/>
        <v>Diego Palacios</v>
      </c>
      <c r="F117" s="306" t="str">
        <f t="shared" si="118"/>
        <v>Declan Rice</v>
      </c>
      <c r="G117" s="306" t="str">
        <f t="shared" si="119"/>
        <v>Amir Abedzadeh</v>
      </c>
      <c r="H117" s="306" t="str">
        <f t="shared" si="119"/>
        <v>DeAndre Yedlin</v>
      </c>
      <c r="I117" s="306" t="str">
        <f t="shared" si="119"/>
        <v>Chris Mepham</v>
      </c>
      <c r="J117" s="306" t="str">
        <f t="shared" si="120"/>
        <v>Exequiel Palacios</v>
      </c>
      <c r="K117" s="306" t="str">
        <f t="shared" si="121"/>
        <v>Ali Al-Hassan</v>
      </c>
      <c r="L117" s="306" t="str">
        <f t="shared" si="121"/>
        <v>Érick Gutiérrez</v>
      </c>
      <c r="M117" s="306" t="str">
        <f t="shared" si="121"/>
        <v>Jakub Kamiński</v>
      </c>
      <c r="N117" s="306" t="str">
        <f t="shared" si="122"/>
        <v>Daniel Wass</v>
      </c>
      <c r="O117" s="306" t="str">
        <f t="shared" si="123"/>
        <v>Bechir Ben Saïd</v>
      </c>
      <c r="P117" s="306" t="str">
        <f t="shared" si="123"/>
        <v>Christopher Nkunku</v>
      </c>
      <c r="Q117" s="306" t="str">
        <f t="shared" si="123"/>
        <v>Cameron Devlin</v>
      </c>
      <c r="R117" s="306" t="str">
        <f t="shared" si="124"/>
        <v>Jonas Hofmann</v>
      </c>
      <c r="S117" s="306" t="str">
        <f t="shared" si="125"/>
        <v>Gaku Shibasaki</v>
      </c>
      <c r="T117" s="306" t="str">
        <f t="shared" si="125"/>
        <v>Dani Olmo</v>
      </c>
      <c r="U117" s="306" t="str">
        <f t="shared" si="125"/>
        <v>Carlos Martínez</v>
      </c>
      <c r="V117" s="306" t="str">
        <f t="shared" si="126"/>
        <v>Amine Harit</v>
      </c>
      <c r="W117" s="306" t="str">
        <f t="shared" si="127"/>
        <v>Domagoj Vida</v>
      </c>
      <c r="X117" s="306" t="str">
        <f t="shared" si="127"/>
        <v>Hans Vanaken</v>
      </c>
      <c r="Y117" s="306" t="str">
        <f t="shared" si="127"/>
        <v>Derek Cornelius</v>
      </c>
      <c r="Z117" s="306" t="str">
        <f t="shared" si="128"/>
        <v>Casemiro</v>
      </c>
      <c r="AA117" s="306" t="str">
        <f t="shared" si="129"/>
        <v>Filip Kostić</v>
      </c>
      <c r="AB117" s="306" t="str">
        <f t="shared" si="129"/>
        <v>Eray Cömert</v>
      </c>
      <c r="AC117" s="306" t="str">
        <f t="shared" si="129"/>
        <v>Devis Epassy</v>
      </c>
      <c r="AD117" s="306" t="str">
        <f t="shared" si="130"/>
        <v>Diogo Costa</v>
      </c>
      <c r="AE117" s="306" t="str">
        <f t="shared" si="131"/>
        <v>Baba Rahman</v>
      </c>
      <c r="AF117" s="306" t="str">
        <f t="shared" si="131"/>
        <v>Federico Valverde</v>
      </c>
      <c r="AG117" s="306" t="str">
        <f t="shared" si="131"/>
        <v>Jeong Woo-yeong</v>
      </c>
      <c r="BT117" s="306" t="str">
        <f t="shared" ca="1" si="70"/>
        <v>England</v>
      </c>
      <c r="BU117" s="306">
        <f t="shared" si="71"/>
        <v>10</v>
      </c>
      <c r="BV117" s="306">
        <f t="shared" si="72"/>
        <v>3</v>
      </c>
      <c r="BW117" s="306" t="str">
        <f ca="1">OFFSET(C3,BU117,BV117)</f>
        <v>Jack Grealish</v>
      </c>
      <c r="BX117" s="306">
        <f ca="1">COUNTIF('Group Stages'!J7:J102,BW117)</f>
        <v>0</v>
      </c>
      <c r="BY117" s="306">
        <f ca="1">COUNTIF('Group Stages'!K7:K102,BW117)</f>
        <v>0</v>
      </c>
      <c r="BZ117" s="306">
        <f ca="1">COUNTIF('Group Stages'!L7:L102,BW117)</f>
        <v>0</v>
      </c>
      <c r="CA117" s="306">
        <f ca="1">COUNTIF('Group Stages'!M7:M102,BW117)</f>
        <v>0</v>
      </c>
      <c r="CB117" s="306">
        <f ca="1">COUNTIF('Group Stages'!N7:N102,BW117)</f>
        <v>0</v>
      </c>
      <c r="CC117" s="306">
        <f ca="1">COUNTIF('Group Stages'!O7:O102,BW117)</f>
        <v>0</v>
      </c>
      <c r="CD117" s="306">
        <f ca="1">COUNTIF('Group Stages'!P7:P102,BW117)</f>
        <v>0</v>
      </c>
      <c r="CE117" s="306">
        <f ca="1">COUNTIF('Group Stages'!Q7:Q102,BW117)</f>
        <v>0</v>
      </c>
      <c r="CF117" s="306">
        <f ca="1">COUNTIF('Knock Out Stages'!K7:K50,BW117)</f>
        <v>0</v>
      </c>
      <c r="CG117" s="306">
        <f ca="1">COUNTIF('Knock Out Stages'!L7:L50,BW117)</f>
        <v>0</v>
      </c>
      <c r="CH117" s="306">
        <f ca="1">COUNTIF('Knock Out Stages'!M7:M50,BW117)</f>
        <v>0</v>
      </c>
      <c r="CI117" s="306">
        <f ca="1">COUNTIF('Knock Out Stages'!N7:N50,BW117)</f>
        <v>0</v>
      </c>
      <c r="CJ117" s="306">
        <f ca="1">COUNTIF('Knock Out Stages'!O7:O50,BW117)</f>
        <v>0</v>
      </c>
      <c r="CK117" s="306">
        <f ca="1">COUNTIF('Knock Out Stages'!P7:P50,BW117)</f>
        <v>0</v>
      </c>
      <c r="CL117" s="306">
        <f ca="1">COUNTIF('Knock Out Stages'!Q7:Q50,BW117)</f>
        <v>0</v>
      </c>
      <c r="CM117" s="306">
        <f ca="1">COUNTIF('Knock Out Stages'!R7:R50,BW117)</f>
        <v>0</v>
      </c>
      <c r="CN117" s="306">
        <f ca="1">IF(RIGHT('Group Stages'!$B$105,5)="T.com",SUM(BX117:CM117),0)</f>
        <v>0</v>
      </c>
      <c r="CO117" s="306">
        <f ca="1">RANK(CN117,CN3:CN834)+COUNTIF(CN3:CN117,CN117)-1</f>
        <v>115</v>
      </c>
      <c r="CP117" s="306" t="str">
        <f t="shared" ca="1" si="76"/>
        <v>Jack Grealish (England)</v>
      </c>
    </row>
    <row r="118" spans="1:94" x14ac:dyDescent="0.3">
      <c r="A118" s="306">
        <v>8</v>
      </c>
      <c r="B118" s="306" t="str">
        <f t="shared" si="116"/>
        <v>Fodé Ballo-Touré</v>
      </c>
      <c r="C118" s="306" t="str">
        <f t="shared" si="117"/>
        <v>Jurriën Timber</v>
      </c>
      <c r="D118" s="306" t="str">
        <f t="shared" si="117"/>
        <v>Bassam Al-Rawi</v>
      </c>
      <c r="E118" s="306" t="str">
        <f t="shared" si="117"/>
        <v>Djorkaeff Reasco</v>
      </c>
      <c r="F118" s="306" t="str">
        <f t="shared" si="118"/>
        <v>Eric Dier</v>
      </c>
      <c r="G118" s="306" t="str">
        <f t="shared" si="119"/>
        <v>Ehsan Hajsafi</v>
      </c>
      <c r="H118" s="306" t="str">
        <f t="shared" si="119"/>
        <v>Ethan Horvath</v>
      </c>
      <c r="I118" s="306" t="str">
        <f t="shared" si="119"/>
        <v>Connor Roberts</v>
      </c>
      <c r="J118" s="306" t="str">
        <f t="shared" si="120"/>
        <v>Franco Armani</v>
      </c>
      <c r="K118" s="306" t="str">
        <f t="shared" si="121"/>
        <v>Fahad Al-Muwallad</v>
      </c>
      <c r="L118" s="306" t="str">
        <f t="shared" si="121"/>
        <v>Gerardo Arteaga</v>
      </c>
      <c r="M118" s="306" t="str">
        <f t="shared" si="121"/>
        <v>Jakub Kiwior</v>
      </c>
      <c r="N118" s="306" t="str">
        <f t="shared" si="122"/>
        <v>Frederik Rønnow</v>
      </c>
      <c r="O118" s="306" t="str">
        <f t="shared" si="123"/>
        <v>Bilel Ifa</v>
      </c>
      <c r="P118" s="306" t="str">
        <f t="shared" si="123"/>
        <v>Dayot Upamecano</v>
      </c>
      <c r="Q118" s="306" t="str">
        <f t="shared" si="123"/>
        <v>Craig Goodwin</v>
      </c>
      <c r="R118" s="306" t="str">
        <f t="shared" si="124"/>
        <v>Joshua Kimmich</v>
      </c>
      <c r="S118" s="306" t="str">
        <f t="shared" si="125"/>
        <v>Hidemasa Morita</v>
      </c>
      <c r="T118" s="306" t="str">
        <f t="shared" si="125"/>
        <v>David Raya</v>
      </c>
      <c r="U118" s="306" t="str">
        <f t="shared" si="125"/>
        <v>Celso Borges</v>
      </c>
      <c r="V118" s="306" t="str">
        <f t="shared" si="126"/>
        <v>Azzedine Ounahi</v>
      </c>
      <c r="W118" s="306" t="str">
        <f t="shared" si="127"/>
        <v>Dominik Livaković</v>
      </c>
      <c r="X118" s="306" t="str">
        <f t="shared" si="127"/>
        <v>Jan Vertonghen</v>
      </c>
      <c r="Y118" s="306" t="str">
        <f t="shared" si="127"/>
        <v>Iké Ugbo</v>
      </c>
      <c r="Z118" s="306" t="str">
        <f t="shared" si="128"/>
        <v>Dani Alves</v>
      </c>
      <c r="AA118" s="306" t="str">
        <f t="shared" si="129"/>
        <v>Filip Mladenović</v>
      </c>
      <c r="AB118" s="306" t="str">
        <f t="shared" si="129"/>
        <v>Fabian Frei</v>
      </c>
      <c r="AC118" s="306" t="str">
        <f t="shared" si="129"/>
        <v>Enzo Ebosse</v>
      </c>
      <c r="AD118" s="306" t="str">
        <f t="shared" si="130"/>
        <v>Diogo Dalot</v>
      </c>
      <c r="AE118" s="306" t="str">
        <f t="shared" si="131"/>
        <v>Daniel Afriyie</v>
      </c>
      <c r="AF118" s="306" t="str">
        <f t="shared" si="131"/>
        <v>Fernando Muslera</v>
      </c>
      <c r="AG118" s="306" t="str">
        <f t="shared" si="131"/>
        <v>Jo Hyeon-woo</v>
      </c>
      <c r="BT118" s="306" t="str">
        <f t="shared" ca="1" si="70"/>
        <v>England</v>
      </c>
      <c r="BU118" s="306">
        <f t="shared" si="71"/>
        <v>11</v>
      </c>
      <c r="BV118" s="306">
        <f t="shared" si="72"/>
        <v>3</v>
      </c>
      <c r="BW118" s="306" t="str">
        <f ca="1">OFFSET(C3,BU118,BV118)</f>
        <v>James Maddison</v>
      </c>
      <c r="BX118" s="306">
        <f ca="1">COUNTIF('Group Stages'!J7:J102,BW118)</f>
        <v>0</v>
      </c>
      <c r="BY118" s="306">
        <f ca="1">COUNTIF('Group Stages'!K7:K102,BW118)</f>
        <v>0</v>
      </c>
      <c r="BZ118" s="306">
        <f ca="1">COUNTIF('Group Stages'!L7:L102,BW118)</f>
        <v>0</v>
      </c>
      <c r="CA118" s="306">
        <f ca="1">COUNTIF('Group Stages'!M7:M102,BW118)</f>
        <v>0</v>
      </c>
      <c r="CB118" s="306">
        <f ca="1">COUNTIF('Group Stages'!N7:N102,BW118)</f>
        <v>0</v>
      </c>
      <c r="CC118" s="306">
        <f ca="1">COUNTIF('Group Stages'!O7:O102,BW118)</f>
        <v>0</v>
      </c>
      <c r="CD118" s="306">
        <f ca="1">COUNTIF('Group Stages'!P7:P102,BW118)</f>
        <v>0</v>
      </c>
      <c r="CE118" s="306">
        <f ca="1">COUNTIF('Group Stages'!Q7:Q102,BW118)</f>
        <v>0</v>
      </c>
      <c r="CF118" s="306">
        <f ca="1">COUNTIF('Knock Out Stages'!K7:K50,BW118)</f>
        <v>0</v>
      </c>
      <c r="CG118" s="306">
        <f ca="1">COUNTIF('Knock Out Stages'!L7:L50,BW118)</f>
        <v>0</v>
      </c>
      <c r="CH118" s="306">
        <f ca="1">COUNTIF('Knock Out Stages'!M7:M50,BW118)</f>
        <v>0</v>
      </c>
      <c r="CI118" s="306">
        <f ca="1">COUNTIF('Knock Out Stages'!N7:N50,BW118)</f>
        <v>0</v>
      </c>
      <c r="CJ118" s="306">
        <f ca="1">COUNTIF('Knock Out Stages'!O7:O50,BW118)</f>
        <v>0</v>
      </c>
      <c r="CK118" s="306">
        <f ca="1">COUNTIF('Knock Out Stages'!P7:P50,BW118)</f>
        <v>0</v>
      </c>
      <c r="CL118" s="306">
        <f ca="1">COUNTIF('Knock Out Stages'!Q7:Q50,BW118)</f>
        <v>0</v>
      </c>
      <c r="CM118" s="306">
        <f ca="1">COUNTIF('Knock Out Stages'!R7:R50,BW118)</f>
        <v>0</v>
      </c>
      <c r="CN118" s="306">
        <f ca="1">IF(RIGHT('Group Stages'!$B$105,5)="T.com",SUM(BX118:CM118),0)</f>
        <v>0</v>
      </c>
      <c r="CO118" s="306">
        <f ca="1">RANK(CN118,CN3:CN834)+COUNTIF(CN3:CN118,CN118)-1</f>
        <v>116</v>
      </c>
      <c r="CP118" s="306" t="str">
        <f t="shared" ca="1" si="76"/>
        <v>James Maddison (England)</v>
      </c>
    </row>
    <row r="119" spans="1:94" x14ac:dyDescent="0.3">
      <c r="A119" s="306">
        <v>9</v>
      </c>
      <c r="B119" s="306" t="str">
        <f t="shared" si="116"/>
        <v>Formose Mendy</v>
      </c>
      <c r="C119" s="306" t="str">
        <f t="shared" si="117"/>
        <v>Justin Bijlow</v>
      </c>
      <c r="D119" s="306" t="str">
        <f t="shared" si="117"/>
        <v>Boualem Khoukhi</v>
      </c>
      <c r="E119" s="306" t="str">
        <f t="shared" si="117"/>
        <v>Enner Valencia</v>
      </c>
      <c r="F119" s="306" t="str">
        <f t="shared" si="118"/>
        <v>Harry Kane</v>
      </c>
      <c r="G119" s="306" t="str">
        <f t="shared" si="119"/>
        <v>Hossein Hosseini</v>
      </c>
      <c r="H119" s="306" t="str">
        <f t="shared" si="119"/>
        <v>Giovanni Reyna</v>
      </c>
      <c r="I119" s="306" t="str">
        <f t="shared" si="119"/>
        <v>Daniel James</v>
      </c>
      <c r="J119" s="306" t="str">
        <f t="shared" si="120"/>
        <v>Germán Pezzella</v>
      </c>
      <c r="K119" s="306" t="str">
        <f t="shared" si="121"/>
        <v>Firas Al-Buraikan</v>
      </c>
      <c r="L119" s="306" t="str">
        <f t="shared" si="121"/>
        <v>Guillermo Ochoa</v>
      </c>
      <c r="M119" s="306" t="str">
        <f t="shared" si="121"/>
        <v>Jan Bednarek</v>
      </c>
      <c r="N119" s="306" t="str">
        <f t="shared" si="122"/>
        <v>Jens Stryger Larsen</v>
      </c>
      <c r="O119" s="306" t="str">
        <f t="shared" si="123"/>
        <v>Dylan Bronn</v>
      </c>
      <c r="P119" s="306" t="str">
        <f t="shared" si="123"/>
        <v>Eduardo Camavinga</v>
      </c>
      <c r="Q119" s="306" t="str">
        <f t="shared" si="123"/>
        <v>Danny Vukovic</v>
      </c>
      <c r="R119" s="306" t="str">
        <f t="shared" si="124"/>
        <v>Julian Brandt</v>
      </c>
      <c r="S119" s="306" t="str">
        <f t="shared" si="125"/>
        <v>Hiroki Itō</v>
      </c>
      <c r="T119" s="306" t="str">
        <f t="shared" si="125"/>
        <v>Eric García</v>
      </c>
      <c r="U119" s="306" t="str">
        <f t="shared" si="125"/>
        <v>Daniel Chacón</v>
      </c>
      <c r="V119" s="306" t="str">
        <f t="shared" si="126"/>
        <v>Badr Benoun</v>
      </c>
      <c r="W119" s="306" t="str">
        <f t="shared" si="127"/>
        <v>Ivan Perišić</v>
      </c>
      <c r="X119" s="306" t="str">
        <f t="shared" si="127"/>
        <v>Jérémy Doku</v>
      </c>
      <c r="Y119" s="306" t="str">
        <f t="shared" si="127"/>
        <v>Ismaël Koné</v>
      </c>
      <c r="Z119" s="306" t="str">
        <f t="shared" si="128"/>
        <v>Danilo</v>
      </c>
      <c r="AA119" s="306" t="str">
        <f t="shared" si="129"/>
        <v>Ivan Ilić</v>
      </c>
      <c r="AB119" s="306" t="str">
        <f t="shared" si="129"/>
        <v>Fabian Rieder</v>
      </c>
      <c r="AC119" s="306" t="str">
        <f t="shared" si="129"/>
        <v>Eric Maxim Choupo-Moting</v>
      </c>
      <c r="AD119" s="306" t="str">
        <f t="shared" si="130"/>
        <v>Gonçalo Ramos</v>
      </c>
      <c r="AE119" s="306" t="str">
        <f t="shared" si="131"/>
        <v>Daniel Amartey</v>
      </c>
      <c r="AF119" s="306" t="str">
        <f t="shared" si="131"/>
        <v>Giorgian de Arrascaeta</v>
      </c>
      <c r="AG119" s="306" t="str">
        <f t="shared" si="131"/>
        <v>Jung Woo-young</v>
      </c>
      <c r="BT119" s="306" t="str">
        <f t="shared" ca="1" si="70"/>
        <v>England</v>
      </c>
      <c r="BU119" s="306">
        <f t="shared" si="71"/>
        <v>12</v>
      </c>
      <c r="BV119" s="306">
        <f t="shared" si="72"/>
        <v>3</v>
      </c>
      <c r="BW119" s="306" t="str">
        <f ca="1">OFFSET(C3,BU119,BV119)</f>
        <v>John Stones</v>
      </c>
      <c r="BX119" s="306">
        <f ca="1">COUNTIF('Group Stages'!J7:J102,BW119)</f>
        <v>0</v>
      </c>
      <c r="BY119" s="306">
        <f ca="1">COUNTIF('Group Stages'!K7:K102,BW119)</f>
        <v>0</v>
      </c>
      <c r="BZ119" s="306">
        <f ca="1">COUNTIF('Group Stages'!L7:L102,BW119)</f>
        <v>0</v>
      </c>
      <c r="CA119" s="306">
        <f ca="1">COUNTIF('Group Stages'!M7:M102,BW119)</f>
        <v>0</v>
      </c>
      <c r="CB119" s="306">
        <f ca="1">COUNTIF('Group Stages'!N7:N102,BW119)</f>
        <v>0</v>
      </c>
      <c r="CC119" s="306">
        <f ca="1">COUNTIF('Group Stages'!O7:O102,BW119)</f>
        <v>0</v>
      </c>
      <c r="CD119" s="306">
        <f ca="1">COUNTIF('Group Stages'!P7:P102,BW119)</f>
        <v>0</v>
      </c>
      <c r="CE119" s="306">
        <f ca="1">COUNTIF('Group Stages'!Q7:Q102,BW119)</f>
        <v>0</v>
      </c>
      <c r="CF119" s="306">
        <f ca="1">COUNTIF('Knock Out Stages'!K7:K50,BW119)</f>
        <v>0</v>
      </c>
      <c r="CG119" s="306">
        <f ca="1">COUNTIF('Knock Out Stages'!L7:L50,BW119)</f>
        <v>0</v>
      </c>
      <c r="CH119" s="306">
        <f ca="1">COUNTIF('Knock Out Stages'!M7:M50,BW119)</f>
        <v>0</v>
      </c>
      <c r="CI119" s="306">
        <f ca="1">COUNTIF('Knock Out Stages'!N7:N50,BW119)</f>
        <v>0</v>
      </c>
      <c r="CJ119" s="306">
        <f ca="1">COUNTIF('Knock Out Stages'!O7:O50,BW119)</f>
        <v>0</v>
      </c>
      <c r="CK119" s="306">
        <f ca="1">COUNTIF('Knock Out Stages'!P7:P50,BW119)</f>
        <v>0</v>
      </c>
      <c r="CL119" s="306">
        <f ca="1">COUNTIF('Knock Out Stages'!Q7:Q50,BW119)</f>
        <v>0</v>
      </c>
      <c r="CM119" s="306">
        <f ca="1">COUNTIF('Knock Out Stages'!R7:R50,BW119)</f>
        <v>0</v>
      </c>
      <c r="CN119" s="306">
        <f ca="1">IF(RIGHT('Group Stages'!$B$105,5)="T.com",SUM(BX119:CM119),0)</f>
        <v>0</v>
      </c>
      <c r="CO119" s="306">
        <f ca="1">RANK(CN119,CN3:CN834)+COUNTIF(CN3:CN119,CN119)-1</f>
        <v>117</v>
      </c>
      <c r="CP119" s="306" t="str">
        <f t="shared" ca="1" si="76"/>
        <v>John Stones (England)</v>
      </c>
    </row>
    <row r="120" spans="1:94" x14ac:dyDescent="0.3">
      <c r="A120" s="306">
        <v>10</v>
      </c>
      <c r="B120" s="306" t="str">
        <f t="shared" si="116"/>
        <v>Idrissa Gueye</v>
      </c>
      <c r="C120" s="306" t="str">
        <f t="shared" si="117"/>
        <v>Kenneth Taylor</v>
      </c>
      <c r="D120" s="306" t="str">
        <f t="shared" si="117"/>
        <v>Hassan Al-Haydos</v>
      </c>
      <c r="E120" s="306" t="str">
        <f t="shared" si="117"/>
        <v>Félix Torres</v>
      </c>
      <c r="F120" s="306" t="str">
        <f t="shared" si="118"/>
        <v>Harry Maguire</v>
      </c>
      <c r="G120" s="306" t="str">
        <f t="shared" si="119"/>
        <v>Hossein Kanaanizadegan</v>
      </c>
      <c r="H120" s="306" t="str">
        <f t="shared" si="119"/>
        <v>Haji Wright</v>
      </c>
      <c r="I120" s="306" t="str">
        <f t="shared" si="119"/>
        <v>Danny Ward</v>
      </c>
      <c r="J120" s="306" t="str">
        <f t="shared" si="120"/>
        <v>Gerónimo Rulli</v>
      </c>
      <c r="K120" s="306" t="str">
        <f t="shared" si="121"/>
        <v>Haitham Asiri</v>
      </c>
      <c r="L120" s="306" t="str">
        <f t="shared" si="121"/>
        <v>Héctor Herrera</v>
      </c>
      <c r="M120" s="306" t="str">
        <f t="shared" si="121"/>
        <v>Kamil Glik</v>
      </c>
      <c r="N120" s="306" t="str">
        <f t="shared" si="122"/>
        <v>Jesper Lindstrøm</v>
      </c>
      <c r="O120" s="306" t="str">
        <f t="shared" si="123"/>
        <v>Ellyes Skhiri</v>
      </c>
      <c r="P120" s="306" t="str">
        <f t="shared" si="123"/>
        <v>Hugo Lloris</v>
      </c>
      <c r="Q120" s="306" t="str">
        <f t="shared" si="123"/>
        <v>Fran Karačić</v>
      </c>
      <c r="R120" s="306" t="str">
        <f t="shared" si="124"/>
        <v>Kai Havertz</v>
      </c>
      <c r="S120" s="306" t="str">
        <f t="shared" si="125"/>
        <v>Hiroki Sakai</v>
      </c>
      <c r="T120" s="306" t="str">
        <f t="shared" si="125"/>
        <v>Ferran Torres</v>
      </c>
      <c r="U120" s="306" t="str">
        <f t="shared" si="125"/>
        <v>Douglas López</v>
      </c>
      <c r="V120" s="306" t="str">
        <f t="shared" si="126"/>
        <v>Bilal El Khannous</v>
      </c>
      <c r="W120" s="306" t="str">
        <f t="shared" si="127"/>
        <v>Ivica Ivušić</v>
      </c>
      <c r="X120" s="306" t="str">
        <f t="shared" si="127"/>
        <v>Kevin De Bruyne</v>
      </c>
      <c r="Y120" s="306" t="str">
        <f t="shared" si="127"/>
        <v>James Pantemis</v>
      </c>
      <c r="Z120" s="306" t="str">
        <f t="shared" si="128"/>
        <v>Éder Militão</v>
      </c>
      <c r="AA120" s="306" t="str">
        <f t="shared" si="129"/>
        <v>Luka Jović</v>
      </c>
      <c r="AB120" s="306" t="str">
        <f t="shared" si="129"/>
        <v>Fabian Schär</v>
      </c>
      <c r="AC120" s="306" t="str">
        <f t="shared" si="129"/>
        <v>Gaël Ondoua</v>
      </c>
      <c r="AD120" s="306" t="str">
        <f t="shared" si="130"/>
        <v>João Cancelo</v>
      </c>
      <c r="AE120" s="306" t="str">
        <f t="shared" si="131"/>
        <v>Daniel-Kofi Kyereh</v>
      </c>
      <c r="AF120" s="306" t="str">
        <f t="shared" si="131"/>
        <v>Guillermo Varela</v>
      </c>
      <c r="AG120" s="306" t="str">
        <f t="shared" si="131"/>
        <v>Kim Jin-su</v>
      </c>
      <c r="BT120" s="306" t="str">
        <f t="shared" ref="BT120:BT183" ca="1" si="132">BT119</f>
        <v>England</v>
      </c>
      <c r="BU120" s="306">
        <f t="shared" ref="BU120:BU183" si="133">BU94</f>
        <v>13</v>
      </c>
      <c r="BV120" s="306">
        <f t="shared" ref="BV120:BV183" si="134">BV94+1</f>
        <v>3</v>
      </c>
      <c r="BW120" s="306" t="str">
        <f ca="1">OFFSET(C3,BU120,BV120)</f>
        <v>Jordan Henderson</v>
      </c>
      <c r="BX120" s="306">
        <f ca="1">COUNTIF('Group Stages'!J7:J102,BW120)</f>
        <v>0</v>
      </c>
      <c r="BY120" s="306">
        <f ca="1">COUNTIF('Group Stages'!K7:K102,BW120)</f>
        <v>0</v>
      </c>
      <c r="BZ120" s="306">
        <f ca="1">COUNTIF('Group Stages'!L7:L102,BW120)</f>
        <v>0</v>
      </c>
      <c r="CA120" s="306">
        <f ca="1">COUNTIF('Group Stages'!M7:M102,BW120)</f>
        <v>0</v>
      </c>
      <c r="CB120" s="306">
        <f ca="1">COUNTIF('Group Stages'!N7:N102,BW120)</f>
        <v>0</v>
      </c>
      <c r="CC120" s="306">
        <f ca="1">COUNTIF('Group Stages'!O7:O102,BW120)</f>
        <v>0</v>
      </c>
      <c r="CD120" s="306">
        <f ca="1">COUNTIF('Group Stages'!P7:P102,BW120)</f>
        <v>0</v>
      </c>
      <c r="CE120" s="306">
        <f ca="1">COUNTIF('Group Stages'!Q7:Q102,BW120)</f>
        <v>0</v>
      </c>
      <c r="CF120" s="306">
        <f ca="1">COUNTIF('Knock Out Stages'!K7:K50,BW120)</f>
        <v>0</v>
      </c>
      <c r="CG120" s="306">
        <f ca="1">COUNTIF('Knock Out Stages'!L7:L50,BW120)</f>
        <v>0</v>
      </c>
      <c r="CH120" s="306">
        <f ca="1">COUNTIF('Knock Out Stages'!M7:M50,BW120)</f>
        <v>0</v>
      </c>
      <c r="CI120" s="306">
        <f ca="1">COUNTIF('Knock Out Stages'!N7:N50,BW120)</f>
        <v>0</v>
      </c>
      <c r="CJ120" s="306">
        <f ca="1">COUNTIF('Knock Out Stages'!O7:O50,BW120)</f>
        <v>0</v>
      </c>
      <c r="CK120" s="306">
        <f ca="1">COUNTIF('Knock Out Stages'!P7:P50,BW120)</f>
        <v>0</v>
      </c>
      <c r="CL120" s="306">
        <f ca="1">COUNTIF('Knock Out Stages'!Q7:Q50,BW120)</f>
        <v>0</v>
      </c>
      <c r="CM120" s="306">
        <f ca="1">COUNTIF('Knock Out Stages'!R7:R50,BW120)</f>
        <v>0</v>
      </c>
      <c r="CN120" s="306">
        <f ca="1">IF(RIGHT('Group Stages'!$B$105,5)="T.com",SUM(BX120:CM120),0)</f>
        <v>0</v>
      </c>
      <c r="CO120" s="306">
        <f ca="1">RANK(CN120,CN3:CN834)+COUNTIF(CN3:CN120,CN120)-1</f>
        <v>118</v>
      </c>
      <c r="CP120" s="306" t="str">
        <f t="shared" ca="1" si="76"/>
        <v>Jordan Henderson (England)</v>
      </c>
    </row>
    <row r="121" spans="1:94" x14ac:dyDescent="0.3">
      <c r="A121" s="306">
        <v>11</v>
      </c>
      <c r="B121" s="306" t="str">
        <f t="shared" si="116"/>
        <v>Iliman Ndiaye</v>
      </c>
      <c r="C121" s="306" t="str">
        <f t="shared" si="117"/>
        <v>Luuk de Jong</v>
      </c>
      <c r="D121" s="306" t="str">
        <f t="shared" si="117"/>
        <v>Homam Ahmed</v>
      </c>
      <c r="E121" s="306" t="str">
        <f t="shared" si="117"/>
        <v>Gonzalo Plata</v>
      </c>
      <c r="F121" s="306" t="str">
        <f t="shared" si="118"/>
        <v>Jack Grealish</v>
      </c>
      <c r="G121" s="306" t="str">
        <f t="shared" si="119"/>
        <v>Karim Ansarifard</v>
      </c>
      <c r="H121" s="306" t="str">
        <f t="shared" si="119"/>
        <v>Jesús Ferreira</v>
      </c>
      <c r="I121" s="306" t="str">
        <f t="shared" si="119"/>
        <v>Dylan Levitt</v>
      </c>
      <c r="J121" s="306" t="str">
        <f t="shared" si="120"/>
        <v>Gonzalo Montiel</v>
      </c>
      <c r="K121" s="306" t="str">
        <f t="shared" si="121"/>
        <v>Hassan Tambakti</v>
      </c>
      <c r="L121" s="306" t="str">
        <f t="shared" si="121"/>
        <v>Héctor Moreno</v>
      </c>
      <c r="M121" s="306" t="str">
        <f t="shared" si="121"/>
        <v>Kamil Grosicki</v>
      </c>
      <c r="N121" s="306" t="str">
        <f t="shared" si="122"/>
        <v>Joachim Andersen</v>
      </c>
      <c r="O121" s="306" t="str">
        <f t="shared" si="123"/>
        <v>Ferjani Sassi</v>
      </c>
      <c r="P121" s="306" t="str">
        <f t="shared" si="123"/>
        <v>Ibrahima Konaté</v>
      </c>
      <c r="Q121" s="306" t="str">
        <f t="shared" si="123"/>
        <v>Garang Kuol</v>
      </c>
      <c r="R121" s="306" t="str">
        <f t="shared" si="124"/>
        <v>Karim Adeyemi</v>
      </c>
      <c r="S121" s="306" t="str">
        <f t="shared" si="125"/>
        <v>Junya Ito</v>
      </c>
      <c r="T121" s="306" t="str">
        <f t="shared" si="125"/>
        <v>Gavi</v>
      </c>
      <c r="U121" s="306" t="str">
        <f t="shared" si="125"/>
        <v>Esteban Alvarado</v>
      </c>
      <c r="V121" s="306" t="str">
        <f t="shared" si="126"/>
        <v>Hakim Ziyech</v>
      </c>
      <c r="W121" s="306" t="str">
        <f t="shared" si="127"/>
        <v>Ivo Grbić</v>
      </c>
      <c r="X121" s="306" t="str">
        <f t="shared" si="127"/>
        <v>Koen Casteels</v>
      </c>
      <c r="Y121" s="306" t="str">
        <f t="shared" si="127"/>
        <v>Joel Waterman</v>
      </c>
      <c r="Z121" s="306" t="str">
        <f t="shared" si="128"/>
        <v>Ederson</v>
      </c>
      <c r="AA121" s="306" t="str">
        <f t="shared" si="129"/>
        <v>Marko Dmitrović</v>
      </c>
      <c r="AB121" s="306" t="str">
        <f t="shared" si="129"/>
        <v>Granit Xhaka</v>
      </c>
      <c r="AC121" s="306" t="str">
        <f t="shared" si="129"/>
        <v>Georges-Kévin Nkoudou</v>
      </c>
      <c r="AD121" s="306" t="str">
        <f t="shared" si="130"/>
        <v>João Félix</v>
      </c>
      <c r="AE121" s="306" t="str">
        <f t="shared" si="131"/>
        <v>Denis Odoi</v>
      </c>
      <c r="AF121" s="306" t="str">
        <f t="shared" si="131"/>
        <v>José Giménez</v>
      </c>
      <c r="AG121" s="306" t="str">
        <f t="shared" si="131"/>
        <v>Kim Min-jae</v>
      </c>
      <c r="BT121" s="306" t="str">
        <f t="shared" ca="1" si="132"/>
        <v>England</v>
      </c>
      <c r="BU121" s="306">
        <f t="shared" si="133"/>
        <v>14</v>
      </c>
      <c r="BV121" s="306">
        <f t="shared" si="134"/>
        <v>3</v>
      </c>
      <c r="BW121" s="306" t="str">
        <f ca="1">OFFSET(C3,BU121,BV121)</f>
        <v>Jordan Pickford</v>
      </c>
      <c r="BX121" s="306">
        <f ca="1">COUNTIF('Group Stages'!J7:J102,BW121)</f>
        <v>0</v>
      </c>
      <c r="BY121" s="306">
        <f ca="1">COUNTIF('Group Stages'!K7:K102,BW121)</f>
        <v>0</v>
      </c>
      <c r="BZ121" s="306">
        <f ca="1">COUNTIF('Group Stages'!L7:L102,BW121)</f>
        <v>0</v>
      </c>
      <c r="CA121" s="306">
        <f ca="1">COUNTIF('Group Stages'!M7:M102,BW121)</f>
        <v>0</v>
      </c>
      <c r="CB121" s="306">
        <f ca="1">COUNTIF('Group Stages'!N7:N102,BW121)</f>
        <v>0</v>
      </c>
      <c r="CC121" s="306">
        <f ca="1">COUNTIF('Group Stages'!O7:O102,BW121)</f>
        <v>0</v>
      </c>
      <c r="CD121" s="306">
        <f ca="1">COUNTIF('Group Stages'!P7:P102,BW121)</f>
        <v>0</v>
      </c>
      <c r="CE121" s="306">
        <f ca="1">COUNTIF('Group Stages'!Q7:Q102,BW121)</f>
        <v>0</v>
      </c>
      <c r="CF121" s="306">
        <f ca="1">COUNTIF('Knock Out Stages'!K7:K50,BW121)</f>
        <v>0</v>
      </c>
      <c r="CG121" s="306">
        <f ca="1">COUNTIF('Knock Out Stages'!L7:L50,BW121)</f>
        <v>0</v>
      </c>
      <c r="CH121" s="306">
        <f ca="1">COUNTIF('Knock Out Stages'!M7:M50,BW121)</f>
        <v>0</v>
      </c>
      <c r="CI121" s="306">
        <f ca="1">COUNTIF('Knock Out Stages'!N7:N50,BW121)</f>
        <v>0</v>
      </c>
      <c r="CJ121" s="306">
        <f ca="1">COUNTIF('Knock Out Stages'!O7:O50,BW121)</f>
        <v>0</v>
      </c>
      <c r="CK121" s="306">
        <f ca="1">COUNTIF('Knock Out Stages'!P7:P50,BW121)</f>
        <v>0</v>
      </c>
      <c r="CL121" s="306">
        <f ca="1">COUNTIF('Knock Out Stages'!Q7:Q50,BW121)</f>
        <v>0</v>
      </c>
      <c r="CM121" s="306">
        <f ca="1">COUNTIF('Knock Out Stages'!R7:R50,BW121)</f>
        <v>0</v>
      </c>
      <c r="CN121" s="306">
        <f ca="1">IF(RIGHT('Group Stages'!$B$105,5)="T.com",SUM(BX121:CM121),0)</f>
        <v>0</v>
      </c>
      <c r="CO121" s="306">
        <f ca="1">RANK(CN121,CN3:CN834)+COUNTIF(CN3:CN121,CN121)-1</f>
        <v>119</v>
      </c>
      <c r="CP121" s="306" t="str">
        <f t="shared" ca="1" si="76"/>
        <v>Jordan Pickford (England)</v>
      </c>
    </row>
    <row r="122" spans="1:94" x14ac:dyDescent="0.3">
      <c r="A122" s="306">
        <v>12</v>
      </c>
      <c r="B122" s="306" t="str">
        <f t="shared" si="116"/>
        <v>Ismail Jakobs</v>
      </c>
      <c r="C122" s="306" t="str">
        <f t="shared" si="117"/>
        <v>Marten de Roon</v>
      </c>
      <c r="D122" s="306" t="str">
        <f t="shared" si="117"/>
        <v>Ismaeel Mohammad</v>
      </c>
      <c r="E122" s="306" t="str">
        <f t="shared" si="117"/>
        <v>Hernán Galíndez</v>
      </c>
      <c r="F122" s="306" t="str">
        <f t="shared" si="118"/>
        <v>James Maddison</v>
      </c>
      <c r="G122" s="306" t="str">
        <f t="shared" si="119"/>
        <v>Majid Hosseini</v>
      </c>
      <c r="H122" s="306" t="str">
        <f t="shared" si="119"/>
        <v>Joe Scally</v>
      </c>
      <c r="I122" s="306" t="str">
        <f t="shared" si="119"/>
        <v>Ethan Ampadu</v>
      </c>
      <c r="J122" s="306" t="str">
        <f t="shared" si="120"/>
        <v>Guido Rodríguez</v>
      </c>
      <c r="K122" s="306" t="str">
        <f t="shared" si="121"/>
        <v>Hattan Bahebri</v>
      </c>
      <c r="L122" s="306" t="str">
        <f t="shared" si="121"/>
        <v>Henry Martín</v>
      </c>
      <c r="M122" s="306" t="str">
        <f t="shared" si="121"/>
        <v>Karol Świderski</v>
      </c>
      <c r="N122" s="306" t="str">
        <f t="shared" si="122"/>
        <v>Joakim Mæhle</v>
      </c>
      <c r="O122" s="306" t="str">
        <f t="shared" si="123"/>
        <v>Ghailene Chaalali</v>
      </c>
      <c r="P122" s="306" t="str">
        <f t="shared" si="123"/>
        <v>Jordan Veretout</v>
      </c>
      <c r="Q122" s="306" t="str">
        <f t="shared" si="123"/>
        <v>Harry Souttar</v>
      </c>
      <c r="R122" s="306" t="str">
        <f t="shared" si="124"/>
        <v>Kevin Trapp</v>
      </c>
      <c r="S122" s="306" t="str">
        <f t="shared" si="125"/>
        <v>Kaoru Mitoma</v>
      </c>
      <c r="T122" s="306" t="str">
        <f t="shared" si="125"/>
        <v>Hugo Guillamón</v>
      </c>
      <c r="U122" s="306" t="str">
        <f t="shared" si="125"/>
        <v>Francisco Calvo</v>
      </c>
      <c r="V122" s="306" t="str">
        <f t="shared" si="126"/>
        <v>Ilias Chair</v>
      </c>
      <c r="W122" s="306" t="str">
        <f t="shared" si="127"/>
        <v>Josip Juranović</v>
      </c>
      <c r="X122" s="306" t="str">
        <f t="shared" si="127"/>
        <v>Leander Dendoncker</v>
      </c>
      <c r="Y122" s="306" t="str">
        <f t="shared" si="127"/>
        <v>Jonathan David</v>
      </c>
      <c r="Z122" s="306" t="str">
        <f t="shared" si="128"/>
        <v>Éverton Ribeiro</v>
      </c>
      <c r="AA122" s="306" t="str">
        <f t="shared" si="129"/>
        <v>Marko Grujić</v>
      </c>
      <c r="AB122" s="306" t="str">
        <f t="shared" si="129"/>
        <v>Gregor Kobel</v>
      </c>
      <c r="AC122" s="306" t="str">
        <f t="shared" si="129"/>
        <v>Jean-Charles Castelletto</v>
      </c>
      <c r="AD122" s="306" t="str">
        <f t="shared" si="130"/>
        <v>João Mário</v>
      </c>
      <c r="AE122" s="306" t="str">
        <f t="shared" si="131"/>
        <v>Elisha Owusu</v>
      </c>
      <c r="AF122" s="306" t="str">
        <f t="shared" si="131"/>
        <v>José Luis Rodríguez</v>
      </c>
      <c r="AG122" s="306" t="str">
        <f t="shared" si="131"/>
        <v>Kim Moon-hwan</v>
      </c>
      <c r="BT122" s="306" t="str">
        <f t="shared" ca="1" si="132"/>
        <v>England</v>
      </c>
      <c r="BU122" s="306">
        <f t="shared" si="133"/>
        <v>15</v>
      </c>
      <c r="BV122" s="306">
        <f t="shared" si="134"/>
        <v>3</v>
      </c>
      <c r="BW122" s="306" t="str">
        <f ca="1">OFFSET(C3,BU122,BV122)</f>
        <v>Jude Bellingham</v>
      </c>
      <c r="BX122" s="306">
        <f ca="1">COUNTIF('Group Stages'!J7:J102,BW122)</f>
        <v>0</v>
      </c>
      <c r="BY122" s="306">
        <f ca="1">COUNTIF('Group Stages'!K7:K102,BW122)</f>
        <v>0</v>
      </c>
      <c r="BZ122" s="306">
        <f ca="1">COUNTIF('Group Stages'!L7:L102,BW122)</f>
        <v>0</v>
      </c>
      <c r="CA122" s="306">
        <f ca="1">COUNTIF('Group Stages'!M7:M102,BW122)</f>
        <v>0</v>
      </c>
      <c r="CB122" s="306">
        <f ca="1">COUNTIF('Group Stages'!N7:N102,BW122)</f>
        <v>0</v>
      </c>
      <c r="CC122" s="306">
        <f ca="1">COUNTIF('Group Stages'!O7:O102,BW122)</f>
        <v>0</v>
      </c>
      <c r="CD122" s="306">
        <f ca="1">COUNTIF('Group Stages'!P7:P102,BW122)</f>
        <v>0</v>
      </c>
      <c r="CE122" s="306">
        <f ca="1">COUNTIF('Group Stages'!Q7:Q102,BW122)</f>
        <v>0</v>
      </c>
      <c r="CF122" s="306">
        <f ca="1">COUNTIF('Knock Out Stages'!K7:K50,BW122)</f>
        <v>0</v>
      </c>
      <c r="CG122" s="306">
        <f ca="1">COUNTIF('Knock Out Stages'!L7:L50,BW122)</f>
        <v>0</v>
      </c>
      <c r="CH122" s="306">
        <f ca="1">COUNTIF('Knock Out Stages'!M7:M50,BW122)</f>
        <v>0</v>
      </c>
      <c r="CI122" s="306">
        <f ca="1">COUNTIF('Knock Out Stages'!N7:N50,BW122)</f>
        <v>0</v>
      </c>
      <c r="CJ122" s="306">
        <f ca="1">COUNTIF('Knock Out Stages'!O7:O50,BW122)</f>
        <v>0</v>
      </c>
      <c r="CK122" s="306">
        <f ca="1">COUNTIF('Knock Out Stages'!P7:P50,BW122)</f>
        <v>0</v>
      </c>
      <c r="CL122" s="306">
        <f ca="1">COUNTIF('Knock Out Stages'!Q7:Q50,BW122)</f>
        <v>0</v>
      </c>
      <c r="CM122" s="306">
        <f ca="1">COUNTIF('Knock Out Stages'!R7:R50,BW122)</f>
        <v>0</v>
      </c>
      <c r="CN122" s="306">
        <f ca="1">IF(RIGHT('Group Stages'!$B$105,5)="T.com",SUM(BX122:CM122),0)</f>
        <v>0</v>
      </c>
      <c r="CO122" s="306">
        <f ca="1">RANK(CN122,CN3:CN834)+COUNTIF(CN3:CN122,CN122)-1</f>
        <v>120</v>
      </c>
      <c r="CP122" s="306" t="str">
        <f t="shared" ca="1" si="76"/>
        <v>Jude Bellingham (England)</v>
      </c>
    </row>
    <row r="123" spans="1:94" x14ac:dyDescent="0.3">
      <c r="A123" s="306">
        <v>13</v>
      </c>
      <c r="B123" s="306" t="str">
        <f t="shared" si="116"/>
        <v>Ismaïla Sarr</v>
      </c>
      <c r="C123" s="306" t="str">
        <f t="shared" si="117"/>
        <v>Matthijs de Ligt</v>
      </c>
      <c r="D123" s="306" t="str">
        <f t="shared" si="117"/>
        <v>Jassem Gaber</v>
      </c>
      <c r="E123" s="306" t="str">
        <f t="shared" si="117"/>
        <v>Jackson Porozo</v>
      </c>
      <c r="F123" s="306" t="str">
        <f t="shared" si="118"/>
        <v>John Stones</v>
      </c>
      <c r="G123" s="306" t="str">
        <f t="shared" si="119"/>
        <v>Mehdi Taremi</v>
      </c>
      <c r="H123" s="306" t="str">
        <f t="shared" si="119"/>
        <v>Jordan Morris</v>
      </c>
      <c r="I123" s="306" t="str">
        <f t="shared" si="119"/>
        <v>Gareth Bale</v>
      </c>
      <c r="J123" s="306" t="str">
        <f t="shared" si="120"/>
        <v>Joaquín Correa</v>
      </c>
      <c r="K123" s="306" t="str">
        <f t="shared" si="121"/>
        <v>Mohamed Kanno</v>
      </c>
      <c r="L123" s="306" t="str">
        <f t="shared" si="121"/>
        <v>Hirving Lozano</v>
      </c>
      <c r="M123" s="306" t="str">
        <f t="shared" si="121"/>
        <v>Krystian Bielik</v>
      </c>
      <c r="N123" s="306" t="str">
        <f t="shared" si="122"/>
        <v>Jonas Wind</v>
      </c>
      <c r="O123" s="306" t="str">
        <f t="shared" si="123"/>
        <v>Hannibal Mejbri</v>
      </c>
      <c r="P123" s="306" t="str">
        <f t="shared" si="123"/>
        <v>Jules Koundé</v>
      </c>
      <c r="Q123" s="306" t="str">
        <f t="shared" si="123"/>
        <v>Jackson Irvine</v>
      </c>
      <c r="R123" s="306" t="str">
        <f t="shared" si="124"/>
        <v>Leon Goretzka</v>
      </c>
      <c r="S123" s="306" t="str">
        <f t="shared" si="125"/>
        <v>Kō Itakura</v>
      </c>
      <c r="T123" s="306" t="str">
        <f t="shared" si="125"/>
        <v>Jordi Alba</v>
      </c>
      <c r="U123" s="306" t="str">
        <f t="shared" si="125"/>
        <v>Gerson Torres</v>
      </c>
      <c r="V123" s="306" t="str">
        <f t="shared" si="126"/>
        <v>Jawad El Yamiq</v>
      </c>
      <c r="W123" s="306" t="str">
        <f t="shared" si="127"/>
        <v>Josip Stanišić</v>
      </c>
      <c r="X123" s="306" t="str">
        <f t="shared" si="127"/>
        <v>Leandro Trossard</v>
      </c>
      <c r="Y123" s="306" t="str">
        <f t="shared" si="127"/>
        <v>Jonathan Osorio</v>
      </c>
      <c r="Z123" s="306" t="str">
        <f t="shared" si="128"/>
        <v>Fabinho</v>
      </c>
      <c r="AA123" s="306" t="str">
        <f t="shared" si="129"/>
        <v>Miloš Veljković</v>
      </c>
      <c r="AB123" s="306" t="str">
        <f t="shared" si="129"/>
        <v>Haris Seferovic</v>
      </c>
      <c r="AC123" s="306" t="str">
        <f t="shared" si="129"/>
        <v>Jean-Pierre Nsame</v>
      </c>
      <c r="AD123" s="306" t="str">
        <f t="shared" si="130"/>
        <v>João Palhinha</v>
      </c>
      <c r="AE123" s="306" t="str">
        <f t="shared" si="131"/>
        <v>Gideon Mensah</v>
      </c>
      <c r="AF123" s="306" t="str">
        <f t="shared" si="131"/>
        <v>Lucas Torreira</v>
      </c>
      <c r="AG123" s="306" t="str">
        <f t="shared" si="131"/>
        <v>Kim Seung-gyu</v>
      </c>
      <c r="BT123" s="306" t="str">
        <f t="shared" ca="1" si="132"/>
        <v>England</v>
      </c>
      <c r="BU123" s="306">
        <f t="shared" si="133"/>
        <v>16</v>
      </c>
      <c r="BV123" s="306">
        <f t="shared" si="134"/>
        <v>3</v>
      </c>
      <c r="BW123" s="306" t="str">
        <f ca="1">OFFSET(C3,BU123,BV123)</f>
        <v>Kalvin Phillips</v>
      </c>
      <c r="BX123" s="306">
        <f ca="1">COUNTIF('Group Stages'!J7:J102,BW123)</f>
        <v>0</v>
      </c>
      <c r="BY123" s="306">
        <f ca="1">COUNTIF('Group Stages'!K7:K102,BW123)</f>
        <v>0</v>
      </c>
      <c r="BZ123" s="306">
        <f ca="1">COUNTIF('Group Stages'!L7:L102,BW123)</f>
        <v>0</v>
      </c>
      <c r="CA123" s="306">
        <f ca="1">COUNTIF('Group Stages'!M7:M102,BW123)</f>
        <v>0</v>
      </c>
      <c r="CB123" s="306">
        <f ca="1">COUNTIF('Group Stages'!N7:N102,BW123)</f>
        <v>0</v>
      </c>
      <c r="CC123" s="306">
        <f ca="1">COUNTIF('Group Stages'!O7:O102,BW123)</f>
        <v>0</v>
      </c>
      <c r="CD123" s="306">
        <f ca="1">COUNTIF('Group Stages'!P7:P102,BW123)</f>
        <v>0</v>
      </c>
      <c r="CE123" s="306">
        <f ca="1">COUNTIF('Group Stages'!Q7:Q102,BW123)</f>
        <v>0</v>
      </c>
      <c r="CF123" s="306">
        <f ca="1">COUNTIF('Knock Out Stages'!K7:K50,BW123)</f>
        <v>0</v>
      </c>
      <c r="CG123" s="306">
        <f ca="1">COUNTIF('Knock Out Stages'!L7:L50,BW123)</f>
        <v>0</v>
      </c>
      <c r="CH123" s="306">
        <f ca="1">COUNTIF('Knock Out Stages'!M7:M50,BW123)</f>
        <v>0</v>
      </c>
      <c r="CI123" s="306">
        <f ca="1">COUNTIF('Knock Out Stages'!N7:N50,BW123)</f>
        <v>0</v>
      </c>
      <c r="CJ123" s="306">
        <f ca="1">COUNTIF('Knock Out Stages'!O7:O50,BW123)</f>
        <v>0</v>
      </c>
      <c r="CK123" s="306">
        <f ca="1">COUNTIF('Knock Out Stages'!P7:P50,BW123)</f>
        <v>0</v>
      </c>
      <c r="CL123" s="306">
        <f ca="1">COUNTIF('Knock Out Stages'!Q7:Q50,BW123)</f>
        <v>0</v>
      </c>
      <c r="CM123" s="306">
        <f ca="1">COUNTIF('Knock Out Stages'!R7:R50,BW123)</f>
        <v>0</v>
      </c>
      <c r="CN123" s="306">
        <f ca="1">IF(RIGHT('Group Stages'!$B$105,5)="T.com",SUM(BX123:CM123),0)</f>
        <v>0</v>
      </c>
      <c r="CO123" s="306">
        <f ca="1">RANK(CN123,CN3:CN834)+COUNTIF(CN3:CN123,CN123)-1</f>
        <v>121</v>
      </c>
      <c r="CP123" s="306" t="str">
        <f t="shared" ca="1" si="76"/>
        <v>Kalvin Phillips (England)</v>
      </c>
    </row>
    <row r="124" spans="1:94" x14ac:dyDescent="0.3">
      <c r="A124" s="306">
        <v>14</v>
      </c>
      <c r="B124" s="306" t="str">
        <f t="shared" si="116"/>
        <v>Kalidou Koulibaly</v>
      </c>
      <c r="C124" s="306" t="str">
        <f t="shared" si="117"/>
        <v>Memphis Depay</v>
      </c>
      <c r="D124" s="306" t="str">
        <f t="shared" si="117"/>
        <v>Karim Boudiaf</v>
      </c>
      <c r="E124" s="306" t="str">
        <f t="shared" si="117"/>
        <v>Jeremy Sarmiento</v>
      </c>
      <c r="F124" s="306" t="str">
        <f t="shared" si="118"/>
        <v>Jordan Henderson</v>
      </c>
      <c r="G124" s="306" t="str">
        <f t="shared" si="119"/>
        <v>Mehdi Torabi</v>
      </c>
      <c r="H124" s="306" t="str">
        <f t="shared" si="119"/>
        <v>Josh Sargent</v>
      </c>
      <c r="I124" s="306" t="str">
        <f t="shared" si="119"/>
        <v>Harry Wilson</v>
      </c>
      <c r="J124" s="306" t="str">
        <f t="shared" si="120"/>
        <v>Juan Foyth</v>
      </c>
      <c r="K124" s="306" t="str">
        <f t="shared" si="121"/>
        <v>Mohammed Al Rubaie</v>
      </c>
      <c r="L124" s="306" t="str">
        <f t="shared" si="121"/>
        <v>Jesús Gallardo</v>
      </c>
      <c r="M124" s="306" t="str">
        <f t="shared" si="121"/>
        <v>Krzysztof Piątek</v>
      </c>
      <c r="N124" s="306" t="str">
        <f t="shared" si="122"/>
        <v>Kasper Dolberg</v>
      </c>
      <c r="O124" s="306" t="str">
        <f t="shared" si="123"/>
        <v>Issam Jebali</v>
      </c>
      <c r="P124" s="306" t="str">
        <f t="shared" si="123"/>
        <v>Karim Benzema</v>
      </c>
      <c r="Q124" s="306" t="str">
        <f t="shared" si="123"/>
        <v>Jamie Maclaren</v>
      </c>
      <c r="R124" s="306" t="str">
        <f t="shared" si="124"/>
        <v>Leroy Sané</v>
      </c>
      <c r="S124" s="306" t="str">
        <f t="shared" si="125"/>
        <v>Maya Yoshida</v>
      </c>
      <c r="T124" s="306" t="str">
        <f t="shared" si="125"/>
        <v>José Gayà</v>
      </c>
      <c r="U124" s="306" t="str">
        <f t="shared" si="125"/>
        <v>Jewison Bennette</v>
      </c>
      <c r="V124" s="306" t="str">
        <f t="shared" si="126"/>
        <v>Munir Mohamedi</v>
      </c>
      <c r="W124" s="306" t="str">
        <f t="shared" si="127"/>
        <v>Josip Šutalo</v>
      </c>
      <c r="X124" s="306" t="str">
        <f t="shared" si="127"/>
        <v>Loïs Openda</v>
      </c>
      <c r="Y124" s="306" t="str">
        <f t="shared" si="127"/>
        <v>Junior Hoilett</v>
      </c>
      <c r="Z124" s="306" t="str">
        <f t="shared" si="128"/>
        <v>Fred</v>
      </c>
      <c r="AA124" s="306" t="str">
        <f t="shared" si="129"/>
        <v>Nemanja Gudelj</v>
      </c>
      <c r="AB124" s="306" t="str">
        <f t="shared" si="129"/>
        <v>Jonas Omlin</v>
      </c>
      <c r="AC124" s="306" t="str">
        <f t="shared" si="129"/>
        <v>Jerome Ngom Mbekeli</v>
      </c>
      <c r="AD124" s="306" t="str">
        <f t="shared" si="130"/>
        <v>José Sá</v>
      </c>
      <c r="AE124" s="306" t="str">
        <f t="shared" si="131"/>
        <v>Ibrahim Danlad</v>
      </c>
      <c r="AF124" s="306" t="str">
        <f t="shared" si="131"/>
        <v>Luis Suárez</v>
      </c>
      <c r="AG124" s="306" t="str">
        <f t="shared" si="131"/>
        <v>Kim Tae-hwan</v>
      </c>
      <c r="BT124" s="306" t="str">
        <f t="shared" ca="1" si="132"/>
        <v>England</v>
      </c>
      <c r="BU124" s="306">
        <f t="shared" si="133"/>
        <v>17</v>
      </c>
      <c r="BV124" s="306">
        <f t="shared" si="134"/>
        <v>3</v>
      </c>
      <c r="BW124" s="306" t="str">
        <f ca="1">OFFSET(C3,BU124,BV124)</f>
        <v>Kieran Trippier</v>
      </c>
      <c r="BX124" s="306">
        <f ca="1">COUNTIF('Group Stages'!J7:J102,BW124)</f>
        <v>0</v>
      </c>
      <c r="BY124" s="306">
        <f ca="1">COUNTIF('Group Stages'!K7:K102,BW124)</f>
        <v>0</v>
      </c>
      <c r="BZ124" s="306">
        <f ca="1">COUNTIF('Group Stages'!L7:L102,BW124)</f>
        <v>0</v>
      </c>
      <c r="CA124" s="306">
        <f ca="1">COUNTIF('Group Stages'!M7:M102,BW124)</f>
        <v>0</v>
      </c>
      <c r="CB124" s="306">
        <f ca="1">COUNTIF('Group Stages'!N7:N102,BW124)</f>
        <v>0</v>
      </c>
      <c r="CC124" s="306">
        <f ca="1">COUNTIF('Group Stages'!O7:O102,BW124)</f>
        <v>0</v>
      </c>
      <c r="CD124" s="306">
        <f ca="1">COUNTIF('Group Stages'!P7:P102,BW124)</f>
        <v>0</v>
      </c>
      <c r="CE124" s="306">
        <f ca="1">COUNTIF('Group Stages'!Q7:Q102,BW124)</f>
        <v>0</v>
      </c>
      <c r="CF124" s="306">
        <f ca="1">COUNTIF('Knock Out Stages'!K7:K50,BW124)</f>
        <v>0</v>
      </c>
      <c r="CG124" s="306">
        <f ca="1">COUNTIF('Knock Out Stages'!L7:L50,BW124)</f>
        <v>0</v>
      </c>
      <c r="CH124" s="306">
        <f ca="1">COUNTIF('Knock Out Stages'!M7:M50,BW124)</f>
        <v>0</v>
      </c>
      <c r="CI124" s="306">
        <f ca="1">COUNTIF('Knock Out Stages'!N7:N50,BW124)</f>
        <v>0</v>
      </c>
      <c r="CJ124" s="306">
        <f ca="1">COUNTIF('Knock Out Stages'!O7:O50,BW124)</f>
        <v>0</v>
      </c>
      <c r="CK124" s="306">
        <f ca="1">COUNTIF('Knock Out Stages'!P7:P50,BW124)</f>
        <v>0</v>
      </c>
      <c r="CL124" s="306">
        <f ca="1">COUNTIF('Knock Out Stages'!Q7:Q50,BW124)</f>
        <v>0</v>
      </c>
      <c r="CM124" s="306">
        <f ca="1">COUNTIF('Knock Out Stages'!R7:R50,BW124)</f>
        <v>0</v>
      </c>
      <c r="CN124" s="306">
        <f ca="1">IF(RIGHT('Group Stages'!$B$105,5)="T.com",SUM(BX124:CM124),0)</f>
        <v>0</v>
      </c>
      <c r="CO124" s="306">
        <f ca="1">RANK(CN124,CN3:CN834)+COUNTIF(CN3:CN124,CN124)-1</f>
        <v>122</v>
      </c>
      <c r="CP124" s="306" t="str">
        <f t="shared" ca="1" si="76"/>
        <v>Kieran Trippier (England)</v>
      </c>
    </row>
    <row r="125" spans="1:94" x14ac:dyDescent="0.3">
      <c r="A125" s="306">
        <v>15</v>
      </c>
      <c r="B125" s="306" t="str">
        <f t="shared" si="116"/>
        <v>Krépin Diatta</v>
      </c>
      <c r="C125" s="306" t="str">
        <f t="shared" si="117"/>
        <v>Nathan Aké</v>
      </c>
      <c r="D125" s="306" t="str">
        <f t="shared" si="117"/>
        <v>Khalid Muneer</v>
      </c>
      <c r="E125" s="306" t="str">
        <f t="shared" si="117"/>
        <v>José Cifuentes</v>
      </c>
      <c r="F125" s="306" t="str">
        <f t="shared" si="118"/>
        <v>Jordan Pickford</v>
      </c>
      <c r="G125" s="306" t="str">
        <f t="shared" si="119"/>
        <v>Milad Mohammadi</v>
      </c>
      <c r="H125" s="306" t="str">
        <f t="shared" si="119"/>
        <v>Kellyn Acosta</v>
      </c>
      <c r="I125" s="306" t="str">
        <f t="shared" si="119"/>
        <v>Joe Allen</v>
      </c>
      <c r="J125" s="306" t="str">
        <f t="shared" si="120"/>
        <v>Julián Álvarez</v>
      </c>
      <c r="K125" s="306" t="str">
        <f t="shared" si="121"/>
        <v>Mohammed Al-Breik</v>
      </c>
      <c r="L125" s="306" t="str">
        <f t="shared" si="121"/>
        <v>Johan Vásquez</v>
      </c>
      <c r="M125" s="306" t="str">
        <f t="shared" si="121"/>
        <v>Łukasz Skorupski</v>
      </c>
      <c r="N125" s="306" t="str">
        <f t="shared" si="122"/>
        <v>Kasper Schmeichel</v>
      </c>
      <c r="O125" s="306" t="str">
        <f t="shared" si="123"/>
        <v>Mohamed Ali Ben Romdhane</v>
      </c>
      <c r="P125" s="306" t="str">
        <f t="shared" si="123"/>
        <v>Kingsley Coman</v>
      </c>
      <c r="Q125" s="306" t="str">
        <f t="shared" si="123"/>
        <v>Jason Cummings</v>
      </c>
      <c r="R125" s="306" t="str">
        <f t="shared" si="124"/>
        <v>Lukas Klostermann</v>
      </c>
      <c r="S125" s="306" t="str">
        <f t="shared" si="125"/>
        <v>Miki Yamane</v>
      </c>
      <c r="T125" s="306" t="str">
        <f t="shared" si="125"/>
        <v>Koke</v>
      </c>
      <c r="U125" s="306" t="str">
        <f t="shared" si="125"/>
        <v>Joel Campbell</v>
      </c>
      <c r="V125" s="306" t="str">
        <f t="shared" si="126"/>
        <v>Nayef Aguerd</v>
      </c>
      <c r="W125" s="306" t="str">
        <f t="shared" si="127"/>
        <v>Joško Gvardiol</v>
      </c>
      <c r="X125" s="306" t="str">
        <f t="shared" si="127"/>
        <v>Michy Batshuayi</v>
      </c>
      <c r="Y125" s="306" t="str">
        <f t="shared" si="127"/>
        <v>Kamal Miller</v>
      </c>
      <c r="Z125" s="306" t="str">
        <f t="shared" si="128"/>
        <v>Gabriel Jesus</v>
      </c>
      <c r="AA125" s="306" t="str">
        <f t="shared" si="129"/>
        <v>Nemanja Maksimović</v>
      </c>
      <c r="AB125" s="306" t="str">
        <f t="shared" si="129"/>
        <v>Manuel Akanji</v>
      </c>
      <c r="AC125" s="306" t="str">
        <f t="shared" si="129"/>
        <v>Karl Toko Ekambi</v>
      </c>
      <c r="AD125" s="306" t="str">
        <f t="shared" si="130"/>
        <v>Matheus Nunes</v>
      </c>
      <c r="AE125" s="306" t="str">
        <f t="shared" si="131"/>
        <v>Iñaki Williams</v>
      </c>
      <c r="AF125" s="306" t="str">
        <f t="shared" si="131"/>
        <v>Manuel Ugarte</v>
      </c>
      <c r="AG125" s="306" t="str">
        <f t="shared" si="131"/>
        <v>Kim Young-gwon</v>
      </c>
      <c r="BT125" s="306" t="str">
        <f t="shared" ca="1" si="132"/>
        <v>England</v>
      </c>
      <c r="BU125" s="306">
        <f t="shared" si="133"/>
        <v>18</v>
      </c>
      <c r="BV125" s="306">
        <f t="shared" si="134"/>
        <v>3</v>
      </c>
      <c r="BW125" s="306" t="str">
        <f ca="1">OFFSET(C3,BU125,BV125)</f>
        <v>Kyle Walker</v>
      </c>
      <c r="BX125" s="306">
        <f ca="1">COUNTIF('Group Stages'!J7:J102,BW125)</f>
        <v>0</v>
      </c>
      <c r="BY125" s="306">
        <f ca="1">COUNTIF('Group Stages'!K7:K102,BW125)</f>
        <v>0</v>
      </c>
      <c r="BZ125" s="306">
        <f ca="1">COUNTIF('Group Stages'!L7:L102,BW125)</f>
        <v>0</v>
      </c>
      <c r="CA125" s="306">
        <f ca="1">COUNTIF('Group Stages'!M7:M102,BW125)</f>
        <v>0</v>
      </c>
      <c r="CB125" s="306">
        <f ca="1">COUNTIF('Group Stages'!N7:N102,BW125)</f>
        <v>0</v>
      </c>
      <c r="CC125" s="306">
        <f ca="1">COUNTIF('Group Stages'!O7:O102,BW125)</f>
        <v>0</v>
      </c>
      <c r="CD125" s="306">
        <f ca="1">COUNTIF('Group Stages'!P7:P102,BW125)</f>
        <v>0</v>
      </c>
      <c r="CE125" s="306">
        <f ca="1">COUNTIF('Group Stages'!Q7:Q102,BW125)</f>
        <v>0</v>
      </c>
      <c r="CF125" s="306">
        <f ca="1">COUNTIF('Knock Out Stages'!K7:K50,BW125)</f>
        <v>0</v>
      </c>
      <c r="CG125" s="306">
        <f ca="1">COUNTIF('Knock Out Stages'!L7:L50,BW125)</f>
        <v>0</v>
      </c>
      <c r="CH125" s="306">
        <f ca="1">COUNTIF('Knock Out Stages'!M7:M50,BW125)</f>
        <v>0</v>
      </c>
      <c r="CI125" s="306">
        <f ca="1">COUNTIF('Knock Out Stages'!N7:N50,BW125)</f>
        <v>0</v>
      </c>
      <c r="CJ125" s="306">
        <f ca="1">COUNTIF('Knock Out Stages'!O7:O50,BW125)</f>
        <v>0</v>
      </c>
      <c r="CK125" s="306">
        <f ca="1">COUNTIF('Knock Out Stages'!P7:P50,BW125)</f>
        <v>0</v>
      </c>
      <c r="CL125" s="306">
        <f ca="1">COUNTIF('Knock Out Stages'!Q7:Q50,BW125)</f>
        <v>0</v>
      </c>
      <c r="CM125" s="306">
        <f ca="1">COUNTIF('Knock Out Stages'!R7:R50,BW125)</f>
        <v>0</v>
      </c>
      <c r="CN125" s="306">
        <f ca="1">IF(RIGHT('Group Stages'!$B$105,5)="T.com",SUM(BX125:CM125),0)</f>
        <v>0</v>
      </c>
      <c r="CO125" s="306">
        <f ca="1">RANK(CN125,CN3:CN834)+COUNTIF(CN3:CN125,CN125)-1</f>
        <v>123</v>
      </c>
      <c r="CP125" s="306" t="str">
        <f t="shared" ca="1" si="76"/>
        <v>Kyle Walker (England)</v>
      </c>
    </row>
    <row r="126" spans="1:94" x14ac:dyDescent="0.3">
      <c r="A126" s="306">
        <v>16</v>
      </c>
      <c r="B126" s="306" t="str">
        <f t="shared" si="116"/>
        <v>Mamadou Loum</v>
      </c>
      <c r="C126" s="306" t="str">
        <f t="shared" si="117"/>
        <v>Noa Lang</v>
      </c>
      <c r="D126" s="306" t="str">
        <f t="shared" si="117"/>
        <v>Meshaal Barsham</v>
      </c>
      <c r="E126" s="306" t="str">
        <f t="shared" si="117"/>
        <v>Kevin Rodríguez</v>
      </c>
      <c r="F126" s="306" t="str">
        <f t="shared" si="118"/>
        <v>Jude Bellingham</v>
      </c>
      <c r="G126" s="306" t="str">
        <f t="shared" si="119"/>
        <v>Morteza Pouraliganji</v>
      </c>
      <c r="H126" s="306" t="str">
        <f t="shared" si="119"/>
        <v>Luca de la Torre</v>
      </c>
      <c r="I126" s="306" t="str">
        <f t="shared" si="119"/>
        <v>Joe Morrell</v>
      </c>
      <c r="J126" s="306" t="str">
        <f t="shared" si="120"/>
        <v>Lautaro Martínez</v>
      </c>
      <c r="K126" s="306" t="str">
        <f t="shared" si="121"/>
        <v>Mohammed Al-Owais</v>
      </c>
      <c r="L126" s="306" t="str">
        <f t="shared" si="121"/>
        <v>Jorge Sánchez</v>
      </c>
      <c r="M126" s="306" t="str">
        <f t="shared" si="121"/>
        <v>Mateusz Wieteska</v>
      </c>
      <c r="N126" s="306" t="str">
        <f t="shared" si="122"/>
        <v>Martin Braithwaite</v>
      </c>
      <c r="O126" s="306" t="str">
        <f t="shared" si="123"/>
        <v>Mohamed Dräger</v>
      </c>
      <c r="P126" s="306" t="str">
        <f t="shared" si="123"/>
        <v>Kylian Mbappé</v>
      </c>
      <c r="Q126" s="306" t="str">
        <f t="shared" si="123"/>
        <v>Joel King</v>
      </c>
      <c r="R126" s="306" t="str">
        <f t="shared" si="124"/>
        <v>Manuel Neuer</v>
      </c>
      <c r="S126" s="306" t="str">
        <f t="shared" si="125"/>
        <v>Ritsu Doan</v>
      </c>
      <c r="T126" s="306" t="str">
        <f t="shared" si="125"/>
        <v>Marco Asensio</v>
      </c>
      <c r="U126" s="306" t="str">
        <f t="shared" si="125"/>
        <v>Johan Venegas</v>
      </c>
      <c r="V126" s="306" t="str">
        <f t="shared" si="126"/>
        <v>Noussair Mazraoui</v>
      </c>
      <c r="W126" s="306" t="str">
        <f t="shared" si="127"/>
        <v>Kristijan Jakić</v>
      </c>
      <c r="X126" s="306" t="str">
        <f t="shared" si="127"/>
        <v>Romelu Lukaku</v>
      </c>
      <c r="Y126" s="306" t="str">
        <f t="shared" si="127"/>
        <v>Liam Fraser</v>
      </c>
      <c r="Z126" s="306" t="str">
        <f t="shared" si="128"/>
        <v>Gabriel Martinelli</v>
      </c>
      <c r="AA126" s="306" t="str">
        <f t="shared" si="129"/>
        <v>Nemanja Radonjić</v>
      </c>
      <c r="AB126" s="306" t="str">
        <f t="shared" si="129"/>
        <v>Michel Aebischer</v>
      </c>
      <c r="AC126" s="306" t="str">
        <f t="shared" si="129"/>
        <v>Marou Souaibou</v>
      </c>
      <c r="AD126" s="306" t="str">
        <f t="shared" si="130"/>
        <v>Nuno Mendes</v>
      </c>
      <c r="AE126" s="306" t="str">
        <f t="shared" si="131"/>
        <v>Jordan Ayew</v>
      </c>
      <c r="AF126" s="306" t="str">
        <f t="shared" si="131"/>
        <v>Martín Cáceres</v>
      </c>
      <c r="AG126" s="306" t="str">
        <f t="shared" si="131"/>
        <v>Kwon Chang-hoon</v>
      </c>
      <c r="BT126" s="306" t="str">
        <f t="shared" ca="1" si="132"/>
        <v>England</v>
      </c>
      <c r="BU126" s="306">
        <f t="shared" si="133"/>
        <v>19</v>
      </c>
      <c r="BV126" s="306">
        <f t="shared" si="134"/>
        <v>3</v>
      </c>
      <c r="BW126" s="306" t="str">
        <f ca="1">OFFSET(C3,BU126,BV126)</f>
        <v>Luke Shaw</v>
      </c>
      <c r="BX126" s="306">
        <f ca="1">COUNTIF('Group Stages'!J7:J102,BW126)</f>
        <v>0</v>
      </c>
      <c r="BY126" s="306">
        <f ca="1">COUNTIF('Group Stages'!K7:K102,BW126)</f>
        <v>0</v>
      </c>
      <c r="BZ126" s="306">
        <f ca="1">COUNTIF('Group Stages'!L7:L102,BW126)</f>
        <v>0</v>
      </c>
      <c r="CA126" s="306">
        <f ca="1">COUNTIF('Group Stages'!M7:M102,BW126)</f>
        <v>0</v>
      </c>
      <c r="CB126" s="306">
        <f ca="1">COUNTIF('Group Stages'!N7:N102,BW126)</f>
        <v>0</v>
      </c>
      <c r="CC126" s="306">
        <f ca="1">COUNTIF('Group Stages'!O7:O102,BW126)</f>
        <v>0</v>
      </c>
      <c r="CD126" s="306">
        <f ca="1">COUNTIF('Group Stages'!P7:P102,BW126)</f>
        <v>0</v>
      </c>
      <c r="CE126" s="306">
        <f ca="1">COUNTIF('Group Stages'!Q7:Q102,BW126)</f>
        <v>0</v>
      </c>
      <c r="CF126" s="306">
        <f ca="1">COUNTIF('Knock Out Stages'!K7:K50,BW126)</f>
        <v>0</v>
      </c>
      <c r="CG126" s="306">
        <f ca="1">COUNTIF('Knock Out Stages'!L7:L50,BW126)</f>
        <v>0</v>
      </c>
      <c r="CH126" s="306">
        <f ca="1">COUNTIF('Knock Out Stages'!M7:M50,BW126)</f>
        <v>0</v>
      </c>
      <c r="CI126" s="306">
        <f ca="1">COUNTIF('Knock Out Stages'!N7:N50,BW126)</f>
        <v>0</v>
      </c>
      <c r="CJ126" s="306">
        <f ca="1">COUNTIF('Knock Out Stages'!O7:O50,BW126)</f>
        <v>0</v>
      </c>
      <c r="CK126" s="306">
        <f ca="1">COUNTIF('Knock Out Stages'!P7:P50,BW126)</f>
        <v>0</v>
      </c>
      <c r="CL126" s="306">
        <f ca="1">COUNTIF('Knock Out Stages'!Q7:Q50,BW126)</f>
        <v>0</v>
      </c>
      <c r="CM126" s="306">
        <f ca="1">COUNTIF('Knock Out Stages'!R7:R50,BW126)</f>
        <v>0</v>
      </c>
      <c r="CN126" s="306">
        <f ca="1">IF(RIGHT('Group Stages'!$B$105,5)="T.com",SUM(BX126:CM126),0)</f>
        <v>0</v>
      </c>
      <c r="CO126" s="306">
        <f ca="1">RANK(CN126,CN3:CN834)+COUNTIF(CN3:CN126,CN126)-1</f>
        <v>124</v>
      </c>
      <c r="CP126" s="306" t="str">
        <f t="shared" ca="1" si="76"/>
        <v>Luke Shaw (England)</v>
      </c>
    </row>
    <row r="127" spans="1:94" x14ac:dyDescent="0.3">
      <c r="A127" s="306">
        <v>17</v>
      </c>
      <c r="B127" s="306" t="str">
        <f t="shared" si="116"/>
        <v>Moustapha Name</v>
      </c>
      <c r="C127" s="306" t="str">
        <f t="shared" ref="C127:E136" si="135">C19</f>
        <v>Remko Pasveer</v>
      </c>
      <c r="D127" s="306" t="str">
        <f t="shared" si="135"/>
        <v>Mohammed Muntari</v>
      </c>
      <c r="E127" s="306" t="str">
        <f t="shared" si="135"/>
        <v>Michael Estrada</v>
      </c>
      <c r="F127" s="306" t="str">
        <f t="shared" si="118"/>
        <v>Kalvin Phillips</v>
      </c>
      <c r="G127" s="306" t="str">
        <f t="shared" ref="G127:I136" si="136">G19</f>
        <v>Payam Niazmand</v>
      </c>
      <c r="H127" s="306" t="str">
        <f t="shared" si="136"/>
        <v>Matt Turner</v>
      </c>
      <c r="I127" s="306" t="str">
        <f t="shared" si="136"/>
        <v>Joe Rodon</v>
      </c>
      <c r="J127" s="306" t="str">
        <f t="shared" si="120"/>
        <v>Leandro Paredes</v>
      </c>
      <c r="K127" s="306" t="str">
        <f t="shared" ref="K127:M136" si="137">K19</f>
        <v>Nasser Al-Dawsari</v>
      </c>
      <c r="L127" s="306" t="str">
        <f t="shared" si="137"/>
        <v>Kevin Álvarez</v>
      </c>
      <c r="M127" s="306" t="str">
        <f t="shared" si="137"/>
        <v>Matty Cash</v>
      </c>
      <c r="N127" s="306" t="str">
        <f t="shared" si="122"/>
        <v>Mathias Jensen</v>
      </c>
      <c r="O127" s="306" t="str">
        <f t="shared" ref="O127:Q136" si="138">O19</f>
        <v>Montassar Talbi</v>
      </c>
      <c r="P127" s="306" t="str">
        <f t="shared" si="138"/>
        <v>Lucas Hernandez</v>
      </c>
      <c r="Q127" s="306" t="str">
        <f t="shared" si="138"/>
        <v>Keanu Baccus</v>
      </c>
      <c r="R127" s="306" t="str">
        <f t="shared" si="124"/>
        <v>Marc-André ter Stegen</v>
      </c>
      <c r="S127" s="306" t="str">
        <f t="shared" ref="S127:U136" si="139">S19</f>
        <v>Shōgo Taniguchi</v>
      </c>
      <c r="T127" s="306" t="str">
        <f t="shared" si="139"/>
        <v>Marcos Llorente</v>
      </c>
      <c r="U127" s="306" t="str">
        <f t="shared" si="139"/>
        <v>Juan Pablo Vargas</v>
      </c>
      <c r="V127" s="306" t="str">
        <f t="shared" si="126"/>
        <v>Romain Saïss</v>
      </c>
      <c r="W127" s="306" t="str">
        <f t="shared" ref="W127:Y136" si="140">W19</f>
        <v>Lovro Majer</v>
      </c>
      <c r="X127" s="306" t="str">
        <f t="shared" si="140"/>
        <v>Simon Mignolet</v>
      </c>
      <c r="Y127" s="306" t="str">
        <f t="shared" si="140"/>
        <v>Liam Millar</v>
      </c>
      <c r="Z127" s="306" t="str">
        <f t="shared" si="128"/>
        <v>Lucas Paquetá</v>
      </c>
      <c r="AA127" s="306" t="str">
        <f t="shared" ref="AA127:AC136" si="141">AA19</f>
        <v>Nikola Milenković</v>
      </c>
      <c r="AB127" s="306" t="str">
        <f t="shared" si="141"/>
        <v>Nico Elvedi</v>
      </c>
      <c r="AC127" s="306" t="str">
        <f t="shared" si="141"/>
        <v>Martin Hongla</v>
      </c>
      <c r="AD127" s="306" t="str">
        <f t="shared" si="130"/>
        <v>Otávio</v>
      </c>
      <c r="AE127" s="306" t="str">
        <f t="shared" ref="AE127:AG136" si="142">AE19</f>
        <v>Joseph Aidoo</v>
      </c>
      <c r="AF127" s="306" t="str">
        <f t="shared" si="142"/>
        <v>Mathías Olivera</v>
      </c>
      <c r="AG127" s="306" t="str">
        <f t="shared" si="142"/>
        <v>Kwon Kyung-won</v>
      </c>
      <c r="BT127" s="306" t="str">
        <f t="shared" ca="1" si="132"/>
        <v>England</v>
      </c>
      <c r="BU127" s="306">
        <f t="shared" si="133"/>
        <v>20</v>
      </c>
      <c r="BV127" s="306">
        <f t="shared" si="134"/>
        <v>3</v>
      </c>
      <c r="BW127" s="306" t="str">
        <f ca="1">OFFSET(C3,BU127,BV127)</f>
        <v>Marcus Rashford</v>
      </c>
      <c r="BX127" s="306">
        <f ca="1">COUNTIF('Group Stages'!J7:J102,BW127)</f>
        <v>0</v>
      </c>
      <c r="BY127" s="306">
        <f ca="1">COUNTIF('Group Stages'!K7:K102,BW127)</f>
        <v>0</v>
      </c>
      <c r="BZ127" s="306">
        <f ca="1">COUNTIF('Group Stages'!L7:L102,BW127)</f>
        <v>0</v>
      </c>
      <c r="CA127" s="306">
        <f ca="1">COUNTIF('Group Stages'!M7:M102,BW127)</f>
        <v>0</v>
      </c>
      <c r="CB127" s="306">
        <f ca="1">COUNTIF('Group Stages'!N7:N102,BW127)</f>
        <v>0</v>
      </c>
      <c r="CC127" s="306">
        <f ca="1">COUNTIF('Group Stages'!O7:O102,BW127)</f>
        <v>0</v>
      </c>
      <c r="CD127" s="306">
        <f ca="1">COUNTIF('Group Stages'!P7:P102,BW127)</f>
        <v>0</v>
      </c>
      <c r="CE127" s="306">
        <f ca="1">COUNTIF('Group Stages'!Q7:Q102,BW127)</f>
        <v>0</v>
      </c>
      <c r="CF127" s="306">
        <f ca="1">COUNTIF('Knock Out Stages'!K7:K50,BW127)</f>
        <v>0</v>
      </c>
      <c r="CG127" s="306">
        <f ca="1">COUNTIF('Knock Out Stages'!L7:L50,BW127)</f>
        <v>0</v>
      </c>
      <c r="CH127" s="306">
        <f ca="1">COUNTIF('Knock Out Stages'!M7:M50,BW127)</f>
        <v>0</v>
      </c>
      <c r="CI127" s="306">
        <f ca="1">COUNTIF('Knock Out Stages'!N7:N50,BW127)</f>
        <v>0</v>
      </c>
      <c r="CJ127" s="306">
        <f ca="1">COUNTIF('Knock Out Stages'!O7:O50,BW127)</f>
        <v>0</v>
      </c>
      <c r="CK127" s="306">
        <f ca="1">COUNTIF('Knock Out Stages'!P7:P50,BW127)</f>
        <v>0</v>
      </c>
      <c r="CL127" s="306">
        <f ca="1">COUNTIF('Knock Out Stages'!Q7:Q50,BW127)</f>
        <v>0</v>
      </c>
      <c r="CM127" s="306">
        <f ca="1">COUNTIF('Knock Out Stages'!R7:R50,BW127)</f>
        <v>0</v>
      </c>
      <c r="CN127" s="306">
        <f ca="1">IF(RIGHT('Group Stages'!$B$105,5)="T.com",SUM(BX127:CM127),0)</f>
        <v>0</v>
      </c>
      <c r="CO127" s="306">
        <f ca="1">RANK(CN127,CN3:CN834)+COUNTIF(CN3:CN127,CN127)-1</f>
        <v>125</v>
      </c>
      <c r="CP127" s="306" t="str">
        <f t="shared" ca="1" si="76"/>
        <v>Marcus Rashford (England)</v>
      </c>
    </row>
    <row r="128" spans="1:94" x14ac:dyDescent="0.3">
      <c r="A128" s="306">
        <v>18</v>
      </c>
      <c r="B128" s="306" t="str">
        <f t="shared" si="116"/>
        <v>Nampalys Mendy</v>
      </c>
      <c r="C128" s="306" t="str">
        <f t="shared" si="135"/>
        <v>Stefan de Vrij</v>
      </c>
      <c r="D128" s="306" t="str">
        <f t="shared" si="135"/>
        <v>Mohammed Waad</v>
      </c>
      <c r="E128" s="306" t="str">
        <f t="shared" si="135"/>
        <v>Moisés Caicedo</v>
      </c>
      <c r="F128" s="306" t="str">
        <f t="shared" si="118"/>
        <v>Kieran Trippier</v>
      </c>
      <c r="G128" s="306" t="str">
        <f t="shared" si="136"/>
        <v>Ramin Rezaeian</v>
      </c>
      <c r="H128" s="306" t="str">
        <f t="shared" si="136"/>
        <v>Sean Johnson</v>
      </c>
      <c r="I128" s="306" t="str">
        <f t="shared" si="136"/>
        <v>Jonny Williams</v>
      </c>
      <c r="J128" s="306" t="str">
        <f t="shared" si="120"/>
        <v>Lionel Messi</v>
      </c>
      <c r="K128" s="306" t="str">
        <f t="shared" si="137"/>
        <v>Nawaf Al-Aqidi</v>
      </c>
      <c r="L128" s="306" t="str">
        <f t="shared" si="137"/>
        <v>Luis Chávez</v>
      </c>
      <c r="M128" s="306" t="str">
        <f t="shared" si="137"/>
        <v>Michał Skóraś</v>
      </c>
      <c r="N128" s="306" t="str">
        <f t="shared" si="122"/>
        <v>Mikkel Damsgaard</v>
      </c>
      <c r="O128" s="306" t="str">
        <f t="shared" si="138"/>
        <v>Mouez Hassen</v>
      </c>
      <c r="P128" s="306" t="str">
        <f t="shared" si="138"/>
        <v>Matteo Guendouzi</v>
      </c>
      <c r="Q128" s="306" t="str">
        <f t="shared" si="138"/>
        <v>Kye Rowles</v>
      </c>
      <c r="R128" s="306" t="str">
        <f t="shared" si="124"/>
        <v>Mario Götze</v>
      </c>
      <c r="S128" s="306" t="str">
        <f t="shared" si="139"/>
        <v>Shūichi Gonda</v>
      </c>
      <c r="T128" s="306" t="str">
        <f t="shared" si="139"/>
        <v>Nico Williams</v>
      </c>
      <c r="U128" s="306" t="str">
        <f t="shared" si="139"/>
        <v>Kendall Waston</v>
      </c>
      <c r="V128" s="306" t="str">
        <f t="shared" si="126"/>
        <v>Selim Amallah</v>
      </c>
      <c r="W128" s="306" t="str">
        <f t="shared" si="140"/>
        <v>Luka Modrić</v>
      </c>
      <c r="X128" s="306" t="str">
        <f t="shared" si="140"/>
        <v>Thibaut Courtois</v>
      </c>
      <c r="Y128" s="306" t="str">
        <f t="shared" si="140"/>
        <v>Lucas Cavallini</v>
      </c>
      <c r="Z128" s="306" t="str">
        <f t="shared" si="128"/>
        <v>Marquinhos</v>
      </c>
      <c r="AA128" s="306" t="str">
        <f t="shared" si="141"/>
        <v>Predrag Rajković</v>
      </c>
      <c r="AB128" s="306" t="str">
        <f t="shared" si="141"/>
        <v>Noah Okafor</v>
      </c>
      <c r="AC128" s="306" t="str">
        <f t="shared" si="141"/>
        <v>Nicolas Nkoulou</v>
      </c>
      <c r="AD128" s="306" t="str">
        <f t="shared" si="130"/>
        <v>Pepe</v>
      </c>
      <c r="AE128" s="306" t="str">
        <f t="shared" si="142"/>
        <v>Kamal Sowah</v>
      </c>
      <c r="AF128" s="306" t="str">
        <f t="shared" si="142"/>
        <v>Matías Vecino</v>
      </c>
      <c r="AG128" s="306" t="str">
        <f t="shared" si="142"/>
        <v>Lee Jae-sung</v>
      </c>
      <c r="BT128" s="306" t="str">
        <f t="shared" ca="1" si="132"/>
        <v>England</v>
      </c>
      <c r="BU128" s="306">
        <f t="shared" si="133"/>
        <v>21</v>
      </c>
      <c r="BV128" s="306">
        <f t="shared" si="134"/>
        <v>3</v>
      </c>
      <c r="BW128" s="306" t="str">
        <f ca="1">OFFSET(C3,BU128,BV128)</f>
        <v>Mason Mount</v>
      </c>
      <c r="BX128" s="306">
        <f ca="1">COUNTIF('Group Stages'!J7:J102,BW128)</f>
        <v>0</v>
      </c>
      <c r="BY128" s="306">
        <f ca="1">COUNTIF('Group Stages'!K7:K102,BW128)</f>
        <v>0</v>
      </c>
      <c r="BZ128" s="306">
        <f ca="1">COUNTIF('Group Stages'!L7:L102,BW128)</f>
        <v>0</v>
      </c>
      <c r="CA128" s="306">
        <f ca="1">COUNTIF('Group Stages'!M7:M102,BW128)</f>
        <v>0</v>
      </c>
      <c r="CB128" s="306">
        <f ca="1">COUNTIF('Group Stages'!N7:N102,BW128)</f>
        <v>0</v>
      </c>
      <c r="CC128" s="306">
        <f ca="1">COUNTIF('Group Stages'!O7:O102,BW128)</f>
        <v>0</v>
      </c>
      <c r="CD128" s="306">
        <f ca="1">COUNTIF('Group Stages'!P7:P102,BW128)</f>
        <v>0</v>
      </c>
      <c r="CE128" s="306">
        <f ca="1">COUNTIF('Group Stages'!Q7:Q102,BW128)</f>
        <v>0</v>
      </c>
      <c r="CF128" s="306">
        <f ca="1">COUNTIF('Knock Out Stages'!K7:K50,BW128)</f>
        <v>0</v>
      </c>
      <c r="CG128" s="306">
        <f ca="1">COUNTIF('Knock Out Stages'!L7:L50,BW128)</f>
        <v>0</v>
      </c>
      <c r="CH128" s="306">
        <f ca="1">COUNTIF('Knock Out Stages'!M7:M50,BW128)</f>
        <v>0</v>
      </c>
      <c r="CI128" s="306">
        <f ca="1">COUNTIF('Knock Out Stages'!N7:N50,BW128)</f>
        <v>0</v>
      </c>
      <c r="CJ128" s="306">
        <f ca="1">COUNTIF('Knock Out Stages'!O7:O50,BW128)</f>
        <v>0</v>
      </c>
      <c r="CK128" s="306">
        <f ca="1">COUNTIF('Knock Out Stages'!P7:P50,BW128)</f>
        <v>0</v>
      </c>
      <c r="CL128" s="306">
        <f ca="1">COUNTIF('Knock Out Stages'!Q7:Q50,BW128)</f>
        <v>0</v>
      </c>
      <c r="CM128" s="306">
        <f ca="1">COUNTIF('Knock Out Stages'!R7:R50,BW128)</f>
        <v>0</v>
      </c>
      <c r="CN128" s="306">
        <f ca="1">IF(RIGHT('Group Stages'!$B$105,5)="T.com",SUM(BX128:CM128),0)</f>
        <v>0</v>
      </c>
      <c r="CO128" s="306">
        <f ca="1">RANK(CN128,CN3:CN834)+COUNTIF(CN3:CN128,CN128)-1</f>
        <v>126</v>
      </c>
      <c r="CP128" s="306" t="str">
        <f t="shared" ca="1" si="76"/>
        <v>Mason Mount (England)</v>
      </c>
    </row>
    <row r="129" spans="1:94" x14ac:dyDescent="0.3">
      <c r="A129" s="306">
        <v>19</v>
      </c>
      <c r="B129" s="306" t="str">
        <f t="shared" si="116"/>
        <v>Nicolas Jackson</v>
      </c>
      <c r="C129" s="306" t="str">
        <f t="shared" si="135"/>
        <v>Steven Berghuis</v>
      </c>
      <c r="D129" s="306" t="str">
        <f t="shared" si="135"/>
        <v>Mostafa Tarek</v>
      </c>
      <c r="E129" s="306" t="str">
        <f t="shared" si="135"/>
        <v>Moisés Ramírez</v>
      </c>
      <c r="F129" s="306" t="str">
        <f t="shared" si="118"/>
        <v>Kyle Walker</v>
      </c>
      <c r="G129" s="306" t="str">
        <f t="shared" si="136"/>
        <v>Rouzbeh Cheshmi</v>
      </c>
      <c r="H129" s="306" t="str">
        <f t="shared" si="136"/>
        <v>Sergiño Dest</v>
      </c>
      <c r="I129" s="306" t="str">
        <f t="shared" si="136"/>
        <v>Kieffer Moore</v>
      </c>
      <c r="J129" s="306" t="str">
        <f t="shared" si="120"/>
        <v>Lisandro Martínez</v>
      </c>
      <c r="K129" s="306" t="str">
        <f t="shared" si="137"/>
        <v>Riyadh Sharahili</v>
      </c>
      <c r="L129" s="306" t="str">
        <f t="shared" si="137"/>
        <v>Luis Romo</v>
      </c>
      <c r="M129" s="306" t="str">
        <f t="shared" si="137"/>
        <v>Nicola Zalewski</v>
      </c>
      <c r="N129" s="306" t="str">
        <f t="shared" si="122"/>
        <v>Oliver Christensen</v>
      </c>
      <c r="O129" s="306" t="str">
        <f t="shared" si="138"/>
        <v>Nader Ghandri</v>
      </c>
      <c r="P129" s="306" t="str">
        <f t="shared" si="138"/>
        <v>Olivier Giroud</v>
      </c>
      <c r="Q129" s="306" t="str">
        <f t="shared" si="138"/>
        <v>Martin Boyle</v>
      </c>
      <c r="R129" s="306" t="str">
        <f t="shared" si="124"/>
        <v>Matthias Ginter</v>
      </c>
      <c r="S129" s="306" t="str">
        <f t="shared" si="139"/>
        <v>Shūto Machino</v>
      </c>
      <c r="T129" s="306" t="str">
        <f t="shared" si="139"/>
        <v>Pablo Sarabia</v>
      </c>
      <c r="U129" s="306" t="str">
        <f t="shared" si="139"/>
        <v>Keylor Navas</v>
      </c>
      <c r="V129" s="306" t="str">
        <f t="shared" si="126"/>
        <v>Sofiane Boufal</v>
      </c>
      <c r="W129" s="306" t="str">
        <f t="shared" si="140"/>
        <v>Luka Sučić</v>
      </c>
      <c r="X129" s="306" t="str">
        <f t="shared" si="140"/>
        <v>Thomas Meunier</v>
      </c>
      <c r="Y129" s="306" t="str">
        <f t="shared" si="140"/>
        <v>Mark-Anthony Kaye</v>
      </c>
      <c r="Z129" s="306" t="str">
        <f t="shared" si="128"/>
        <v>Neymar</v>
      </c>
      <c r="AA129" s="306" t="str">
        <f t="shared" si="141"/>
        <v>Saša Lukić</v>
      </c>
      <c r="AB129" s="306" t="str">
        <f t="shared" si="141"/>
        <v>Philipp Köhn</v>
      </c>
      <c r="AC129" s="306" t="str">
        <f t="shared" si="141"/>
        <v>Nouhou Tolo</v>
      </c>
      <c r="AD129" s="306" t="str">
        <f t="shared" si="130"/>
        <v>Rafael Leão</v>
      </c>
      <c r="AE129" s="306" t="str">
        <f t="shared" si="142"/>
        <v>Kamaldeen Sulemana</v>
      </c>
      <c r="AF129" s="306" t="str">
        <f t="shared" si="142"/>
        <v>Matías Viña</v>
      </c>
      <c r="AG129" s="306" t="str">
        <f t="shared" si="142"/>
        <v>Lee Kang-in</v>
      </c>
      <c r="BT129" s="306" t="str">
        <f t="shared" ca="1" si="132"/>
        <v>England</v>
      </c>
      <c r="BU129" s="306">
        <f t="shared" si="133"/>
        <v>22</v>
      </c>
      <c r="BV129" s="306">
        <f t="shared" si="134"/>
        <v>3</v>
      </c>
      <c r="BW129" s="306" t="str">
        <f ca="1">OFFSET(C3,BU129,BV129)</f>
        <v>Nick Pope</v>
      </c>
      <c r="BX129" s="306">
        <f ca="1">COUNTIF('Group Stages'!J7:J102,BW129)</f>
        <v>0</v>
      </c>
      <c r="BY129" s="306">
        <f ca="1">COUNTIF('Group Stages'!K7:K102,BW129)</f>
        <v>0</v>
      </c>
      <c r="BZ129" s="306">
        <f ca="1">COUNTIF('Group Stages'!L7:L102,BW129)</f>
        <v>0</v>
      </c>
      <c r="CA129" s="306">
        <f ca="1">COUNTIF('Group Stages'!M7:M102,BW129)</f>
        <v>0</v>
      </c>
      <c r="CB129" s="306">
        <f ca="1">COUNTIF('Group Stages'!N7:N102,BW129)</f>
        <v>0</v>
      </c>
      <c r="CC129" s="306">
        <f ca="1">COUNTIF('Group Stages'!O7:O102,BW129)</f>
        <v>0</v>
      </c>
      <c r="CD129" s="306">
        <f ca="1">COUNTIF('Group Stages'!P7:P102,BW129)</f>
        <v>0</v>
      </c>
      <c r="CE129" s="306">
        <f ca="1">COUNTIF('Group Stages'!Q7:Q102,BW129)</f>
        <v>0</v>
      </c>
      <c r="CF129" s="306">
        <f ca="1">COUNTIF('Knock Out Stages'!K7:K50,BW129)</f>
        <v>0</v>
      </c>
      <c r="CG129" s="306">
        <f ca="1">COUNTIF('Knock Out Stages'!L7:L50,BW129)</f>
        <v>0</v>
      </c>
      <c r="CH129" s="306">
        <f ca="1">COUNTIF('Knock Out Stages'!M7:M50,BW129)</f>
        <v>0</v>
      </c>
      <c r="CI129" s="306">
        <f ca="1">COUNTIF('Knock Out Stages'!N7:N50,BW129)</f>
        <v>0</v>
      </c>
      <c r="CJ129" s="306">
        <f ca="1">COUNTIF('Knock Out Stages'!O7:O50,BW129)</f>
        <v>0</v>
      </c>
      <c r="CK129" s="306">
        <f ca="1">COUNTIF('Knock Out Stages'!P7:P50,BW129)</f>
        <v>0</v>
      </c>
      <c r="CL129" s="306">
        <f ca="1">COUNTIF('Knock Out Stages'!Q7:Q50,BW129)</f>
        <v>0</v>
      </c>
      <c r="CM129" s="306">
        <f ca="1">COUNTIF('Knock Out Stages'!R7:R50,BW129)</f>
        <v>0</v>
      </c>
      <c r="CN129" s="306">
        <f ca="1">IF(RIGHT('Group Stages'!$B$105,5)="T.com",SUM(BX129:CM129),0)</f>
        <v>0</v>
      </c>
      <c r="CO129" s="306">
        <f ca="1">RANK(CN129,CN3:CN834)+COUNTIF(CN3:CN129,CN129)-1</f>
        <v>127</v>
      </c>
      <c r="CP129" s="306" t="str">
        <f t="shared" ca="1" si="76"/>
        <v>Nick Pope (England)</v>
      </c>
    </row>
    <row r="130" spans="1:94" x14ac:dyDescent="0.3">
      <c r="A130" s="306">
        <v>20</v>
      </c>
      <c r="B130" s="306" t="str">
        <f t="shared" si="116"/>
        <v>Pape Abou Cissé</v>
      </c>
      <c r="C130" s="306" t="str">
        <f t="shared" si="135"/>
        <v>Steven Bergwijn</v>
      </c>
      <c r="D130" s="306" t="str">
        <f t="shared" si="135"/>
        <v>Musab Kheder</v>
      </c>
      <c r="E130" s="306" t="str">
        <f t="shared" si="135"/>
        <v>Pervis Estupiñán</v>
      </c>
      <c r="F130" s="306" t="str">
        <f t="shared" si="118"/>
        <v>Luke Shaw</v>
      </c>
      <c r="G130" s="306" t="str">
        <f t="shared" si="136"/>
        <v>Sadegh Moharrami</v>
      </c>
      <c r="H130" s="306" t="str">
        <f t="shared" si="136"/>
        <v>Shaq Moore</v>
      </c>
      <c r="I130" s="306" t="str">
        <f t="shared" si="136"/>
        <v>Mark Harris</v>
      </c>
      <c r="J130" s="306" t="str">
        <f t="shared" si="120"/>
        <v>Marcos Acuña</v>
      </c>
      <c r="K130" s="306" t="str">
        <f t="shared" si="137"/>
        <v>Saleh Al-Shehri</v>
      </c>
      <c r="L130" s="306" t="str">
        <f t="shared" si="137"/>
        <v>Néstor Araujo</v>
      </c>
      <c r="M130" s="306" t="str">
        <f t="shared" si="137"/>
        <v>Piotr Zieliński</v>
      </c>
      <c r="N130" s="306" t="str">
        <f t="shared" si="122"/>
        <v>Pierre-Emile Højbjerg</v>
      </c>
      <c r="O130" s="306" t="str">
        <f t="shared" si="138"/>
        <v>Naïm Sliti</v>
      </c>
      <c r="P130" s="306" t="str">
        <f t="shared" si="138"/>
        <v>Ousmane Dembélé</v>
      </c>
      <c r="Q130" s="306" t="str">
        <f t="shared" si="138"/>
        <v>Mathew Leckie</v>
      </c>
      <c r="R130" s="306" t="str">
        <f t="shared" si="124"/>
        <v>Niclas Füllkrug</v>
      </c>
      <c r="S130" s="306" t="str">
        <f t="shared" si="139"/>
        <v>Takefusa Kubo</v>
      </c>
      <c r="T130" s="306" t="str">
        <f t="shared" si="139"/>
        <v>Pau Torres</v>
      </c>
      <c r="U130" s="306" t="str">
        <f t="shared" si="139"/>
        <v>Keysher Fuller</v>
      </c>
      <c r="V130" s="306" t="str">
        <f t="shared" si="126"/>
        <v>Sofyan Amrabat</v>
      </c>
      <c r="W130" s="306" t="str">
        <f t="shared" si="140"/>
        <v>Marcelo Brozović</v>
      </c>
      <c r="X130" s="306" t="str">
        <f t="shared" si="140"/>
        <v>Thorgan Hazard</v>
      </c>
      <c r="Y130" s="306" t="str">
        <f t="shared" si="140"/>
        <v>Milan Borjan</v>
      </c>
      <c r="Z130" s="306" t="str">
        <f t="shared" si="128"/>
        <v>Pedro</v>
      </c>
      <c r="AA130" s="306" t="str">
        <f t="shared" si="141"/>
        <v>Sergej Milinković-Savić</v>
      </c>
      <c r="AB130" s="306" t="str">
        <f t="shared" si="141"/>
        <v>Remo Freuler</v>
      </c>
      <c r="AC130" s="306" t="str">
        <f t="shared" si="141"/>
        <v>Olivier Mbaizo</v>
      </c>
      <c r="AD130" s="306" t="str">
        <f t="shared" si="130"/>
        <v>Raphaël Guerreiro</v>
      </c>
      <c r="AE130" s="306" t="str">
        <f t="shared" si="142"/>
        <v>Lawrence Ati-Zigi</v>
      </c>
      <c r="AF130" s="306" t="str">
        <f t="shared" si="142"/>
        <v>Maxi Gómez</v>
      </c>
      <c r="AG130" s="306" t="str">
        <f t="shared" si="142"/>
        <v>Na Sang-ho</v>
      </c>
      <c r="BT130" s="306" t="str">
        <f t="shared" ca="1" si="132"/>
        <v>England</v>
      </c>
      <c r="BU130" s="306">
        <f t="shared" si="133"/>
        <v>23</v>
      </c>
      <c r="BV130" s="306">
        <f t="shared" si="134"/>
        <v>3</v>
      </c>
      <c r="BW130" s="306" t="str">
        <f ca="1">OFFSET(C3,BU130,BV130)</f>
        <v>Phil Foden</v>
      </c>
      <c r="BX130" s="306">
        <f ca="1">COUNTIF('Group Stages'!J7:J102,BW130)</f>
        <v>0</v>
      </c>
      <c r="BY130" s="306">
        <f ca="1">COUNTIF('Group Stages'!K7:K102,BW130)</f>
        <v>0</v>
      </c>
      <c r="BZ130" s="306">
        <f ca="1">COUNTIF('Group Stages'!L7:L102,BW130)</f>
        <v>0</v>
      </c>
      <c r="CA130" s="306">
        <f ca="1">COUNTIF('Group Stages'!M7:M102,BW130)</f>
        <v>0</v>
      </c>
      <c r="CB130" s="306">
        <f ca="1">COUNTIF('Group Stages'!N7:N102,BW130)</f>
        <v>0</v>
      </c>
      <c r="CC130" s="306">
        <f ca="1">COUNTIF('Group Stages'!O7:O102,BW130)</f>
        <v>0</v>
      </c>
      <c r="CD130" s="306">
        <f ca="1">COUNTIF('Group Stages'!P7:P102,BW130)</f>
        <v>0</v>
      </c>
      <c r="CE130" s="306">
        <f ca="1">COUNTIF('Group Stages'!Q7:Q102,BW130)</f>
        <v>0</v>
      </c>
      <c r="CF130" s="306">
        <f ca="1">COUNTIF('Knock Out Stages'!K7:K50,BW130)</f>
        <v>0</v>
      </c>
      <c r="CG130" s="306">
        <f ca="1">COUNTIF('Knock Out Stages'!L7:L50,BW130)</f>
        <v>0</v>
      </c>
      <c r="CH130" s="306">
        <f ca="1">COUNTIF('Knock Out Stages'!M7:M50,BW130)</f>
        <v>0</v>
      </c>
      <c r="CI130" s="306">
        <f ca="1">COUNTIF('Knock Out Stages'!N7:N50,BW130)</f>
        <v>0</v>
      </c>
      <c r="CJ130" s="306">
        <f ca="1">COUNTIF('Knock Out Stages'!O7:O50,BW130)</f>
        <v>0</v>
      </c>
      <c r="CK130" s="306">
        <f ca="1">COUNTIF('Knock Out Stages'!P7:P50,BW130)</f>
        <v>0</v>
      </c>
      <c r="CL130" s="306">
        <f ca="1">COUNTIF('Knock Out Stages'!Q7:Q50,BW130)</f>
        <v>0</v>
      </c>
      <c r="CM130" s="306">
        <f ca="1">COUNTIF('Knock Out Stages'!R7:R50,BW130)</f>
        <v>0</v>
      </c>
      <c r="CN130" s="306">
        <f ca="1">IF(RIGHT('Group Stages'!$B$105,5)="T.com",SUM(BX130:CM130),0)</f>
        <v>0</v>
      </c>
      <c r="CO130" s="306">
        <f ca="1">RANK(CN130,CN3:CN834)+COUNTIF(CN3:CN130,CN130)-1</f>
        <v>128</v>
      </c>
      <c r="CP130" s="306" t="str">
        <f t="shared" ca="1" si="76"/>
        <v>Phil Foden (England)</v>
      </c>
    </row>
    <row r="131" spans="1:94" x14ac:dyDescent="0.3">
      <c r="A131" s="306">
        <v>21</v>
      </c>
      <c r="B131" s="306" t="str">
        <f t="shared" si="116"/>
        <v>Pape Gueye</v>
      </c>
      <c r="C131" s="306" t="str">
        <f t="shared" si="135"/>
        <v>Teun Koopmeiners</v>
      </c>
      <c r="D131" s="306" t="str">
        <f t="shared" si="135"/>
        <v>Naif Al-Hadhrami</v>
      </c>
      <c r="E131" s="306" t="str">
        <f t="shared" si="135"/>
        <v>Piero Hincapié</v>
      </c>
      <c r="F131" s="306" t="str">
        <f t="shared" si="118"/>
        <v>Marcus Rashford</v>
      </c>
      <c r="G131" s="306" t="str">
        <f t="shared" si="136"/>
        <v>Saeid Ezatolahi</v>
      </c>
      <c r="H131" s="306" t="str">
        <f t="shared" si="136"/>
        <v>Tim Ream</v>
      </c>
      <c r="I131" s="306" t="str">
        <f t="shared" si="136"/>
        <v>Matthew Smith</v>
      </c>
      <c r="J131" s="306" t="str">
        <f t="shared" si="120"/>
        <v>Nahuel Molina</v>
      </c>
      <c r="K131" s="306" t="str">
        <f t="shared" si="137"/>
        <v>Salem Al-Dawsari</v>
      </c>
      <c r="L131" s="306" t="str">
        <f t="shared" si="137"/>
        <v>Orbelín Pineda</v>
      </c>
      <c r="M131" s="306" t="str">
        <f t="shared" si="137"/>
        <v>Przemysław Frankowski</v>
      </c>
      <c r="N131" s="306" t="str">
        <f t="shared" si="122"/>
        <v>Rasmus Kristensen</v>
      </c>
      <c r="O131" s="306" t="str">
        <f t="shared" si="138"/>
        <v>Seifeddine Jaziri</v>
      </c>
      <c r="P131" s="306" t="str">
        <f t="shared" si="138"/>
        <v>Presnel Kimpembe</v>
      </c>
      <c r="Q131" s="306" t="str">
        <f t="shared" si="138"/>
        <v>Mathew Ryan</v>
      </c>
      <c r="R131" s="306" t="str">
        <f t="shared" si="124"/>
        <v>Nico Schlotterbeck</v>
      </c>
      <c r="S131" s="306" t="str">
        <f t="shared" si="139"/>
        <v>Takehiro Tomiyasu</v>
      </c>
      <c r="T131" s="306" t="str">
        <f t="shared" si="139"/>
        <v>Pedri</v>
      </c>
      <c r="U131" s="306" t="str">
        <f t="shared" si="139"/>
        <v>Óscar Duarte</v>
      </c>
      <c r="V131" s="306" t="str">
        <f t="shared" si="126"/>
        <v>Walid Cheddira</v>
      </c>
      <c r="W131" s="306" t="str">
        <f t="shared" si="140"/>
        <v>Mario Pašalić</v>
      </c>
      <c r="X131" s="306" t="str">
        <f t="shared" si="140"/>
        <v>Timothy Castagne</v>
      </c>
      <c r="Y131" s="306" t="str">
        <f t="shared" si="140"/>
        <v>Richie Laryea</v>
      </c>
      <c r="Z131" s="306" t="str">
        <f t="shared" si="128"/>
        <v>Raphinha</v>
      </c>
      <c r="AA131" s="306" t="str">
        <f t="shared" si="141"/>
        <v>Srđan Babić</v>
      </c>
      <c r="AB131" s="306" t="str">
        <f t="shared" si="141"/>
        <v>Renato Steffen</v>
      </c>
      <c r="AC131" s="306" t="str">
        <f t="shared" si="141"/>
        <v>Olivier Ntcham</v>
      </c>
      <c r="AD131" s="306" t="str">
        <f t="shared" si="130"/>
        <v>Ricardo Horta</v>
      </c>
      <c r="AE131" s="306" t="str">
        <f t="shared" si="142"/>
        <v>Mohammed Kudus</v>
      </c>
      <c r="AF131" s="306" t="str">
        <f t="shared" si="142"/>
        <v>Nicolás de la Cruz</v>
      </c>
      <c r="AG131" s="306" t="str">
        <f t="shared" si="142"/>
        <v>Paik Seung-ho</v>
      </c>
      <c r="BT131" s="306" t="str">
        <f t="shared" ca="1" si="132"/>
        <v>England</v>
      </c>
      <c r="BU131" s="306">
        <f t="shared" si="133"/>
        <v>24</v>
      </c>
      <c r="BV131" s="306">
        <f t="shared" si="134"/>
        <v>3</v>
      </c>
      <c r="BW131" s="306" t="str">
        <f ca="1">OFFSET(C3,BU131,BV131)</f>
        <v>Raheem Sterling</v>
      </c>
      <c r="BX131" s="306">
        <f ca="1">COUNTIF('Group Stages'!J7:J102,BW131)</f>
        <v>0</v>
      </c>
      <c r="BY131" s="306">
        <f ca="1">COUNTIF('Group Stages'!K7:K102,BW131)</f>
        <v>0</v>
      </c>
      <c r="BZ131" s="306">
        <f ca="1">COUNTIF('Group Stages'!L7:L102,BW131)</f>
        <v>0</v>
      </c>
      <c r="CA131" s="306">
        <f ca="1">COUNTIF('Group Stages'!M7:M102,BW131)</f>
        <v>0</v>
      </c>
      <c r="CB131" s="306">
        <f ca="1">COUNTIF('Group Stages'!N7:N102,BW131)</f>
        <v>0</v>
      </c>
      <c r="CC131" s="306">
        <f ca="1">COUNTIF('Group Stages'!O7:O102,BW131)</f>
        <v>0</v>
      </c>
      <c r="CD131" s="306">
        <f ca="1">COUNTIF('Group Stages'!P7:P102,BW131)</f>
        <v>0</v>
      </c>
      <c r="CE131" s="306">
        <f ca="1">COUNTIF('Group Stages'!Q7:Q102,BW131)</f>
        <v>0</v>
      </c>
      <c r="CF131" s="306">
        <f ca="1">COUNTIF('Knock Out Stages'!K7:K50,BW131)</f>
        <v>0</v>
      </c>
      <c r="CG131" s="306">
        <f ca="1">COUNTIF('Knock Out Stages'!L7:L50,BW131)</f>
        <v>0</v>
      </c>
      <c r="CH131" s="306">
        <f ca="1">COUNTIF('Knock Out Stages'!M7:M50,BW131)</f>
        <v>0</v>
      </c>
      <c r="CI131" s="306">
        <f ca="1">COUNTIF('Knock Out Stages'!N7:N50,BW131)</f>
        <v>0</v>
      </c>
      <c r="CJ131" s="306">
        <f ca="1">COUNTIF('Knock Out Stages'!O7:O50,BW131)</f>
        <v>0</v>
      </c>
      <c r="CK131" s="306">
        <f ca="1">COUNTIF('Knock Out Stages'!P7:P50,BW131)</f>
        <v>0</v>
      </c>
      <c r="CL131" s="306">
        <f ca="1">COUNTIF('Knock Out Stages'!Q7:Q50,BW131)</f>
        <v>0</v>
      </c>
      <c r="CM131" s="306">
        <f ca="1">COUNTIF('Knock Out Stages'!R7:R50,BW131)</f>
        <v>0</v>
      </c>
      <c r="CN131" s="306">
        <f ca="1">IF(RIGHT('Group Stages'!$B$105,5)="T.com",SUM(BX131:CM131),0)</f>
        <v>0</v>
      </c>
      <c r="CO131" s="306">
        <f ca="1">RANK(CN131,CN3:CN834)+COUNTIF(CN3:CN131,CN131)-1</f>
        <v>129</v>
      </c>
      <c r="CP131" s="306" t="str">
        <f t="shared" ca="1" si="76"/>
        <v>Raheem Sterling (England)</v>
      </c>
    </row>
    <row r="132" spans="1:94" x14ac:dyDescent="0.3">
      <c r="A132" s="306">
        <v>22</v>
      </c>
      <c r="B132" s="306" t="str">
        <f t="shared" si="116"/>
        <v>Pape Matar Sarr</v>
      </c>
      <c r="C132" s="306" t="str">
        <f t="shared" si="135"/>
        <v>Tyrell Malacia</v>
      </c>
      <c r="D132" s="306" t="str">
        <f t="shared" si="135"/>
        <v>Ró-Ró</v>
      </c>
      <c r="E132" s="306" t="str">
        <f t="shared" si="135"/>
        <v>Robert Arboleda</v>
      </c>
      <c r="F132" s="306" t="str">
        <f t="shared" si="118"/>
        <v>Mason Mount</v>
      </c>
      <c r="G132" s="306" t="str">
        <f t="shared" si="136"/>
        <v>Saman Ghoddos</v>
      </c>
      <c r="H132" s="306" t="str">
        <f t="shared" si="136"/>
        <v>Timothy Weah</v>
      </c>
      <c r="I132" s="306" t="str">
        <f t="shared" si="136"/>
        <v>Neco Williams</v>
      </c>
      <c r="J132" s="306" t="str">
        <f t="shared" si="120"/>
        <v>Nicolás González</v>
      </c>
      <c r="K132" s="306" t="str">
        <f t="shared" si="137"/>
        <v>Salman Al-Faraj</v>
      </c>
      <c r="L132" s="306" t="str">
        <f t="shared" si="137"/>
        <v>Raúl Jiménez</v>
      </c>
      <c r="M132" s="306" t="str">
        <f t="shared" si="137"/>
        <v>Robert Gumny</v>
      </c>
      <c r="N132" s="306" t="str">
        <f t="shared" si="122"/>
        <v>Robert Skov</v>
      </c>
      <c r="O132" s="306" t="str">
        <f t="shared" si="138"/>
        <v>Taha Yassine Khenissi</v>
      </c>
      <c r="P132" s="306" t="str">
        <f t="shared" si="138"/>
        <v>Raphaël Varane</v>
      </c>
      <c r="Q132" s="306" t="str">
        <f t="shared" si="138"/>
        <v>Miloš Degenek</v>
      </c>
      <c r="R132" s="306" t="str">
        <f t="shared" si="124"/>
        <v>Niklas Süle</v>
      </c>
      <c r="S132" s="306" t="str">
        <f t="shared" si="139"/>
        <v>Takuma Asano</v>
      </c>
      <c r="T132" s="306" t="str">
        <f t="shared" si="139"/>
        <v>Robert Sánchez</v>
      </c>
      <c r="U132" s="306" t="str">
        <f t="shared" si="139"/>
        <v>Patrick Sequeira</v>
      </c>
      <c r="V132" s="306" t="str">
        <f t="shared" si="126"/>
        <v>Yahia Attiyat Allah</v>
      </c>
      <c r="W132" s="306" t="str">
        <f t="shared" si="140"/>
        <v>Marko Livaja</v>
      </c>
      <c r="X132" s="306" t="str">
        <f t="shared" si="140"/>
        <v>Toby Alderweireld</v>
      </c>
      <c r="Y132" s="306" t="str">
        <f t="shared" si="140"/>
        <v>Sam Adekugbe</v>
      </c>
      <c r="Z132" s="306" t="str">
        <f t="shared" si="128"/>
        <v>Richarlison</v>
      </c>
      <c r="AA132" s="306" t="str">
        <f t="shared" si="141"/>
        <v>Stefan Mitrović</v>
      </c>
      <c r="AB132" s="306" t="str">
        <f t="shared" si="141"/>
        <v>Ricardo Rodriguez</v>
      </c>
      <c r="AC132" s="306" t="str">
        <f t="shared" si="141"/>
        <v>Oumar Gonzalez</v>
      </c>
      <c r="AD132" s="306" t="str">
        <f t="shared" si="130"/>
        <v>Rúben Dias</v>
      </c>
      <c r="AE132" s="306" t="str">
        <f t="shared" si="142"/>
        <v>Mohammed Salisu</v>
      </c>
      <c r="AF132" s="306" t="str">
        <f t="shared" si="142"/>
        <v>Rodrigo Bentancur</v>
      </c>
      <c r="AG132" s="306" t="str">
        <f t="shared" si="142"/>
        <v>Son Heung-min</v>
      </c>
      <c r="BT132" s="306" t="str">
        <f t="shared" ca="1" si="132"/>
        <v>England</v>
      </c>
      <c r="BU132" s="306">
        <f t="shared" si="133"/>
        <v>25</v>
      </c>
      <c r="BV132" s="306">
        <f t="shared" si="134"/>
        <v>3</v>
      </c>
      <c r="BW132" s="306" t="str">
        <f ca="1">OFFSET(C3,BU132,BV132)</f>
        <v>Trent Alexander-Arnold</v>
      </c>
      <c r="BX132" s="306">
        <f ca="1">COUNTIF('Group Stages'!J7:J102,BW132)</f>
        <v>0</v>
      </c>
      <c r="BY132" s="306">
        <f ca="1">COUNTIF('Group Stages'!K7:K102,BW132)</f>
        <v>0</v>
      </c>
      <c r="BZ132" s="306">
        <f ca="1">COUNTIF('Group Stages'!L7:L102,BW132)</f>
        <v>0</v>
      </c>
      <c r="CA132" s="306">
        <f ca="1">COUNTIF('Group Stages'!M7:M102,BW132)</f>
        <v>0</v>
      </c>
      <c r="CB132" s="306">
        <f ca="1">COUNTIF('Group Stages'!N7:N102,BW132)</f>
        <v>0</v>
      </c>
      <c r="CC132" s="306">
        <f ca="1">COUNTIF('Group Stages'!O7:O102,BW132)</f>
        <v>0</v>
      </c>
      <c r="CD132" s="306">
        <f ca="1">COUNTIF('Group Stages'!P7:P102,BW132)</f>
        <v>0</v>
      </c>
      <c r="CE132" s="306">
        <f ca="1">COUNTIF('Group Stages'!Q7:Q102,BW132)</f>
        <v>0</v>
      </c>
      <c r="CF132" s="306">
        <f ca="1">COUNTIF('Knock Out Stages'!K7:K50,BW132)</f>
        <v>0</v>
      </c>
      <c r="CG132" s="306">
        <f ca="1">COUNTIF('Knock Out Stages'!L7:L50,BW132)</f>
        <v>0</v>
      </c>
      <c r="CH132" s="306">
        <f ca="1">COUNTIF('Knock Out Stages'!M7:M50,BW132)</f>
        <v>0</v>
      </c>
      <c r="CI132" s="306">
        <f ca="1">COUNTIF('Knock Out Stages'!N7:N50,BW132)</f>
        <v>0</v>
      </c>
      <c r="CJ132" s="306">
        <f ca="1">COUNTIF('Knock Out Stages'!O7:O50,BW132)</f>
        <v>0</v>
      </c>
      <c r="CK132" s="306">
        <f ca="1">COUNTIF('Knock Out Stages'!P7:P50,BW132)</f>
        <v>0</v>
      </c>
      <c r="CL132" s="306">
        <f ca="1">COUNTIF('Knock Out Stages'!Q7:Q50,BW132)</f>
        <v>0</v>
      </c>
      <c r="CM132" s="306">
        <f ca="1">COUNTIF('Knock Out Stages'!R7:R50,BW132)</f>
        <v>0</v>
      </c>
      <c r="CN132" s="306">
        <f ca="1">IF(RIGHT('Group Stages'!$B$105,5)="T.com",SUM(BX132:CM132),0)</f>
        <v>0</v>
      </c>
      <c r="CO132" s="306">
        <f ca="1">RANK(CN132,CN3:CN834)+COUNTIF(CN3:CN132,CN132)-1</f>
        <v>130</v>
      </c>
      <c r="CP132" s="306" t="str">
        <f t="shared" ref="CP132:CP195" ca="1" si="143">BW132&amp;" ("&amp;BT132&amp;")"</f>
        <v>Trent Alexander-Arnold (England)</v>
      </c>
    </row>
    <row r="133" spans="1:94" x14ac:dyDescent="0.3">
      <c r="A133" s="306">
        <v>23</v>
      </c>
      <c r="B133" s="306" t="str">
        <f t="shared" si="116"/>
        <v>Pathé Ciss</v>
      </c>
      <c r="C133" s="306" t="str">
        <f t="shared" si="135"/>
        <v>Vincent Janssen</v>
      </c>
      <c r="D133" s="306" t="str">
        <f t="shared" si="135"/>
        <v>Saad Al Sheeb</v>
      </c>
      <c r="E133" s="306" t="str">
        <f t="shared" si="135"/>
        <v>Romario Ibarra</v>
      </c>
      <c r="F133" s="306" t="str">
        <f t="shared" si="118"/>
        <v>Nick Pope</v>
      </c>
      <c r="G133" s="306" t="str">
        <f t="shared" si="136"/>
        <v>Sardar Azmoun</v>
      </c>
      <c r="H133" s="306" t="str">
        <f t="shared" si="136"/>
        <v>Tyler Adams</v>
      </c>
      <c r="I133" s="306" t="str">
        <f t="shared" si="136"/>
        <v>Rubin Colwill</v>
      </c>
      <c r="J133" s="306" t="str">
        <f t="shared" si="120"/>
        <v>Nicolás Otamendi</v>
      </c>
      <c r="K133" s="306" t="str">
        <f t="shared" si="137"/>
        <v>Sami Al-Najei</v>
      </c>
      <c r="L133" s="306" t="str">
        <f t="shared" si="137"/>
        <v>Roberto Alvarado</v>
      </c>
      <c r="M133" s="306" t="str">
        <f t="shared" si="137"/>
        <v>Robert Lewandowski</v>
      </c>
      <c r="N133" s="306" t="str">
        <f t="shared" si="122"/>
        <v>Simon Kjær</v>
      </c>
      <c r="O133" s="306" t="str">
        <f t="shared" si="138"/>
        <v>Wahbi Khazri</v>
      </c>
      <c r="P133" s="306" t="str">
        <f t="shared" si="138"/>
        <v>Steve Mandanda</v>
      </c>
      <c r="Q133" s="306" t="str">
        <f t="shared" si="138"/>
        <v>Mitchell Duke</v>
      </c>
      <c r="R133" s="306" t="str">
        <f t="shared" si="124"/>
        <v>Serge Gnabry</v>
      </c>
      <c r="S133" s="306" t="str">
        <f t="shared" si="139"/>
        <v>Takumi Minamino</v>
      </c>
      <c r="T133" s="306" t="str">
        <f t="shared" si="139"/>
        <v>Rodri</v>
      </c>
      <c r="U133" s="306" t="str">
        <f t="shared" si="139"/>
        <v>Roan Wilson</v>
      </c>
      <c r="V133" s="306" t="str">
        <f t="shared" si="126"/>
        <v>Yahya Jabrane</v>
      </c>
      <c r="W133" s="306" t="str">
        <f t="shared" si="140"/>
        <v>Martin Erlić</v>
      </c>
      <c r="X133" s="306" t="str">
        <f t="shared" si="140"/>
        <v>Wout Faes</v>
      </c>
      <c r="Y133" s="306" t="str">
        <f t="shared" si="140"/>
        <v>Samuel Piette</v>
      </c>
      <c r="Z133" s="306" t="str">
        <f t="shared" si="128"/>
        <v>Rodrygo</v>
      </c>
      <c r="AA133" s="306" t="str">
        <f t="shared" si="141"/>
        <v>Strahinja Eraković</v>
      </c>
      <c r="AB133" s="306" t="str">
        <f t="shared" si="141"/>
        <v>Ruben Vargas</v>
      </c>
      <c r="AC133" s="306" t="str">
        <f t="shared" si="141"/>
        <v>Pierre Kunde</v>
      </c>
      <c r="AD133" s="306" t="str">
        <f t="shared" si="130"/>
        <v>Rúben Neves</v>
      </c>
      <c r="AE133" s="306" t="str">
        <f t="shared" si="142"/>
        <v>Osman Bukari</v>
      </c>
      <c r="AF133" s="306" t="str">
        <f t="shared" si="142"/>
        <v>Ronald Araújo</v>
      </c>
      <c r="AG133" s="306" t="str">
        <f t="shared" si="142"/>
        <v>Son Jun-ho</v>
      </c>
      <c r="BT133" s="306" t="str">
        <f ca="1">OFFSET(C2,BU133,BV133)</f>
        <v>Iran</v>
      </c>
      <c r="BU133" s="306">
        <f t="shared" si="133"/>
        <v>0</v>
      </c>
      <c r="BV133" s="306">
        <f t="shared" si="134"/>
        <v>4</v>
      </c>
      <c r="BW133" s="306" t="str">
        <f ca="1">OFFSET(C3,BU133,BV133)</f>
        <v>Abolfazl Jalali</v>
      </c>
      <c r="BX133" s="306">
        <f ca="1">COUNTIF('Group Stages'!J7:J102,BW133)</f>
        <v>0</v>
      </c>
      <c r="BY133" s="306">
        <f ca="1">COUNTIF('Group Stages'!K7:K102,BW133)</f>
        <v>0</v>
      </c>
      <c r="BZ133" s="306">
        <f ca="1">COUNTIF('Group Stages'!L7:L102,BW133)</f>
        <v>0</v>
      </c>
      <c r="CA133" s="306">
        <f ca="1">COUNTIF('Group Stages'!M7:M102,BW133)</f>
        <v>0</v>
      </c>
      <c r="CB133" s="306">
        <f ca="1">COUNTIF('Group Stages'!N7:N102,BW133)</f>
        <v>0</v>
      </c>
      <c r="CC133" s="306">
        <f ca="1">COUNTIF('Group Stages'!O7:O102,BW133)</f>
        <v>0</v>
      </c>
      <c r="CD133" s="306">
        <f ca="1">COUNTIF('Group Stages'!P7:P102,BW133)</f>
        <v>0</v>
      </c>
      <c r="CE133" s="306">
        <f ca="1">COUNTIF('Group Stages'!Q7:Q102,BW133)</f>
        <v>0</v>
      </c>
      <c r="CF133" s="306">
        <f ca="1">COUNTIF('Knock Out Stages'!K7:K50,BW133)</f>
        <v>0</v>
      </c>
      <c r="CG133" s="306">
        <f ca="1">COUNTIF('Knock Out Stages'!L7:L50,BW133)</f>
        <v>0</v>
      </c>
      <c r="CH133" s="306">
        <f ca="1">COUNTIF('Knock Out Stages'!M7:M50,BW133)</f>
        <v>0</v>
      </c>
      <c r="CI133" s="306">
        <f ca="1">COUNTIF('Knock Out Stages'!N7:N50,BW133)</f>
        <v>0</v>
      </c>
      <c r="CJ133" s="306">
        <f ca="1">COUNTIF('Knock Out Stages'!O7:O50,BW133)</f>
        <v>0</v>
      </c>
      <c r="CK133" s="306">
        <f ca="1">COUNTIF('Knock Out Stages'!P7:P50,BW133)</f>
        <v>0</v>
      </c>
      <c r="CL133" s="306">
        <f ca="1">COUNTIF('Knock Out Stages'!Q7:Q50,BW133)</f>
        <v>0</v>
      </c>
      <c r="CM133" s="306">
        <f ca="1">COUNTIF('Knock Out Stages'!R7:R50,BW133)</f>
        <v>0</v>
      </c>
      <c r="CN133" s="306">
        <f ca="1">IF(RIGHT('Group Stages'!$B$105,5)="T.com",SUM(BX133:CM133),0)</f>
        <v>0</v>
      </c>
      <c r="CO133" s="306">
        <f ca="1">RANK(CN133,CN3:CN834)+COUNTIF(CN3:CN133,CN133)-1</f>
        <v>131</v>
      </c>
      <c r="CP133" s="306" t="str">
        <f t="shared" ca="1" si="143"/>
        <v>Abolfazl Jalali (Iran)</v>
      </c>
    </row>
    <row r="134" spans="1:94" x14ac:dyDescent="0.3">
      <c r="A134" s="306">
        <v>24</v>
      </c>
      <c r="B134" s="306" t="str">
        <f t="shared" si="116"/>
        <v>Sadio Mané</v>
      </c>
      <c r="C134" s="306" t="str">
        <f t="shared" si="135"/>
        <v>Virgil van Dijk</v>
      </c>
      <c r="D134" s="306" t="str">
        <f t="shared" si="135"/>
        <v>Salem Al-Hajri</v>
      </c>
      <c r="E134" s="306" t="str">
        <f t="shared" si="135"/>
        <v>Sebas Méndez</v>
      </c>
      <c r="F134" s="306" t="str">
        <f t="shared" si="118"/>
        <v>Phil Foden</v>
      </c>
      <c r="G134" s="306" t="str">
        <f t="shared" si="136"/>
        <v>Shojae Khalilzadeh</v>
      </c>
      <c r="H134" s="306" t="str">
        <f t="shared" si="136"/>
        <v>Walker Zimmerman</v>
      </c>
      <c r="I134" s="306" t="str">
        <f t="shared" si="136"/>
        <v>Sorba Thomas</v>
      </c>
      <c r="J134" s="306" t="str">
        <f t="shared" si="120"/>
        <v>Nicolás Tagliafico</v>
      </c>
      <c r="K134" s="306" t="str">
        <f t="shared" si="137"/>
        <v>Saud Abdulhamid</v>
      </c>
      <c r="L134" s="306" t="str">
        <f t="shared" si="137"/>
        <v>Rodolfo Cota</v>
      </c>
      <c r="M134" s="306" t="str">
        <f t="shared" si="137"/>
        <v>Sebastian Szymański</v>
      </c>
      <c r="N134" s="306" t="str">
        <f t="shared" si="122"/>
        <v>Thomas Delaney</v>
      </c>
      <c r="O134" s="306" t="str">
        <f t="shared" si="138"/>
        <v>Wajdi Kechrida</v>
      </c>
      <c r="P134" s="306" t="str">
        <f t="shared" si="138"/>
        <v>Theo Hernandez</v>
      </c>
      <c r="Q134" s="306" t="str">
        <f t="shared" si="138"/>
        <v>Nathaniel Atkinson</v>
      </c>
      <c r="R134" s="306" t="str">
        <f t="shared" si="124"/>
        <v>Thilo Kehrer</v>
      </c>
      <c r="S134" s="306" t="str">
        <f t="shared" si="139"/>
        <v>Wataru Endo</v>
      </c>
      <c r="T134" s="306" t="str">
        <f t="shared" si="139"/>
        <v>Sergio Busquets</v>
      </c>
      <c r="U134" s="306" t="str">
        <f t="shared" si="139"/>
        <v>Rónald Matarrita</v>
      </c>
      <c r="V134" s="306" t="str">
        <f t="shared" si="126"/>
        <v>Yassine Bounou</v>
      </c>
      <c r="W134" s="306" t="str">
        <f t="shared" si="140"/>
        <v>Mateo Kovačić</v>
      </c>
      <c r="X134" s="306" t="str">
        <f t="shared" si="140"/>
        <v>Yannick Carrasco</v>
      </c>
      <c r="Y134" s="306" t="str">
        <f t="shared" si="140"/>
        <v>Stephen Eustáquio</v>
      </c>
      <c r="Z134" s="306" t="str">
        <f t="shared" si="128"/>
        <v>Thiago Silva</v>
      </c>
      <c r="AA134" s="306" t="str">
        <f t="shared" si="141"/>
        <v>Strahinja Pavlović</v>
      </c>
      <c r="AB134" s="306" t="str">
        <f t="shared" si="141"/>
        <v>Silvan Widmer</v>
      </c>
      <c r="AC134" s="306" t="str">
        <f t="shared" si="141"/>
        <v>Samuel Gouet</v>
      </c>
      <c r="AD134" s="306" t="str">
        <f t="shared" si="130"/>
        <v>Rui Patrício</v>
      </c>
      <c r="AE134" s="306" t="str">
        <f t="shared" si="142"/>
        <v>Salis Abdul Samed</v>
      </c>
      <c r="AF134" s="306" t="str">
        <f t="shared" si="142"/>
        <v>Sebastián Coates</v>
      </c>
      <c r="AG134" s="306" t="str">
        <f t="shared" si="142"/>
        <v>Song Bum-keun</v>
      </c>
      <c r="BT134" s="306" t="str">
        <f t="shared" ref="BT134" ca="1" si="144">BT133</f>
        <v>Iran</v>
      </c>
      <c r="BU134" s="306">
        <f t="shared" si="133"/>
        <v>1</v>
      </c>
      <c r="BV134" s="306">
        <f t="shared" si="134"/>
        <v>4</v>
      </c>
      <c r="BW134" s="306" t="str">
        <f ca="1">OFFSET(C3,BU134,BV134)</f>
        <v>Ahmad Nourollahi</v>
      </c>
      <c r="BX134" s="306">
        <f ca="1">COUNTIF('Group Stages'!J7:J102,BW134)</f>
        <v>0</v>
      </c>
      <c r="BY134" s="306">
        <f ca="1">COUNTIF('Group Stages'!K7:K102,BW134)</f>
        <v>0</v>
      </c>
      <c r="BZ134" s="306">
        <f ca="1">COUNTIF('Group Stages'!L7:L102,BW134)</f>
        <v>0</v>
      </c>
      <c r="CA134" s="306">
        <f ca="1">COUNTIF('Group Stages'!M7:M102,BW134)</f>
        <v>0</v>
      </c>
      <c r="CB134" s="306">
        <f ca="1">COUNTIF('Group Stages'!N7:N102,BW134)</f>
        <v>0</v>
      </c>
      <c r="CC134" s="306">
        <f ca="1">COUNTIF('Group Stages'!O7:O102,BW134)</f>
        <v>0</v>
      </c>
      <c r="CD134" s="306">
        <f ca="1">COUNTIF('Group Stages'!P7:P102,BW134)</f>
        <v>0</v>
      </c>
      <c r="CE134" s="306">
        <f ca="1">COUNTIF('Group Stages'!Q7:Q102,BW134)</f>
        <v>0</v>
      </c>
      <c r="CF134" s="306">
        <f ca="1">COUNTIF('Knock Out Stages'!K7:K50,BW134)</f>
        <v>0</v>
      </c>
      <c r="CG134" s="306">
        <f ca="1">COUNTIF('Knock Out Stages'!L7:L50,BW134)</f>
        <v>0</v>
      </c>
      <c r="CH134" s="306">
        <f ca="1">COUNTIF('Knock Out Stages'!M7:M50,BW134)</f>
        <v>0</v>
      </c>
      <c r="CI134" s="306">
        <f ca="1">COUNTIF('Knock Out Stages'!N7:N50,BW134)</f>
        <v>0</v>
      </c>
      <c r="CJ134" s="306">
        <f ca="1">COUNTIF('Knock Out Stages'!O7:O50,BW134)</f>
        <v>0</v>
      </c>
      <c r="CK134" s="306">
        <f ca="1">COUNTIF('Knock Out Stages'!P7:P50,BW134)</f>
        <v>0</v>
      </c>
      <c r="CL134" s="306">
        <f ca="1">COUNTIF('Knock Out Stages'!Q7:Q50,BW134)</f>
        <v>0</v>
      </c>
      <c r="CM134" s="306">
        <f ca="1">COUNTIF('Knock Out Stages'!R7:R50,BW134)</f>
        <v>0</v>
      </c>
      <c r="CN134" s="306">
        <f ca="1">IF(RIGHT('Group Stages'!$B$105,5)="T.com",SUM(BX134:CM134),0)</f>
        <v>0</v>
      </c>
      <c r="CO134" s="306">
        <f ca="1">RANK(CN134,CN3:CN834)+COUNTIF(CN3:CN134,CN134)-1</f>
        <v>132</v>
      </c>
      <c r="CP134" s="306" t="str">
        <f t="shared" ca="1" si="143"/>
        <v>Ahmad Nourollahi (Iran)</v>
      </c>
    </row>
    <row r="135" spans="1:94" x14ac:dyDescent="0.3">
      <c r="A135" s="306">
        <v>25</v>
      </c>
      <c r="B135" s="306" t="str">
        <f t="shared" si="116"/>
        <v>Seny Dieng</v>
      </c>
      <c r="C135" s="306" t="str">
        <f t="shared" si="135"/>
        <v>Wout Weghorst</v>
      </c>
      <c r="D135" s="306" t="str">
        <f t="shared" si="135"/>
        <v>Tarek Salman</v>
      </c>
      <c r="E135" s="306" t="str">
        <f t="shared" si="135"/>
        <v>William Pacho</v>
      </c>
      <c r="F135" s="306" t="str">
        <f t="shared" si="118"/>
        <v>Raheem Sterling</v>
      </c>
      <c r="G135" s="306" t="str">
        <f t="shared" si="136"/>
        <v>Vahid Amiri</v>
      </c>
      <c r="H135" s="306" t="str">
        <f t="shared" si="136"/>
        <v>Weston McKennie</v>
      </c>
      <c r="I135" s="306" t="str">
        <f t="shared" si="136"/>
        <v>Tom Lockyer</v>
      </c>
      <c r="J135" s="306" t="str">
        <f t="shared" si="120"/>
        <v>Paulo Dybala</v>
      </c>
      <c r="K135" s="306" t="str">
        <f t="shared" si="137"/>
        <v>Sultan Al-Ghanam</v>
      </c>
      <c r="L135" s="306" t="str">
        <f t="shared" si="137"/>
        <v>Rogelio Funes Mori</v>
      </c>
      <c r="M135" s="306" t="str">
        <f t="shared" si="137"/>
        <v>Szymon Żurkowski</v>
      </c>
      <c r="N135" s="306" t="str">
        <f t="shared" si="122"/>
        <v>Victor Nelsson</v>
      </c>
      <c r="O135" s="306" t="str">
        <f t="shared" si="138"/>
        <v>Yassine Meriah</v>
      </c>
      <c r="P135" s="306" t="str">
        <f t="shared" si="138"/>
        <v>William Saliba</v>
      </c>
      <c r="Q135" s="306" t="str">
        <f t="shared" si="138"/>
        <v>Riley McGree</v>
      </c>
      <c r="R135" s="306" t="str">
        <f t="shared" si="124"/>
        <v>Thomas Müller</v>
      </c>
      <c r="S135" s="306" t="str">
        <f t="shared" si="139"/>
        <v>Yūki Sōma</v>
      </c>
      <c r="T135" s="306" t="str">
        <f t="shared" si="139"/>
        <v>Unai Simón</v>
      </c>
      <c r="U135" s="306" t="str">
        <f t="shared" si="139"/>
        <v>Yeltsin Tejeda</v>
      </c>
      <c r="V135" s="306" t="str">
        <f t="shared" si="126"/>
        <v>Youssef En-Nesyri</v>
      </c>
      <c r="W135" s="306" t="str">
        <f t="shared" si="140"/>
        <v>Mislav Oršić</v>
      </c>
      <c r="X135" s="306" t="str">
        <f t="shared" si="140"/>
        <v>Youri Tielemans</v>
      </c>
      <c r="Y135" s="306" t="str">
        <f t="shared" si="140"/>
        <v>Steven Vitória</v>
      </c>
      <c r="Z135" s="306" t="str">
        <f t="shared" si="128"/>
        <v>Vinícius Júnior</v>
      </c>
      <c r="AA135" s="306" t="str">
        <f t="shared" si="141"/>
        <v>Uroš Račić</v>
      </c>
      <c r="AB135" s="306" t="str">
        <f t="shared" si="141"/>
        <v>Xherdan Shaqiri</v>
      </c>
      <c r="AC135" s="306" t="str">
        <f t="shared" si="141"/>
        <v>Simon Ngapandouetnbu</v>
      </c>
      <c r="AD135" s="306" t="str">
        <f t="shared" si="130"/>
        <v>Vitinha</v>
      </c>
      <c r="AE135" s="306" t="str">
        <f t="shared" si="142"/>
        <v>Tariq Lamptey</v>
      </c>
      <c r="AF135" s="306" t="str">
        <f t="shared" si="142"/>
        <v>Sebastián Sosa</v>
      </c>
      <c r="AG135" s="306" t="str">
        <f t="shared" si="142"/>
        <v>Song Min-kyu</v>
      </c>
      <c r="BT135" s="306" t="str">
        <f t="shared" ca="1" si="132"/>
        <v>Iran</v>
      </c>
      <c r="BU135" s="306">
        <f t="shared" si="133"/>
        <v>2</v>
      </c>
      <c r="BV135" s="306">
        <f t="shared" si="134"/>
        <v>4</v>
      </c>
      <c r="BW135" s="306" t="str">
        <f ca="1">OFFSET(C3,BU135,BV135)</f>
        <v>Ali Gholizadeh</v>
      </c>
      <c r="BX135" s="306">
        <f ca="1">COUNTIF('Group Stages'!J7:J102,BW135)</f>
        <v>0</v>
      </c>
      <c r="BY135" s="306">
        <f ca="1">COUNTIF('Group Stages'!K7:K102,BW135)</f>
        <v>0</v>
      </c>
      <c r="BZ135" s="306">
        <f ca="1">COUNTIF('Group Stages'!L7:L102,BW135)</f>
        <v>0</v>
      </c>
      <c r="CA135" s="306">
        <f ca="1">COUNTIF('Group Stages'!M7:M102,BW135)</f>
        <v>0</v>
      </c>
      <c r="CB135" s="306">
        <f ca="1">COUNTIF('Group Stages'!N7:N102,BW135)</f>
        <v>0</v>
      </c>
      <c r="CC135" s="306">
        <f ca="1">COUNTIF('Group Stages'!O7:O102,BW135)</f>
        <v>0</v>
      </c>
      <c r="CD135" s="306">
        <f ca="1">COUNTIF('Group Stages'!P7:P102,BW135)</f>
        <v>0</v>
      </c>
      <c r="CE135" s="306">
        <f ca="1">COUNTIF('Group Stages'!Q7:Q102,BW135)</f>
        <v>0</v>
      </c>
      <c r="CF135" s="306">
        <f ca="1">COUNTIF('Knock Out Stages'!K7:K50,BW135)</f>
        <v>0</v>
      </c>
      <c r="CG135" s="306">
        <f ca="1">COUNTIF('Knock Out Stages'!L7:L50,BW135)</f>
        <v>0</v>
      </c>
      <c r="CH135" s="306">
        <f ca="1">COUNTIF('Knock Out Stages'!M7:M50,BW135)</f>
        <v>0</v>
      </c>
      <c r="CI135" s="306">
        <f ca="1">COUNTIF('Knock Out Stages'!N7:N50,BW135)</f>
        <v>0</v>
      </c>
      <c r="CJ135" s="306">
        <f ca="1">COUNTIF('Knock Out Stages'!O7:O50,BW135)</f>
        <v>0</v>
      </c>
      <c r="CK135" s="306">
        <f ca="1">COUNTIF('Knock Out Stages'!P7:P50,BW135)</f>
        <v>0</v>
      </c>
      <c r="CL135" s="306">
        <f ca="1">COUNTIF('Knock Out Stages'!Q7:Q50,BW135)</f>
        <v>0</v>
      </c>
      <c r="CM135" s="306">
        <f ca="1">COUNTIF('Knock Out Stages'!R7:R50,BW135)</f>
        <v>0</v>
      </c>
      <c r="CN135" s="306">
        <f ca="1">IF(RIGHT('Group Stages'!$B$105,5)="T.com",SUM(BX135:CM135),0)</f>
        <v>0</v>
      </c>
      <c r="CO135" s="306">
        <f ca="1">RANK(CN135,CN3:CN834)+COUNTIF(CN3:CN135,CN135)-1</f>
        <v>133</v>
      </c>
      <c r="CP135" s="306" t="str">
        <f t="shared" ca="1" si="143"/>
        <v>Ali Gholizadeh (Iran)</v>
      </c>
    </row>
    <row r="136" spans="1:94" x14ac:dyDescent="0.3">
      <c r="A136" s="306">
        <v>26</v>
      </c>
      <c r="B136" s="306" t="str">
        <f t="shared" si="116"/>
        <v>Youssouf Sabaly</v>
      </c>
      <c r="C136" s="306" t="str">
        <f t="shared" si="135"/>
        <v>Xavi Simons</v>
      </c>
      <c r="D136" s="306" t="str">
        <f t="shared" si="135"/>
        <v>Yousef Hassan</v>
      </c>
      <c r="E136" s="306" t="str">
        <f t="shared" si="135"/>
        <v>Xavier Arreaga</v>
      </c>
      <c r="F136" s="306" t="str">
        <f t="shared" si="118"/>
        <v>Trent Alexander-Arnold</v>
      </c>
      <c r="G136" s="306">
        <f t="shared" si="136"/>
        <v>0</v>
      </c>
      <c r="H136" s="306" t="str">
        <f t="shared" si="136"/>
        <v>Yunus Musah</v>
      </c>
      <c r="I136" s="306" t="str">
        <f t="shared" si="136"/>
        <v>Wayne Hennessey</v>
      </c>
      <c r="J136" s="306" t="str">
        <f t="shared" si="120"/>
        <v>Rodrigo De Paul</v>
      </c>
      <c r="K136" s="306" t="str">
        <f t="shared" si="137"/>
        <v>Yasser Al-Shahrani</v>
      </c>
      <c r="L136" s="306" t="str">
        <f t="shared" si="137"/>
        <v>Uriel Antuna</v>
      </c>
      <c r="M136" s="306" t="str">
        <f t="shared" si="137"/>
        <v>Wojciech Szczęsny</v>
      </c>
      <c r="N136" s="306" t="str">
        <f t="shared" si="122"/>
        <v>Yussuf Poulsen</v>
      </c>
      <c r="O136" s="306" t="str">
        <f t="shared" si="138"/>
        <v>Youssef Msakni</v>
      </c>
      <c r="P136" s="306" t="str">
        <f t="shared" si="138"/>
        <v>Youssouf Fofana</v>
      </c>
      <c r="Q136" s="306" t="str">
        <f t="shared" si="138"/>
        <v>Thomas Deng</v>
      </c>
      <c r="R136" s="306" t="str">
        <f t="shared" si="124"/>
        <v>Youssoufa Moukoko</v>
      </c>
      <c r="S136" s="306" t="str">
        <f t="shared" si="139"/>
        <v>Yūto Nagatomo</v>
      </c>
      <c r="T136" s="306" t="str">
        <f t="shared" si="139"/>
        <v>Yeremy Pino</v>
      </c>
      <c r="U136" s="306" t="str">
        <f t="shared" si="139"/>
        <v>Youstin Salas</v>
      </c>
      <c r="V136" s="306" t="str">
        <f t="shared" si="126"/>
        <v>Zakaria Aboukhlal</v>
      </c>
      <c r="W136" s="306" t="str">
        <f t="shared" si="140"/>
        <v>Nikola Vlašić</v>
      </c>
      <c r="X136" s="306" t="str">
        <f t="shared" si="140"/>
        <v>Zeno Debast</v>
      </c>
      <c r="Y136" s="306" t="str">
        <f t="shared" si="140"/>
        <v>Tajon Buchanan</v>
      </c>
      <c r="Z136" s="306" t="str">
        <f t="shared" si="128"/>
        <v>Weverton</v>
      </c>
      <c r="AA136" s="306" t="str">
        <f t="shared" si="141"/>
        <v>Vanja Milinković-Savić</v>
      </c>
      <c r="AB136" s="306" t="str">
        <f t="shared" si="141"/>
        <v>Yann Sommer</v>
      </c>
      <c r="AC136" s="306" t="str">
        <f t="shared" si="141"/>
        <v>Vincent Aboubakar</v>
      </c>
      <c r="AD136" s="306" t="str">
        <f t="shared" si="130"/>
        <v>William Carvalho</v>
      </c>
      <c r="AE136" s="306" t="str">
        <f t="shared" si="142"/>
        <v>Thomas Partey</v>
      </c>
      <c r="AF136" s="306" t="str">
        <f t="shared" si="142"/>
        <v>Sergio Rochet</v>
      </c>
      <c r="AG136" s="306" t="str">
        <f t="shared" si="142"/>
        <v>Yoon Jong-gyu</v>
      </c>
      <c r="BT136" s="306" t="str">
        <f t="shared" ca="1" si="132"/>
        <v>Iran</v>
      </c>
      <c r="BU136" s="306">
        <f t="shared" si="133"/>
        <v>3</v>
      </c>
      <c r="BV136" s="306">
        <f t="shared" si="134"/>
        <v>4</v>
      </c>
      <c r="BW136" s="306" t="str">
        <f ca="1">OFFSET(C3,BU136,BV136)</f>
        <v>Ali Karimi</v>
      </c>
      <c r="BX136" s="306">
        <f ca="1">COUNTIF('Group Stages'!J7:J102,BW136)</f>
        <v>0</v>
      </c>
      <c r="BY136" s="306">
        <f ca="1">COUNTIF('Group Stages'!K7:K102,BW136)</f>
        <v>0</v>
      </c>
      <c r="BZ136" s="306">
        <f ca="1">COUNTIF('Group Stages'!L7:L102,BW136)</f>
        <v>0</v>
      </c>
      <c r="CA136" s="306">
        <f ca="1">COUNTIF('Group Stages'!M7:M102,BW136)</f>
        <v>0</v>
      </c>
      <c r="CB136" s="306">
        <f ca="1">COUNTIF('Group Stages'!N7:N102,BW136)</f>
        <v>0</v>
      </c>
      <c r="CC136" s="306">
        <f ca="1">COUNTIF('Group Stages'!O7:O102,BW136)</f>
        <v>0</v>
      </c>
      <c r="CD136" s="306">
        <f ca="1">COUNTIF('Group Stages'!P7:P102,BW136)</f>
        <v>0</v>
      </c>
      <c r="CE136" s="306">
        <f ca="1">COUNTIF('Group Stages'!Q7:Q102,BW136)</f>
        <v>0</v>
      </c>
      <c r="CF136" s="306">
        <f ca="1">COUNTIF('Knock Out Stages'!K7:K50,BW136)</f>
        <v>0</v>
      </c>
      <c r="CG136" s="306">
        <f ca="1">COUNTIF('Knock Out Stages'!L7:L50,BW136)</f>
        <v>0</v>
      </c>
      <c r="CH136" s="306">
        <f ca="1">COUNTIF('Knock Out Stages'!M7:M50,BW136)</f>
        <v>0</v>
      </c>
      <c r="CI136" s="306">
        <f ca="1">COUNTIF('Knock Out Stages'!N7:N50,BW136)</f>
        <v>0</v>
      </c>
      <c r="CJ136" s="306">
        <f ca="1">COUNTIF('Knock Out Stages'!O7:O50,BW136)</f>
        <v>0</v>
      </c>
      <c r="CK136" s="306">
        <f ca="1">COUNTIF('Knock Out Stages'!P7:P50,BW136)</f>
        <v>0</v>
      </c>
      <c r="CL136" s="306">
        <f ca="1">COUNTIF('Knock Out Stages'!Q7:Q50,BW136)</f>
        <v>0</v>
      </c>
      <c r="CM136" s="306">
        <f ca="1">COUNTIF('Knock Out Stages'!R7:R50,BW136)</f>
        <v>0</v>
      </c>
      <c r="CN136" s="306">
        <f ca="1">IF(RIGHT('Group Stages'!$B$105,5)="T.com",SUM(BX136:CM136),0)</f>
        <v>0</v>
      </c>
      <c r="CO136" s="306">
        <f ca="1">RANK(CN136,CN3:CN834)+COUNTIF(CN3:CN136,CN136)-1</f>
        <v>134</v>
      </c>
      <c r="CP136" s="306" t="str">
        <f t="shared" ca="1" si="143"/>
        <v>Ali Karimi (Iran)</v>
      </c>
    </row>
    <row r="137" spans="1:94" x14ac:dyDescent="0.3">
      <c r="A137" s="306">
        <f t="shared" ref="A137:A162" si="145">A111</f>
        <v>1</v>
      </c>
      <c r="B137" s="306" t="str">
        <f t="shared" ref="B137:B162" si="146">E3&amp;" (og)"</f>
        <v>Alan Franco (og)</v>
      </c>
      <c r="C137" s="306" t="str">
        <f t="shared" ref="C137:C162" si="147">E3&amp;" (og)"</f>
        <v>Alan Franco (og)</v>
      </c>
      <c r="D137" s="306" t="str">
        <f t="shared" ref="D137:D162" si="148">E3&amp;" (og)"</f>
        <v>Alan Franco (og)</v>
      </c>
      <c r="E137" s="306" t="str">
        <f t="shared" ref="E137:E162" si="149">D3&amp;" (og)"</f>
        <v>Abdelkarim Hassan (og)</v>
      </c>
      <c r="F137" s="306" t="str">
        <f t="shared" ref="F137:F162" si="150">I3&amp;" (og)"</f>
        <v>Aaron Ramsey (og)</v>
      </c>
      <c r="G137" s="306" t="str">
        <f t="shared" ref="G137:G162" si="151">I3&amp;" (og)"</f>
        <v>Aaron Ramsey (og)</v>
      </c>
      <c r="H137" s="306" t="str">
        <f t="shared" ref="H137:H162" si="152">I3&amp;" (og)"</f>
        <v>Aaron Ramsey (og)</v>
      </c>
      <c r="I137" s="306" t="str">
        <f t="shared" ref="I137:I162" si="153">H3&amp;" (og)"</f>
        <v>Aaron Long (og)</v>
      </c>
      <c r="J137" s="306" t="str">
        <f t="shared" ref="J137:J162" si="154">M3&amp;" (og)"</f>
        <v>Arkadiusz Milik (og)</v>
      </c>
      <c r="K137" s="306" t="str">
        <f t="shared" ref="K137:K162" si="155">M3&amp;" (og)"</f>
        <v>Arkadiusz Milik (og)</v>
      </c>
      <c r="L137" s="306" t="str">
        <f t="shared" ref="L137:L162" si="156">M3&amp;" (og)"</f>
        <v>Arkadiusz Milik (og)</v>
      </c>
      <c r="M137" s="306" t="str">
        <f t="shared" ref="M137:M162" si="157">L3&amp;" (og)"</f>
        <v>Alexis Vega (og)</v>
      </c>
      <c r="N137" s="306" t="str">
        <f t="shared" ref="N137:N162" si="158">Q3&amp;" (og)"</f>
        <v>Aaron Mooy (og)</v>
      </c>
      <c r="O137" s="306" t="str">
        <f t="shared" ref="O137:O162" si="159">Q3&amp;" (og)"</f>
        <v>Aaron Mooy (og)</v>
      </c>
      <c r="P137" s="306" t="str">
        <f t="shared" ref="P137:P162" si="160">Q3&amp;" (og)"</f>
        <v>Aaron Mooy (og)</v>
      </c>
      <c r="Q137" s="306" t="str">
        <f t="shared" ref="Q137:Q162" si="161">P3&amp;" (og)"</f>
        <v>Adrien Rabiot (og)</v>
      </c>
      <c r="R137" s="306" t="str">
        <f t="shared" ref="R137:R162" si="162">U3&amp;" (og)"</f>
        <v>Álvaro Zamora (og)</v>
      </c>
      <c r="S137" s="306" t="str">
        <f t="shared" ref="S137:S162" si="163">U3&amp;" (og)"</f>
        <v>Álvaro Zamora (og)</v>
      </c>
      <c r="T137" s="306" t="str">
        <f t="shared" ref="T137:T162" si="164">U3&amp;" (og)"</f>
        <v>Álvaro Zamora (og)</v>
      </c>
      <c r="U137" s="306" t="str">
        <f t="shared" ref="U137:U162" si="165">T3&amp;" (og)"</f>
        <v>Álvaro Morata (og)</v>
      </c>
      <c r="V137" s="306" t="str">
        <f t="shared" ref="V137:V162" si="166">Y3&amp;" (og)"</f>
        <v>Alistair Johnston (og)</v>
      </c>
      <c r="W137" s="306" t="str">
        <f t="shared" ref="W137:W162" si="167">Y3&amp;" (og)"</f>
        <v>Alistair Johnston (og)</v>
      </c>
      <c r="X137" s="306" t="str">
        <f t="shared" ref="X137:X162" si="168">Y3&amp;" (og)"</f>
        <v>Alistair Johnston (og)</v>
      </c>
      <c r="Y137" s="306" t="str">
        <f t="shared" ref="Y137:Y162" si="169">X3&amp;" (og)"</f>
        <v>Amadou Onana (og)</v>
      </c>
      <c r="Z137" s="306" t="str">
        <f t="shared" ref="Z137:Z162" si="170">AC3&amp;" (og)"</f>
        <v>André Onana (og)</v>
      </c>
      <c r="AA137" s="306" t="str">
        <f t="shared" ref="AA137:AA162" si="171">AC3&amp;" (og)"</f>
        <v>André Onana (og)</v>
      </c>
      <c r="AB137" s="306" t="str">
        <f t="shared" ref="AB137:AB162" si="172">AC3&amp;" (og)"</f>
        <v>André Onana (og)</v>
      </c>
      <c r="AC137" s="306" t="str">
        <f t="shared" ref="AC137:AC162" si="173">AB3&amp;" (og)"</f>
        <v>Ardon Jashari (og)</v>
      </c>
      <c r="AD137" s="306" t="str">
        <f t="shared" ref="AD137:AD162" si="174">AG3&amp;" (og)"</f>
        <v>Cho Gue-sung (og)</v>
      </c>
      <c r="AE137" s="306" t="str">
        <f t="shared" ref="AE137:AE162" si="175">AG3&amp;" (og)"</f>
        <v>Cho Gue-sung (og)</v>
      </c>
      <c r="AF137" s="306" t="str">
        <f t="shared" ref="AF137:AF162" si="176">AG3&amp;" (og)"</f>
        <v>Cho Gue-sung (og)</v>
      </c>
      <c r="AG137" s="306" t="str">
        <f t="shared" ref="AG137:AG162" si="177">AF3&amp;" (og)"</f>
        <v>Agustín Canobbio (og)</v>
      </c>
      <c r="BT137" s="306" t="str">
        <f t="shared" ca="1" si="132"/>
        <v>Iran</v>
      </c>
      <c r="BU137" s="306">
        <f t="shared" si="133"/>
        <v>4</v>
      </c>
      <c r="BV137" s="306">
        <f t="shared" si="134"/>
        <v>4</v>
      </c>
      <c r="BW137" s="306" t="str">
        <f ca="1">OFFSET(C3,BU137,BV137)</f>
        <v>Alireza Beiranvand</v>
      </c>
      <c r="BX137" s="306">
        <f ca="1">COUNTIF('Group Stages'!J7:J102,BW137)</f>
        <v>0</v>
      </c>
      <c r="BY137" s="306">
        <f ca="1">COUNTIF('Group Stages'!K7:K102,BW137)</f>
        <v>0</v>
      </c>
      <c r="BZ137" s="306">
        <f ca="1">COUNTIF('Group Stages'!L7:L102,BW137)</f>
        <v>0</v>
      </c>
      <c r="CA137" s="306">
        <f ca="1">COUNTIF('Group Stages'!M7:M102,BW137)</f>
        <v>0</v>
      </c>
      <c r="CB137" s="306">
        <f ca="1">COUNTIF('Group Stages'!N7:N102,BW137)</f>
        <v>0</v>
      </c>
      <c r="CC137" s="306">
        <f ca="1">COUNTIF('Group Stages'!O7:O102,BW137)</f>
        <v>0</v>
      </c>
      <c r="CD137" s="306">
        <f ca="1">COUNTIF('Group Stages'!P7:P102,BW137)</f>
        <v>0</v>
      </c>
      <c r="CE137" s="306">
        <f ca="1">COUNTIF('Group Stages'!Q7:Q102,BW137)</f>
        <v>0</v>
      </c>
      <c r="CF137" s="306">
        <f ca="1">COUNTIF('Knock Out Stages'!K7:K50,BW137)</f>
        <v>0</v>
      </c>
      <c r="CG137" s="306">
        <f ca="1">COUNTIF('Knock Out Stages'!L7:L50,BW137)</f>
        <v>0</v>
      </c>
      <c r="CH137" s="306">
        <f ca="1">COUNTIF('Knock Out Stages'!M7:M50,BW137)</f>
        <v>0</v>
      </c>
      <c r="CI137" s="306">
        <f ca="1">COUNTIF('Knock Out Stages'!N7:N50,BW137)</f>
        <v>0</v>
      </c>
      <c r="CJ137" s="306">
        <f ca="1">COUNTIF('Knock Out Stages'!O7:O50,BW137)</f>
        <v>0</v>
      </c>
      <c r="CK137" s="306">
        <f ca="1">COUNTIF('Knock Out Stages'!P7:P50,BW137)</f>
        <v>0</v>
      </c>
      <c r="CL137" s="306">
        <f ca="1">COUNTIF('Knock Out Stages'!Q7:Q50,BW137)</f>
        <v>0</v>
      </c>
      <c r="CM137" s="306">
        <f ca="1">COUNTIF('Knock Out Stages'!R7:R50,BW137)</f>
        <v>0</v>
      </c>
      <c r="CN137" s="306">
        <f ca="1">IF(RIGHT('Group Stages'!$B$105,5)="T.com",SUM(BX137:CM137),0)</f>
        <v>0</v>
      </c>
      <c r="CO137" s="306">
        <f ca="1">RANK(CN137,CN3:CN834)+COUNTIF(CN3:CN137,CN137)-1</f>
        <v>135</v>
      </c>
      <c r="CP137" s="306" t="str">
        <f t="shared" ca="1" si="143"/>
        <v>Alireza Beiranvand (Iran)</v>
      </c>
    </row>
    <row r="138" spans="1:94" x14ac:dyDescent="0.3">
      <c r="A138" s="306">
        <f t="shared" si="145"/>
        <v>2</v>
      </c>
      <c r="B138" s="306" t="str">
        <f t="shared" si="146"/>
        <v>Alexander Domínguez (og)</v>
      </c>
      <c r="C138" s="306" t="str">
        <f t="shared" si="147"/>
        <v>Alexander Domínguez (og)</v>
      </c>
      <c r="D138" s="306" t="str">
        <f t="shared" si="148"/>
        <v>Alexander Domínguez (og)</v>
      </c>
      <c r="E138" s="306" t="str">
        <f t="shared" si="149"/>
        <v>Abdulaziz Hatem (og)</v>
      </c>
      <c r="F138" s="306" t="str">
        <f t="shared" si="150"/>
        <v>Adam Davies (og)</v>
      </c>
      <c r="G138" s="306" t="str">
        <f t="shared" si="151"/>
        <v>Adam Davies (og)</v>
      </c>
      <c r="H138" s="306" t="str">
        <f t="shared" si="152"/>
        <v>Adam Davies (og)</v>
      </c>
      <c r="I138" s="306" t="str">
        <f t="shared" si="153"/>
        <v>Antonee Robinson (og)</v>
      </c>
      <c r="J138" s="306" t="str">
        <f t="shared" si="154"/>
        <v>Artur Jędrzejczyk (og)</v>
      </c>
      <c r="K138" s="306" t="str">
        <f t="shared" si="155"/>
        <v>Artur Jędrzejczyk (og)</v>
      </c>
      <c r="L138" s="306" t="str">
        <f t="shared" si="156"/>
        <v>Artur Jędrzejczyk (og)</v>
      </c>
      <c r="M138" s="306" t="str">
        <f t="shared" si="157"/>
        <v>Alfredo Talavera (og)</v>
      </c>
      <c r="N138" s="306" t="str">
        <f t="shared" si="158"/>
        <v>Ajdin Hrustic (og)</v>
      </c>
      <c r="O138" s="306" t="str">
        <f t="shared" si="159"/>
        <v>Ajdin Hrustic (og)</v>
      </c>
      <c r="P138" s="306" t="str">
        <f t="shared" si="160"/>
        <v>Ajdin Hrustic (og)</v>
      </c>
      <c r="Q138" s="306" t="str">
        <f t="shared" si="161"/>
        <v>Alphonse Areola (og)</v>
      </c>
      <c r="R138" s="306" t="str">
        <f t="shared" si="162"/>
        <v>Anthony Contreras (og)</v>
      </c>
      <c r="S138" s="306" t="str">
        <f t="shared" si="163"/>
        <v>Anthony Contreras (og)</v>
      </c>
      <c r="T138" s="306" t="str">
        <f t="shared" si="164"/>
        <v>Anthony Contreras (og)</v>
      </c>
      <c r="U138" s="306" t="str">
        <f t="shared" si="165"/>
        <v>Ansu Fati (og)</v>
      </c>
      <c r="V138" s="306" t="str">
        <f t="shared" si="166"/>
        <v>Alphonso Davies (og)</v>
      </c>
      <c r="W138" s="306" t="str">
        <f t="shared" si="167"/>
        <v>Alphonso Davies (og)</v>
      </c>
      <c r="X138" s="306" t="str">
        <f t="shared" si="168"/>
        <v>Alphonso Davies (og)</v>
      </c>
      <c r="Y138" s="306" t="str">
        <f t="shared" si="169"/>
        <v>Arthur Theate (og)</v>
      </c>
      <c r="Z138" s="306" t="str">
        <f t="shared" si="170"/>
        <v>André-Frank Zambo Anguissa (og)</v>
      </c>
      <c r="AA138" s="306" t="str">
        <f t="shared" si="171"/>
        <v>André-Frank Zambo Anguissa (og)</v>
      </c>
      <c r="AB138" s="306" t="str">
        <f t="shared" si="172"/>
        <v>André-Frank Zambo Anguissa (og)</v>
      </c>
      <c r="AC138" s="306" t="str">
        <f t="shared" si="173"/>
        <v>Breel Embolo (og)</v>
      </c>
      <c r="AD138" s="306" t="str">
        <f t="shared" si="174"/>
        <v>Cho Yu-min (og)</v>
      </c>
      <c r="AE138" s="306" t="str">
        <f t="shared" si="175"/>
        <v>Cho Yu-min (og)</v>
      </c>
      <c r="AF138" s="306" t="str">
        <f t="shared" si="176"/>
        <v>Cho Yu-min (og)</v>
      </c>
      <c r="AG138" s="306" t="str">
        <f t="shared" si="177"/>
        <v>Darwin Núñez (og)</v>
      </c>
      <c r="BT138" s="306" t="str">
        <f t="shared" ca="1" si="132"/>
        <v>Iran</v>
      </c>
      <c r="BU138" s="306">
        <f t="shared" si="133"/>
        <v>5</v>
      </c>
      <c r="BV138" s="306">
        <f t="shared" si="134"/>
        <v>4</v>
      </c>
      <c r="BW138" s="306" t="str">
        <f ca="1">OFFSET(C3,BU138,BV138)</f>
        <v>Alireza Jahanbakhsh</v>
      </c>
      <c r="BX138" s="306">
        <f ca="1">COUNTIF('Group Stages'!J7:J102,BW138)</f>
        <v>0</v>
      </c>
      <c r="BY138" s="306">
        <f ca="1">COUNTIF('Group Stages'!K7:K102,BW138)</f>
        <v>0</v>
      </c>
      <c r="BZ138" s="306">
        <f ca="1">COUNTIF('Group Stages'!L7:L102,BW138)</f>
        <v>0</v>
      </c>
      <c r="CA138" s="306">
        <f ca="1">COUNTIF('Group Stages'!M7:M102,BW138)</f>
        <v>0</v>
      </c>
      <c r="CB138" s="306">
        <f ca="1">COUNTIF('Group Stages'!N7:N102,BW138)</f>
        <v>0</v>
      </c>
      <c r="CC138" s="306">
        <f ca="1">COUNTIF('Group Stages'!O7:O102,BW138)</f>
        <v>0</v>
      </c>
      <c r="CD138" s="306">
        <f ca="1">COUNTIF('Group Stages'!P7:P102,BW138)</f>
        <v>0</v>
      </c>
      <c r="CE138" s="306">
        <f ca="1">COUNTIF('Group Stages'!Q7:Q102,BW138)</f>
        <v>0</v>
      </c>
      <c r="CF138" s="306">
        <f ca="1">COUNTIF('Knock Out Stages'!K7:K50,BW138)</f>
        <v>0</v>
      </c>
      <c r="CG138" s="306">
        <f ca="1">COUNTIF('Knock Out Stages'!L7:L50,BW138)</f>
        <v>0</v>
      </c>
      <c r="CH138" s="306">
        <f ca="1">COUNTIF('Knock Out Stages'!M7:M50,BW138)</f>
        <v>0</v>
      </c>
      <c r="CI138" s="306">
        <f ca="1">COUNTIF('Knock Out Stages'!N7:N50,BW138)</f>
        <v>0</v>
      </c>
      <c r="CJ138" s="306">
        <f ca="1">COUNTIF('Knock Out Stages'!O7:O50,BW138)</f>
        <v>0</v>
      </c>
      <c r="CK138" s="306">
        <f ca="1">COUNTIF('Knock Out Stages'!P7:P50,BW138)</f>
        <v>0</v>
      </c>
      <c r="CL138" s="306">
        <f ca="1">COUNTIF('Knock Out Stages'!Q7:Q50,BW138)</f>
        <v>0</v>
      </c>
      <c r="CM138" s="306">
        <f ca="1">COUNTIF('Knock Out Stages'!R7:R50,BW138)</f>
        <v>0</v>
      </c>
      <c r="CN138" s="306">
        <f ca="1">IF(RIGHT('Group Stages'!$B$105,5)="T.com",SUM(BX138:CM138),0)</f>
        <v>0</v>
      </c>
      <c r="CO138" s="306">
        <f ca="1">RANK(CN138,CN3:CN834)+COUNTIF(CN3:CN138,CN138)-1</f>
        <v>136</v>
      </c>
      <c r="CP138" s="306" t="str">
        <f t="shared" ca="1" si="143"/>
        <v>Alireza Jahanbakhsh (Iran)</v>
      </c>
    </row>
    <row r="139" spans="1:94" x14ac:dyDescent="0.3">
      <c r="A139" s="306">
        <f t="shared" si="145"/>
        <v>3</v>
      </c>
      <c r="B139" s="306" t="str">
        <f t="shared" si="146"/>
        <v>Ángel Mena (og)</v>
      </c>
      <c r="C139" s="306" t="str">
        <f t="shared" si="147"/>
        <v>Ángel Mena (og)</v>
      </c>
      <c r="D139" s="306" t="str">
        <f t="shared" si="148"/>
        <v>Ángel Mena (og)</v>
      </c>
      <c r="E139" s="306" t="str">
        <f t="shared" si="149"/>
        <v>Ahmed Alaaeldin (og)</v>
      </c>
      <c r="F139" s="306" t="str">
        <f t="shared" si="150"/>
        <v>Ben Cabango (og)</v>
      </c>
      <c r="G139" s="306" t="str">
        <f t="shared" si="151"/>
        <v>Ben Cabango (og)</v>
      </c>
      <c r="H139" s="306" t="str">
        <f t="shared" si="152"/>
        <v>Ben Cabango (og)</v>
      </c>
      <c r="I139" s="306" t="str">
        <f t="shared" si="153"/>
        <v>Brenden Aaronson (og)</v>
      </c>
      <c r="J139" s="306" t="str">
        <f t="shared" si="154"/>
        <v>Bartłomiej Drągowski (og)</v>
      </c>
      <c r="K139" s="306" t="str">
        <f t="shared" si="155"/>
        <v>Bartłomiej Drągowski (og)</v>
      </c>
      <c r="L139" s="306" t="str">
        <f t="shared" si="156"/>
        <v>Bartłomiej Drągowski (og)</v>
      </c>
      <c r="M139" s="306" t="str">
        <f t="shared" si="157"/>
        <v>Andrés Guardado (og)</v>
      </c>
      <c r="N139" s="306" t="str">
        <f t="shared" si="158"/>
        <v>Andrew Redmayne (og)</v>
      </c>
      <c r="O139" s="306" t="str">
        <f t="shared" si="159"/>
        <v>Andrew Redmayne (og)</v>
      </c>
      <c r="P139" s="306" t="str">
        <f t="shared" si="160"/>
        <v>Andrew Redmayne (og)</v>
      </c>
      <c r="Q139" s="306" t="str">
        <f t="shared" si="161"/>
        <v>Antoine Griezmann (og)</v>
      </c>
      <c r="R139" s="306" t="str">
        <f t="shared" si="162"/>
        <v>Anthony Hernández (og)</v>
      </c>
      <c r="S139" s="306" t="str">
        <f t="shared" si="163"/>
        <v>Anthony Hernández (og)</v>
      </c>
      <c r="T139" s="306" t="str">
        <f t="shared" si="164"/>
        <v>Anthony Hernández (og)</v>
      </c>
      <c r="U139" s="306" t="str">
        <f t="shared" si="165"/>
        <v>Aymeric Laporte (og)</v>
      </c>
      <c r="V139" s="306" t="str">
        <f t="shared" si="166"/>
        <v>Atiba Hutchinson (og)</v>
      </c>
      <c r="W139" s="306" t="str">
        <f t="shared" si="167"/>
        <v>Atiba Hutchinson (og)</v>
      </c>
      <c r="X139" s="306" t="str">
        <f t="shared" si="168"/>
        <v>Atiba Hutchinson (og)</v>
      </c>
      <c r="Y139" s="306" t="str">
        <f t="shared" si="169"/>
        <v>Axel Witsel (og)</v>
      </c>
      <c r="Z139" s="306" t="str">
        <f t="shared" si="170"/>
        <v>Bryan Mbeumo (og)</v>
      </c>
      <c r="AA139" s="306" t="str">
        <f t="shared" si="171"/>
        <v>Bryan Mbeumo (og)</v>
      </c>
      <c r="AB139" s="306" t="str">
        <f t="shared" si="172"/>
        <v>Bryan Mbeumo (og)</v>
      </c>
      <c r="AC139" s="306" t="str">
        <f t="shared" si="173"/>
        <v>Christian Fassnacht (og)</v>
      </c>
      <c r="AD139" s="306" t="str">
        <f t="shared" si="174"/>
        <v>Hong Chul (og)</v>
      </c>
      <c r="AE139" s="306" t="str">
        <f t="shared" si="175"/>
        <v>Hong Chul (og)</v>
      </c>
      <c r="AF139" s="306" t="str">
        <f t="shared" si="176"/>
        <v>Hong Chul (og)</v>
      </c>
      <c r="AG139" s="306" t="str">
        <f t="shared" si="177"/>
        <v>Diego Godín (og)</v>
      </c>
      <c r="BT139" s="306" t="str">
        <f t="shared" ca="1" si="132"/>
        <v>Iran</v>
      </c>
      <c r="BU139" s="306">
        <f t="shared" si="133"/>
        <v>6</v>
      </c>
      <c r="BV139" s="306">
        <f t="shared" si="134"/>
        <v>4</v>
      </c>
      <c r="BW139" s="306" t="str">
        <f ca="1">OFFSET(C3,BU139,BV139)</f>
        <v>Amir Abedzadeh</v>
      </c>
      <c r="BX139" s="306">
        <f ca="1">COUNTIF('Group Stages'!J7:J102,BW139)</f>
        <v>0</v>
      </c>
      <c r="BY139" s="306">
        <f ca="1">COUNTIF('Group Stages'!K7:K102,BW139)</f>
        <v>0</v>
      </c>
      <c r="BZ139" s="306">
        <f ca="1">COUNTIF('Group Stages'!L7:L102,BW139)</f>
        <v>0</v>
      </c>
      <c r="CA139" s="306">
        <f ca="1">COUNTIF('Group Stages'!M7:M102,BW139)</f>
        <v>0</v>
      </c>
      <c r="CB139" s="306">
        <f ca="1">COUNTIF('Group Stages'!N7:N102,BW139)</f>
        <v>0</v>
      </c>
      <c r="CC139" s="306">
        <f ca="1">COUNTIF('Group Stages'!O7:O102,BW139)</f>
        <v>0</v>
      </c>
      <c r="CD139" s="306">
        <f ca="1">COUNTIF('Group Stages'!P7:P102,BW139)</f>
        <v>0</v>
      </c>
      <c r="CE139" s="306">
        <f ca="1">COUNTIF('Group Stages'!Q7:Q102,BW139)</f>
        <v>0</v>
      </c>
      <c r="CF139" s="306">
        <f ca="1">COUNTIF('Knock Out Stages'!K7:K50,BW139)</f>
        <v>0</v>
      </c>
      <c r="CG139" s="306">
        <f ca="1">COUNTIF('Knock Out Stages'!L7:L50,BW139)</f>
        <v>0</v>
      </c>
      <c r="CH139" s="306">
        <f ca="1">COUNTIF('Knock Out Stages'!M7:M50,BW139)</f>
        <v>0</v>
      </c>
      <c r="CI139" s="306">
        <f ca="1">COUNTIF('Knock Out Stages'!N7:N50,BW139)</f>
        <v>0</v>
      </c>
      <c r="CJ139" s="306">
        <f ca="1">COUNTIF('Knock Out Stages'!O7:O50,BW139)</f>
        <v>0</v>
      </c>
      <c r="CK139" s="306">
        <f ca="1">COUNTIF('Knock Out Stages'!P7:P50,BW139)</f>
        <v>0</v>
      </c>
      <c r="CL139" s="306">
        <f ca="1">COUNTIF('Knock Out Stages'!Q7:Q50,BW139)</f>
        <v>0</v>
      </c>
      <c r="CM139" s="306">
        <f ca="1">COUNTIF('Knock Out Stages'!R7:R50,BW139)</f>
        <v>0</v>
      </c>
      <c r="CN139" s="306">
        <f ca="1">IF(RIGHT('Group Stages'!$B$105,5)="T.com",SUM(BX139:CM139),0)</f>
        <v>0</v>
      </c>
      <c r="CO139" s="306">
        <f ca="1">RANK(CN139,CN3:CN834)+COUNTIF(CN3:CN139,CN139)-1</f>
        <v>137</v>
      </c>
      <c r="CP139" s="306" t="str">
        <f t="shared" ca="1" si="143"/>
        <v>Amir Abedzadeh (Iran)</v>
      </c>
    </row>
    <row r="140" spans="1:94" x14ac:dyDescent="0.3">
      <c r="A140" s="306">
        <f t="shared" si="145"/>
        <v>4</v>
      </c>
      <c r="B140" s="306" t="str">
        <f t="shared" si="146"/>
        <v>Ángelo Preciado (og)</v>
      </c>
      <c r="C140" s="306" t="str">
        <f t="shared" si="147"/>
        <v>Ángelo Preciado (og)</v>
      </c>
      <c r="D140" s="306" t="str">
        <f t="shared" si="148"/>
        <v>Ángelo Preciado (og)</v>
      </c>
      <c r="E140" s="306" t="str">
        <f t="shared" si="149"/>
        <v>Akram Afif (og)</v>
      </c>
      <c r="F140" s="306" t="str">
        <f t="shared" si="150"/>
        <v>Ben Davies (og)</v>
      </c>
      <c r="G140" s="306" t="str">
        <f t="shared" si="151"/>
        <v>Ben Davies (og)</v>
      </c>
      <c r="H140" s="306" t="str">
        <f t="shared" si="152"/>
        <v>Ben Davies (og)</v>
      </c>
      <c r="I140" s="306" t="str">
        <f t="shared" si="153"/>
        <v>Cameron Carter-Vickers (og)</v>
      </c>
      <c r="J140" s="306" t="str">
        <f t="shared" si="154"/>
        <v>Bartosz Bereszyński (og)</v>
      </c>
      <c r="K140" s="306" t="str">
        <f t="shared" si="155"/>
        <v>Bartosz Bereszyński (og)</v>
      </c>
      <c r="L140" s="306" t="str">
        <f t="shared" si="156"/>
        <v>Bartosz Bereszyński (og)</v>
      </c>
      <c r="M140" s="306" t="str">
        <f t="shared" si="157"/>
        <v>Carlos Rodríguez (og)</v>
      </c>
      <c r="N140" s="306" t="str">
        <f t="shared" si="158"/>
        <v>Awer Mabil (og)</v>
      </c>
      <c r="O140" s="306" t="str">
        <f t="shared" si="159"/>
        <v>Awer Mabil (og)</v>
      </c>
      <c r="P140" s="306" t="str">
        <f t="shared" si="160"/>
        <v>Awer Mabil (og)</v>
      </c>
      <c r="Q140" s="306" t="str">
        <f t="shared" si="161"/>
        <v>Aurélien Tchouaméni (og)</v>
      </c>
      <c r="R140" s="306" t="str">
        <f t="shared" si="162"/>
        <v>Brandon Aguilera (og)</v>
      </c>
      <c r="S140" s="306" t="str">
        <f t="shared" si="163"/>
        <v>Brandon Aguilera (og)</v>
      </c>
      <c r="T140" s="306" t="str">
        <f t="shared" si="164"/>
        <v>Brandon Aguilera (og)</v>
      </c>
      <c r="U140" s="306" t="str">
        <f t="shared" si="165"/>
        <v>Carlos Soler (og)</v>
      </c>
      <c r="V140" s="306" t="str">
        <f t="shared" si="166"/>
        <v>Cyle Larin (og)</v>
      </c>
      <c r="W140" s="306" t="str">
        <f t="shared" si="167"/>
        <v>Cyle Larin (og)</v>
      </c>
      <c r="X140" s="306" t="str">
        <f t="shared" si="168"/>
        <v>Cyle Larin (og)</v>
      </c>
      <c r="Y140" s="306" t="str">
        <f t="shared" si="169"/>
        <v>Charles De Ketelaere (og)</v>
      </c>
      <c r="Z140" s="306" t="str">
        <f t="shared" si="170"/>
        <v>Christian Bassogog (og)</v>
      </c>
      <c r="AA140" s="306" t="str">
        <f t="shared" si="171"/>
        <v>Christian Bassogog (og)</v>
      </c>
      <c r="AB140" s="306" t="str">
        <f t="shared" si="172"/>
        <v>Christian Bassogog (og)</v>
      </c>
      <c r="AC140" s="306" t="str">
        <f t="shared" si="173"/>
        <v>Denis Zakaria (og)</v>
      </c>
      <c r="AD140" s="306" t="str">
        <f t="shared" si="174"/>
        <v>Hwang Hee-chan (og)</v>
      </c>
      <c r="AE140" s="306" t="str">
        <f t="shared" si="175"/>
        <v>Hwang Hee-chan (og)</v>
      </c>
      <c r="AF140" s="306" t="str">
        <f t="shared" si="176"/>
        <v>Hwang Hee-chan (og)</v>
      </c>
      <c r="AG140" s="306" t="str">
        <f t="shared" si="177"/>
        <v>Edinson Cavani (og)</v>
      </c>
      <c r="BT140" s="306" t="str">
        <f t="shared" ca="1" si="132"/>
        <v>Iran</v>
      </c>
      <c r="BU140" s="306">
        <f t="shared" si="133"/>
        <v>7</v>
      </c>
      <c r="BV140" s="306">
        <f t="shared" si="134"/>
        <v>4</v>
      </c>
      <c r="BW140" s="306" t="str">
        <f ca="1">OFFSET(C3,BU140,BV140)</f>
        <v>Ehsan Hajsafi</v>
      </c>
      <c r="BX140" s="306">
        <f ca="1">COUNTIF('Group Stages'!J7:J102,BW140)</f>
        <v>0</v>
      </c>
      <c r="BY140" s="306">
        <f ca="1">COUNTIF('Group Stages'!K7:K102,BW140)</f>
        <v>0</v>
      </c>
      <c r="BZ140" s="306">
        <f ca="1">COUNTIF('Group Stages'!L7:L102,BW140)</f>
        <v>0</v>
      </c>
      <c r="CA140" s="306">
        <f ca="1">COUNTIF('Group Stages'!M7:M102,BW140)</f>
        <v>0</v>
      </c>
      <c r="CB140" s="306">
        <f ca="1">COUNTIF('Group Stages'!N7:N102,BW140)</f>
        <v>0</v>
      </c>
      <c r="CC140" s="306">
        <f ca="1">COUNTIF('Group Stages'!O7:O102,BW140)</f>
        <v>0</v>
      </c>
      <c r="CD140" s="306">
        <f ca="1">COUNTIF('Group Stages'!P7:P102,BW140)</f>
        <v>0</v>
      </c>
      <c r="CE140" s="306">
        <f ca="1">COUNTIF('Group Stages'!Q7:Q102,BW140)</f>
        <v>0</v>
      </c>
      <c r="CF140" s="306">
        <f ca="1">COUNTIF('Knock Out Stages'!K7:K50,BW140)</f>
        <v>0</v>
      </c>
      <c r="CG140" s="306">
        <f ca="1">COUNTIF('Knock Out Stages'!L7:L50,BW140)</f>
        <v>0</v>
      </c>
      <c r="CH140" s="306">
        <f ca="1">COUNTIF('Knock Out Stages'!M7:M50,BW140)</f>
        <v>0</v>
      </c>
      <c r="CI140" s="306">
        <f ca="1">COUNTIF('Knock Out Stages'!N7:N50,BW140)</f>
        <v>0</v>
      </c>
      <c r="CJ140" s="306">
        <f ca="1">COUNTIF('Knock Out Stages'!O7:O50,BW140)</f>
        <v>0</v>
      </c>
      <c r="CK140" s="306">
        <f ca="1">COUNTIF('Knock Out Stages'!P7:P50,BW140)</f>
        <v>0</v>
      </c>
      <c r="CL140" s="306">
        <f ca="1">COUNTIF('Knock Out Stages'!Q7:Q50,BW140)</f>
        <v>0</v>
      </c>
      <c r="CM140" s="306">
        <f ca="1">COUNTIF('Knock Out Stages'!R7:R50,BW140)</f>
        <v>0</v>
      </c>
      <c r="CN140" s="306">
        <f ca="1">IF(RIGHT('Group Stages'!$B$105,5)="T.com",SUM(BX140:CM140),0)</f>
        <v>0</v>
      </c>
      <c r="CO140" s="306">
        <f ca="1">RANK(CN140,CN3:CN834)+COUNTIF(CN3:CN140,CN140)-1</f>
        <v>138</v>
      </c>
      <c r="CP140" s="306" t="str">
        <f t="shared" ca="1" si="143"/>
        <v>Ehsan Hajsafi (Iran)</v>
      </c>
    </row>
    <row r="141" spans="1:94" x14ac:dyDescent="0.3">
      <c r="A141" s="306">
        <f t="shared" si="145"/>
        <v>5</v>
      </c>
      <c r="B141" s="306" t="str">
        <f t="shared" si="146"/>
        <v>Ayrton Preciado (og)</v>
      </c>
      <c r="C141" s="306" t="str">
        <f t="shared" si="147"/>
        <v>Ayrton Preciado (og)</v>
      </c>
      <c r="D141" s="306" t="str">
        <f t="shared" si="148"/>
        <v>Ayrton Preciado (og)</v>
      </c>
      <c r="E141" s="306" t="str">
        <f t="shared" si="149"/>
        <v>Ali Assadalla (og)</v>
      </c>
      <c r="F141" s="306" t="str">
        <f t="shared" si="150"/>
        <v>Brennan Johnson (og)</v>
      </c>
      <c r="G141" s="306" t="str">
        <f t="shared" si="151"/>
        <v>Brennan Johnson (og)</v>
      </c>
      <c r="H141" s="306" t="str">
        <f t="shared" si="152"/>
        <v>Brennan Johnson (og)</v>
      </c>
      <c r="I141" s="306" t="str">
        <f t="shared" si="153"/>
        <v>Christian Pulisic (og)</v>
      </c>
      <c r="J141" s="306" t="str">
        <f t="shared" si="154"/>
        <v>Damian Szymański (og)</v>
      </c>
      <c r="K141" s="306" t="str">
        <f t="shared" si="155"/>
        <v>Damian Szymański (og)</v>
      </c>
      <c r="L141" s="306" t="str">
        <f t="shared" si="156"/>
        <v>Damian Szymański (og)</v>
      </c>
      <c r="M141" s="306" t="str">
        <f t="shared" si="157"/>
        <v>César Montes (og)</v>
      </c>
      <c r="N141" s="306" t="str">
        <f t="shared" si="158"/>
        <v>Aziz Behich (og)</v>
      </c>
      <c r="O141" s="306" t="str">
        <f t="shared" si="159"/>
        <v>Aziz Behich (og)</v>
      </c>
      <c r="P141" s="306" t="str">
        <f t="shared" si="160"/>
        <v>Aziz Behich (og)</v>
      </c>
      <c r="Q141" s="306" t="str">
        <f t="shared" si="161"/>
        <v>Benjamin Pavard (og)</v>
      </c>
      <c r="R141" s="306" t="str">
        <f t="shared" si="162"/>
        <v>Bryan Oviedo (og)</v>
      </c>
      <c r="S141" s="306" t="str">
        <f t="shared" si="163"/>
        <v>Bryan Oviedo (og)</v>
      </c>
      <c r="T141" s="306" t="str">
        <f t="shared" si="164"/>
        <v>Bryan Oviedo (og)</v>
      </c>
      <c r="U141" s="306" t="str">
        <f t="shared" si="165"/>
        <v>César Azpilicueta (og)</v>
      </c>
      <c r="V141" s="306" t="str">
        <f t="shared" si="166"/>
        <v>David Wotherspoon (og)</v>
      </c>
      <c r="W141" s="306" t="str">
        <f t="shared" si="167"/>
        <v>David Wotherspoon (og)</v>
      </c>
      <c r="X141" s="306" t="str">
        <f t="shared" si="168"/>
        <v>David Wotherspoon (og)</v>
      </c>
      <c r="Y141" s="306" t="str">
        <f t="shared" si="169"/>
        <v>Dries Mertens (og)</v>
      </c>
      <c r="Z141" s="306" t="str">
        <f t="shared" si="170"/>
        <v>Christopher Wooh (og)</v>
      </c>
      <c r="AA141" s="306" t="str">
        <f t="shared" si="171"/>
        <v>Christopher Wooh (og)</v>
      </c>
      <c r="AB141" s="306" t="str">
        <f t="shared" si="172"/>
        <v>Christopher Wooh (og)</v>
      </c>
      <c r="AC141" s="306" t="str">
        <f t="shared" si="173"/>
        <v>Djibril Sow (og)</v>
      </c>
      <c r="AD141" s="306" t="str">
        <f t="shared" si="174"/>
        <v>Hwang In-beom (og)</v>
      </c>
      <c r="AE141" s="306" t="str">
        <f t="shared" si="175"/>
        <v>Hwang In-beom (og)</v>
      </c>
      <c r="AF141" s="306" t="str">
        <f t="shared" si="176"/>
        <v>Hwang In-beom (og)</v>
      </c>
      <c r="AG141" s="306" t="str">
        <f t="shared" si="177"/>
        <v>Facundo Pellistri (og)</v>
      </c>
      <c r="BT141" s="306" t="str">
        <f t="shared" ca="1" si="132"/>
        <v>Iran</v>
      </c>
      <c r="BU141" s="306">
        <f t="shared" si="133"/>
        <v>8</v>
      </c>
      <c r="BV141" s="306">
        <f t="shared" si="134"/>
        <v>4</v>
      </c>
      <c r="BW141" s="306" t="str">
        <f ca="1">OFFSET(C3,BU141,BV141)</f>
        <v>Hossein Hosseini</v>
      </c>
      <c r="BX141" s="306">
        <f ca="1">COUNTIF('Group Stages'!J7:J102,BW141)</f>
        <v>0</v>
      </c>
      <c r="BY141" s="306">
        <f ca="1">COUNTIF('Group Stages'!K7:K102,BW141)</f>
        <v>0</v>
      </c>
      <c r="BZ141" s="306">
        <f ca="1">COUNTIF('Group Stages'!L7:L102,BW141)</f>
        <v>0</v>
      </c>
      <c r="CA141" s="306">
        <f ca="1">COUNTIF('Group Stages'!M7:M102,BW141)</f>
        <v>0</v>
      </c>
      <c r="CB141" s="306">
        <f ca="1">COUNTIF('Group Stages'!N7:N102,BW141)</f>
        <v>0</v>
      </c>
      <c r="CC141" s="306">
        <f ca="1">COUNTIF('Group Stages'!O7:O102,BW141)</f>
        <v>0</v>
      </c>
      <c r="CD141" s="306">
        <f ca="1">COUNTIF('Group Stages'!P7:P102,BW141)</f>
        <v>0</v>
      </c>
      <c r="CE141" s="306">
        <f ca="1">COUNTIF('Group Stages'!Q7:Q102,BW141)</f>
        <v>0</v>
      </c>
      <c r="CF141" s="306">
        <f ca="1">COUNTIF('Knock Out Stages'!K7:K50,BW141)</f>
        <v>0</v>
      </c>
      <c r="CG141" s="306">
        <f ca="1">COUNTIF('Knock Out Stages'!L7:L50,BW141)</f>
        <v>0</v>
      </c>
      <c r="CH141" s="306">
        <f ca="1">COUNTIF('Knock Out Stages'!M7:M50,BW141)</f>
        <v>0</v>
      </c>
      <c r="CI141" s="306">
        <f ca="1">COUNTIF('Knock Out Stages'!N7:N50,BW141)</f>
        <v>0</v>
      </c>
      <c r="CJ141" s="306">
        <f ca="1">COUNTIF('Knock Out Stages'!O7:O50,BW141)</f>
        <v>0</v>
      </c>
      <c r="CK141" s="306">
        <f ca="1">COUNTIF('Knock Out Stages'!P7:P50,BW141)</f>
        <v>0</v>
      </c>
      <c r="CL141" s="306">
        <f ca="1">COUNTIF('Knock Out Stages'!Q7:Q50,BW141)</f>
        <v>0</v>
      </c>
      <c r="CM141" s="306">
        <f ca="1">COUNTIF('Knock Out Stages'!R7:R50,BW141)</f>
        <v>0</v>
      </c>
      <c r="CN141" s="306">
        <f ca="1">IF(RIGHT('Group Stages'!$B$105,5)="T.com",SUM(BX141:CM141),0)</f>
        <v>0</v>
      </c>
      <c r="CO141" s="306">
        <f ca="1">RANK(CN141,CN3:CN834)+COUNTIF(CN3:CN141,CN141)-1</f>
        <v>139</v>
      </c>
      <c r="CP141" s="306" t="str">
        <f t="shared" ca="1" si="143"/>
        <v>Hossein Hosseini (Iran)</v>
      </c>
    </row>
    <row r="142" spans="1:94" x14ac:dyDescent="0.3">
      <c r="A142" s="306">
        <f t="shared" si="145"/>
        <v>6</v>
      </c>
      <c r="B142" s="306" t="str">
        <f t="shared" si="146"/>
        <v>Carlos Gruezo (og)</v>
      </c>
      <c r="C142" s="306" t="str">
        <f t="shared" si="147"/>
        <v>Carlos Gruezo (og)</v>
      </c>
      <c r="D142" s="306" t="str">
        <f t="shared" si="148"/>
        <v>Carlos Gruezo (og)</v>
      </c>
      <c r="E142" s="306" t="str">
        <f t="shared" si="149"/>
        <v>Almoez Ali (og)</v>
      </c>
      <c r="F142" s="306" t="str">
        <f t="shared" si="150"/>
        <v>Chris Gunter (og)</v>
      </c>
      <c r="G142" s="306" t="str">
        <f t="shared" si="151"/>
        <v>Chris Gunter (og)</v>
      </c>
      <c r="H142" s="306" t="str">
        <f t="shared" si="152"/>
        <v>Chris Gunter (og)</v>
      </c>
      <c r="I142" s="306" t="str">
        <f t="shared" si="153"/>
        <v>Cristian Roldan (og)</v>
      </c>
      <c r="J142" s="306" t="str">
        <f t="shared" si="154"/>
        <v>Grzegorz Krychowiak (og)</v>
      </c>
      <c r="K142" s="306" t="str">
        <f t="shared" si="155"/>
        <v>Grzegorz Krychowiak (og)</v>
      </c>
      <c r="L142" s="306" t="str">
        <f t="shared" si="156"/>
        <v>Grzegorz Krychowiak (og)</v>
      </c>
      <c r="M142" s="306" t="str">
        <f t="shared" si="157"/>
        <v>Edson Álvarez (og)</v>
      </c>
      <c r="N142" s="306" t="str">
        <f t="shared" si="158"/>
        <v>Bailey Wright (og)</v>
      </c>
      <c r="O142" s="306" t="str">
        <f t="shared" si="159"/>
        <v>Bailey Wright (og)</v>
      </c>
      <c r="P142" s="306" t="str">
        <f t="shared" si="160"/>
        <v>Bailey Wright (og)</v>
      </c>
      <c r="Q142" s="306" t="str">
        <f t="shared" si="161"/>
        <v>Benoit Badiashile (og)</v>
      </c>
      <c r="R142" s="306" t="str">
        <f t="shared" si="162"/>
        <v>Bryan Ruiz (og)</v>
      </c>
      <c r="S142" s="306" t="str">
        <f t="shared" si="163"/>
        <v>Bryan Ruiz (og)</v>
      </c>
      <c r="T142" s="306" t="str">
        <f t="shared" si="164"/>
        <v>Bryan Ruiz (og)</v>
      </c>
      <c r="U142" s="306" t="str">
        <f t="shared" si="165"/>
        <v>Dani Carvajal (og)</v>
      </c>
      <c r="V142" s="306" t="str">
        <f t="shared" si="166"/>
        <v>Dayne St. Clair (og)</v>
      </c>
      <c r="W142" s="306" t="str">
        <f t="shared" si="167"/>
        <v>Dayne St. Clair (og)</v>
      </c>
      <c r="X142" s="306" t="str">
        <f t="shared" si="168"/>
        <v>Dayne St. Clair (og)</v>
      </c>
      <c r="Y142" s="306" t="str">
        <f t="shared" si="169"/>
        <v>Eden Hazard (og)</v>
      </c>
      <c r="Z142" s="306" t="str">
        <f t="shared" si="170"/>
        <v>Collins Fai (og)</v>
      </c>
      <c r="AA142" s="306" t="str">
        <f t="shared" si="171"/>
        <v>Collins Fai (og)</v>
      </c>
      <c r="AB142" s="306" t="str">
        <f t="shared" si="172"/>
        <v>Collins Fai (og)</v>
      </c>
      <c r="AC142" s="306" t="str">
        <f t="shared" si="173"/>
        <v>Edimilson Fernandes (og)</v>
      </c>
      <c r="AD142" s="306" t="str">
        <f t="shared" si="174"/>
        <v>Hwang Ui-jo (og)</v>
      </c>
      <c r="AE142" s="306" t="str">
        <f t="shared" si="175"/>
        <v>Hwang Ui-jo (og)</v>
      </c>
      <c r="AF142" s="306" t="str">
        <f t="shared" si="176"/>
        <v>Hwang Ui-jo (og)</v>
      </c>
      <c r="AG142" s="306" t="str">
        <f t="shared" si="177"/>
        <v>Facundo Torres (og)</v>
      </c>
      <c r="BT142" s="306" t="str">
        <f t="shared" ca="1" si="132"/>
        <v>Iran</v>
      </c>
      <c r="BU142" s="306">
        <f t="shared" si="133"/>
        <v>9</v>
      </c>
      <c r="BV142" s="306">
        <f t="shared" si="134"/>
        <v>4</v>
      </c>
      <c r="BW142" s="306" t="str">
        <f ca="1">OFFSET(C3,BU142,BV142)</f>
        <v>Hossein Kanaanizadegan</v>
      </c>
      <c r="BX142" s="306">
        <f ca="1">COUNTIF('Group Stages'!J7:J102,BW142)</f>
        <v>0</v>
      </c>
      <c r="BY142" s="306">
        <f ca="1">COUNTIF('Group Stages'!K7:K102,BW142)</f>
        <v>0</v>
      </c>
      <c r="BZ142" s="306">
        <f ca="1">COUNTIF('Group Stages'!L7:L102,BW142)</f>
        <v>0</v>
      </c>
      <c r="CA142" s="306">
        <f ca="1">COUNTIF('Group Stages'!M7:M102,BW142)</f>
        <v>0</v>
      </c>
      <c r="CB142" s="306">
        <f ca="1">COUNTIF('Group Stages'!N7:N102,BW142)</f>
        <v>0</v>
      </c>
      <c r="CC142" s="306">
        <f ca="1">COUNTIF('Group Stages'!O7:O102,BW142)</f>
        <v>0</v>
      </c>
      <c r="CD142" s="306">
        <f ca="1">COUNTIF('Group Stages'!P7:P102,BW142)</f>
        <v>0</v>
      </c>
      <c r="CE142" s="306">
        <f ca="1">COUNTIF('Group Stages'!Q7:Q102,BW142)</f>
        <v>0</v>
      </c>
      <c r="CF142" s="306">
        <f ca="1">COUNTIF('Knock Out Stages'!K7:K50,BW142)</f>
        <v>0</v>
      </c>
      <c r="CG142" s="306">
        <f ca="1">COUNTIF('Knock Out Stages'!L7:L50,BW142)</f>
        <v>0</v>
      </c>
      <c r="CH142" s="306">
        <f ca="1">COUNTIF('Knock Out Stages'!M7:M50,BW142)</f>
        <v>0</v>
      </c>
      <c r="CI142" s="306">
        <f ca="1">COUNTIF('Knock Out Stages'!N7:N50,BW142)</f>
        <v>0</v>
      </c>
      <c r="CJ142" s="306">
        <f ca="1">COUNTIF('Knock Out Stages'!O7:O50,BW142)</f>
        <v>0</v>
      </c>
      <c r="CK142" s="306">
        <f ca="1">COUNTIF('Knock Out Stages'!P7:P50,BW142)</f>
        <v>0</v>
      </c>
      <c r="CL142" s="306">
        <f ca="1">COUNTIF('Knock Out Stages'!Q7:Q50,BW142)</f>
        <v>0</v>
      </c>
      <c r="CM142" s="306">
        <f ca="1">COUNTIF('Knock Out Stages'!R7:R50,BW142)</f>
        <v>0</v>
      </c>
      <c r="CN142" s="306">
        <f ca="1">IF(RIGHT('Group Stages'!$B$105,5)="T.com",SUM(BX142:CM142),0)</f>
        <v>0</v>
      </c>
      <c r="CO142" s="306">
        <f ca="1">RANK(CN142,CN3:CN834)+COUNTIF(CN3:CN142,CN142)-1</f>
        <v>140</v>
      </c>
      <c r="CP142" s="306" t="str">
        <f t="shared" ca="1" si="143"/>
        <v>Hossein Kanaanizadegan (Iran)</v>
      </c>
    </row>
    <row r="143" spans="1:94" x14ac:dyDescent="0.3">
      <c r="A143" s="306">
        <f t="shared" si="145"/>
        <v>7</v>
      </c>
      <c r="B143" s="306" t="str">
        <f t="shared" si="146"/>
        <v>Diego Palacios (og)</v>
      </c>
      <c r="C143" s="306" t="str">
        <f t="shared" si="147"/>
        <v>Diego Palacios (og)</v>
      </c>
      <c r="D143" s="306" t="str">
        <f t="shared" si="148"/>
        <v>Diego Palacios (og)</v>
      </c>
      <c r="E143" s="306" t="str">
        <f t="shared" si="149"/>
        <v>Assim Madibo (og)</v>
      </c>
      <c r="F143" s="306" t="str">
        <f t="shared" si="150"/>
        <v>Chris Mepham (og)</v>
      </c>
      <c r="G143" s="306" t="str">
        <f t="shared" si="151"/>
        <v>Chris Mepham (og)</v>
      </c>
      <c r="H143" s="306" t="str">
        <f t="shared" si="152"/>
        <v>Chris Mepham (og)</v>
      </c>
      <c r="I143" s="306" t="str">
        <f t="shared" si="153"/>
        <v>DeAndre Yedlin (og)</v>
      </c>
      <c r="J143" s="306" t="str">
        <f t="shared" si="154"/>
        <v>Jakub Kamiński (og)</v>
      </c>
      <c r="K143" s="306" t="str">
        <f t="shared" si="155"/>
        <v>Jakub Kamiński (og)</v>
      </c>
      <c r="L143" s="306" t="str">
        <f t="shared" si="156"/>
        <v>Jakub Kamiński (og)</v>
      </c>
      <c r="M143" s="306" t="str">
        <f t="shared" si="157"/>
        <v>Érick Gutiérrez (og)</v>
      </c>
      <c r="N143" s="306" t="str">
        <f t="shared" si="158"/>
        <v>Cameron Devlin (og)</v>
      </c>
      <c r="O143" s="306" t="str">
        <f t="shared" si="159"/>
        <v>Cameron Devlin (og)</v>
      </c>
      <c r="P143" s="306" t="str">
        <f t="shared" si="160"/>
        <v>Cameron Devlin (og)</v>
      </c>
      <c r="Q143" s="306" t="str">
        <f t="shared" si="161"/>
        <v>Christopher Nkunku (og)</v>
      </c>
      <c r="R143" s="306" t="str">
        <f t="shared" si="162"/>
        <v>Carlos Martínez (og)</v>
      </c>
      <c r="S143" s="306" t="str">
        <f t="shared" si="163"/>
        <v>Carlos Martínez (og)</v>
      </c>
      <c r="T143" s="306" t="str">
        <f t="shared" si="164"/>
        <v>Carlos Martínez (og)</v>
      </c>
      <c r="U143" s="306" t="str">
        <f t="shared" si="165"/>
        <v>Dani Olmo (og)</v>
      </c>
      <c r="V143" s="306" t="str">
        <f t="shared" si="166"/>
        <v>Derek Cornelius (og)</v>
      </c>
      <c r="W143" s="306" t="str">
        <f t="shared" si="167"/>
        <v>Derek Cornelius (og)</v>
      </c>
      <c r="X143" s="306" t="str">
        <f t="shared" si="168"/>
        <v>Derek Cornelius (og)</v>
      </c>
      <c r="Y143" s="306" t="str">
        <f t="shared" si="169"/>
        <v>Hans Vanaken (og)</v>
      </c>
      <c r="Z143" s="306" t="str">
        <f t="shared" si="170"/>
        <v>Devis Epassy (og)</v>
      </c>
      <c r="AA143" s="306" t="str">
        <f t="shared" si="171"/>
        <v>Devis Epassy (og)</v>
      </c>
      <c r="AB143" s="306" t="str">
        <f t="shared" si="172"/>
        <v>Devis Epassy (og)</v>
      </c>
      <c r="AC143" s="306" t="str">
        <f t="shared" si="173"/>
        <v>Eray Cömert (og)</v>
      </c>
      <c r="AD143" s="306" t="str">
        <f t="shared" si="174"/>
        <v>Jeong Woo-yeong (og)</v>
      </c>
      <c r="AE143" s="306" t="str">
        <f t="shared" si="175"/>
        <v>Jeong Woo-yeong (og)</v>
      </c>
      <c r="AF143" s="306" t="str">
        <f t="shared" si="176"/>
        <v>Jeong Woo-yeong (og)</v>
      </c>
      <c r="AG143" s="306" t="str">
        <f t="shared" si="177"/>
        <v>Federico Valverde (og)</v>
      </c>
      <c r="BT143" s="306" t="str">
        <f t="shared" ca="1" si="132"/>
        <v>Iran</v>
      </c>
      <c r="BU143" s="306">
        <f t="shared" si="133"/>
        <v>10</v>
      </c>
      <c r="BV143" s="306">
        <f t="shared" si="134"/>
        <v>4</v>
      </c>
      <c r="BW143" s="306" t="str">
        <f ca="1">OFFSET(C3,BU143,BV143)</f>
        <v>Karim Ansarifard</v>
      </c>
      <c r="BX143" s="306">
        <f ca="1">COUNTIF('Group Stages'!J7:J102,BW143)</f>
        <v>0</v>
      </c>
      <c r="BY143" s="306">
        <f ca="1">COUNTIF('Group Stages'!K7:K102,BW143)</f>
        <v>0</v>
      </c>
      <c r="BZ143" s="306">
        <f ca="1">COUNTIF('Group Stages'!L7:L102,BW143)</f>
        <v>0</v>
      </c>
      <c r="CA143" s="306">
        <f ca="1">COUNTIF('Group Stages'!M7:M102,BW143)</f>
        <v>0</v>
      </c>
      <c r="CB143" s="306">
        <f ca="1">COUNTIF('Group Stages'!N7:N102,BW143)</f>
        <v>0</v>
      </c>
      <c r="CC143" s="306">
        <f ca="1">COUNTIF('Group Stages'!O7:O102,BW143)</f>
        <v>0</v>
      </c>
      <c r="CD143" s="306">
        <f ca="1">COUNTIF('Group Stages'!P7:P102,BW143)</f>
        <v>0</v>
      </c>
      <c r="CE143" s="306">
        <f ca="1">COUNTIF('Group Stages'!Q7:Q102,BW143)</f>
        <v>0</v>
      </c>
      <c r="CF143" s="306">
        <f ca="1">COUNTIF('Knock Out Stages'!K7:K50,BW143)</f>
        <v>0</v>
      </c>
      <c r="CG143" s="306">
        <f ca="1">COUNTIF('Knock Out Stages'!L7:L50,BW143)</f>
        <v>0</v>
      </c>
      <c r="CH143" s="306">
        <f ca="1">COUNTIF('Knock Out Stages'!M7:M50,BW143)</f>
        <v>0</v>
      </c>
      <c r="CI143" s="306">
        <f ca="1">COUNTIF('Knock Out Stages'!N7:N50,BW143)</f>
        <v>0</v>
      </c>
      <c r="CJ143" s="306">
        <f ca="1">COUNTIF('Knock Out Stages'!O7:O50,BW143)</f>
        <v>0</v>
      </c>
      <c r="CK143" s="306">
        <f ca="1">COUNTIF('Knock Out Stages'!P7:P50,BW143)</f>
        <v>0</v>
      </c>
      <c r="CL143" s="306">
        <f ca="1">COUNTIF('Knock Out Stages'!Q7:Q50,BW143)</f>
        <v>0</v>
      </c>
      <c r="CM143" s="306">
        <f ca="1">COUNTIF('Knock Out Stages'!R7:R50,BW143)</f>
        <v>0</v>
      </c>
      <c r="CN143" s="306">
        <f ca="1">IF(RIGHT('Group Stages'!$B$105,5)="T.com",SUM(BX143:CM143),0)</f>
        <v>0</v>
      </c>
      <c r="CO143" s="306">
        <f ca="1">RANK(CN143,CN3:CN834)+COUNTIF(CN3:CN143,CN143)-1</f>
        <v>141</v>
      </c>
      <c r="CP143" s="306" t="str">
        <f t="shared" ca="1" si="143"/>
        <v>Karim Ansarifard (Iran)</v>
      </c>
    </row>
    <row r="144" spans="1:94" x14ac:dyDescent="0.3">
      <c r="A144" s="306">
        <f t="shared" si="145"/>
        <v>8</v>
      </c>
      <c r="B144" s="306" t="str">
        <f t="shared" si="146"/>
        <v>Djorkaeff Reasco (og)</v>
      </c>
      <c r="C144" s="306" t="str">
        <f t="shared" si="147"/>
        <v>Djorkaeff Reasco (og)</v>
      </c>
      <c r="D144" s="306" t="str">
        <f t="shared" si="148"/>
        <v>Djorkaeff Reasco (og)</v>
      </c>
      <c r="E144" s="306" t="str">
        <f t="shared" si="149"/>
        <v>Bassam Al-Rawi (og)</v>
      </c>
      <c r="F144" s="306" t="str">
        <f t="shared" si="150"/>
        <v>Connor Roberts (og)</v>
      </c>
      <c r="G144" s="306" t="str">
        <f t="shared" si="151"/>
        <v>Connor Roberts (og)</v>
      </c>
      <c r="H144" s="306" t="str">
        <f t="shared" si="152"/>
        <v>Connor Roberts (og)</v>
      </c>
      <c r="I144" s="306" t="str">
        <f t="shared" si="153"/>
        <v>Ethan Horvath (og)</v>
      </c>
      <c r="J144" s="306" t="str">
        <f t="shared" si="154"/>
        <v>Jakub Kiwior (og)</v>
      </c>
      <c r="K144" s="306" t="str">
        <f t="shared" si="155"/>
        <v>Jakub Kiwior (og)</v>
      </c>
      <c r="L144" s="306" t="str">
        <f t="shared" si="156"/>
        <v>Jakub Kiwior (og)</v>
      </c>
      <c r="M144" s="306" t="str">
        <f t="shared" si="157"/>
        <v>Gerardo Arteaga (og)</v>
      </c>
      <c r="N144" s="306" t="str">
        <f t="shared" si="158"/>
        <v>Craig Goodwin (og)</v>
      </c>
      <c r="O144" s="306" t="str">
        <f t="shared" si="159"/>
        <v>Craig Goodwin (og)</v>
      </c>
      <c r="P144" s="306" t="str">
        <f t="shared" si="160"/>
        <v>Craig Goodwin (og)</v>
      </c>
      <c r="Q144" s="306" t="str">
        <f t="shared" si="161"/>
        <v>Dayot Upamecano (og)</v>
      </c>
      <c r="R144" s="306" t="str">
        <f t="shared" si="162"/>
        <v>Celso Borges (og)</v>
      </c>
      <c r="S144" s="306" t="str">
        <f t="shared" si="163"/>
        <v>Celso Borges (og)</v>
      </c>
      <c r="T144" s="306" t="str">
        <f t="shared" si="164"/>
        <v>Celso Borges (og)</v>
      </c>
      <c r="U144" s="306" t="str">
        <f t="shared" si="165"/>
        <v>David Raya (og)</v>
      </c>
      <c r="V144" s="306" t="str">
        <f t="shared" si="166"/>
        <v>Iké Ugbo (og)</v>
      </c>
      <c r="W144" s="306" t="str">
        <f t="shared" si="167"/>
        <v>Iké Ugbo (og)</v>
      </c>
      <c r="X144" s="306" t="str">
        <f t="shared" si="168"/>
        <v>Iké Ugbo (og)</v>
      </c>
      <c r="Y144" s="306" t="str">
        <f t="shared" si="169"/>
        <v>Jan Vertonghen (og)</v>
      </c>
      <c r="Z144" s="306" t="str">
        <f t="shared" si="170"/>
        <v>Enzo Ebosse (og)</v>
      </c>
      <c r="AA144" s="306" t="str">
        <f t="shared" si="171"/>
        <v>Enzo Ebosse (og)</v>
      </c>
      <c r="AB144" s="306" t="str">
        <f t="shared" si="172"/>
        <v>Enzo Ebosse (og)</v>
      </c>
      <c r="AC144" s="306" t="str">
        <f t="shared" si="173"/>
        <v>Fabian Frei (og)</v>
      </c>
      <c r="AD144" s="306" t="str">
        <f t="shared" si="174"/>
        <v>Jo Hyeon-woo (og)</v>
      </c>
      <c r="AE144" s="306" t="str">
        <f t="shared" si="175"/>
        <v>Jo Hyeon-woo (og)</v>
      </c>
      <c r="AF144" s="306" t="str">
        <f t="shared" si="176"/>
        <v>Jo Hyeon-woo (og)</v>
      </c>
      <c r="AG144" s="306" t="str">
        <f t="shared" si="177"/>
        <v>Fernando Muslera (og)</v>
      </c>
      <c r="BT144" s="306" t="str">
        <f t="shared" ca="1" si="132"/>
        <v>Iran</v>
      </c>
      <c r="BU144" s="306">
        <f t="shared" si="133"/>
        <v>11</v>
      </c>
      <c r="BV144" s="306">
        <f t="shared" si="134"/>
        <v>4</v>
      </c>
      <c r="BW144" s="306" t="str">
        <f ca="1">OFFSET(C3,BU144,BV144)</f>
        <v>Majid Hosseini</v>
      </c>
      <c r="BX144" s="306">
        <f ca="1">COUNTIF('Group Stages'!J7:J102,BW144)</f>
        <v>0</v>
      </c>
      <c r="BY144" s="306">
        <f ca="1">COUNTIF('Group Stages'!K7:K102,BW144)</f>
        <v>0</v>
      </c>
      <c r="BZ144" s="306">
        <f ca="1">COUNTIF('Group Stages'!L7:L102,BW144)</f>
        <v>0</v>
      </c>
      <c r="CA144" s="306">
        <f ca="1">COUNTIF('Group Stages'!M7:M102,BW144)</f>
        <v>0</v>
      </c>
      <c r="CB144" s="306">
        <f ca="1">COUNTIF('Group Stages'!N7:N102,BW144)</f>
        <v>0</v>
      </c>
      <c r="CC144" s="306">
        <f ca="1">COUNTIF('Group Stages'!O7:O102,BW144)</f>
        <v>0</v>
      </c>
      <c r="CD144" s="306">
        <f ca="1">COUNTIF('Group Stages'!P7:P102,BW144)</f>
        <v>0</v>
      </c>
      <c r="CE144" s="306">
        <f ca="1">COUNTIF('Group Stages'!Q7:Q102,BW144)</f>
        <v>0</v>
      </c>
      <c r="CF144" s="306">
        <f ca="1">COUNTIF('Knock Out Stages'!K7:K50,BW144)</f>
        <v>0</v>
      </c>
      <c r="CG144" s="306">
        <f ca="1">COUNTIF('Knock Out Stages'!L7:L50,BW144)</f>
        <v>0</v>
      </c>
      <c r="CH144" s="306">
        <f ca="1">COUNTIF('Knock Out Stages'!M7:M50,BW144)</f>
        <v>0</v>
      </c>
      <c r="CI144" s="306">
        <f ca="1">COUNTIF('Knock Out Stages'!N7:N50,BW144)</f>
        <v>0</v>
      </c>
      <c r="CJ144" s="306">
        <f ca="1">COUNTIF('Knock Out Stages'!O7:O50,BW144)</f>
        <v>0</v>
      </c>
      <c r="CK144" s="306">
        <f ca="1">COUNTIF('Knock Out Stages'!P7:P50,BW144)</f>
        <v>0</v>
      </c>
      <c r="CL144" s="306">
        <f ca="1">COUNTIF('Knock Out Stages'!Q7:Q50,BW144)</f>
        <v>0</v>
      </c>
      <c r="CM144" s="306">
        <f ca="1">COUNTIF('Knock Out Stages'!R7:R50,BW144)</f>
        <v>0</v>
      </c>
      <c r="CN144" s="306">
        <f ca="1">IF(RIGHT('Group Stages'!$B$105,5)="T.com",SUM(BX144:CM144),0)</f>
        <v>0</v>
      </c>
      <c r="CO144" s="306">
        <f ca="1">RANK(CN144,CN3:CN834)+COUNTIF(CN3:CN144,CN144)-1</f>
        <v>142</v>
      </c>
      <c r="CP144" s="306" t="str">
        <f t="shared" ca="1" si="143"/>
        <v>Majid Hosseini (Iran)</v>
      </c>
    </row>
    <row r="145" spans="1:94" x14ac:dyDescent="0.3">
      <c r="A145" s="306">
        <f t="shared" si="145"/>
        <v>9</v>
      </c>
      <c r="B145" s="306" t="str">
        <f t="shared" si="146"/>
        <v>Enner Valencia (og)</v>
      </c>
      <c r="C145" s="306" t="str">
        <f t="shared" si="147"/>
        <v>Enner Valencia (og)</v>
      </c>
      <c r="D145" s="306" t="str">
        <f t="shared" si="148"/>
        <v>Enner Valencia (og)</v>
      </c>
      <c r="E145" s="306" t="str">
        <f t="shared" si="149"/>
        <v>Boualem Khoukhi (og)</v>
      </c>
      <c r="F145" s="306" t="str">
        <f t="shared" si="150"/>
        <v>Daniel James (og)</v>
      </c>
      <c r="G145" s="306" t="str">
        <f t="shared" si="151"/>
        <v>Daniel James (og)</v>
      </c>
      <c r="H145" s="306" t="str">
        <f t="shared" si="152"/>
        <v>Daniel James (og)</v>
      </c>
      <c r="I145" s="306" t="str">
        <f t="shared" si="153"/>
        <v>Giovanni Reyna (og)</v>
      </c>
      <c r="J145" s="306" t="str">
        <f t="shared" si="154"/>
        <v>Jan Bednarek (og)</v>
      </c>
      <c r="K145" s="306" t="str">
        <f t="shared" si="155"/>
        <v>Jan Bednarek (og)</v>
      </c>
      <c r="L145" s="306" t="str">
        <f t="shared" si="156"/>
        <v>Jan Bednarek (og)</v>
      </c>
      <c r="M145" s="306" t="str">
        <f t="shared" si="157"/>
        <v>Guillermo Ochoa (og)</v>
      </c>
      <c r="N145" s="306" t="str">
        <f t="shared" si="158"/>
        <v>Danny Vukovic (og)</v>
      </c>
      <c r="O145" s="306" t="str">
        <f t="shared" si="159"/>
        <v>Danny Vukovic (og)</v>
      </c>
      <c r="P145" s="306" t="str">
        <f t="shared" si="160"/>
        <v>Danny Vukovic (og)</v>
      </c>
      <c r="Q145" s="306" t="str">
        <f t="shared" si="161"/>
        <v>Eduardo Camavinga (og)</v>
      </c>
      <c r="R145" s="306" t="str">
        <f t="shared" si="162"/>
        <v>Daniel Chacón (og)</v>
      </c>
      <c r="S145" s="306" t="str">
        <f t="shared" si="163"/>
        <v>Daniel Chacón (og)</v>
      </c>
      <c r="T145" s="306" t="str">
        <f t="shared" si="164"/>
        <v>Daniel Chacón (og)</v>
      </c>
      <c r="U145" s="306" t="str">
        <f t="shared" si="165"/>
        <v>Eric García (og)</v>
      </c>
      <c r="V145" s="306" t="str">
        <f t="shared" si="166"/>
        <v>Ismaël Koné (og)</v>
      </c>
      <c r="W145" s="306" t="str">
        <f t="shared" si="167"/>
        <v>Ismaël Koné (og)</v>
      </c>
      <c r="X145" s="306" t="str">
        <f t="shared" si="168"/>
        <v>Ismaël Koné (og)</v>
      </c>
      <c r="Y145" s="306" t="str">
        <f t="shared" si="169"/>
        <v>Jérémy Doku (og)</v>
      </c>
      <c r="Z145" s="306" t="str">
        <f t="shared" si="170"/>
        <v>Eric Maxim Choupo-Moting (og)</v>
      </c>
      <c r="AA145" s="306" t="str">
        <f t="shared" si="171"/>
        <v>Eric Maxim Choupo-Moting (og)</v>
      </c>
      <c r="AB145" s="306" t="str">
        <f t="shared" si="172"/>
        <v>Eric Maxim Choupo-Moting (og)</v>
      </c>
      <c r="AC145" s="306" t="str">
        <f t="shared" si="173"/>
        <v>Fabian Rieder (og)</v>
      </c>
      <c r="AD145" s="306" t="str">
        <f t="shared" si="174"/>
        <v>Jung Woo-young (og)</v>
      </c>
      <c r="AE145" s="306" t="str">
        <f t="shared" si="175"/>
        <v>Jung Woo-young (og)</v>
      </c>
      <c r="AF145" s="306" t="str">
        <f t="shared" si="176"/>
        <v>Jung Woo-young (og)</v>
      </c>
      <c r="AG145" s="306" t="str">
        <f t="shared" si="177"/>
        <v>Giorgian de Arrascaeta (og)</v>
      </c>
      <c r="BT145" s="306" t="str">
        <f t="shared" ca="1" si="132"/>
        <v>Iran</v>
      </c>
      <c r="BU145" s="306">
        <f t="shared" si="133"/>
        <v>12</v>
      </c>
      <c r="BV145" s="306">
        <f t="shared" si="134"/>
        <v>4</v>
      </c>
      <c r="BW145" s="306" t="str">
        <f ca="1">OFFSET(C3,BU145,BV145)</f>
        <v>Mehdi Taremi</v>
      </c>
      <c r="BX145" s="306">
        <f ca="1">COUNTIF('Group Stages'!J7:J102,BW145)</f>
        <v>0</v>
      </c>
      <c r="BY145" s="306">
        <f ca="1">COUNTIF('Group Stages'!K7:K102,BW145)</f>
        <v>0</v>
      </c>
      <c r="BZ145" s="306">
        <f ca="1">COUNTIF('Group Stages'!L7:L102,BW145)</f>
        <v>0</v>
      </c>
      <c r="CA145" s="306">
        <f ca="1">COUNTIF('Group Stages'!M7:M102,BW145)</f>
        <v>0</v>
      </c>
      <c r="CB145" s="306">
        <f ca="1">COUNTIF('Group Stages'!N7:N102,BW145)</f>
        <v>0</v>
      </c>
      <c r="CC145" s="306">
        <f ca="1">COUNTIF('Group Stages'!O7:O102,BW145)</f>
        <v>0</v>
      </c>
      <c r="CD145" s="306">
        <f ca="1">COUNTIF('Group Stages'!P7:P102,BW145)</f>
        <v>0</v>
      </c>
      <c r="CE145" s="306">
        <f ca="1">COUNTIF('Group Stages'!Q7:Q102,BW145)</f>
        <v>0</v>
      </c>
      <c r="CF145" s="306">
        <f ca="1">COUNTIF('Knock Out Stages'!K7:K50,BW145)</f>
        <v>0</v>
      </c>
      <c r="CG145" s="306">
        <f ca="1">COUNTIF('Knock Out Stages'!L7:L50,BW145)</f>
        <v>0</v>
      </c>
      <c r="CH145" s="306">
        <f ca="1">COUNTIF('Knock Out Stages'!M7:M50,BW145)</f>
        <v>0</v>
      </c>
      <c r="CI145" s="306">
        <f ca="1">COUNTIF('Knock Out Stages'!N7:N50,BW145)</f>
        <v>0</v>
      </c>
      <c r="CJ145" s="306">
        <f ca="1">COUNTIF('Knock Out Stages'!O7:O50,BW145)</f>
        <v>0</v>
      </c>
      <c r="CK145" s="306">
        <f ca="1">COUNTIF('Knock Out Stages'!P7:P50,BW145)</f>
        <v>0</v>
      </c>
      <c r="CL145" s="306">
        <f ca="1">COUNTIF('Knock Out Stages'!Q7:Q50,BW145)</f>
        <v>0</v>
      </c>
      <c r="CM145" s="306">
        <f ca="1">COUNTIF('Knock Out Stages'!R7:R50,BW145)</f>
        <v>0</v>
      </c>
      <c r="CN145" s="306">
        <f ca="1">IF(RIGHT('Group Stages'!$B$105,5)="T.com",SUM(BX145:CM145),0)</f>
        <v>0</v>
      </c>
      <c r="CO145" s="306">
        <f ca="1">RANK(CN145,CN3:CN834)+COUNTIF(CN3:CN145,CN145)-1</f>
        <v>143</v>
      </c>
      <c r="CP145" s="306" t="str">
        <f t="shared" ca="1" si="143"/>
        <v>Mehdi Taremi (Iran)</v>
      </c>
    </row>
    <row r="146" spans="1:94" x14ac:dyDescent="0.3">
      <c r="A146" s="306">
        <f t="shared" si="145"/>
        <v>10</v>
      </c>
      <c r="B146" s="306" t="str">
        <f t="shared" si="146"/>
        <v>Félix Torres (og)</v>
      </c>
      <c r="C146" s="306" t="str">
        <f t="shared" si="147"/>
        <v>Félix Torres (og)</v>
      </c>
      <c r="D146" s="306" t="str">
        <f t="shared" si="148"/>
        <v>Félix Torres (og)</v>
      </c>
      <c r="E146" s="306" t="str">
        <f t="shared" si="149"/>
        <v>Hassan Al-Haydos (og)</v>
      </c>
      <c r="F146" s="306" t="str">
        <f t="shared" si="150"/>
        <v>Danny Ward (og)</v>
      </c>
      <c r="G146" s="306" t="str">
        <f t="shared" si="151"/>
        <v>Danny Ward (og)</v>
      </c>
      <c r="H146" s="306" t="str">
        <f t="shared" si="152"/>
        <v>Danny Ward (og)</v>
      </c>
      <c r="I146" s="306" t="str">
        <f t="shared" si="153"/>
        <v>Haji Wright (og)</v>
      </c>
      <c r="J146" s="306" t="str">
        <f t="shared" si="154"/>
        <v>Kamil Glik (og)</v>
      </c>
      <c r="K146" s="306" t="str">
        <f t="shared" si="155"/>
        <v>Kamil Glik (og)</v>
      </c>
      <c r="L146" s="306" t="str">
        <f t="shared" si="156"/>
        <v>Kamil Glik (og)</v>
      </c>
      <c r="M146" s="306" t="str">
        <f t="shared" si="157"/>
        <v>Héctor Herrera (og)</v>
      </c>
      <c r="N146" s="306" t="str">
        <f t="shared" si="158"/>
        <v>Fran Karačić (og)</v>
      </c>
      <c r="O146" s="306" t="str">
        <f t="shared" si="159"/>
        <v>Fran Karačić (og)</v>
      </c>
      <c r="P146" s="306" t="str">
        <f t="shared" si="160"/>
        <v>Fran Karačić (og)</v>
      </c>
      <c r="Q146" s="306" t="str">
        <f t="shared" si="161"/>
        <v>Hugo Lloris (og)</v>
      </c>
      <c r="R146" s="306" t="str">
        <f t="shared" si="162"/>
        <v>Douglas López (og)</v>
      </c>
      <c r="S146" s="306" t="str">
        <f t="shared" si="163"/>
        <v>Douglas López (og)</v>
      </c>
      <c r="T146" s="306" t="str">
        <f t="shared" si="164"/>
        <v>Douglas López (og)</v>
      </c>
      <c r="U146" s="306" t="str">
        <f t="shared" si="165"/>
        <v>Ferran Torres (og)</v>
      </c>
      <c r="V146" s="306" t="str">
        <f t="shared" si="166"/>
        <v>James Pantemis (og)</v>
      </c>
      <c r="W146" s="306" t="str">
        <f t="shared" si="167"/>
        <v>James Pantemis (og)</v>
      </c>
      <c r="X146" s="306" t="str">
        <f t="shared" si="168"/>
        <v>James Pantemis (og)</v>
      </c>
      <c r="Y146" s="306" t="str">
        <f t="shared" si="169"/>
        <v>Kevin De Bruyne (og)</v>
      </c>
      <c r="Z146" s="306" t="str">
        <f t="shared" si="170"/>
        <v>Gaël Ondoua (og)</v>
      </c>
      <c r="AA146" s="306" t="str">
        <f t="shared" si="171"/>
        <v>Gaël Ondoua (og)</v>
      </c>
      <c r="AB146" s="306" t="str">
        <f t="shared" si="172"/>
        <v>Gaël Ondoua (og)</v>
      </c>
      <c r="AC146" s="306" t="str">
        <f t="shared" si="173"/>
        <v>Fabian Schär (og)</v>
      </c>
      <c r="AD146" s="306" t="str">
        <f t="shared" si="174"/>
        <v>Kim Jin-su (og)</v>
      </c>
      <c r="AE146" s="306" t="str">
        <f t="shared" si="175"/>
        <v>Kim Jin-su (og)</v>
      </c>
      <c r="AF146" s="306" t="str">
        <f t="shared" si="176"/>
        <v>Kim Jin-su (og)</v>
      </c>
      <c r="AG146" s="306" t="str">
        <f t="shared" si="177"/>
        <v>Guillermo Varela (og)</v>
      </c>
      <c r="BT146" s="306" t="str">
        <f t="shared" ca="1" si="132"/>
        <v>Iran</v>
      </c>
      <c r="BU146" s="306">
        <f t="shared" si="133"/>
        <v>13</v>
      </c>
      <c r="BV146" s="306">
        <f t="shared" si="134"/>
        <v>4</v>
      </c>
      <c r="BW146" s="306" t="str">
        <f ca="1">OFFSET(C3,BU146,BV146)</f>
        <v>Mehdi Torabi</v>
      </c>
      <c r="BX146" s="306">
        <f ca="1">COUNTIF('Group Stages'!J7:J102,BW146)</f>
        <v>0</v>
      </c>
      <c r="BY146" s="306">
        <f ca="1">COUNTIF('Group Stages'!K7:K102,BW146)</f>
        <v>0</v>
      </c>
      <c r="BZ146" s="306">
        <f ca="1">COUNTIF('Group Stages'!L7:L102,BW146)</f>
        <v>0</v>
      </c>
      <c r="CA146" s="306">
        <f ca="1">COUNTIF('Group Stages'!M7:M102,BW146)</f>
        <v>0</v>
      </c>
      <c r="CB146" s="306">
        <f ca="1">COUNTIF('Group Stages'!N7:N102,BW146)</f>
        <v>0</v>
      </c>
      <c r="CC146" s="306">
        <f ca="1">COUNTIF('Group Stages'!O7:O102,BW146)</f>
        <v>0</v>
      </c>
      <c r="CD146" s="306">
        <f ca="1">COUNTIF('Group Stages'!P7:P102,BW146)</f>
        <v>0</v>
      </c>
      <c r="CE146" s="306">
        <f ca="1">COUNTIF('Group Stages'!Q7:Q102,BW146)</f>
        <v>0</v>
      </c>
      <c r="CF146" s="306">
        <f ca="1">COUNTIF('Knock Out Stages'!K7:K50,BW146)</f>
        <v>0</v>
      </c>
      <c r="CG146" s="306">
        <f ca="1">COUNTIF('Knock Out Stages'!L7:L50,BW146)</f>
        <v>0</v>
      </c>
      <c r="CH146" s="306">
        <f ca="1">COUNTIF('Knock Out Stages'!M7:M50,BW146)</f>
        <v>0</v>
      </c>
      <c r="CI146" s="306">
        <f ca="1">COUNTIF('Knock Out Stages'!N7:N50,BW146)</f>
        <v>0</v>
      </c>
      <c r="CJ146" s="306">
        <f ca="1">COUNTIF('Knock Out Stages'!O7:O50,BW146)</f>
        <v>0</v>
      </c>
      <c r="CK146" s="306">
        <f ca="1">COUNTIF('Knock Out Stages'!P7:P50,BW146)</f>
        <v>0</v>
      </c>
      <c r="CL146" s="306">
        <f ca="1">COUNTIF('Knock Out Stages'!Q7:Q50,BW146)</f>
        <v>0</v>
      </c>
      <c r="CM146" s="306">
        <f ca="1">COUNTIF('Knock Out Stages'!R7:R50,BW146)</f>
        <v>0</v>
      </c>
      <c r="CN146" s="306">
        <f ca="1">IF(RIGHT('Group Stages'!$B$105,5)="T.com",SUM(BX146:CM146),0)</f>
        <v>0</v>
      </c>
      <c r="CO146" s="306">
        <f ca="1">RANK(CN146,CN3:CN834)+COUNTIF(CN3:CN146,CN146)-1</f>
        <v>144</v>
      </c>
      <c r="CP146" s="306" t="str">
        <f t="shared" ca="1" si="143"/>
        <v>Mehdi Torabi (Iran)</v>
      </c>
    </row>
    <row r="147" spans="1:94" x14ac:dyDescent="0.3">
      <c r="A147" s="306">
        <f t="shared" si="145"/>
        <v>11</v>
      </c>
      <c r="B147" s="306" t="str">
        <f t="shared" si="146"/>
        <v>Gonzalo Plata (og)</v>
      </c>
      <c r="C147" s="306" t="str">
        <f t="shared" si="147"/>
        <v>Gonzalo Plata (og)</v>
      </c>
      <c r="D147" s="306" t="str">
        <f t="shared" si="148"/>
        <v>Gonzalo Plata (og)</v>
      </c>
      <c r="E147" s="306" t="str">
        <f t="shared" si="149"/>
        <v>Homam Ahmed (og)</v>
      </c>
      <c r="F147" s="306" t="str">
        <f t="shared" si="150"/>
        <v>Dylan Levitt (og)</v>
      </c>
      <c r="G147" s="306" t="str">
        <f t="shared" si="151"/>
        <v>Dylan Levitt (og)</v>
      </c>
      <c r="H147" s="306" t="str">
        <f t="shared" si="152"/>
        <v>Dylan Levitt (og)</v>
      </c>
      <c r="I147" s="306" t="str">
        <f t="shared" si="153"/>
        <v>Jesús Ferreira (og)</v>
      </c>
      <c r="J147" s="306" t="str">
        <f t="shared" si="154"/>
        <v>Kamil Grosicki (og)</v>
      </c>
      <c r="K147" s="306" t="str">
        <f t="shared" si="155"/>
        <v>Kamil Grosicki (og)</v>
      </c>
      <c r="L147" s="306" t="str">
        <f t="shared" si="156"/>
        <v>Kamil Grosicki (og)</v>
      </c>
      <c r="M147" s="306" t="str">
        <f t="shared" si="157"/>
        <v>Héctor Moreno (og)</v>
      </c>
      <c r="N147" s="306" t="str">
        <f t="shared" si="158"/>
        <v>Garang Kuol (og)</v>
      </c>
      <c r="O147" s="306" t="str">
        <f t="shared" si="159"/>
        <v>Garang Kuol (og)</v>
      </c>
      <c r="P147" s="306" t="str">
        <f t="shared" si="160"/>
        <v>Garang Kuol (og)</v>
      </c>
      <c r="Q147" s="306" t="str">
        <f t="shared" si="161"/>
        <v>Ibrahima Konaté (og)</v>
      </c>
      <c r="R147" s="306" t="str">
        <f t="shared" si="162"/>
        <v>Esteban Alvarado (og)</v>
      </c>
      <c r="S147" s="306" t="str">
        <f t="shared" si="163"/>
        <v>Esteban Alvarado (og)</v>
      </c>
      <c r="T147" s="306" t="str">
        <f t="shared" si="164"/>
        <v>Esteban Alvarado (og)</v>
      </c>
      <c r="U147" s="306" t="str">
        <f t="shared" si="165"/>
        <v>Gavi (og)</v>
      </c>
      <c r="V147" s="306" t="str">
        <f t="shared" si="166"/>
        <v>Joel Waterman (og)</v>
      </c>
      <c r="W147" s="306" t="str">
        <f t="shared" si="167"/>
        <v>Joel Waterman (og)</v>
      </c>
      <c r="X147" s="306" t="str">
        <f t="shared" si="168"/>
        <v>Joel Waterman (og)</v>
      </c>
      <c r="Y147" s="306" t="str">
        <f t="shared" si="169"/>
        <v>Koen Casteels (og)</v>
      </c>
      <c r="Z147" s="306" t="str">
        <f t="shared" si="170"/>
        <v>Georges-Kévin Nkoudou (og)</v>
      </c>
      <c r="AA147" s="306" t="str">
        <f t="shared" si="171"/>
        <v>Georges-Kévin Nkoudou (og)</v>
      </c>
      <c r="AB147" s="306" t="str">
        <f t="shared" si="172"/>
        <v>Georges-Kévin Nkoudou (og)</v>
      </c>
      <c r="AC147" s="306" t="str">
        <f t="shared" si="173"/>
        <v>Granit Xhaka (og)</v>
      </c>
      <c r="AD147" s="306" t="str">
        <f t="shared" si="174"/>
        <v>Kim Min-jae (og)</v>
      </c>
      <c r="AE147" s="306" t="str">
        <f t="shared" si="175"/>
        <v>Kim Min-jae (og)</v>
      </c>
      <c r="AF147" s="306" t="str">
        <f t="shared" si="176"/>
        <v>Kim Min-jae (og)</v>
      </c>
      <c r="AG147" s="306" t="str">
        <f t="shared" si="177"/>
        <v>José Giménez (og)</v>
      </c>
      <c r="BT147" s="306" t="str">
        <f t="shared" ca="1" si="132"/>
        <v>Iran</v>
      </c>
      <c r="BU147" s="306">
        <f t="shared" si="133"/>
        <v>14</v>
      </c>
      <c r="BV147" s="306">
        <f t="shared" si="134"/>
        <v>4</v>
      </c>
      <c r="BW147" s="306" t="str">
        <f ca="1">OFFSET(C3,BU147,BV147)</f>
        <v>Milad Mohammadi</v>
      </c>
      <c r="BX147" s="306">
        <f ca="1">COUNTIF('Group Stages'!J7:J102,BW147)</f>
        <v>0</v>
      </c>
      <c r="BY147" s="306">
        <f ca="1">COUNTIF('Group Stages'!K7:K102,BW147)</f>
        <v>0</v>
      </c>
      <c r="BZ147" s="306">
        <f ca="1">COUNTIF('Group Stages'!L7:L102,BW147)</f>
        <v>0</v>
      </c>
      <c r="CA147" s="306">
        <f ca="1">COUNTIF('Group Stages'!M7:M102,BW147)</f>
        <v>0</v>
      </c>
      <c r="CB147" s="306">
        <f ca="1">COUNTIF('Group Stages'!N7:N102,BW147)</f>
        <v>0</v>
      </c>
      <c r="CC147" s="306">
        <f ca="1">COUNTIF('Group Stages'!O7:O102,BW147)</f>
        <v>0</v>
      </c>
      <c r="CD147" s="306">
        <f ca="1">COUNTIF('Group Stages'!P7:P102,BW147)</f>
        <v>0</v>
      </c>
      <c r="CE147" s="306">
        <f ca="1">COUNTIF('Group Stages'!Q7:Q102,BW147)</f>
        <v>0</v>
      </c>
      <c r="CF147" s="306">
        <f ca="1">COUNTIF('Knock Out Stages'!K7:K50,BW147)</f>
        <v>0</v>
      </c>
      <c r="CG147" s="306">
        <f ca="1">COUNTIF('Knock Out Stages'!L7:L50,BW147)</f>
        <v>0</v>
      </c>
      <c r="CH147" s="306">
        <f ca="1">COUNTIF('Knock Out Stages'!M7:M50,BW147)</f>
        <v>0</v>
      </c>
      <c r="CI147" s="306">
        <f ca="1">COUNTIF('Knock Out Stages'!N7:N50,BW147)</f>
        <v>0</v>
      </c>
      <c r="CJ147" s="306">
        <f ca="1">COUNTIF('Knock Out Stages'!O7:O50,BW147)</f>
        <v>0</v>
      </c>
      <c r="CK147" s="306">
        <f ca="1">COUNTIF('Knock Out Stages'!P7:P50,BW147)</f>
        <v>0</v>
      </c>
      <c r="CL147" s="306">
        <f ca="1">COUNTIF('Knock Out Stages'!Q7:Q50,BW147)</f>
        <v>0</v>
      </c>
      <c r="CM147" s="306">
        <f ca="1">COUNTIF('Knock Out Stages'!R7:R50,BW147)</f>
        <v>0</v>
      </c>
      <c r="CN147" s="306">
        <f ca="1">IF(RIGHT('Group Stages'!$B$105,5)="T.com",SUM(BX147:CM147),0)</f>
        <v>0</v>
      </c>
      <c r="CO147" s="306">
        <f ca="1">RANK(CN147,CN3:CN834)+COUNTIF(CN3:CN147,CN147)-1</f>
        <v>145</v>
      </c>
      <c r="CP147" s="306" t="str">
        <f t="shared" ca="1" si="143"/>
        <v>Milad Mohammadi (Iran)</v>
      </c>
    </row>
    <row r="148" spans="1:94" x14ac:dyDescent="0.3">
      <c r="A148" s="306">
        <f t="shared" si="145"/>
        <v>12</v>
      </c>
      <c r="B148" s="306" t="str">
        <f t="shared" si="146"/>
        <v>Hernán Galíndez (og)</v>
      </c>
      <c r="C148" s="306" t="str">
        <f t="shared" si="147"/>
        <v>Hernán Galíndez (og)</v>
      </c>
      <c r="D148" s="306" t="str">
        <f t="shared" si="148"/>
        <v>Hernán Galíndez (og)</v>
      </c>
      <c r="E148" s="306" t="str">
        <f t="shared" si="149"/>
        <v>Ismaeel Mohammad (og)</v>
      </c>
      <c r="F148" s="306" t="str">
        <f t="shared" si="150"/>
        <v>Ethan Ampadu (og)</v>
      </c>
      <c r="G148" s="306" t="str">
        <f t="shared" si="151"/>
        <v>Ethan Ampadu (og)</v>
      </c>
      <c r="H148" s="306" t="str">
        <f t="shared" si="152"/>
        <v>Ethan Ampadu (og)</v>
      </c>
      <c r="I148" s="306" t="str">
        <f t="shared" si="153"/>
        <v>Joe Scally (og)</v>
      </c>
      <c r="J148" s="306" t="str">
        <f t="shared" si="154"/>
        <v>Karol Świderski (og)</v>
      </c>
      <c r="K148" s="306" t="str">
        <f t="shared" si="155"/>
        <v>Karol Świderski (og)</v>
      </c>
      <c r="L148" s="306" t="str">
        <f t="shared" si="156"/>
        <v>Karol Świderski (og)</v>
      </c>
      <c r="M148" s="306" t="str">
        <f t="shared" si="157"/>
        <v>Henry Martín (og)</v>
      </c>
      <c r="N148" s="306" t="str">
        <f t="shared" si="158"/>
        <v>Harry Souttar (og)</v>
      </c>
      <c r="O148" s="306" t="str">
        <f t="shared" si="159"/>
        <v>Harry Souttar (og)</v>
      </c>
      <c r="P148" s="306" t="str">
        <f t="shared" si="160"/>
        <v>Harry Souttar (og)</v>
      </c>
      <c r="Q148" s="306" t="str">
        <f t="shared" si="161"/>
        <v>Jordan Veretout (og)</v>
      </c>
      <c r="R148" s="306" t="str">
        <f t="shared" si="162"/>
        <v>Francisco Calvo (og)</v>
      </c>
      <c r="S148" s="306" t="str">
        <f t="shared" si="163"/>
        <v>Francisco Calvo (og)</v>
      </c>
      <c r="T148" s="306" t="str">
        <f t="shared" si="164"/>
        <v>Francisco Calvo (og)</v>
      </c>
      <c r="U148" s="306" t="str">
        <f t="shared" si="165"/>
        <v>Hugo Guillamón (og)</v>
      </c>
      <c r="V148" s="306" t="str">
        <f t="shared" si="166"/>
        <v>Jonathan David (og)</v>
      </c>
      <c r="W148" s="306" t="str">
        <f t="shared" si="167"/>
        <v>Jonathan David (og)</v>
      </c>
      <c r="X148" s="306" t="str">
        <f t="shared" si="168"/>
        <v>Jonathan David (og)</v>
      </c>
      <c r="Y148" s="306" t="str">
        <f t="shared" si="169"/>
        <v>Leander Dendoncker (og)</v>
      </c>
      <c r="Z148" s="306" t="str">
        <f t="shared" si="170"/>
        <v>Jean-Charles Castelletto (og)</v>
      </c>
      <c r="AA148" s="306" t="str">
        <f t="shared" si="171"/>
        <v>Jean-Charles Castelletto (og)</v>
      </c>
      <c r="AB148" s="306" t="str">
        <f t="shared" si="172"/>
        <v>Jean-Charles Castelletto (og)</v>
      </c>
      <c r="AC148" s="306" t="str">
        <f t="shared" si="173"/>
        <v>Gregor Kobel (og)</v>
      </c>
      <c r="AD148" s="306" t="str">
        <f t="shared" si="174"/>
        <v>Kim Moon-hwan (og)</v>
      </c>
      <c r="AE148" s="306" t="str">
        <f t="shared" si="175"/>
        <v>Kim Moon-hwan (og)</v>
      </c>
      <c r="AF148" s="306" t="str">
        <f t="shared" si="176"/>
        <v>Kim Moon-hwan (og)</v>
      </c>
      <c r="AG148" s="306" t="str">
        <f t="shared" si="177"/>
        <v>José Luis Rodríguez (og)</v>
      </c>
      <c r="BT148" s="306" t="str">
        <f t="shared" ca="1" si="132"/>
        <v>Iran</v>
      </c>
      <c r="BU148" s="306">
        <f t="shared" si="133"/>
        <v>15</v>
      </c>
      <c r="BV148" s="306">
        <f t="shared" si="134"/>
        <v>4</v>
      </c>
      <c r="BW148" s="306" t="str">
        <f ca="1">OFFSET(C3,BU148,BV148)</f>
        <v>Morteza Pouraliganji</v>
      </c>
      <c r="BX148" s="306">
        <f ca="1">COUNTIF('Group Stages'!J7:J102,BW148)</f>
        <v>0</v>
      </c>
      <c r="BY148" s="306">
        <f ca="1">COUNTIF('Group Stages'!K7:K102,BW148)</f>
        <v>0</v>
      </c>
      <c r="BZ148" s="306">
        <f ca="1">COUNTIF('Group Stages'!L7:L102,BW148)</f>
        <v>0</v>
      </c>
      <c r="CA148" s="306">
        <f ca="1">COUNTIF('Group Stages'!M7:M102,BW148)</f>
        <v>0</v>
      </c>
      <c r="CB148" s="306">
        <f ca="1">COUNTIF('Group Stages'!N7:N102,BW148)</f>
        <v>0</v>
      </c>
      <c r="CC148" s="306">
        <f ca="1">COUNTIF('Group Stages'!O7:O102,BW148)</f>
        <v>0</v>
      </c>
      <c r="CD148" s="306">
        <f ca="1">COUNTIF('Group Stages'!P7:P102,BW148)</f>
        <v>0</v>
      </c>
      <c r="CE148" s="306">
        <f ca="1">COUNTIF('Group Stages'!Q7:Q102,BW148)</f>
        <v>0</v>
      </c>
      <c r="CF148" s="306">
        <f ca="1">COUNTIF('Knock Out Stages'!K7:K50,BW148)</f>
        <v>0</v>
      </c>
      <c r="CG148" s="306">
        <f ca="1">COUNTIF('Knock Out Stages'!L7:L50,BW148)</f>
        <v>0</v>
      </c>
      <c r="CH148" s="306">
        <f ca="1">COUNTIF('Knock Out Stages'!M7:M50,BW148)</f>
        <v>0</v>
      </c>
      <c r="CI148" s="306">
        <f ca="1">COUNTIF('Knock Out Stages'!N7:N50,BW148)</f>
        <v>0</v>
      </c>
      <c r="CJ148" s="306">
        <f ca="1">COUNTIF('Knock Out Stages'!O7:O50,BW148)</f>
        <v>0</v>
      </c>
      <c r="CK148" s="306">
        <f ca="1">COUNTIF('Knock Out Stages'!P7:P50,BW148)</f>
        <v>0</v>
      </c>
      <c r="CL148" s="306">
        <f ca="1">COUNTIF('Knock Out Stages'!Q7:Q50,BW148)</f>
        <v>0</v>
      </c>
      <c r="CM148" s="306">
        <f ca="1">COUNTIF('Knock Out Stages'!R7:R50,BW148)</f>
        <v>0</v>
      </c>
      <c r="CN148" s="306">
        <f ca="1">IF(RIGHT('Group Stages'!$B$105,5)="T.com",SUM(BX148:CM148),0)</f>
        <v>0</v>
      </c>
      <c r="CO148" s="306">
        <f ca="1">RANK(CN148,CN3:CN834)+COUNTIF(CN3:CN148,CN148)-1</f>
        <v>146</v>
      </c>
      <c r="CP148" s="306" t="str">
        <f t="shared" ca="1" si="143"/>
        <v>Morteza Pouraliganji (Iran)</v>
      </c>
    </row>
    <row r="149" spans="1:94" x14ac:dyDescent="0.3">
      <c r="A149" s="306">
        <f t="shared" si="145"/>
        <v>13</v>
      </c>
      <c r="B149" s="306" t="str">
        <f t="shared" si="146"/>
        <v>Jackson Porozo (og)</v>
      </c>
      <c r="C149" s="306" t="str">
        <f t="shared" si="147"/>
        <v>Jackson Porozo (og)</v>
      </c>
      <c r="D149" s="306" t="str">
        <f t="shared" si="148"/>
        <v>Jackson Porozo (og)</v>
      </c>
      <c r="E149" s="306" t="str">
        <f t="shared" si="149"/>
        <v>Jassem Gaber (og)</v>
      </c>
      <c r="F149" s="306" t="str">
        <f t="shared" si="150"/>
        <v>Gareth Bale (og)</v>
      </c>
      <c r="G149" s="306" t="str">
        <f t="shared" si="151"/>
        <v>Gareth Bale (og)</v>
      </c>
      <c r="H149" s="306" t="str">
        <f t="shared" si="152"/>
        <v>Gareth Bale (og)</v>
      </c>
      <c r="I149" s="306" t="str">
        <f t="shared" si="153"/>
        <v>Jordan Morris (og)</v>
      </c>
      <c r="J149" s="306" t="str">
        <f t="shared" si="154"/>
        <v>Krystian Bielik (og)</v>
      </c>
      <c r="K149" s="306" t="str">
        <f t="shared" si="155"/>
        <v>Krystian Bielik (og)</v>
      </c>
      <c r="L149" s="306" t="str">
        <f t="shared" si="156"/>
        <v>Krystian Bielik (og)</v>
      </c>
      <c r="M149" s="306" t="str">
        <f t="shared" si="157"/>
        <v>Hirving Lozano (og)</v>
      </c>
      <c r="N149" s="306" t="str">
        <f t="shared" si="158"/>
        <v>Jackson Irvine (og)</v>
      </c>
      <c r="O149" s="306" t="str">
        <f t="shared" si="159"/>
        <v>Jackson Irvine (og)</v>
      </c>
      <c r="P149" s="306" t="str">
        <f t="shared" si="160"/>
        <v>Jackson Irvine (og)</v>
      </c>
      <c r="Q149" s="306" t="str">
        <f t="shared" si="161"/>
        <v>Jules Koundé (og)</v>
      </c>
      <c r="R149" s="306" t="str">
        <f t="shared" si="162"/>
        <v>Gerson Torres (og)</v>
      </c>
      <c r="S149" s="306" t="str">
        <f t="shared" si="163"/>
        <v>Gerson Torres (og)</v>
      </c>
      <c r="T149" s="306" t="str">
        <f t="shared" si="164"/>
        <v>Gerson Torres (og)</v>
      </c>
      <c r="U149" s="306" t="str">
        <f t="shared" si="165"/>
        <v>Jordi Alba (og)</v>
      </c>
      <c r="V149" s="306" t="str">
        <f t="shared" si="166"/>
        <v>Jonathan Osorio (og)</v>
      </c>
      <c r="W149" s="306" t="str">
        <f t="shared" si="167"/>
        <v>Jonathan Osorio (og)</v>
      </c>
      <c r="X149" s="306" t="str">
        <f t="shared" si="168"/>
        <v>Jonathan Osorio (og)</v>
      </c>
      <c r="Y149" s="306" t="str">
        <f t="shared" si="169"/>
        <v>Leandro Trossard (og)</v>
      </c>
      <c r="Z149" s="306" t="str">
        <f t="shared" si="170"/>
        <v>Jean-Pierre Nsame (og)</v>
      </c>
      <c r="AA149" s="306" t="str">
        <f t="shared" si="171"/>
        <v>Jean-Pierre Nsame (og)</v>
      </c>
      <c r="AB149" s="306" t="str">
        <f t="shared" si="172"/>
        <v>Jean-Pierre Nsame (og)</v>
      </c>
      <c r="AC149" s="306" t="str">
        <f t="shared" si="173"/>
        <v>Haris Seferovic (og)</v>
      </c>
      <c r="AD149" s="306" t="str">
        <f t="shared" si="174"/>
        <v>Kim Seung-gyu (og)</v>
      </c>
      <c r="AE149" s="306" t="str">
        <f t="shared" si="175"/>
        <v>Kim Seung-gyu (og)</v>
      </c>
      <c r="AF149" s="306" t="str">
        <f t="shared" si="176"/>
        <v>Kim Seung-gyu (og)</v>
      </c>
      <c r="AG149" s="306" t="str">
        <f t="shared" si="177"/>
        <v>Lucas Torreira (og)</v>
      </c>
      <c r="BT149" s="306" t="str">
        <f t="shared" ca="1" si="132"/>
        <v>Iran</v>
      </c>
      <c r="BU149" s="306">
        <f t="shared" si="133"/>
        <v>16</v>
      </c>
      <c r="BV149" s="306">
        <f t="shared" si="134"/>
        <v>4</v>
      </c>
      <c r="BW149" s="306" t="str">
        <f ca="1">OFFSET(C3,BU149,BV149)</f>
        <v>Payam Niazmand</v>
      </c>
      <c r="BX149" s="306">
        <f ca="1">COUNTIF('Group Stages'!J7:J102,BW149)</f>
        <v>0</v>
      </c>
      <c r="BY149" s="306">
        <f ca="1">COUNTIF('Group Stages'!K7:K102,BW149)</f>
        <v>0</v>
      </c>
      <c r="BZ149" s="306">
        <f ca="1">COUNTIF('Group Stages'!L7:L102,BW149)</f>
        <v>0</v>
      </c>
      <c r="CA149" s="306">
        <f ca="1">COUNTIF('Group Stages'!M7:M102,BW149)</f>
        <v>0</v>
      </c>
      <c r="CB149" s="306">
        <f ca="1">COUNTIF('Group Stages'!N7:N102,BW149)</f>
        <v>0</v>
      </c>
      <c r="CC149" s="306">
        <f ca="1">COUNTIF('Group Stages'!O7:O102,BW149)</f>
        <v>0</v>
      </c>
      <c r="CD149" s="306">
        <f ca="1">COUNTIF('Group Stages'!P7:P102,BW149)</f>
        <v>0</v>
      </c>
      <c r="CE149" s="306">
        <f ca="1">COUNTIF('Group Stages'!Q7:Q102,BW149)</f>
        <v>0</v>
      </c>
      <c r="CF149" s="306">
        <f ca="1">COUNTIF('Knock Out Stages'!K7:K50,BW149)</f>
        <v>0</v>
      </c>
      <c r="CG149" s="306">
        <f ca="1">COUNTIF('Knock Out Stages'!L7:L50,BW149)</f>
        <v>0</v>
      </c>
      <c r="CH149" s="306">
        <f ca="1">COUNTIF('Knock Out Stages'!M7:M50,BW149)</f>
        <v>0</v>
      </c>
      <c r="CI149" s="306">
        <f ca="1">COUNTIF('Knock Out Stages'!N7:N50,BW149)</f>
        <v>0</v>
      </c>
      <c r="CJ149" s="306">
        <f ca="1">COUNTIF('Knock Out Stages'!O7:O50,BW149)</f>
        <v>0</v>
      </c>
      <c r="CK149" s="306">
        <f ca="1">COUNTIF('Knock Out Stages'!P7:P50,BW149)</f>
        <v>0</v>
      </c>
      <c r="CL149" s="306">
        <f ca="1">COUNTIF('Knock Out Stages'!Q7:Q50,BW149)</f>
        <v>0</v>
      </c>
      <c r="CM149" s="306">
        <f ca="1">COUNTIF('Knock Out Stages'!R7:R50,BW149)</f>
        <v>0</v>
      </c>
      <c r="CN149" s="306">
        <f ca="1">IF(RIGHT('Group Stages'!$B$105,5)="T.com",SUM(BX149:CM149),0)</f>
        <v>0</v>
      </c>
      <c r="CO149" s="306">
        <f ca="1">RANK(CN149,CN3:CN834)+COUNTIF(CN3:CN149,CN149)-1</f>
        <v>147</v>
      </c>
      <c r="CP149" s="306" t="str">
        <f t="shared" ca="1" si="143"/>
        <v>Payam Niazmand (Iran)</v>
      </c>
    </row>
    <row r="150" spans="1:94" x14ac:dyDescent="0.3">
      <c r="A150" s="306">
        <f t="shared" si="145"/>
        <v>14</v>
      </c>
      <c r="B150" s="306" t="str">
        <f t="shared" si="146"/>
        <v>Jeremy Sarmiento (og)</v>
      </c>
      <c r="C150" s="306" t="str">
        <f t="shared" si="147"/>
        <v>Jeremy Sarmiento (og)</v>
      </c>
      <c r="D150" s="306" t="str">
        <f t="shared" si="148"/>
        <v>Jeremy Sarmiento (og)</v>
      </c>
      <c r="E150" s="306" t="str">
        <f t="shared" si="149"/>
        <v>Karim Boudiaf (og)</v>
      </c>
      <c r="F150" s="306" t="str">
        <f t="shared" si="150"/>
        <v>Harry Wilson (og)</v>
      </c>
      <c r="G150" s="306" t="str">
        <f t="shared" si="151"/>
        <v>Harry Wilson (og)</v>
      </c>
      <c r="H150" s="306" t="str">
        <f t="shared" si="152"/>
        <v>Harry Wilson (og)</v>
      </c>
      <c r="I150" s="306" t="str">
        <f t="shared" si="153"/>
        <v>Josh Sargent (og)</v>
      </c>
      <c r="J150" s="306" t="str">
        <f t="shared" si="154"/>
        <v>Krzysztof Piątek (og)</v>
      </c>
      <c r="K150" s="306" t="str">
        <f t="shared" si="155"/>
        <v>Krzysztof Piątek (og)</v>
      </c>
      <c r="L150" s="306" t="str">
        <f t="shared" si="156"/>
        <v>Krzysztof Piątek (og)</v>
      </c>
      <c r="M150" s="306" t="str">
        <f t="shared" si="157"/>
        <v>Jesús Gallardo (og)</v>
      </c>
      <c r="N150" s="306" t="str">
        <f t="shared" si="158"/>
        <v>Jamie Maclaren (og)</v>
      </c>
      <c r="O150" s="306" t="str">
        <f t="shared" si="159"/>
        <v>Jamie Maclaren (og)</v>
      </c>
      <c r="P150" s="306" t="str">
        <f t="shared" si="160"/>
        <v>Jamie Maclaren (og)</v>
      </c>
      <c r="Q150" s="306" t="str">
        <f t="shared" si="161"/>
        <v>Karim Benzema (og)</v>
      </c>
      <c r="R150" s="306" t="str">
        <f t="shared" si="162"/>
        <v>Jewison Bennette (og)</v>
      </c>
      <c r="S150" s="306" t="str">
        <f t="shared" si="163"/>
        <v>Jewison Bennette (og)</v>
      </c>
      <c r="T150" s="306" t="str">
        <f t="shared" si="164"/>
        <v>Jewison Bennette (og)</v>
      </c>
      <c r="U150" s="306" t="str">
        <f t="shared" si="165"/>
        <v>José Gayà (og)</v>
      </c>
      <c r="V150" s="306" t="str">
        <f t="shared" si="166"/>
        <v>Junior Hoilett (og)</v>
      </c>
      <c r="W150" s="306" t="str">
        <f t="shared" si="167"/>
        <v>Junior Hoilett (og)</v>
      </c>
      <c r="X150" s="306" t="str">
        <f t="shared" si="168"/>
        <v>Junior Hoilett (og)</v>
      </c>
      <c r="Y150" s="306" t="str">
        <f t="shared" si="169"/>
        <v>Loïs Openda (og)</v>
      </c>
      <c r="Z150" s="306" t="str">
        <f t="shared" si="170"/>
        <v>Jerome Ngom Mbekeli (og)</v>
      </c>
      <c r="AA150" s="306" t="str">
        <f t="shared" si="171"/>
        <v>Jerome Ngom Mbekeli (og)</v>
      </c>
      <c r="AB150" s="306" t="str">
        <f t="shared" si="172"/>
        <v>Jerome Ngom Mbekeli (og)</v>
      </c>
      <c r="AC150" s="306" t="str">
        <f t="shared" si="173"/>
        <v>Jonas Omlin (og)</v>
      </c>
      <c r="AD150" s="306" t="str">
        <f t="shared" si="174"/>
        <v>Kim Tae-hwan (og)</v>
      </c>
      <c r="AE150" s="306" t="str">
        <f t="shared" si="175"/>
        <v>Kim Tae-hwan (og)</v>
      </c>
      <c r="AF150" s="306" t="str">
        <f t="shared" si="176"/>
        <v>Kim Tae-hwan (og)</v>
      </c>
      <c r="AG150" s="306" t="str">
        <f t="shared" si="177"/>
        <v>Luis Suárez (og)</v>
      </c>
      <c r="BT150" s="306" t="str">
        <f t="shared" ca="1" si="132"/>
        <v>Iran</v>
      </c>
      <c r="BU150" s="306">
        <f t="shared" si="133"/>
        <v>17</v>
      </c>
      <c r="BV150" s="306">
        <f t="shared" si="134"/>
        <v>4</v>
      </c>
      <c r="BW150" s="306" t="str">
        <f ca="1">OFFSET(C3,BU150,BV150)</f>
        <v>Ramin Rezaeian</v>
      </c>
      <c r="BX150" s="306">
        <f ca="1">COUNTIF('Group Stages'!J7:J102,BW150)</f>
        <v>0</v>
      </c>
      <c r="BY150" s="306">
        <f ca="1">COUNTIF('Group Stages'!K7:K102,BW150)</f>
        <v>0</v>
      </c>
      <c r="BZ150" s="306">
        <f ca="1">COUNTIF('Group Stages'!L7:L102,BW150)</f>
        <v>0</v>
      </c>
      <c r="CA150" s="306">
        <f ca="1">COUNTIF('Group Stages'!M7:M102,BW150)</f>
        <v>0</v>
      </c>
      <c r="CB150" s="306">
        <f ca="1">COUNTIF('Group Stages'!N7:N102,BW150)</f>
        <v>0</v>
      </c>
      <c r="CC150" s="306">
        <f ca="1">COUNTIF('Group Stages'!O7:O102,BW150)</f>
        <v>0</v>
      </c>
      <c r="CD150" s="306">
        <f ca="1">COUNTIF('Group Stages'!P7:P102,BW150)</f>
        <v>0</v>
      </c>
      <c r="CE150" s="306">
        <f ca="1">COUNTIF('Group Stages'!Q7:Q102,BW150)</f>
        <v>0</v>
      </c>
      <c r="CF150" s="306">
        <f ca="1">COUNTIF('Knock Out Stages'!K7:K50,BW150)</f>
        <v>0</v>
      </c>
      <c r="CG150" s="306">
        <f ca="1">COUNTIF('Knock Out Stages'!L7:L50,BW150)</f>
        <v>0</v>
      </c>
      <c r="CH150" s="306">
        <f ca="1">COUNTIF('Knock Out Stages'!M7:M50,BW150)</f>
        <v>0</v>
      </c>
      <c r="CI150" s="306">
        <f ca="1">COUNTIF('Knock Out Stages'!N7:N50,BW150)</f>
        <v>0</v>
      </c>
      <c r="CJ150" s="306">
        <f ca="1">COUNTIF('Knock Out Stages'!O7:O50,BW150)</f>
        <v>0</v>
      </c>
      <c r="CK150" s="306">
        <f ca="1">COUNTIF('Knock Out Stages'!P7:P50,BW150)</f>
        <v>0</v>
      </c>
      <c r="CL150" s="306">
        <f ca="1">COUNTIF('Knock Out Stages'!Q7:Q50,BW150)</f>
        <v>0</v>
      </c>
      <c r="CM150" s="306">
        <f ca="1">COUNTIF('Knock Out Stages'!R7:R50,BW150)</f>
        <v>0</v>
      </c>
      <c r="CN150" s="306">
        <f ca="1">IF(RIGHT('Group Stages'!$B$105,5)="T.com",SUM(BX150:CM150),0)</f>
        <v>0</v>
      </c>
      <c r="CO150" s="306">
        <f ca="1">RANK(CN150,CN3:CN834)+COUNTIF(CN3:CN150,CN150)-1</f>
        <v>148</v>
      </c>
      <c r="CP150" s="306" t="str">
        <f t="shared" ca="1" si="143"/>
        <v>Ramin Rezaeian (Iran)</v>
      </c>
    </row>
    <row r="151" spans="1:94" x14ac:dyDescent="0.3">
      <c r="A151" s="306">
        <f t="shared" si="145"/>
        <v>15</v>
      </c>
      <c r="B151" s="306" t="str">
        <f t="shared" si="146"/>
        <v>José Cifuentes (og)</v>
      </c>
      <c r="C151" s="306" t="str">
        <f t="shared" si="147"/>
        <v>José Cifuentes (og)</v>
      </c>
      <c r="D151" s="306" t="str">
        <f t="shared" si="148"/>
        <v>José Cifuentes (og)</v>
      </c>
      <c r="E151" s="306" t="str">
        <f t="shared" si="149"/>
        <v>Khalid Muneer (og)</v>
      </c>
      <c r="F151" s="306" t="str">
        <f t="shared" si="150"/>
        <v>Joe Allen (og)</v>
      </c>
      <c r="G151" s="306" t="str">
        <f t="shared" si="151"/>
        <v>Joe Allen (og)</v>
      </c>
      <c r="H151" s="306" t="str">
        <f t="shared" si="152"/>
        <v>Joe Allen (og)</v>
      </c>
      <c r="I151" s="306" t="str">
        <f t="shared" si="153"/>
        <v>Kellyn Acosta (og)</v>
      </c>
      <c r="J151" s="306" t="str">
        <f t="shared" si="154"/>
        <v>Łukasz Skorupski (og)</v>
      </c>
      <c r="K151" s="306" t="str">
        <f t="shared" si="155"/>
        <v>Łukasz Skorupski (og)</v>
      </c>
      <c r="L151" s="306" t="str">
        <f t="shared" si="156"/>
        <v>Łukasz Skorupski (og)</v>
      </c>
      <c r="M151" s="306" t="str">
        <f t="shared" si="157"/>
        <v>Johan Vásquez (og)</v>
      </c>
      <c r="N151" s="306" t="str">
        <f t="shared" si="158"/>
        <v>Jason Cummings (og)</v>
      </c>
      <c r="O151" s="306" t="str">
        <f t="shared" si="159"/>
        <v>Jason Cummings (og)</v>
      </c>
      <c r="P151" s="306" t="str">
        <f t="shared" si="160"/>
        <v>Jason Cummings (og)</v>
      </c>
      <c r="Q151" s="306" t="str">
        <f t="shared" si="161"/>
        <v>Kingsley Coman (og)</v>
      </c>
      <c r="R151" s="306" t="str">
        <f t="shared" si="162"/>
        <v>Joel Campbell (og)</v>
      </c>
      <c r="S151" s="306" t="str">
        <f t="shared" si="163"/>
        <v>Joel Campbell (og)</v>
      </c>
      <c r="T151" s="306" t="str">
        <f t="shared" si="164"/>
        <v>Joel Campbell (og)</v>
      </c>
      <c r="U151" s="306" t="str">
        <f t="shared" si="165"/>
        <v>Koke (og)</v>
      </c>
      <c r="V151" s="306" t="str">
        <f t="shared" si="166"/>
        <v>Kamal Miller (og)</v>
      </c>
      <c r="W151" s="306" t="str">
        <f t="shared" si="167"/>
        <v>Kamal Miller (og)</v>
      </c>
      <c r="X151" s="306" t="str">
        <f t="shared" si="168"/>
        <v>Kamal Miller (og)</v>
      </c>
      <c r="Y151" s="306" t="str">
        <f t="shared" si="169"/>
        <v>Michy Batshuayi (og)</v>
      </c>
      <c r="Z151" s="306" t="str">
        <f t="shared" si="170"/>
        <v>Karl Toko Ekambi (og)</v>
      </c>
      <c r="AA151" s="306" t="str">
        <f t="shared" si="171"/>
        <v>Karl Toko Ekambi (og)</v>
      </c>
      <c r="AB151" s="306" t="str">
        <f t="shared" si="172"/>
        <v>Karl Toko Ekambi (og)</v>
      </c>
      <c r="AC151" s="306" t="str">
        <f t="shared" si="173"/>
        <v>Manuel Akanji (og)</v>
      </c>
      <c r="AD151" s="306" t="str">
        <f t="shared" si="174"/>
        <v>Kim Young-gwon (og)</v>
      </c>
      <c r="AE151" s="306" t="str">
        <f t="shared" si="175"/>
        <v>Kim Young-gwon (og)</v>
      </c>
      <c r="AF151" s="306" t="str">
        <f t="shared" si="176"/>
        <v>Kim Young-gwon (og)</v>
      </c>
      <c r="AG151" s="306" t="str">
        <f t="shared" si="177"/>
        <v>Manuel Ugarte (og)</v>
      </c>
      <c r="BT151" s="306" t="str">
        <f t="shared" ca="1" si="132"/>
        <v>Iran</v>
      </c>
      <c r="BU151" s="306">
        <f t="shared" si="133"/>
        <v>18</v>
      </c>
      <c r="BV151" s="306">
        <f t="shared" si="134"/>
        <v>4</v>
      </c>
      <c r="BW151" s="306" t="str">
        <f ca="1">OFFSET(C3,BU151,BV151)</f>
        <v>Rouzbeh Cheshmi</v>
      </c>
      <c r="BX151" s="306">
        <f ca="1">COUNTIF('Group Stages'!J7:J102,BW151)</f>
        <v>0</v>
      </c>
      <c r="BY151" s="306">
        <f ca="1">COUNTIF('Group Stages'!K7:K102,BW151)</f>
        <v>0</v>
      </c>
      <c r="BZ151" s="306">
        <f ca="1">COUNTIF('Group Stages'!L7:L102,BW151)</f>
        <v>0</v>
      </c>
      <c r="CA151" s="306">
        <f ca="1">COUNTIF('Group Stages'!M7:M102,BW151)</f>
        <v>0</v>
      </c>
      <c r="CB151" s="306">
        <f ca="1">COUNTIF('Group Stages'!N7:N102,BW151)</f>
        <v>0</v>
      </c>
      <c r="CC151" s="306">
        <f ca="1">COUNTIF('Group Stages'!O7:O102,BW151)</f>
        <v>0</v>
      </c>
      <c r="CD151" s="306">
        <f ca="1">COUNTIF('Group Stages'!P7:P102,BW151)</f>
        <v>0</v>
      </c>
      <c r="CE151" s="306">
        <f ca="1">COUNTIF('Group Stages'!Q7:Q102,BW151)</f>
        <v>0</v>
      </c>
      <c r="CF151" s="306">
        <f ca="1">COUNTIF('Knock Out Stages'!K7:K50,BW151)</f>
        <v>0</v>
      </c>
      <c r="CG151" s="306">
        <f ca="1">COUNTIF('Knock Out Stages'!L7:L50,BW151)</f>
        <v>0</v>
      </c>
      <c r="CH151" s="306">
        <f ca="1">COUNTIF('Knock Out Stages'!M7:M50,BW151)</f>
        <v>0</v>
      </c>
      <c r="CI151" s="306">
        <f ca="1">COUNTIF('Knock Out Stages'!N7:N50,BW151)</f>
        <v>0</v>
      </c>
      <c r="CJ151" s="306">
        <f ca="1">COUNTIF('Knock Out Stages'!O7:O50,BW151)</f>
        <v>0</v>
      </c>
      <c r="CK151" s="306">
        <f ca="1">COUNTIF('Knock Out Stages'!P7:P50,BW151)</f>
        <v>0</v>
      </c>
      <c r="CL151" s="306">
        <f ca="1">COUNTIF('Knock Out Stages'!Q7:Q50,BW151)</f>
        <v>0</v>
      </c>
      <c r="CM151" s="306">
        <f ca="1">COUNTIF('Knock Out Stages'!R7:R50,BW151)</f>
        <v>0</v>
      </c>
      <c r="CN151" s="306">
        <f ca="1">IF(RIGHT('Group Stages'!$B$105,5)="T.com",SUM(BX151:CM151),0)</f>
        <v>0</v>
      </c>
      <c r="CO151" s="306">
        <f ca="1">RANK(CN151,CN3:CN834)+COUNTIF(CN3:CN151,CN151)-1</f>
        <v>149</v>
      </c>
      <c r="CP151" s="306" t="str">
        <f t="shared" ca="1" si="143"/>
        <v>Rouzbeh Cheshmi (Iran)</v>
      </c>
    </row>
    <row r="152" spans="1:94" x14ac:dyDescent="0.3">
      <c r="A152" s="306">
        <f t="shared" si="145"/>
        <v>16</v>
      </c>
      <c r="B152" s="306" t="str">
        <f t="shared" si="146"/>
        <v>Kevin Rodríguez (og)</v>
      </c>
      <c r="C152" s="306" t="str">
        <f t="shared" si="147"/>
        <v>Kevin Rodríguez (og)</v>
      </c>
      <c r="D152" s="306" t="str">
        <f t="shared" si="148"/>
        <v>Kevin Rodríguez (og)</v>
      </c>
      <c r="E152" s="306" t="str">
        <f t="shared" si="149"/>
        <v>Meshaal Barsham (og)</v>
      </c>
      <c r="F152" s="306" t="str">
        <f t="shared" si="150"/>
        <v>Joe Morrell (og)</v>
      </c>
      <c r="G152" s="306" t="str">
        <f t="shared" si="151"/>
        <v>Joe Morrell (og)</v>
      </c>
      <c r="H152" s="306" t="str">
        <f t="shared" si="152"/>
        <v>Joe Morrell (og)</v>
      </c>
      <c r="I152" s="306" t="str">
        <f t="shared" si="153"/>
        <v>Luca de la Torre (og)</v>
      </c>
      <c r="J152" s="306" t="str">
        <f t="shared" si="154"/>
        <v>Mateusz Wieteska (og)</v>
      </c>
      <c r="K152" s="306" t="str">
        <f t="shared" si="155"/>
        <v>Mateusz Wieteska (og)</v>
      </c>
      <c r="L152" s="306" t="str">
        <f t="shared" si="156"/>
        <v>Mateusz Wieteska (og)</v>
      </c>
      <c r="M152" s="306" t="str">
        <f t="shared" si="157"/>
        <v>Jorge Sánchez (og)</v>
      </c>
      <c r="N152" s="306" t="str">
        <f t="shared" si="158"/>
        <v>Joel King (og)</v>
      </c>
      <c r="O152" s="306" t="str">
        <f t="shared" si="159"/>
        <v>Joel King (og)</v>
      </c>
      <c r="P152" s="306" t="str">
        <f t="shared" si="160"/>
        <v>Joel King (og)</v>
      </c>
      <c r="Q152" s="306" t="str">
        <f t="shared" si="161"/>
        <v>Kylian Mbappé (og)</v>
      </c>
      <c r="R152" s="306" t="str">
        <f t="shared" si="162"/>
        <v>Johan Venegas (og)</v>
      </c>
      <c r="S152" s="306" t="str">
        <f t="shared" si="163"/>
        <v>Johan Venegas (og)</v>
      </c>
      <c r="T152" s="306" t="str">
        <f t="shared" si="164"/>
        <v>Johan Venegas (og)</v>
      </c>
      <c r="U152" s="306" t="str">
        <f t="shared" si="165"/>
        <v>Marco Asensio (og)</v>
      </c>
      <c r="V152" s="306" t="str">
        <f t="shared" si="166"/>
        <v>Liam Fraser (og)</v>
      </c>
      <c r="W152" s="306" t="str">
        <f t="shared" si="167"/>
        <v>Liam Fraser (og)</v>
      </c>
      <c r="X152" s="306" t="str">
        <f t="shared" si="168"/>
        <v>Liam Fraser (og)</v>
      </c>
      <c r="Y152" s="306" t="str">
        <f t="shared" si="169"/>
        <v>Romelu Lukaku (og)</v>
      </c>
      <c r="Z152" s="306" t="str">
        <f t="shared" si="170"/>
        <v>Marou Souaibou (og)</v>
      </c>
      <c r="AA152" s="306" t="str">
        <f t="shared" si="171"/>
        <v>Marou Souaibou (og)</v>
      </c>
      <c r="AB152" s="306" t="str">
        <f t="shared" si="172"/>
        <v>Marou Souaibou (og)</v>
      </c>
      <c r="AC152" s="306" t="str">
        <f t="shared" si="173"/>
        <v>Michel Aebischer (og)</v>
      </c>
      <c r="AD152" s="306" t="str">
        <f t="shared" si="174"/>
        <v>Kwon Chang-hoon (og)</v>
      </c>
      <c r="AE152" s="306" t="str">
        <f t="shared" si="175"/>
        <v>Kwon Chang-hoon (og)</v>
      </c>
      <c r="AF152" s="306" t="str">
        <f t="shared" si="176"/>
        <v>Kwon Chang-hoon (og)</v>
      </c>
      <c r="AG152" s="306" t="str">
        <f t="shared" si="177"/>
        <v>Martín Cáceres (og)</v>
      </c>
      <c r="BT152" s="306" t="str">
        <f t="shared" ca="1" si="132"/>
        <v>Iran</v>
      </c>
      <c r="BU152" s="306">
        <f t="shared" si="133"/>
        <v>19</v>
      </c>
      <c r="BV152" s="306">
        <f t="shared" si="134"/>
        <v>4</v>
      </c>
      <c r="BW152" s="306" t="str">
        <f ca="1">OFFSET(C3,BU152,BV152)</f>
        <v>Sadegh Moharrami</v>
      </c>
      <c r="BX152" s="306">
        <f ca="1">COUNTIF('Group Stages'!J7:J102,BW152)</f>
        <v>0</v>
      </c>
      <c r="BY152" s="306">
        <f ca="1">COUNTIF('Group Stages'!K7:K102,BW152)</f>
        <v>0</v>
      </c>
      <c r="BZ152" s="306">
        <f ca="1">COUNTIF('Group Stages'!L7:L102,BW152)</f>
        <v>0</v>
      </c>
      <c r="CA152" s="306">
        <f ca="1">COUNTIF('Group Stages'!M7:M102,BW152)</f>
        <v>0</v>
      </c>
      <c r="CB152" s="306">
        <f ca="1">COUNTIF('Group Stages'!N7:N102,BW152)</f>
        <v>0</v>
      </c>
      <c r="CC152" s="306">
        <f ca="1">COUNTIF('Group Stages'!O7:O102,BW152)</f>
        <v>0</v>
      </c>
      <c r="CD152" s="306">
        <f ca="1">COUNTIF('Group Stages'!P7:P102,BW152)</f>
        <v>0</v>
      </c>
      <c r="CE152" s="306">
        <f ca="1">COUNTIF('Group Stages'!Q7:Q102,BW152)</f>
        <v>0</v>
      </c>
      <c r="CF152" s="306">
        <f ca="1">COUNTIF('Knock Out Stages'!K7:K50,BW152)</f>
        <v>0</v>
      </c>
      <c r="CG152" s="306">
        <f ca="1">COUNTIF('Knock Out Stages'!L7:L50,BW152)</f>
        <v>0</v>
      </c>
      <c r="CH152" s="306">
        <f ca="1">COUNTIF('Knock Out Stages'!M7:M50,BW152)</f>
        <v>0</v>
      </c>
      <c r="CI152" s="306">
        <f ca="1">COUNTIF('Knock Out Stages'!N7:N50,BW152)</f>
        <v>0</v>
      </c>
      <c r="CJ152" s="306">
        <f ca="1">COUNTIF('Knock Out Stages'!O7:O50,BW152)</f>
        <v>0</v>
      </c>
      <c r="CK152" s="306">
        <f ca="1">COUNTIF('Knock Out Stages'!P7:P50,BW152)</f>
        <v>0</v>
      </c>
      <c r="CL152" s="306">
        <f ca="1">COUNTIF('Knock Out Stages'!Q7:Q50,BW152)</f>
        <v>0</v>
      </c>
      <c r="CM152" s="306">
        <f ca="1">COUNTIF('Knock Out Stages'!R7:R50,BW152)</f>
        <v>0</v>
      </c>
      <c r="CN152" s="306">
        <f ca="1">IF(RIGHT('Group Stages'!$B$105,5)="T.com",SUM(BX152:CM152),0)</f>
        <v>0</v>
      </c>
      <c r="CO152" s="306">
        <f ca="1">RANK(CN152,CN3:CN834)+COUNTIF(CN3:CN152,CN152)-1</f>
        <v>150</v>
      </c>
      <c r="CP152" s="306" t="str">
        <f t="shared" ca="1" si="143"/>
        <v>Sadegh Moharrami (Iran)</v>
      </c>
    </row>
    <row r="153" spans="1:94" x14ac:dyDescent="0.3">
      <c r="A153" s="306">
        <f t="shared" si="145"/>
        <v>17</v>
      </c>
      <c r="B153" s="306" t="str">
        <f t="shared" si="146"/>
        <v>Michael Estrada (og)</v>
      </c>
      <c r="C153" s="306" t="str">
        <f t="shared" si="147"/>
        <v>Michael Estrada (og)</v>
      </c>
      <c r="D153" s="306" t="str">
        <f t="shared" si="148"/>
        <v>Michael Estrada (og)</v>
      </c>
      <c r="E153" s="306" t="str">
        <f t="shared" si="149"/>
        <v>Mohammed Muntari (og)</v>
      </c>
      <c r="F153" s="306" t="str">
        <f t="shared" si="150"/>
        <v>Joe Rodon (og)</v>
      </c>
      <c r="G153" s="306" t="str">
        <f t="shared" si="151"/>
        <v>Joe Rodon (og)</v>
      </c>
      <c r="H153" s="306" t="str">
        <f t="shared" si="152"/>
        <v>Joe Rodon (og)</v>
      </c>
      <c r="I153" s="306" t="str">
        <f t="shared" si="153"/>
        <v>Matt Turner (og)</v>
      </c>
      <c r="J153" s="306" t="str">
        <f t="shared" si="154"/>
        <v>Matty Cash (og)</v>
      </c>
      <c r="K153" s="306" t="str">
        <f t="shared" si="155"/>
        <v>Matty Cash (og)</v>
      </c>
      <c r="L153" s="306" t="str">
        <f t="shared" si="156"/>
        <v>Matty Cash (og)</v>
      </c>
      <c r="M153" s="306" t="str">
        <f t="shared" si="157"/>
        <v>Kevin Álvarez (og)</v>
      </c>
      <c r="N153" s="306" t="str">
        <f t="shared" si="158"/>
        <v>Keanu Baccus (og)</v>
      </c>
      <c r="O153" s="306" t="str">
        <f t="shared" si="159"/>
        <v>Keanu Baccus (og)</v>
      </c>
      <c r="P153" s="306" t="str">
        <f t="shared" si="160"/>
        <v>Keanu Baccus (og)</v>
      </c>
      <c r="Q153" s="306" t="str">
        <f t="shared" si="161"/>
        <v>Lucas Hernandez (og)</v>
      </c>
      <c r="R153" s="306" t="str">
        <f t="shared" si="162"/>
        <v>Juan Pablo Vargas (og)</v>
      </c>
      <c r="S153" s="306" t="str">
        <f t="shared" si="163"/>
        <v>Juan Pablo Vargas (og)</v>
      </c>
      <c r="T153" s="306" t="str">
        <f t="shared" si="164"/>
        <v>Juan Pablo Vargas (og)</v>
      </c>
      <c r="U153" s="306" t="str">
        <f t="shared" si="165"/>
        <v>Marcos Llorente (og)</v>
      </c>
      <c r="V153" s="306" t="str">
        <f t="shared" si="166"/>
        <v>Liam Millar (og)</v>
      </c>
      <c r="W153" s="306" t="str">
        <f t="shared" si="167"/>
        <v>Liam Millar (og)</v>
      </c>
      <c r="X153" s="306" t="str">
        <f t="shared" si="168"/>
        <v>Liam Millar (og)</v>
      </c>
      <c r="Y153" s="306" t="str">
        <f t="shared" si="169"/>
        <v>Simon Mignolet (og)</v>
      </c>
      <c r="Z153" s="306" t="str">
        <f t="shared" si="170"/>
        <v>Martin Hongla (og)</v>
      </c>
      <c r="AA153" s="306" t="str">
        <f t="shared" si="171"/>
        <v>Martin Hongla (og)</v>
      </c>
      <c r="AB153" s="306" t="str">
        <f t="shared" si="172"/>
        <v>Martin Hongla (og)</v>
      </c>
      <c r="AC153" s="306" t="str">
        <f t="shared" si="173"/>
        <v>Nico Elvedi (og)</v>
      </c>
      <c r="AD153" s="306" t="str">
        <f t="shared" si="174"/>
        <v>Kwon Kyung-won (og)</v>
      </c>
      <c r="AE153" s="306" t="str">
        <f t="shared" si="175"/>
        <v>Kwon Kyung-won (og)</v>
      </c>
      <c r="AF153" s="306" t="str">
        <f t="shared" si="176"/>
        <v>Kwon Kyung-won (og)</v>
      </c>
      <c r="AG153" s="306" t="str">
        <f t="shared" si="177"/>
        <v>Mathías Olivera (og)</v>
      </c>
      <c r="BT153" s="306" t="str">
        <f t="shared" ca="1" si="132"/>
        <v>Iran</v>
      </c>
      <c r="BU153" s="306">
        <f t="shared" si="133"/>
        <v>20</v>
      </c>
      <c r="BV153" s="306">
        <f t="shared" si="134"/>
        <v>4</v>
      </c>
      <c r="BW153" s="306" t="str">
        <f ca="1">OFFSET(C3,BU153,BV153)</f>
        <v>Saeid Ezatolahi</v>
      </c>
      <c r="BX153" s="306">
        <f ca="1">COUNTIF('Group Stages'!J7:J102,BW153)</f>
        <v>0</v>
      </c>
      <c r="BY153" s="306">
        <f ca="1">COUNTIF('Group Stages'!K7:K102,BW153)</f>
        <v>0</v>
      </c>
      <c r="BZ153" s="306">
        <f ca="1">COUNTIF('Group Stages'!L7:L102,BW153)</f>
        <v>0</v>
      </c>
      <c r="CA153" s="306">
        <f ca="1">COUNTIF('Group Stages'!M7:M102,BW153)</f>
        <v>0</v>
      </c>
      <c r="CB153" s="306">
        <f ca="1">COUNTIF('Group Stages'!N7:N102,BW153)</f>
        <v>0</v>
      </c>
      <c r="CC153" s="306">
        <f ca="1">COUNTIF('Group Stages'!O7:O102,BW153)</f>
        <v>0</v>
      </c>
      <c r="CD153" s="306">
        <f ca="1">COUNTIF('Group Stages'!P7:P102,BW153)</f>
        <v>0</v>
      </c>
      <c r="CE153" s="306">
        <f ca="1">COUNTIF('Group Stages'!Q7:Q102,BW153)</f>
        <v>0</v>
      </c>
      <c r="CF153" s="306">
        <f ca="1">COUNTIF('Knock Out Stages'!K7:K50,BW153)</f>
        <v>0</v>
      </c>
      <c r="CG153" s="306">
        <f ca="1">COUNTIF('Knock Out Stages'!L7:L50,BW153)</f>
        <v>0</v>
      </c>
      <c r="CH153" s="306">
        <f ca="1">COUNTIF('Knock Out Stages'!M7:M50,BW153)</f>
        <v>0</v>
      </c>
      <c r="CI153" s="306">
        <f ca="1">COUNTIF('Knock Out Stages'!N7:N50,BW153)</f>
        <v>0</v>
      </c>
      <c r="CJ153" s="306">
        <f ca="1">COUNTIF('Knock Out Stages'!O7:O50,BW153)</f>
        <v>0</v>
      </c>
      <c r="CK153" s="306">
        <f ca="1">COUNTIF('Knock Out Stages'!P7:P50,BW153)</f>
        <v>0</v>
      </c>
      <c r="CL153" s="306">
        <f ca="1">COUNTIF('Knock Out Stages'!Q7:Q50,BW153)</f>
        <v>0</v>
      </c>
      <c r="CM153" s="306">
        <f ca="1">COUNTIF('Knock Out Stages'!R7:R50,BW153)</f>
        <v>0</v>
      </c>
      <c r="CN153" s="306">
        <f ca="1">IF(RIGHT('Group Stages'!$B$105,5)="T.com",SUM(BX153:CM153),0)</f>
        <v>0</v>
      </c>
      <c r="CO153" s="306">
        <f ca="1">RANK(CN153,CN3:CN834)+COUNTIF(CN3:CN153,CN153)-1</f>
        <v>151</v>
      </c>
      <c r="CP153" s="306" t="str">
        <f t="shared" ca="1" si="143"/>
        <v>Saeid Ezatolahi (Iran)</v>
      </c>
    </row>
    <row r="154" spans="1:94" x14ac:dyDescent="0.3">
      <c r="A154" s="306">
        <f t="shared" si="145"/>
        <v>18</v>
      </c>
      <c r="B154" s="306" t="str">
        <f t="shared" si="146"/>
        <v>Moisés Caicedo (og)</v>
      </c>
      <c r="C154" s="306" t="str">
        <f t="shared" si="147"/>
        <v>Moisés Caicedo (og)</v>
      </c>
      <c r="D154" s="306" t="str">
        <f t="shared" si="148"/>
        <v>Moisés Caicedo (og)</v>
      </c>
      <c r="E154" s="306" t="str">
        <f t="shared" si="149"/>
        <v>Mohammed Waad (og)</v>
      </c>
      <c r="F154" s="306" t="str">
        <f t="shared" si="150"/>
        <v>Jonny Williams (og)</v>
      </c>
      <c r="G154" s="306" t="str">
        <f t="shared" si="151"/>
        <v>Jonny Williams (og)</v>
      </c>
      <c r="H154" s="306" t="str">
        <f t="shared" si="152"/>
        <v>Jonny Williams (og)</v>
      </c>
      <c r="I154" s="306" t="str">
        <f t="shared" si="153"/>
        <v>Sean Johnson (og)</v>
      </c>
      <c r="J154" s="306" t="str">
        <f t="shared" si="154"/>
        <v>Michał Skóraś (og)</v>
      </c>
      <c r="K154" s="306" t="str">
        <f t="shared" si="155"/>
        <v>Michał Skóraś (og)</v>
      </c>
      <c r="L154" s="306" t="str">
        <f t="shared" si="156"/>
        <v>Michał Skóraś (og)</v>
      </c>
      <c r="M154" s="306" t="str">
        <f t="shared" si="157"/>
        <v>Luis Chávez (og)</v>
      </c>
      <c r="N154" s="306" t="str">
        <f t="shared" si="158"/>
        <v>Kye Rowles (og)</v>
      </c>
      <c r="O154" s="306" t="str">
        <f t="shared" si="159"/>
        <v>Kye Rowles (og)</v>
      </c>
      <c r="P154" s="306" t="str">
        <f t="shared" si="160"/>
        <v>Kye Rowles (og)</v>
      </c>
      <c r="Q154" s="306" t="str">
        <f t="shared" si="161"/>
        <v>Matteo Guendouzi (og)</v>
      </c>
      <c r="R154" s="306" t="str">
        <f t="shared" si="162"/>
        <v>Kendall Waston (og)</v>
      </c>
      <c r="S154" s="306" t="str">
        <f t="shared" si="163"/>
        <v>Kendall Waston (og)</v>
      </c>
      <c r="T154" s="306" t="str">
        <f t="shared" si="164"/>
        <v>Kendall Waston (og)</v>
      </c>
      <c r="U154" s="306" t="str">
        <f t="shared" si="165"/>
        <v>Nico Williams (og)</v>
      </c>
      <c r="V154" s="306" t="str">
        <f t="shared" si="166"/>
        <v>Lucas Cavallini (og)</v>
      </c>
      <c r="W154" s="306" t="str">
        <f t="shared" si="167"/>
        <v>Lucas Cavallini (og)</v>
      </c>
      <c r="X154" s="306" t="str">
        <f t="shared" si="168"/>
        <v>Lucas Cavallini (og)</v>
      </c>
      <c r="Y154" s="306" t="str">
        <f t="shared" si="169"/>
        <v>Thibaut Courtois (og)</v>
      </c>
      <c r="Z154" s="306" t="str">
        <f t="shared" si="170"/>
        <v>Nicolas Nkoulou (og)</v>
      </c>
      <c r="AA154" s="306" t="str">
        <f t="shared" si="171"/>
        <v>Nicolas Nkoulou (og)</v>
      </c>
      <c r="AB154" s="306" t="str">
        <f t="shared" si="172"/>
        <v>Nicolas Nkoulou (og)</v>
      </c>
      <c r="AC154" s="306" t="str">
        <f t="shared" si="173"/>
        <v>Noah Okafor (og)</v>
      </c>
      <c r="AD154" s="306" t="str">
        <f t="shared" si="174"/>
        <v>Lee Jae-sung (og)</v>
      </c>
      <c r="AE154" s="306" t="str">
        <f t="shared" si="175"/>
        <v>Lee Jae-sung (og)</v>
      </c>
      <c r="AF154" s="306" t="str">
        <f t="shared" si="176"/>
        <v>Lee Jae-sung (og)</v>
      </c>
      <c r="AG154" s="306" t="str">
        <f t="shared" si="177"/>
        <v>Matías Vecino (og)</v>
      </c>
      <c r="BT154" s="306" t="str">
        <f t="shared" ca="1" si="132"/>
        <v>Iran</v>
      </c>
      <c r="BU154" s="306">
        <f t="shared" si="133"/>
        <v>21</v>
      </c>
      <c r="BV154" s="306">
        <f t="shared" si="134"/>
        <v>4</v>
      </c>
      <c r="BW154" s="306" t="str">
        <f ca="1">OFFSET(C3,BU154,BV154)</f>
        <v>Saman Ghoddos</v>
      </c>
      <c r="BX154" s="306">
        <f ca="1">COUNTIF('Group Stages'!J7:J102,BW154)</f>
        <v>0</v>
      </c>
      <c r="BY154" s="306">
        <f ca="1">COUNTIF('Group Stages'!K7:K102,BW154)</f>
        <v>0</v>
      </c>
      <c r="BZ154" s="306">
        <f ca="1">COUNTIF('Group Stages'!L7:L102,BW154)</f>
        <v>0</v>
      </c>
      <c r="CA154" s="306">
        <f ca="1">COUNTIF('Group Stages'!M7:M102,BW154)</f>
        <v>0</v>
      </c>
      <c r="CB154" s="306">
        <f ca="1">COUNTIF('Group Stages'!N7:N102,BW154)</f>
        <v>0</v>
      </c>
      <c r="CC154" s="306">
        <f ca="1">COUNTIF('Group Stages'!O7:O102,BW154)</f>
        <v>0</v>
      </c>
      <c r="CD154" s="306">
        <f ca="1">COUNTIF('Group Stages'!P7:P102,BW154)</f>
        <v>0</v>
      </c>
      <c r="CE154" s="306">
        <f ca="1">COUNTIF('Group Stages'!Q7:Q102,BW154)</f>
        <v>0</v>
      </c>
      <c r="CF154" s="306">
        <f ca="1">COUNTIF('Knock Out Stages'!K7:K50,BW154)</f>
        <v>0</v>
      </c>
      <c r="CG154" s="306">
        <f ca="1">COUNTIF('Knock Out Stages'!L7:L50,BW154)</f>
        <v>0</v>
      </c>
      <c r="CH154" s="306">
        <f ca="1">COUNTIF('Knock Out Stages'!M7:M50,BW154)</f>
        <v>0</v>
      </c>
      <c r="CI154" s="306">
        <f ca="1">COUNTIF('Knock Out Stages'!N7:N50,BW154)</f>
        <v>0</v>
      </c>
      <c r="CJ154" s="306">
        <f ca="1">COUNTIF('Knock Out Stages'!O7:O50,BW154)</f>
        <v>0</v>
      </c>
      <c r="CK154" s="306">
        <f ca="1">COUNTIF('Knock Out Stages'!P7:P50,BW154)</f>
        <v>0</v>
      </c>
      <c r="CL154" s="306">
        <f ca="1">COUNTIF('Knock Out Stages'!Q7:Q50,BW154)</f>
        <v>0</v>
      </c>
      <c r="CM154" s="306">
        <f ca="1">COUNTIF('Knock Out Stages'!R7:R50,BW154)</f>
        <v>0</v>
      </c>
      <c r="CN154" s="306">
        <f ca="1">IF(RIGHT('Group Stages'!$B$105,5)="T.com",SUM(BX154:CM154),0)</f>
        <v>0</v>
      </c>
      <c r="CO154" s="306">
        <f ca="1">RANK(CN154,CN3:CN834)+COUNTIF(CN3:CN154,CN154)-1</f>
        <v>152</v>
      </c>
      <c r="CP154" s="306" t="str">
        <f t="shared" ca="1" si="143"/>
        <v>Saman Ghoddos (Iran)</v>
      </c>
    </row>
    <row r="155" spans="1:94" x14ac:dyDescent="0.3">
      <c r="A155" s="306">
        <f t="shared" si="145"/>
        <v>19</v>
      </c>
      <c r="B155" s="306" t="str">
        <f t="shared" si="146"/>
        <v>Moisés Ramírez (og)</v>
      </c>
      <c r="C155" s="306" t="str">
        <f t="shared" si="147"/>
        <v>Moisés Ramírez (og)</v>
      </c>
      <c r="D155" s="306" t="str">
        <f t="shared" si="148"/>
        <v>Moisés Ramírez (og)</v>
      </c>
      <c r="E155" s="306" t="str">
        <f t="shared" si="149"/>
        <v>Mostafa Tarek (og)</v>
      </c>
      <c r="F155" s="306" t="str">
        <f t="shared" si="150"/>
        <v>Kieffer Moore (og)</v>
      </c>
      <c r="G155" s="306" t="str">
        <f t="shared" si="151"/>
        <v>Kieffer Moore (og)</v>
      </c>
      <c r="H155" s="306" t="str">
        <f t="shared" si="152"/>
        <v>Kieffer Moore (og)</v>
      </c>
      <c r="I155" s="306" t="str">
        <f t="shared" si="153"/>
        <v>Sergiño Dest (og)</v>
      </c>
      <c r="J155" s="306" t="str">
        <f t="shared" si="154"/>
        <v>Nicola Zalewski (og)</v>
      </c>
      <c r="K155" s="306" t="str">
        <f t="shared" si="155"/>
        <v>Nicola Zalewski (og)</v>
      </c>
      <c r="L155" s="306" t="str">
        <f t="shared" si="156"/>
        <v>Nicola Zalewski (og)</v>
      </c>
      <c r="M155" s="306" t="str">
        <f t="shared" si="157"/>
        <v>Luis Romo (og)</v>
      </c>
      <c r="N155" s="306" t="str">
        <f t="shared" si="158"/>
        <v>Martin Boyle (og)</v>
      </c>
      <c r="O155" s="306" t="str">
        <f t="shared" si="159"/>
        <v>Martin Boyle (og)</v>
      </c>
      <c r="P155" s="306" t="str">
        <f t="shared" si="160"/>
        <v>Martin Boyle (og)</v>
      </c>
      <c r="Q155" s="306" t="str">
        <f t="shared" si="161"/>
        <v>Olivier Giroud (og)</v>
      </c>
      <c r="R155" s="306" t="str">
        <f t="shared" si="162"/>
        <v>Keylor Navas (og)</v>
      </c>
      <c r="S155" s="306" t="str">
        <f t="shared" si="163"/>
        <v>Keylor Navas (og)</v>
      </c>
      <c r="T155" s="306" t="str">
        <f t="shared" si="164"/>
        <v>Keylor Navas (og)</v>
      </c>
      <c r="U155" s="306" t="str">
        <f t="shared" si="165"/>
        <v>Pablo Sarabia (og)</v>
      </c>
      <c r="V155" s="306" t="str">
        <f t="shared" si="166"/>
        <v>Mark-Anthony Kaye (og)</v>
      </c>
      <c r="W155" s="306" t="str">
        <f t="shared" si="167"/>
        <v>Mark-Anthony Kaye (og)</v>
      </c>
      <c r="X155" s="306" t="str">
        <f t="shared" si="168"/>
        <v>Mark-Anthony Kaye (og)</v>
      </c>
      <c r="Y155" s="306" t="str">
        <f t="shared" si="169"/>
        <v>Thomas Meunier (og)</v>
      </c>
      <c r="Z155" s="306" t="str">
        <f t="shared" si="170"/>
        <v>Nouhou Tolo (og)</v>
      </c>
      <c r="AA155" s="306" t="str">
        <f t="shared" si="171"/>
        <v>Nouhou Tolo (og)</v>
      </c>
      <c r="AB155" s="306" t="str">
        <f t="shared" si="172"/>
        <v>Nouhou Tolo (og)</v>
      </c>
      <c r="AC155" s="306" t="str">
        <f t="shared" si="173"/>
        <v>Philipp Köhn (og)</v>
      </c>
      <c r="AD155" s="306" t="str">
        <f t="shared" si="174"/>
        <v>Lee Kang-in (og)</v>
      </c>
      <c r="AE155" s="306" t="str">
        <f t="shared" si="175"/>
        <v>Lee Kang-in (og)</v>
      </c>
      <c r="AF155" s="306" t="str">
        <f t="shared" si="176"/>
        <v>Lee Kang-in (og)</v>
      </c>
      <c r="AG155" s="306" t="str">
        <f t="shared" si="177"/>
        <v>Matías Viña (og)</v>
      </c>
      <c r="BT155" s="306" t="str">
        <f t="shared" ca="1" si="132"/>
        <v>Iran</v>
      </c>
      <c r="BU155" s="306">
        <f t="shared" si="133"/>
        <v>22</v>
      </c>
      <c r="BV155" s="306">
        <f t="shared" si="134"/>
        <v>4</v>
      </c>
      <c r="BW155" s="306" t="str">
        <f ca="1">OFFSET(C3,BU155,BV155)</f>
        <v>Sardar Azmoun</v>
      </c>
      <c r="BX155" s="306">
        <f ca="1">COUNTIF('Group Stages'!J7:J102,BW155)</f>
        <v>0</v>
      </c>
      <c r="BY155" s="306">
        <f ca="1">COUNTIF('Group Stages'!K7:K102,BW155)</f>
        <v>0</v>
      </c>
      <c r="BZ155" s="306">
        <f ca="1">COUNTIF('Group Stages'!L7:L102,BW155)</f>
        <v>0</v>
      </c>
      <c r="CA155" s="306">
        <f ca="1">COUNTIF('Group Stages'!M7:M102,BW155)</f>
        <v>0</v>
      </c>
      <c r="CB155" s="306">
        <f ca="1">COUNTIF('Group Stages'!N7:N102,BW155)</f>
        <v>0</v>
      </c>
      <c r="CC155" s="306">
        <f ca="1">COUNTIF('Group Stages'!O7:O102,BW155)</f>
        <v>0</v>
      </c>
      <c r="CD155" s="306">
        <f ca="1">COUNTIF('Group Stages'!P7:P102,BW155)</f>
        <v>0</v>
      </c>
      <c r="CE155" s="306">
        <f ca="1">COUNTIF('Group Stages'!Q7:Q102,BW155)</f>
        <v>0</v>
      </c>
      <c r="CF155" s="306">
        <f ca="1">COUNTIF('Knock Out Stages'!K7:K50,BW155)</f>
        <v>0</v>
      </c>
      <c r="CG155" s="306">
        <f ca="1">COUNTIF('Knock Out Stages'!L7:L50,BW155)</f>
        <v>0</v>
      </c>
      <c r="CH155" s="306">
        <f ca="1">COUNTIF('Knock Out Stages'!M7:M50,BW155)</f>
        <v>0</v>
      </c>
      <c r="CI155" s="306">
        <f ca="1">COUNTIF('Knock Out Stages'!N7:N50,BW155)</f>
        <v>0</v>
      </c>
      <c r="CJ155" s="306">
        <f ca="1">COUNTIF('Knock Out Stages'!O7:O50,BW155)</f>
        <v>0</v>
      </c>
      <c r="CK155" s="306">
        <f ca="1">COUNTIF('Knock Out Stages'!P7:P50,BW155)</f>
        <v>0</v>
      </c>
      <c r="CL155" s="306">
        <f ca="1">COUNTIF('Knock Out Stages'!Q7:Q50,BW155)</f>
        <v>0</v>
      </c>
      <c r="CM155" s="306">
        <f ca="1">COUNTIF('Knock Out Stages'!R7:R50,BW155)</f>
        <v>0</v>
      </c>
      <c r="CN155" s="306">
        <f ca="1">IF(RIGHT('Group Stages'!$B$105,5)="T.com",SUM(BX155:CM155),0)</f>
        <v>0</v>
      </c>
      <c r="CO155" s="306">
        <f ca="1">RANK(CN155,CN3:CN834)+COUNTIF(CN3:CN155,CN155)-1</f>
        <v>153</v>
      </c>
      <c r="CP155" s="306" t="str">
        <f t="shared" ca="1" si="143"/>
        <v>Sardar Azmoun (Iran)</v>
      </c>
    </row>
    <row r="156" spans="1:94" x14ac:dyDescent="0.3">
      <c r="A156" s="306">
        <f t="shared" si="145"/>
        <v>20</v>
      </c>
      <c r="B156" s="306" t="str">
        <f t="shared" si="146"/>
        <v>Pervis Estupiñán (og)</v>
      </c>
      <c r="C156" s="306" t="str">
        <f t="shared" si="147"/>
        <v>Pervis Estupiñán (og)</v>
      </c>
      <c r="D156" s="306" t="str">
        <f t="shared" si="148"/>
        <v>Pervis Estupiñán (og)</v>
      </c>
      <c r="E156" s="306" t="str">
        <f t="shared" si="149"/>
        <v>Musab Kheder (og)</v>
      </c>
      <c r="F156" s="306" t="str">
        <f t="shared" si="150"/>
        <v>Mark Harris (og)</v>
      </c>
      <c r="G156" s="306" t="str">
        <f t="shared" si="151"/>
        <v>Mark Harris (og)</v>
      </c>
      <c r="H156" s="306" t="str">
        <f t="shared" si="152"/>
        <v>Mark Harris (og)</v>
      </c>
      <c r="I156" s="306" t="str">
        <f t="shared" si="153"/>
        <v>Shaq Moore (og)</v>
      </c>
      <c r="J156" s="306" t="str">
        <f t="shared" si="154"/>
        <v>Piotr Zieliński (og)</v>
      </c>
      <c r="K156" s="306" t="str">
        <f t="shared" si="155"/>
        <v>Piotr Zieliński (og)</v>
      </c>
      <c r="L156" s="306" t="str">
        <f t="shared" si="156"/>
        <v>Piotr Zieliński (og)</v>
      </c>
      <c r="M156" s="306" t="str">
        <f t="shared" si="157"/>
        <v>Néstor Araujo (og)</v>
      </c>
      <c r="N156" s="306" t="str">
        <f t="shared" si="158"/>
        <v>Mathew Leckie (og)</v>
      </c>
      <c r="O156" s="306" t="str">
        <f t="shared" si="159"/>
        <v>Mathew Leckie (og)</v>
      </c>
      <c r="P156" s="306" t="str">
        <f t="shared" si="160"/>
        <v>Mathew Leckie (og)</v>
      </c>
      <c r="Q156" s="306" t="str">
        <f t="shared" si="161"/>
        <v>Ousmane Dembélé (og)</v>
      </c>
      <c r="R156" s="306" t="str">
        <f t="shared" si="162"/>
        <v>Keysher Fuller (og)</v>
      </c>
      <c r="S156" s="306" t="str">
        <f t="shared" si="163"/>
        <v>Keysher Fuller (og)</v>
      </c>
      <c r="T156" s="306" t="str">
        <f t="shared" si="164"/>
        <v>Keysher Fuller (og)</v>
      </c>
      <c r="U156" s="306" t="str">
        <f t="shared" si="165"/>
        <v>Pau Torres (og)</v>
      </c>
      <c r="V156" s="306" t="str">
        <f t="shared" si="166"/>
        <v>Milan Borjan (og)</v>
      </c>
      <c r="W156" s="306" t="str">
        <f t="shared" si="167"/>
        <v>Milan Borjan (og)</v>
      </c>
      <c r="X156" s="306" t="str">
        <f t="shared" si="168"/>
        <v>Milan Borjan (og)</v>
      </c>
      <c r="Y156" s="306" t="str">
        <f t="shared" si="169"/>
        <v>Thorgan Hazard (og)</v>
      </c>
      <c r="Z156" s="306" t="str">
        <f t="shared" si="170"/>
        <v>Olivier Mbaizo (og)</v>
      </c>
      <c r="AA156" s="306" t="str">
        <f t="shared" si="171"/>
        <v>Olivier Mbaizo (og)</v>
      </c>
      <c r="AB156" s="306" t="str">
        <f t="shared" si="172"/>
        <v>Olivier Mbaizo (og)</v>
      </c>
      <c r="AC156" s="306" t="str">
        <f t="shared" si="173"/>
        <v>Remo Freuler (og)</v>
      </c>
      <c r="AD156" s="306" t="str">
        <f t="shared" si="174"/>
        <v>Na Sang-ho (og)</v>
      </c>
      <c r="AE156" s="306" t="str">
        <f t="shared" si="175"/>
        <v>Na Sang-ho (og)</v>
      </c>
      <c r="AF156" s="306" t="str">
        <f t="shared" si="176"/>
        <v>Na Sang-ho (og)</v>
      </c>
      <c r="AG156" s="306" t="str">
        <f t="shared" si="177"/>
        <v>Maxi Gómez (og)</v>
      </c>
      <c r="BT156" s="306" t="str">
        <f t="shared" ca="1" si="132"/>
        <v>Iran</v>
      </c>
      <c r="BU156" s="306">
        <f t="shared" si="133"/>
        <v>23</v>
      </c>
      <c r="BV156" s="306">
        <f t="shared" si="134"/>
        <v>4</v>
      </c>
      <c r="BW156" s="306" t="str">
        <f ca="1">OFFSET(C3,BU156,BV156)</f>
        <v>Shojae Khalilzadeh</v>
      </c>
      <c r="BX156" s="306">
        <f ca="1">COUNTIF('Group Stages'!J7:J102,BW156)</f>
        <v>0</v>
      </c>
      <c r="BY156" s="306">
        <f ca="1">COUNTIF('Group Stages'!K7:K102,BW156)</f>
        <v>0</v>
      </c>
      <c r="BZ156" s="306">
        <f ca="1">COUNTIF('Group Stages'!L7:L102,BW156)</f>
        <v>0</v>
      </c>
      <c r="CA156" s="306">
        <f ca="1">COUNTIF('Group Stages'!M7:M102,BW156)</f>
        <v>0</v>
      </c>
      <c r="CB156" s="306">
        <f ca="1">COUNTIF('Group Stages'!N7:N102,BW156)</f>
        <v>0</v>
      </c>
      <c r="CC156" s="306">
        <f ca="1">COUNTIF('Group Stages'!O7:O102,BW156)</f>
        <v>0</v>
      </c>
      <c r="CD156" s="306">
        <f ca="1">COUNTIF('Group Stages'!P7:P102,BW156)</f>
        <v>0</v>
      </c>
      <c r="CE156" s="306">
        <f ca="1">COUNTIF('Group Stages'!Q7:Q102,BW156)</f>
        <v>0</v>
      </c>
      <c r="CF156" s="306">
        <f ca="1">COUNTIF('Knock Out Stages'!K7:K50,BW156)</f>
        <v>0</v>
      </c>
      <c r="CG156" s="306">
        <f ca="1">COUNTIF('Knock Out Stages'!L7:L50,BW156)</f>
        <v>0</v>
      </c>
      <c r="CH156" s="306">
        <f ca="1">COUNTIF('Knock Out Stages'!M7:M50,BW156)</f>
        <v>0</v>
      </c>
      <c r="CI156" s="306">
        <f ca="1">COUNTIF('Knock Out Stages'!N7:N50,BW156)</f>
        <v>0</v>
      </c>
      <c r="CJ156" s="306">
        <f ca="1">COUNTIF('Knock Out Stages'!O7:O50,BW156)</f>
        <v>0</v>
      </c>
      <c r="CK156" s="306">
        <f ca="1">COUNTIF('Knock Out Stages'!P7:P50,BW156)</f>
        <v>0</v>
      </c>
      <c r="CL156" s="306">
        <f ca="1">COUNTIF('Knock Out Stages'!Q7:Q50,BW156)</f>
        <v>0</v>
      </c>
      <c r="CM156" s="306">
        <f ca="1">COUNTIF('Knock Out Stages'!R7:R50,BW156)</f>
        <v>0</v>
      </c>
      <c r="CN156" s="306">
        <f ca="1">IF(RIGHT('Group Stages'!$B$105,5)="T.com",SUM(BX156:CM156),0)</f>
        <v>0</v>
      </c>
      <c r="CO156" s="306">
        <f ca="1">RANK(CN156,CN3:CN834)+COUNTIF(CN3:CN156,CN156)-1</f>
        <v>154</v>
      </c>
      <c r="CP156" s="306" t="str">
        <f t="shared" ca="1" si="143"/>
        <v>Shojae Khalilzadeh (Iran)</v>
      </c>
    </row>
    <row r="157" spans="1:94" x14ac:dyDescent="0.3">
      <c r="A157" s="306">
        <f t="shared" si="145"/>
        <v>21</v>
      </c>
      <c r="B157" s="306" t="str">
        <f t="shared" si="146"/>
        <v>Piero Hincapié (og)</v>
      </c>
      <c r="C157" s="306" t="str">
        <f t="shared" si="147"/>
        <v>Piero Hincapié (og)</v>
      </c>
      <c r="D157" s="306" t="str">
        <f t="shared" si="148"/>
        <v>Piero Hincapié (og)</v>
      </c>
      <c r="E157" s="306" t="str">
        <f t="shared" si="149"/>
        <v>Naif Al-Hadhrami (og)</v>
      </c>
      <c r="F157" s="306" t="str">
        <f t="shared" si="150"/>
        <v>Matthew Smith (og)</v>
      </c>
      <c r="G157" s="306" t="str">
        <f t="shared" si="151"/>
        <v>Matthew Smith (og)</v>
      </c>
      <c r="H157" s="306" t="str">
        <f t="shared" si="152"/>
        <v>Matthew Smith (og)</v>
      </c>
      <c r="I157" s="306" t="str">
        <f t="shared" si="153"/>
        <v>Tim Ream (og)</v>
      </c>
      <c r="J157" s="306" t="str">
        <f t="shared" si="154"/>
        <v>Przemysław Frankowski (og)</v>
      </c>
      <c r="K157" s="306" t="str">
        <f t="shared" si="155"/>
        <v>Przemysław Frankowski (og)</v>
      </c>
      <c r="L157" s="306" t="str">
        <f t="shared" si="156"/>
        <v>Przemysław Frankowski (og)</v>
      </c>
      <c r="M157" s="306" t="str">
        <f t="shared" si="157"/>
        <v>Orbelín Pineda (og)</v>
      </c>
      <c r="N157" s="306" t="str">
        <f t="shared" si="158"/>
        <v>Mathew Ryan (og)</v>
      </c>
      <c r="O157" s="306" t="str">
        <f t="shared" si="159"/>
        <v>Mathew Ryan (og)</v>
      </c>
      <c r="P157" s="306" t="str">
        <f t="shared" si="160"/>
        <v>Mathew Ryan (og)</v>
      </c>
      <c r="Q157" s="306" t="str">
        <f t="shared" si="161"/>
        <v>Presnel Kimpembe (og)</v>
      </c>
      <c r="R157" s="306" t="str">
        <f t="shared" si="162"/>
        <v>Óscar Duarte (og)</v>
      </c>
      <c r="S157" s="306" t="str">
        <f t="shared" si="163"/>
        <v>Óscar Duarte (og)</v>
      </c>
      <c r="T157" s="306" t="str">
        <f t="shared" si="164"/>
        <v>Óscar Duarte (og)</v>
      </c>
      <c r="U157" s="306" t="str">
        <f t="shared" si="165"/>
        <v>Pedri (og)</v>
      </c>
      <c r="V157" s="306" t="str">
        <f t="shared" si="166"/>
        <v>Richie Laryea (og)</v>
      </c>
      <c r="W157" s="306" t="str">
        <f t="shared" si="167"/>
        <v>Richie Laryea (og)</v>
      </c>
      <c r="X157" s="306" t="str">
        <f t="shared" si="168"/>
        <v>Richie Laryea (og)</v>
      </c>
      <c r="Y157" s="306" t="str">
        <f t="shared" si="169"/>
        <v>Timothy Castagne (og)</v>
      </c>
      <c r="Z157" s="306" t="str">
        <f t="shared" si="170"/>
        <v>Olivier Ntcham (og)</v>
      </c>
      <c r="AA157" s="306" t="str">
        <f t="shared" si="171"/>
        <v>Olivier Ntcham (og)</v>
      </c>
      <c r="AB157" s="306" t="str">
        <f t="shared" si="172"/>
        <v>Olivier Ntcham (og)</v>
      </c>
      <c r="AC157" s="306" t="str">
        <f t="shared" si="173"/>
        <v>Renato Steffen (og)</v>
      </c>
      <c r="AD157" s="306" t="str">
        <f t="shared" si="174"/>
        <v>Paik Seung-ho (og)</v>
      </c>
      <c r="AE157" s="306" t="str">
        <f t="shared" si="175"/>
        <v>Paik Seung-ho (og)</v>
      </c>
      <c r="AF157" s="306" t="str">
        <f t="shared" si="176"/>
        <v>Paik Seung-ho (og)</v>
      </c>
      <c r="AG157" s="306" t="str">
        <f t="shared" si="177"/>
        <v>Nicolás de la Cruz (og)</v>
      </c>
      <c r="BT157" s="306" t="str">
        <f t="shared" ca="1" si="132"/>
        <v>Iran</v>
      </c>
      <c r="BU157" s="306">
        <f t="shared" si="133"/>
        <v>24</v>
      </c>
      <c r="BV157" s="306">
        <f t="shared" si="134"/>
        <v>4</v>
      </c>
      <c r="BW157" s="306" t="str">
        <f ca="1">OFFSET(C3,BU157,BV157)</f>
        <v>Vahid Amiri</v>
      </c>
      <c r="BX157" s="306">
        <f ca="1">COUNTIF('Group Stages'!J7:J102,BW157)</f>
        <v>0</v>
      </c>
      <c r="BY157" s="306">
        <f ca="1">COUNTIF('Group Stages'!K7:K102,BW157)</f>
        <v>0</v>
      </c>
      <c r="BZ157" s="306">
        <f ca="1">COUNTIF('Group Stages'!L7:L102,BW157)</f>
        <v>0</v>
      </c>
      <c r="CA157" s="306">
        <f ca="1">COUNTIF('Group Stages'!M7:M102,BW157)</f>
        <v>0</v>
      </c>
      <c r="CB157" s="306">
        <f ca="1">COUNTIF('Group Stages'!N7:N102,BW157)</f>
        <v>0</v>
      </c>
      <c r="CC157" s="306">
        <f ca="1">COUNTIF('Group Stages'!O7:O102,BW157)</f>
        <v>0</v>
      </c>
      <c r="CD157" s="306">
        <f ca="1">COUNTIF('Group Stages'!P7:P102,BW157)</f>
        <v>0</v>
      </c>
      <c r="CE157" s="306">
        <f ca="1">COUNTIF('Group Stages'!Q7:Q102,BW157)</f>
        <v>0</v>
      </c>
      <c r="CF157" s="306">
        <f ca="1">COUNTIF('Knock Out Stages'!K7:K50,BW157)</f>
        <v>0</v>
      </c>
      <c r="CG157" s="306">
        <f ca="1">COUNTIF('Knock Out Stages'!L7:L50,BW157)</f>
        <v>0</v>
      </c>
      <c r="CH157" s="306">
        <f ca="1">COUNTIF('Knock Out Stages'!M7:M50,BW157)</f>
        <v>0</v>
      </c>
      <c r="CI157" s="306">
        <f ca="1">COUNTIF('Knock Out Stages'!N7:N50,BW157)</f>
        <v>0</v>
      </c>
      <c r="CJ157" s="306">
        <f ca="1">COUNTIF('Knock Out Stages'!O7:O50,BW157)</f>
        <v>0</v>
      </c>
      <c r="CK157" s="306">
        <f ca="1">COUNTIF('Knock Out Stages'!P7:P50,BW157)</f>
        <v>0</v>
      </c>
      <c r="CL157" s="306">
        <f ca="1">COUNTIF('Knock Out Stages'!Q7:Q50,BW157)</f>
        <v>0</v>
      </c>
      <c r="CM157" s="306">
        <f ca="1">COUNTIF('Knock Out Stages'!R7:R50,BW157)</f>
        <v>0</v>
      </c>
      <c r="CN157" s="306">
        <f ca="1">IF(RIGHT('Group Stages'!$B$105,5)="T.com",SUM(BX157:CM157),0)</f>
        <v>0</v>
      </c>
      <c r="CO157" s="306">
        <f ca="1">RANK(CN157,CN3:CN834)+COUNTIF(CN3:CN157,CN157)-1</f>
        <v>155</v>
      </c>
      <c r="CP157" s="306" t="str">
        <f t="shared" ca="1" si="143"/>
        <v>Vahid Amiri (Iran)</v>
      </c>
    </row>
    <row r="158" spans="1:94" x14ac:dyDescent="0.3">
      <c r="A158" s="306">
        <f t="shared" si="145"/>
        <v>22</v>
      </c>
      <c r="B158" s="306" t="str">
        <f t="shared" si="146"/>
        <v>Robert Arboleda (og)</v>
      </c>
      <c r="C158" s="306" t="str">
        <f t="shared" si="147"/>
        <v>Robert Arboleda (og)</v>
      </c>
      <c r="D158" s="306" t="str">
        <f t="shared" si="148"/>
        <v>Robert Arboleda (og)</v>
      </c>
      <c r="E158" s="306" t="str">
        <f t="shared" si="149"/>
        <v>Ró-Ró (og)</v>
      </c>
      <c r="F158" s="306" t="str">
        <f t="shared" si="150"/>
        <v>Neco Williams (og)</v>
      </c>
      <c r="G158" s="306" t="str">
        <f t="shared" si="151"/>
        <v>Neco Williams (og)</v>
      </c>
      <c r="H158" s="306" t="str">
        <f t="shared" si="152"/>
        <v>Neco Williams (og)</v>
      </c>
      <c r="I158" s="306" t="str">
        <f t="shared" si="153"/>
        <v>Timothy Weah (og)</v>
      </c>
      <c r="J158" s="306" t="str">
        <f t="shared" si="154"/>
        <v>Robert Gumny (og)</v>
      </c>
      <c r="K158" s="306" t="str">
        <f t="shared" si="155"/>
        <v>Robert Gumny (og)</v>
      </c>
      <c r="L158" s="306" t="str">
        <f t="shared" si="156"/>
        <v>Robert Gumny (og)</v>
      </c>
      <c r="M158" s="306" t="str">
        <f t="shared" si="157"/>
        <v>Raúl Jiménez (og)</v>
      </c>
      <c r="N158" s="306" t="str">
        <f t="shared" si="158"/>
        <v>Miloš Degenek (og)</v>
      </c>
      <c r="O158" s="306" t="str">
        <f t="shared" si="159"/>
        <v>Miloš Degenek (og)</v>
      </c>
      <c r="P158" s="306" t="str">
        <f t="shared" si="160"/>
        <v>Miloš Degenek (og)</v>
      </c>
      <c r="Q158" s="306" t="str">
        <f t="shared" si="161"/>
        <v>Raphaël Varane (og)</v>
      </c>
      <c r="R158" s="306" t="str">
        <f t="shared" si="162"/>
        <v>Patrick Sequeira (og)</v>
      </c>
      <c r="S158" s="306" t="str">
        <f t="shared" si="163"/>
        <v>Patrick Sequeira (og)</v>
      </c>
      <c r="T158" s="306" t="str">
        <f t="shared" si="164"/>
        <v>Patrick Sequeira (og)</v>
      </c>
      <c r="U158" s="306" t="str">
        <f t="shared" si="165"/>
        <v>Robert Sánchez (og)</v>
      </c>
      <c r="V158" s="306" t="str">
        <f t="shared" si="166"/>
        <v>Sam Adekugbe (og)</v>
      </c>
      <c r="W158" s="306" t="str">
        <f t="shared" si="167"/>
        <v>Sam Adekugbe (og)</v>
      </c>
      <c r="X158" s="306" t="str">
        <f t="shared" si="168"/>
        <v>Sam Adekugbe (og)</v>
      </c>
      <c r="Y158" s="306" t="str">
        <f t="shared" si="169"/>
        <v>Toby Alderweireld (og)</v>
      </c>
      <c r="Z158" s="306" t="str">
        <f t="shared" si="170"/>
        <v>Oumar Gonzalez (og)</v>
      </c>
      <c r="AA158" s="306" t="str">
        <f t="shared" si="171"/>
        <v>Oumar Gonzalez (og)</v>
      </c>
      <c r="AB158" s="306" t="str">
        <f t="shared" si="172"/>
        <v>Oumar Gonzalez (og)</v>
      </c>
      <c r="AC158" s="306" t="str">
        <f t="shared" si="173"/>
        <v>Ricardo Rodriguez (og)</v>
      </c>
      <c r="AD158" s="306" t="str">
        <f t="shared" si="174"/>
        <v>Son Heung-min (og)</v>
      </c>
      <c r="AE158" s="306" t="str">
        <f t="shared" si="175"/>
        <v>Son Heung-min (og)</v>
      </c>
      <c r="AF158" s="306" t="str">
        <f t="shared" si="176"/>
        <v>Son Heung-min (og)</v>
      </c>
      <c r="AG158" s="306" t="str">
        <f t="shared" si="177"/>
        <v>Rodrigo Bentancur (og)</v>
      </c>
      <c r="BT158" s="306" t="str">
        <f t="shared" ca="1" si="132"/>
        <v>Iran</v>
      </c>
      <c r="BU158" s="306">
        <f t="shared" si="133"/>
        <v>25</v>
      </c>
      <c r="BV158" s="306">
        <f t="shared" si="134"/>
        <v>4</v>
      </c>
      <c r="BW158" s="306">
        <f ca="1">OFFSET(C3,BU158,BV158)</f>
        <v>0</v>
      </c>
      <c r="BX158" s="306">
        <f ca="1">COUNTIF('Group Stages'!J7:J102,BW158)</f>
        <v>0</v>
      </c>
      <c r="BY158" s="306">
        <f ca="1">COUNTIF('Group Stages'!K7:K102,BW158)</f>
        <v>0</v>
      </c>
      <c r="BZ158" s="306">
        <f ca="1">COUNTIF('Group Stages'!L7:L102,BW158)</f>
        <v>0</v>
      </c>
      <c r="CA158" s="306">
        <f ca="1">COUNTIF('Group Stages'!M7:M102,BW158)</f>
        <v>0</v>
      </c>
      <c r="CB158" s="306">
        <f ca="1">COUNTIF('Group Stages'!N7:N102,BW158)</f>
        <v>0</v>
      </c>
      <c r="CC158" s="306">
        <f ca="1">COUNTIF('Group Stages'!O7:O102,BW158)</f>
        <v>0</v>
      </c>
      <c r="CD158" s="306">
        <f ca="1">COUNTIF('Group Stages'!P7:P102,BW158)</f>
        <v>0</v>
      </c>
      <c r="CE158" s="306">
        <f ca="1">COUNTIF('Group Stages'!Q7:Q102,BW158)</f>
        <v>0</v>
      </c>
      <c r="CF158" s="306">
        <f ca="1">COUNTIF('Knock Out Stages'!K7:K50,BW158)</f>
        <v>0</v>
      </c>
      <c r="CG158" s="306">
        <f ca="1">COUNTIF('Knock Out Stages'!L7:L50,BW158)</f>
        <v>0</v>
      </c>
      <c r="CH158" s="306">
        <f ca="1">COUNTIF('Knock Out Stages'!M7:M50,BW158)</f>
        <v>0</v>
      </c>
      <c r="CI158" s="306">
        <f ca="1">COUNTIF('Knock Out Stages'!N7:N50,BW158)</f>
        <v>0</v>
      </c>
      <c r="CJ158" s="306">
        <f ca="1">COUNTIF('Knock Out Stages'!O7:O50,BW158)</f>
        <v>0</v>
      </c>
      <c r="CK158" s="306">
        <f ca="1">COUNTIF('Knock Out Stages'!P7:P50,BW158)</f>
        <v>0</v>
      </c>
      <c r="CL158" s="306">
        <f ca="1">COUNTIF('Knock Out Stages'!Q7:Q50,BW158)</f>
        <v>0</v>
      </c>
      <c r="CM158" s="306">
        <f ca="1">COUNTIF('Knock Out Stages'!R7:R50,BW158)</f>
        <v>0</v>
      </c>
      <c r="CN158" s="306">
        <f ca="1">IF(RIGHT('Group Stages'!$B$105,5)="T.com",SUM(BX158:CM158),0)</f>
        <v>0</v>
      </c>
      <c r="CO158" s="306">
        <f ca="1">RANK(CN158,CN3:CN834)+COUNTIF(CN3:CN158,CN158)-1</f>
        <v>156</v>
      </c>
      <c r="CP158" s="306" t="str">
        <f t="shared" ca="1" si="143"/>
        <v>0 (Iran)</v>
      </c>
    </row>
    <row r="159" spans="1:94" x14ac:dyDescent="0.3">
      <c r="A159" s="306">
        <f t="shared" si="145"/>
        <v>23</v>
      </c>
      <c r="B159" s="306" t="str">
        <f t="shared" si="146"/>
        <v>Romario Ibarra (og)</v>
      </c>
      <c r="C159" s="306" t="str">
        <f t="shared" si="147"/>
        <v>Romario Ibarra (og)</v>
      </c>
      <c r="D159" s="306" t="str">
        <f t="shared" si="148"/>
        <v>Romario Ibarra (og)</v>
      </c>
      <c r="E159" s="306" t="str">
        <f t="shared" si="149"/>
        <v>Saad Al Sheeb (og)</v>
      </c>
      <c r="F159" s="306" t="str">
        <f t="shared" si="150"/>
        <v>Rubin Colwill (og)</v>
      </c>
      <c r="G159" s="306" t="str">
        <f t="shared" si="151"/>
        <v>Rubin Colwill (og)</v>
      </c>
      <c r="H159" s="306" t="str">
        <f t="shared" si="152"/>
        <v>Rubin Colwill (og)</v>
      </c>
      <c r="I159" s="306" t="str">
        <f t="shared" si="153"/>
        <v>Tyler Adams (og)</v>
      </c>
      <c r="J159" s="306" t="str">
        <f t="shared" si="154"/>
        <v>Robert Lewandowski (og)</v>
      </c>
      <c r="K159" s="306" t="str">
        <f t="shared" si="155"/>
        <v>Robert Lewandowski (og)</v>
      </c>
      <c r="L159" s="306" t="str">
        <f t="shared" si="156"/>
        <v>Robert Lewandowski (og)</v>
      </c>
      <c r="M159" s="306" t="str">
        <f t="shared" si="157"/>
        <v>Roberto Alvarado (og)</v>
      </c>
      <c r="N159" s="306" t="str">
        <f t="shared" si="158"/>
        <v>Mitchell Duke (og)</v>
      </c>
      <c r="O159" s="306" t="str">
        <f t="shared" si="159"/>
        <v>Mitchell Duke (og)</v>
      </c>
      <c r="P159" s="306" t="str">
        <f t="shared" si="160"/>
        <v>Mitchell Duke (og)</v>
      </c>
      <c r="Q159" s="306" t="str">
        <f t="shared" si="161"/>
        <v>Steve Mandanda (og)</v>
      </c>
      <c r="R159" s="306" t="str">
        <f t="shared" si="162"/>
        <v>Roan Wilson (og)</v>
      </c>
      <c r="S159" s="306" t="str">
        <f t="shared" si="163"/>
        <v>Roan Wilson (og)</v>
      </c>
      <c r="T159" s="306" t="str">
        <f t="shared" si="164"/>
        <v>Roan Wilson (og)</v>
      </c>
      <c r="U159" s="306" t="str">
        <f t="shared" si="165"/>
        <v>Rodri (og)</v>
      </c>
      <c r="V159" s="306" t="str">
        <f t="shared" si="166"/>
        <v>Samuel Piette (og)</v>
      </c>
      <c r="W159" s="306" t="str">
        <f t="shared" si="167"/>
        <v>Samuel Piette (og)</v>
      </c>
      <c r="X159" s="306" t="str">
        <f t="shared" si="168"/>
        <v>Samuel Piette (og)</v>
      </c>
      <c r="Y159" s="306" t="str">
        <f t="shared" si="169"/>
        <v>Wout Faes (og)</v>
      </c>
      <c r="Z159" s="306" t="str">
        <f t="shared" si="170"/>
        <v>Pierre Kunde (og)</v>
      </c>
      <c r="AA159" s="306" t="str">
        <f t="shared" si="171"/>
        <v>Pierre Kunde (og)</v>
      </c>
      <c r="AB159" s="306" t="str">
        <f t="shared" si="172"/>
        <v>Pierre Kunde (og)</v>
      </c>
      <c r="AC159" s="306" t="str">
        <f t="shared" si="173"/>
        <v>Ruben Vargas (og)</v>
      </c>
      <c r="AD159" s="306" t="str">
        <f t="shared" si="174"/>
        <v>Son Jun-ho (og)</v>
      </c>
      <c r="AE159" s="306" t="str">
        <f t="shared" si="175"/>
        <v>Son Jun-ho (og)</v>
      </c>
      <c r="AF159" s="306" t="str">
        <f t="shared" si="176"/>
        <v>Son Jun-ho (og)</v>
      </c>
      <c r="AG159" s="306" t="str">
        <f t="shared" si="177"/>
        <v>Ronald Araújo (og)</v>
      </c>
      <c r="BT159" s="306" t="str">
        <f ca="1">OFFSET(C2,BU159,BV159)</f>
        <v>United States</v>
      </c>
      <c r="BU159" s="306">
        <f t="shared" si="133"/>
        <v>0</v>
      </c>
      <c r="BV159" s="306">
        <f t="shared" si="134"/>
        <v>5</v>
      </c>
      <c r="BW159" s="306" t="str">
        <f ca="1">OFFSET(C3,BU159,BV159)</f>
        <v>Aaron Long</v>
      </c>
      <c r="BX159" s="306">
        <f ca="1">COUNTIF('Group Stages'!J7:J102,BW159)</f>
        <v>0</v>
      </c>
      <c r="BY159" s="306">
        <f ca="1">COUNTIF('Group Stages'!K7:K102,BW159)</f>
        <v>0</v>
      </c>
      <c r="BZ159" s="306">
        <f ca="1">COUNTIF('Group Stages'!L7:L102,BW159)</f>
        <v>0</v>
      </c>
      <c r="CA159" s="306">
        <f ca="1">COUNTIF('Group Stages'!M7:M102,BW159)</f>
        <v>0</v>
      </c>
      <c r="CB159" s="306">
        <f ca="1">COUNTIF('Group Stages'!N7:N102,BW159)</f>
        <v>0</v>
      </c>
      <c r="CC159" s="306">
        <f ca="1">COUNTIF('Group Stages'!O7:O102,BW159)</f>
        <v>0</v>
      </c>
      <c r="CD159" s="306">
        <f ca="1">COUNTIF('Group Stages'!P7:P102,BW159)</f>
        <v>0</v>
      </c>
      <c r="CE159" s="306">
        <f ca="1">COUNTIF('Group Stages'!Q7:Q102,BW159)</f>
        <v>0</v>
      </c>
      <c r="CF159" s="306">
        <f ca="1">COUNTIF('Knock Out Stages'!K7:K50,BW159)</f>
        <v>0</v>
      </c>
      <c r="CG159" s="306">
        <f ca="1">COUNTIF('Knock Out Stages'!L7:L50,BW159)</f>
        <v>0</v>
      </c>
      <c r="CH159" s="306">
        <f ca="1">COUNTIF('Knock Out Stages'!M7:M50,BW159)</f>
        <v>0</v>
      </c>
      <c r="CI159" s="306">
        <f ca="1">COUNTIF('Knock Out Stages'!N7:N50,BW159)</f>
        <v>0</v>
      </c>
      <c r="CJ159" s="306">
        <f ca="1">COUNTIF('Knock Out Stages'!O7:O50,BW159)</f>
        <v>0</v>
      </c>
      <c r="CK159" s="306">
        <f ca="1">COUNTIF('Knock Out Stages'!P7:P50,BW159)</f>
        <v>0</v>
      </c>
      <c r="CL159" s="306">
        <f ca="1">COUNTIF('Knock Out Stages'!Q7:Q50,BW159)</f>
        <v>0</v>
      </c>
      <c r="CM159" s="306">
        <f ca="1">COUNTIF('Knock Out Stages'!R7:R50,BW159)</f>
        <v>0</v>
      </c>
      <c r="CN159" s="306">
        <f ca="1">IF(RIGHT('Group Stages'!$B$105,5)="T.com",SUM(BX159:CM159),0)</f>
        <v>0</v>
      </c>
      <c r="CO159" s="306">
        <f ca="1">RANK(CN159,CN3:CN834)+COUNTIF(CN3:CN159,CN159)-1</f>
        <v>157</v>
      </c>
      <c r="CP159" s="306" t="str">
        <f t="shared" ca="1" si="143"/>
        <v>Aaron Long (United States)</v>
      </c>
    </row>
    <row r="160" spans="1:94" x14ac:dyDescent="0.3">
      <c r="A160" s="306">
        <f t="shared" si="145"/>
        <v>24</v>
      </c>
      <c r="B160" s="306" t="str">
        <f t="shared" si="146"/>
        <v>Sebas Méndez (og)</v>
      </c>
      <c r="C160" s="306" t="str">
        <f t="shared" si="147"/>
        <v>Sebas Méndez (og)</v>
      </c>
      <c r="D160" s="306" t="str">
        <f t="shared" si="148"/>
        <v>Sebas Méndez (og)</v>
      </c>
      <c r="E160" s="306" t="str">
        <f t="shared" si="149"/>
        <v>Salem Al-Hajri (og)</v>
      </c>
      <c r="F160" s="306" t="str">
        <f t="shared" si="150"/>
        <v>Sorba Thomas (og)</v>
      </c>
      <c r="G160" s="306" t="str">
        <f t="shared" si="151"/>
        <v>Sorba Thomas (og)</v>
      </c>
      <c r="H160" s="306" t="str">
        <f t="shared" si="152"/>
        <v>Sorba Thomas (og)</v>
      </c>
      <c r="I160" s="306" t="str">
        <f t="shared" si="153"/>
        <v>Walker Zimmerman (og)</v>
      </c>
      <c r="J160" s="306" t="str">
        <f t="shared" si="154"/>
        <v>Sebastian Szymański (og)</v>
      </c>
      <c r="K160" s="306" t="str">
        <f t="shared" si="155"/>
        <v>Sebastian Szymański (og)</v>
      </c>
      <c r="L160" s="306" t="str">
        <f t="shared" si="156"/>
        <v>Sebastian Szymański (og)</v>
      </c>
      <c r="M160" s="306" t="str">
        <f t="shared" si="157"/>
        <v>Rodolfo Cota (og)</v>
      </c>
      <c r="N160" s="306" t="str">
        <f t="shared" si="158"/>
        <v>Nathaniel Atkinson (og)</v>
      </c>
      <c r="O160" s="306" t="str">
        <f t="shared" si="159"/>
        <v>Nathaniel Atkinson (og)</v>
      </c>
      <c r="P160" s="306" t="str">
        <f t="shared" si="160"/>
        <v>Nathaniel Atkinson (og)</v>
      </c>
      <c r="Q160" s="306" t="str">
        <f t="shared" si="161"/>
        <v>Theo Hernandez (og)</v>
      </c>
      <c r="R160" s="306" t="str">
        <f t="shared" si="162"/>
        <v>Rónald Matarrita (og)</v>
      </c>
      <c r="S160" s="306" t="str">
        <f t="shared" si="163"/>
        <v>Rónald Matarrita (og)</v>
      </c>
      <c r="T160" s="306" t="str">
        <f t="shared" si="164"/>
        <v>Rónald Matarrita (og)</v>
      </c>
      <c r="U160" s="306" t="str">
        <f t="shared" si="165"/>
        <v>Sergio Busquets (og)</v>
      </c>
      <c r="V160" s="306" t="str">
        <f t="shared" si="166"/>
        <v>Stephen Eustáquio (og)</v>
      </c>
      <c r="W160" s="306" t="str">
        <f t="shared" si="167"/>
        <v>Stephen Eustáquio (og)</v>
      </c>
      <c r="X160" s="306" t="str">
        <f t="shared" si="168"/>
        <v>Stephen Eustáquio (og)</v>
      </c>
      <c r="Y160" s="306" t="str">
        <f t="shared" si="169"/>
        <v>Yannick Carrasco (og)</v>
      </c>
      <c r="Z160" s="306" t="str">
        <f t="shared" si="170"/>
        <v>Samuel Gouet (og)</v>
      </c>
      <c r="AA160" s="306" t="str">
        <f t="shared" si="171"/>
        <v>Samuel Gouet (og)</v>
      </c>
      <c r="AB160" s="306" t="str">
        <f t="shared" si="172"/>
        <v>Samuel Gouet (og)</v>
      </c>
      <c r="AC160" s="306" t="str">
        <f t="shared" si="173"/>
        <v>Silvan Widmer (og)</v>
      </c>
      <c r="AD160" s="306" t="str">
        <f t="shared" si="174"/>
        <v>Song Bum-keun (og)</v>
      </c>
      <c r="AE160" s="306" t="str">
        <f t="shared" si="175"/>
        <v>Song Bum-keun (og)</v>
      </c>
      <c r="AF160" s="306" t="str">
        <f t="shared" si="176"/>
        <v>Song Bum-keun (og)</v>
      </c>
      <c r="AG160" s="306" t="str">
        <f t="shared" si="177"/>
        <v>Sebastián Coates (og)</v>
      </c>
      <c r="BT160" s="306" t="str">
        <f t="shared" ref="BT160" ca="1" si="178">BT159</f>
        <v>United States</v>
      </c>
      <c r="BU160" s="306">
        <f t="shared" si="133"/>
        <v>1</v>
      </c>
      <c r="BV160" s="306">
        <f t="shared" si="134"/>
        <v>5</v>
      </c>
      <c r="BW160" s="306" t="str">
        <f ca="1">OFFSET(C3,BU160,BV160)</f>
        <v>Antonee Robinson</v>
      </c>
      <c r="BX160" s="306">
        <f ca="1">COUNTIF('Group Stages'!J7:J102,BW160)</f>
        <v>0</v>
      </c>
      <c r="BY160" s="306">
        <f ca="1">COUNTIF('Group Stages'!K7:K102,BW160)</f>
        <v>0</v>
      </c>
      <c r="BZ160" s="306">
        <f ca="1">COUNTIF('Group Stages'!L7:L102,BW160)</f>
        <v>0</v>
      </c>
      <c r="CA160" s="306">
        <f ca="1">COUNTIF('Group Stages'!M7:M102,BW160)</f>
        <v>0</v>
      </c>
      <c r="CB160" s="306">
        <f ca="1">COUNTIF('Group Stages'!N7:N102,BW160)</f>
        <v>0</v>
      </c>
      <c r="CC160" s="306">
        <f ca="1">COUNTIF('Group Stages'!O7:O102,BW160)</f>
        <v>0</v>
      </c>
      <c r="CD160" s="306">
        <f ca="1">COUNTIF('Group Stages'!P7:P102,BW160)</f>
        <v>0</v>
      </c>
      <c r="CE160" s="306">
        <f ca="1">COUNTIF('Group Stages'!Q7:Q102,BW160)</f>
        <v>0</v>
      </c>
      <c r="CF160" s="306">
        <f ca="1">COUNTIF('Knock Out Stages'!K7:K50,BW160)</f>
        <v>0</v>
      </c>
      <c r="CG160" s="306">
        <f ca="1">COUNTIF('Knock Out Stages'!L7:L50,BW160)</f>
        <v>0</v>
      </c>
      <c r="CH160" s="306">
        <f ca="1">COUNTIF('Knock Out Stages'!M7:M50,BW160)</f>
        <v>0</v>
      </c>
      <c r="CI160" s="306">
        <f ca="1">COUNTIF('Knock Out Stages'!N7:N50,BW160)</f>
        <v>0</v>
      </c>
      <c r="CJ160" s="306">
        <f ca="1">COUNTIF('Knock Out Stages'!O7:O50,BW160)</f>
        <v>0</v>
      </c>
      <c r="CK160" s="306">
        <f ca="1">COUNTIF('Knock Out Stages'!P7:P50,BW160)</f>
        <v>0</v>
      </c>
      <c r="CL160" s="306">
        <f ca="1">COUNTIF('Knock Out Stages'!Q7:Q50,BW160)</f>
        <v>0</v>
      </c>
      <c r="CM160" s="306">
        <f ca="1">COUNTIF('Knock Out Stages'!R7:R50,BW160)</f>
        <v>0</v>
      </c>
      <c r="CN160" s="306">
        <f ca="1">IF(RIGHT('Group Stages'!$B$105,5)="T.com",SUM(BX160:CM160),0)</f>
        <v>0</v>
      </c>
      <c r="CO160" s="306">
        <f ca="1">RANK(CN160,CN3:CN834)+COUNTIF(CN3:CN160,CN160)-1</f>
        <v>158</v>
      </c>
      <c r="CP160" s="306" t="str">
        <f t="shared" ca="1" si="143"/>
        <v>Antonee Robinson (United States)</v>
      </c>
    </row>
    <row r="161" spans="1:94" x14ac:dyDescent="0.3">
      <c r="A161" s="306">
        <f t="shared" si="145"/>
        <v>25</v>
      </c>
      <c r="B161" s="306" t="str">
        <f t="shared" si="146"/>
        <v>William Pacho (og)</v>
      </c>
      <c r="C161" s="306" t="str">
        <f t="shared" si="147"/>
        <v>William Pacho (og)</v>
      </c>
      <c r="D161" s="306" t="str">
        <f t="shared" si="148"/>
        <v>William Pacho (og)</v>
      </c>
      <c r="E161" s="306" t="str">
        <f t="shared" si="149"/>
        <v>Tarek Salman (og)</v>
      </c>
      <c r="F161" s="306" t="str">
        <f t="shared" si="150"/>
        <v>Tom Lockyer (og)</v>
      </c>
      <c r="G161" s="306" t="str">
        <f t="shared" si="151"/>
        <v>Tom Lockyer (og)</v>
      </c>
      <c r="H161" s="306" t="str">
        <f t="shared" si="152"/>
        <v>Tom Lockyer (og)</v>
      </c>
      <c r="I161" s="306" t="str">
        <f t="shared" si="153"/>
        <v>Weston McKennie (og)</v>
      </c>
      <c r="J161" s="306" t="str">
        <f t="shared" si="154"/>
        <v>Szymon Żurkowski (og)</v>
      </c>
      <c r="K161" s="306" t="str">
        <f t="shared" si="155"/>
        <v>Szymon Żurkowski (og)</v>
      </c>
      <c r="L161" s="306" t="str">
        <f t="shared" si="156"/>
        <v>Szymon Żurkowski (og)</v>
      </c>
      <c r="M161" s="306" t="str">
        <f t="shared" si="157"/>
        <v>Rogelio Funes Mori (og)</v>
      </c>
      <c r="N161" s="306" t="str">
        <f t="shared" si="158"/>
        <v>Riley McGree (og)</v>
      </c>
      <c r="O161" s="306" t="str">
        <f t="shared" si="159"/>
        <v>Riley McGree (og)</v>
      </c>
      <c r="P161" s="306" t="str">
        <f t="shared" si="160"/>
        <v>Riley McGree (og)</v>
      </c>
      <c r="Q161" s="306" t="str">
        <f t="shared" si="161"/>
        <v>William Saliba (og)</v>
      </c>
      <c r="R161" s="306" t="str">
        <f t="shared" si="162"/>
        <v>Yeltsin Tejeda (og)</v>
      </c>
      <c r="S161" s="306" t="str">
        <f t="shared" si="163"/>
        <v>Yeltsin Tejeda (og)</v>
      </c>
      <c r="T161" s="306" t="str">
        <f t="shared" si="164"/>
        <v>Yeltsin Tejeda (og)</v>
      </c>
      <c r="U161" s="306" t="str">
        <f t="shared" si="165"/>
        <v>Unai Simón (og)</v>
      </c>
      <c r="V161" s="306" t="str">
        <f t="shared" si="166"/>
        <v>Steven Vitória (og)</v>
      </c>
      <c r="W161" s="306" t="str">
        <f t="shared" si="167"/>
        <v>Steven Vitória (og)</v>
      </c>
      <c r="X161" s="306" t="str">
        <f t="shared" si="168"/>
        <v>Steven Vitória (og)</v>
      </c>
      <c r="Y161" s="306" t="str">
        <f t="shared" si="169"/>
        <v>Youri Tielemans (og)</v>
      </c>
      <c r="Z161" s="306" t="str">
        <f t="shared" si="170"/>
        <v>Simon Ngapandouetnbu (og)</v>
      </c>
      <c r="AA161" s="306" t="str">
        <f t="shared" si="171"/>
        <v>Simon Ngapandouetnbu (og)</v>
      </c>
      <c r="AB161" s="306" t="str">
        <f t="shared" si="172"/>
        <v>Simon Ngapandouetnbu (og)</v>
      </c>
      <c r="AC161" s="306" t="str">
        <f t="shared" si="173"/>
        <v>Xherdan Shaqiri (og)</v>
      </c>
      <c r="AD161" s="306" t="str">
        <f t="shared" si="174"/>
        <v>Song Min-kyu (og)</v>
      </c>
      <c r="AE161" s="306" t="str">
        <f t="shared" si="175"/>
        <v>Song Min-kyu (og)</v>
      </c>
      <c r="AF161" s="306" t="str">
        <f t="shared" si="176"/>
        <v>Song Min-kyu (og)</v>
      </c>
      <c r="AG161" s="306" t="str">
        <f t="shared" si="177"/>
        <v>Sebastián Sosa (og)</v>
      </c>
      <c r="BT161" s="306" t="str">
        <f t="shared" ca="1" si="132"/>
        <v>United States</v>
      </c>
      <c r="BU161" s="306">
        <f t="shared" si="133"/>
        <v>2</v>
      </c>
      <c r="BV161" s="306">
        <f t="shared" si="134"/>
        <v>5</v>
      </c>
      <c r="BW161" s="306" t="str">
        <f ca="1">OFFSET(C3,BU161,BV161)</f>
        <v>Brenden Aaronson</v>
      </c>
      <c r="BX161" s="306">
        <f ca="1">COUNTIF('Group Stages'!J7:J102,BW161)</f>
        <v>0</v>
      </c>
      <c r="BY161" s="306">
        <f ca="1">COUNTIF('Group Stages'!K7:K102,BW161)</f>
        <v>0</v>
      </c>
      <c r="BZ161" s="306">
        <f ca="1">COUNTIF('Group Stages'!L7:L102,BW161)</f>
        <v>0</v>
      </c>
      <c r="CA161" s="306">
        <f ca="1">COUNTIF('Group Stages'!M7:M102,BW161)</f>
        <v>0</v>
      </c>
      <c r="CB161" s="306">
        <f ca="1">COUNTIF('Group Stages'!N7:N102,BW161)</f>
        <v>0</v>
      </c>
      <c r="CC161" s="306">
        <f ca="1">COUNTIF('Group Stages'!O7:O102,BW161)</f>
        <v>0</v>
      </c>
      <c r="CD161" s="306">
        <f ca="1">COUNTIF('Group Stages'!P7:P102,BW161)</f>
        <v>0</v>
      </c>
      <c r="CE161" s="306">
        <f ca="1">COUNTIF('Group Stages'!Q7:Q102,BW161)</f>
        <v>0</v>
      </c>
      <c r="CF161" s="306">
        <f ca="1">COUNTIF('Knock Out Stages'!K7:K50,BW161)</f>
        <v>0</v>
      </c>
      <c r="CG161" s="306">
        <f ca="1">COUNTIF('Knock Out Stages'!L7:L50,BW161)</f>
        <v>0</v>
      </c>
      <c r="CH161" s="306">
        <f ca="1">COUNTIF('Knock Out Stages'!M7:M50,BW161)</f>
        <v>0</v>
      </c>
      <c r="CI161" s="306">
        <f ca="1">COUNTIF('Knock Out Stages'!N7:N50,BW161)</f>
        <v>0</v>
      </c>
      <c r="CJ161" s="306">
        <f ca="1">COUNTIF('Knock Out Stages'!O7:O50,BW161)</f>
        <v>0</v>
      </c>
      <c r="CK161" s="306">
        <f ca="1">COUNTIF('Knock Out Stages'!P7:P50,BW161)</f>
        <v>0</v>
      </c>
      <c r="CL161" s="306">
        <f ca="1">COUNTIF('Knock Out Stages'!Q7:Q50,BW161)</f>
        <v>0</v>
      </c>
      <c r="CM161" s="306">
        <f ca="1">COUNTIF('Knock Out Stages'!R7:R50,BW161)</f>
        <v>0</v>
      </c>
      <c r="CN161" s="306">
        <f ca="1">IF(RIGHT('Group Stages'!$B$105,5)="T.com",SUM(BX161:CM161),0)</f>
        <v>0</v>
      </c>
      <c r="CO161" s="306">
        <f ca="1">RANK(CN161,CN3:CN834)+COUNTIF(CN3:CN161,CN161)-1</f>
        <v>159</v>
      </c>
      <c r="CP161" s="306" t="str">
        <f t="shared" ca="1" si="143"/>
        <v>Brenden Aaronson (United States)</v>
      </c>
    </row>
    <row r="162" spans="1:94" x14ac:dyDescent="0.3">
      <c r="A162" s="306">
        <f t="shared" si="145"/>
        <v>26</v>
      </c>
      <c r="B162" s="306" t="str">
        <f t="shared" si="146"/>
        <v>Xavier Arreaga (og)</v>
      </c>
      <c r="C162" s="306" t="str">
        <f t="shared" si="147"/>
        <v>Xavier Arreaga (og)</v>
      </c>
      <c r="D162" s="306" t="str">
        <f t="shared" si="148"/>
        <v>Xavier Arreaga (og)</v>
      </c>
      <c r="E162" s="306" t="str">
        <f t="shared" si="149"/>
        <v>Yousef Hassan (og)</v>
      </c>
      <c r="F162" s="306" t="str">
        <f t="shared" si="150"/>
        <v>Wayne Hennessey (og)</v>
      </c>
      <c r="G162" s="306" t="str">
        <f t="shared" si="151"/>
        <v>Wayne Hennessey (og)</v>
      </c>
      <c r="H162" s="306" t="str">
        <f t="shared" si="152"/>
        <v>Wayne Hennessey (og)</v>
      </c>
      <c r="I162" s="306" t="str">
        <f t="shared" si="153"/>
        <v>Yunus Musah (og)</v>
      </c>
      <c r="J162" s="306" t="str">
        <f t="shared" si="154"/>
        <v>Wojciech Szczęsny (og)</v>
      </c>
      <c r="K162" s="306" t="str">
        <f t="shared" si="155"/>
        <v>Wojciech Szczęsny (og)</v>
      </c>
      <c r="L162" s="306" t="str">
        <f t="shared" si="156"/>
        <v>Wojciech Szczęsny (og)</v>
      </c>
      <c r="M162" s="306" t="str">
        <f t="shared" si="157"/>
        <v>Uriel Antuna (og)</v>
      </c>
      <c r="N162" s="306" t="str">
        <f t="shared" si="158"/>
        <v>Thomas Deng (og)</v>
      </c>
      <c r="O162" s="306" t="str">
        <f t="shared" si="159"/>
        <v>Thomas Deng (og)</v>
      </c>
      <c r="P162" s="306" t="str">
        <f t="shared" si="160"/>
        <v>Thomas Deng (og)</v>
      </c>
      <c r="Q162" s="306" t="str">
        <f t="shared" si="161"/>
        <v>Youssouf Fofana (og)</v>
      </c>
      <c r="R162" s="306" t="str">
        <f t="shared" si="162"/>
        <v>Youstin Salas (og)</v>
      </c>
      <c r="S162" s="306" t="str">
        <f t="shared" si="163"/>
        <v>Youstin Salas (og)</v>
      </c>
      <c r="T162" s="306" t="str">
        <f t="shared" si="164"/>
        <v>Youstin Salas (og)</v>
      </c>
      <c r="U162" s="306" t="str">
        <f t="shared" si="165"/>
        <v>Yeremy Pino (og)</v>
      </c>
      <c r="V162" s="306" t="str">
        <f t="shared" si="166"/>
        <v>Tajon Buchanan (og)</v>
      </c>
      <c r="W162" s="306" t="str">
        <f t="shared" si="167"/>
        <v>Tajon Buchanan (og)</v>
      </c>
      <c r="X162" s="306" t="str">
        <f t="shared" si="168"/>
        <v>Tajon Buchanan (og)</v>
      </c>
      <c r="Y162" s="306" t="str">
        <f t="shared" si="169"/>
        <v>Zeno Debast (og)</v>
      </c>
      <c r="Z162" s="306" t="str">
        <f t="shared" si="170"/>
        <v>Vincent Aboubakar (og)</v>
      </c>
      <c r="AA162" s="306" t="str">
        <f t="shared" si="171"/>
        <v>Vincent Aboubakar (og)</v>
      </c>
      <c r="AB162" s="306" t="str">
        <f t="shared" si="172"/>
        <v>Vincent Aboubakar (og)</v>
      </c>
      <c r="AC162" s="306" t="str">
        <f t="shared" si="173"/>
        <v>Yann Sommer (og)</v>
      </c>
      <c r="AD162" s="306" t="str">
        <f t="shared" si="174"/>
        <v>Yoon Jong-gyu (og)</v>
      </c>
      <c r="AE162" s="306" t="str">
        <f t="shared" si="175"/>
        <v>Yoon Jong-gyu (og)</v>
      </c>
      <c r="AF162" s="306" t="str">
        <f t="shared" si="176"/>
        <v>Yoon Jong-gyu (og)</v>
      </c>
      <c r="AG162" s="306" t="str">
        <f t="shared" si="177"/>
        <v>Sergio Rochet (og)</v>
      </c>
      <c r="BT162" s="306" t="str">
        <f t="shared" ca="1" si="132"/>
        <v>United States</v>
      </c>
      <c r="BU162" s="306">
        <f t="shared" si="133"/>
        <v>3</v>
      </c>
      <c r="BV162" s="306">
        <f t="shared" si="134"/>
        <v>5</v>
      </c>
      <c r="BW162" s="306" t="str">
        <f ca="1">OFFSET(C3,BU162,BV162)</f>
        <v>Cameron Carter-Vickers</v>
      </c>
      <c r="BX162" s="306">
        <f ca="1">COUNTIF('Group Stages'!J7:J102,BW162)</f>
        <v>0</v>
      </c>
      <c r="BY162" s="306">
        <f ca="1">COUNTIF('Group Stages'!K7:K102,BW162)</f>
        <v>0</v>
      </c>
      <c r="BZ162" s="306">
        <f ca="1">COUNTIF('Group Stages'!L7:L102,BW162)</f>
        <v>0</v>
      </c>
      <c r="CA162" s="306">
        <f ca="1">COUNTIF('Group Stages'!M7:M102,BW162)</f>
        <v>0</v>
      </c>
      <c r="CB162" s="306">
        <f ca="1">COUNTIF('Group Stages'!N7:N102,BW162)</f>
        <v>0</v>
      </c>
      <c r="CC162" s="306">
        <f ca="1">COUNTIF('Group Stages'!O7:O102,BW162)</f>
        <v>0</v>
      </c>
      <c r="CD162" s="306">
        <f ca="1">COUNTIF('Group Stages'!P7:P102,BW162)</f>
        <v>0</v>
      </c>
      <c r="CE162" s="306">
        <f ca="1">COUNTIF('Group Stages'!Q7:Q102,BW162)</f>
        <v>0</v>
      </c>
      <c r="CF162" s="306">
        <f ca="1">COUNTIF('Knock Out Stages'!K7:K50,BW162)</f>
        <v>0</v>
      </c>
      <c r="CG162" s="306">
        <f ca="1">COUNTIF('Knock Out Stages'!L7:L50,BW162)</f>
        <v>0</v>
      </c>
      <c r="CH162" s="306">
        <f ca="1">COUNTIF('Knock Out Stages'!M7:M50,BW162)</f>
        <v>0</v>
      </c>
      <c r="CI162" s="306">
        <f ca="1">COUNTIF('Knock Out Stages'!N7:N50,BW162)</f>
        <v>0</v>
      </c>
      <c r="CJ162" s="306">
        <f ca="1">COUNTIF('Knock Out Stages'!O7:O50,BW162)</f>
        <v>0</v>
      </c>
      <c r="CK162" s="306">
        <f ca="1">COUNTIF('Knock Out Stages'!P7:P50,BW162)</f>
        <v>0</v>
      </c>
      <c r="CL162" s="306">
        <f ca="1">COUNTIF('Knock Out Stages'!Q7:Q50,BW162)</f>
        <v>0</v>
      </c>
      <c r="CM162" s="306">
        <f ca="1">COUNTIF('Knock Out Stages'!R7:R50,BW162)</f>
        <v>0</v>
      </c>
      <c r="CN162" s="306">
        <f ca="1">IF(RIGHT('Group Stages'!$B$105,5)="T.com",SUM(BX162:CM162),0)</f>
        <v>0</v>
      </c>
      <c r="CO162" s="306">
        <f ca="1">RANK(CN162,CN3:CN834)+COUNTIF(CN3:CN162,CN162)-1</f>
        <v>160</v>
      </c>
      <c r="CP162" s="306" t="str">
        <f t="shared" ca="1" si="143"/>
        <v>Cameron Carter-Vickers (United States)</v>
      </c>
    </row>
    <row r="163" spans="1:94" x14ac:dyDescent="0.3">
      <c r="BT163" s="306" t="str">
        <f t="shared" ca="1" si="132"/>
        <v>United States</v>
      </c>
      <c r="BU163" s="306">
        <f t="shared" si="133"/>
        <v>4</v>
      </c>
      <c r="BV163" s="306">
        <f t="shared" si="134"/>
        <v>5</v>
      </c>
      <c r="BW163" s="306" t="str">
        <f ca="1">OFFSET(C3,BU163,BV163)</f>
        <v>Christian Pulisic</v>
      </c>
      <c r="BX163" s="306">
        <f ca="1">COUNTIF('Group Stages'!J7:J102,BW163)</f>
        <v>0</v>
      </c>
      <c r="BY163" s="306">
        <f ca="1">COUNTIF('Group Stages'!K7:K102,BW163)</f>
        <v>0</v>
      </c>
      <c r="BZ163" s="306">
        <f ca="1">COUNTIF('Group Stages'!L7:L102,BW163)</f>
        <v>0</v>
      </c>
      <c r="CA163" s="306">
        <f ca="1">COUNTIF('Group Stages'!M7:M102,BW163)</f>
        <v>0</v>
      </c>
      <c r="CB163" s="306">
        <f ca="1">COUNTIF('Group Stages'!N7:N102,BW163)</f>
        <v>0</v>
      </c>
      <c r="CC163" s="306">
        <f ca="1">COUNTIF('Group Stages'!O7:O102,BW163)</f>
        <v>0</v>
      </c>
      <c r="CD163" s="306">
        <f ca="1">COUNTIF('Group Stages'!P7:P102,BW163)</f>
        <v>0</v>
      </c>
      <c r="CE163" s="306">
        <f ca="1">COUNTIF('Group Stages'!Q7:Q102,BW163)</f>
        <v>0</v>
      </c>
      <c r="CF163" s="306">
        <f ca="1">COUNTIF('Knock Out Stages'!K7:K50,BW163)</f>
        <v>0</v>
      </c>
      <c r="CG163" s="306">
        <f ca="1">COUNTIF('Knock Out Stages'!L7:L50,BW163)</f>
        <v>0</v>
      </c>
      <c r="CH163" s="306">
        <f ca="1">COUNTIF('Knock Out Stages'!M7:M50,BW163)</f>
        <v>0</v>
      </c>
      <c r="CI163" s="306">
        <f ca="1">COUNTIF('Knock Out Stages'!N7:N50,BW163)</f>
        <v>0</v>
      </c>
      <c r="CJ163" s="306">
        <f ca="1">COUNTIF('Knock Out Stages'!O7:O50,BW163)</f>
        <v>0</v>
      </c>
      <c r="CK163" s="306">
        <f ca="1">COUNTIF('Knock Out Stages'!P7:P50,BW163)</f>
        <v>0</v>
      </c>
      <c r="CL163" s="306">
        <f ca="1">COUNTIF('Knock Out Stages'!Q7:Q50,BW163)</f>
        <v>0</v>
      </c>
      <c r="CM163" s="306">
        <f ca="1">COUNTIF('Knock Out Stages'!R7:R50,BW163)</f>
        <v>0</v>
      </c>
      <c r="CN163" s="306">
        <f ca="1">IF(RIGHT('Group Stages'!$B$105,5)="T.com",SUM(BX163:CM163),0)</f>
        <v>0</v>
      </c>
      <c r="CO163" s="306">
        <f ca="1">RANK(CN163,CN3:CN834)+COUNTIF(CN3:CN163,CN163)-1</f>
        <v>161</v>
      </c>
      <c r="CP163" s="306" t="str">
        <f t="shared" ca="1" si="143"/>
        <v>Christian Pulisic (United States)</v>
      </c>
    </row>
    <row r="164" spans="1:94" x14ac:dyDescent="0.3">
      <c r="BT164" s="306" t="str">
        <f t="shared" ca="1" si="132"/>
        <v>United States</v>
      </c>
      <c r="BU164" s="306">
        <f t="shared" si="133"/>
        <v>5</v>
      </c>
      <c r="BV164" s="306">
        <f t="shared" si="134"/>
        <v>5</v>
      </c>
      <c r="BW164" s="306" t="str">
        <f ca="1">OFFSET(C3,BU164,BV164)</f>
        <v>Cristian Roldan</v>
      </c>
      <c r="BX164" s="306">
        <f ca="1">COUNTIF('Group Stages'!J7:J102,BW164)</f>
        <v>0</v>
      </c>
      <c r="BY164" s="306">
        <f ca="1">COUNTIF('Group Stages'!K7:K102,BW164)</f>
        <v>0</v>
      </c>
      <c r="BZ164" s="306">
        <f ca="1">COUNTIF('Group Stages'!L7:L102,BW164)</f>
        <v>0</v>
      </c>
      <c r="CA164" s="306">
        <f ca="1">COUNTIF('Group Stages'!M7:M102,BW164)</f>
        <v>0</v>
      </c>
      <c r="CB164" s="306">
        <f ca="1">COUNTIF('Group Stages'!N7:N102,BW164)</f>
        <v>0</v>
      </c>
      <c r="CC164" s="306">
        <f ca="1">COUNTIF('Group Stages'!O7:O102,BW164)</f>
        <v>0</v>
      </c>
      <c r="CD164" s="306">
        <f ca="1">COUNTIF('Group Stages'!P7:P102,BW164)</f>
        <v>0</v>
      </c>
      <c r="CE164" s="306">
        <f ca="1">COUNTIF('Group Stages'!Q7:Q102,BW164)</f>
        <v>0</v>
      </c>
      <c r="CF164" s="306">
        <f ca="1">COUNTIF('Knock Out Stages'!K7:K50,BW164)</f>
        <v>0</v>
      </c>
      <c r="CG164" s="306">
        <f ca="1">COUNTIF('Knock Out Stages'!L7:L50,BW164)</f>
        <v>0</v>
      </c>
      <c r="CH164" s="306">
        <f ca="1">COUNTIF('Knock Out Stages'!M7:M50,BW164)</f>
        <v>0</v>
      </c>
      <c r="CI164" s="306">
        <f ca="1">COUNTIF('Knock Out Stages'!N7:N50,BW164)</f>
        <v>0</v>
      </c>
      <c r="CJ164" s="306">
        <f ca="1">COUNTIF('Knock Out Stages'!O7:O50,BW164)</f>
        <v>0</v>
      </c>
      <c r="CK164" s="306">
        <f ca="1">COUNTIF('Knock Out Stages'!P7:P50,BW164)</f>
        <v>0</v>
      </c>
      <c r="CL164" s="306">
        <f ca="1">COUNTIF('Knock Out Stages'!Q7:Q50,BW164)</f>
        <v>0</v>
      </c>
      <c r="CM164" s="306">
        <f ca="1">COUNTIF('Knock Out Stages'!R7:R50,BW164)</f>
        <v>0</v>
      </c>
      <c r="CN164" s="306">
        <f ca="1">IF(RIGHT('Group Stages'!$B$105,5)="T.com",SUM(BX164:CM164),0)</f>
        <v>0</v>
      </c>
      <c r="CO164" s="306">
        <f ca="1">RANK(CN164,CN3:CN834)+COUNTIF(CN3:CN164,CN164)-1</f>
        <v>162</v>
      </c>
      <c r="CP164" s="306" t="str">
        <f t="shared" ca="1" si="143"/>
        <v>Cristian Roldan (United States)</v>
      </c>
    </row>
    <row r="165" spans="1:94" x14ac:dyDescent="0.3">
      <c r="BT165" s="306" t="str">
        <f t="shared" ca="1" si="132"/>
        <v>United States</v>
      </c>
      <c r="BU165" s="306">
        <f t="shared" si="133"/>
        <v>6</v>
      </c>
      <c r="BV165" s="306">
        <f t="shared" si="134"/>
        <v>5</v>
      </c>
      <c r="BW165" s="306" t="str">
        <f ca="1">OFFSET(C3,BU165,BV165)</f>
        <v>DeAndre Yedlin</v>
      </c>
      <c r="BX165" s="306">
        <f ca="1">COUNTIF('Group Stages'!J7:J102,BW165)</f>
        <v>0</v>
      </c>
      <c r="BY165" s="306">
        <f ca="1">COUNTIF('Group Stages'!K7:K102,BW165)</f>
        <v>0</v>
      </c>
      <c r="BZ165" s="306">
        <f ca="1">COUNTIF('Group Stages'!L7:L102,BW165)</f>
        <v>0</v>
      </c>
      <c r="CA165" s="306">
        <f ca="1">COUNTIF('Group Stages'!M7:M102,BW165)</f>
        <v>0</v>
      </c>
      <c r="CB165" s="306">
        <f ca="1">COUNTIF('Group Stages'!N7:N102,BW165)</f>
        <v>0</v>
      </c>
      <c r="CC165" s="306">
        <f ca="1">COUNTIF('Group Stages'!O7:O102,BW165)</f>
        <v>0</v>
      </c>
      <c r="CD165" s="306">
        <f ca="1">COUNTIF('Group Stages'!P7:P102,BW165)</f>
        <v>0</v>
      </c>
      <c r="CE165" s="306">
        <f ca="1">COUNTIF('Group Stages'!Q7:Q102,BW165)</f>
        <v>0</v>
      </c>
      <c r="CF165" s="306">
        <f ca="1">COUNTIF('Knock Out Stages'!K7:K50,BW165)</f>
        <v>0</v>
      </c>
      <c r="CG165" s="306">
        <f ca="1">COUNTIF('Knock Out Stages'!L7:L50,BW165)</f>
        <v>0</v>
      </c>
      <c r="CH165" s="306">
        <f ca="1">COUNTIF('Knock Out Stages'!M7:M50,BW165)</f>
        <v>0</v>
      </c>
      <c r="CI165" s="306">
        <f ca="1">COUNTIF('Knock Out Stages'!N7:N50,BW165)</f>
        <v>0</v>
      </c>
      <c r="CJ165" s="306">
        <f ca="1">COUNTIF('Knock Out Stages'!O7:O50,BW165)</f>
        <v>0</v>
      </c>
      <c r="CK165" s="306">
        <f ca="1">COUNTIF('Knock Out Stages'!P7:P50,BW165)</f>
        <v>0</v>
      </c>
      <c r="CL165" s="306">
        <f ca="1">COUNTIF('Knock Out Stages'!Q7:Q50,BW165)</f>
        <v>0</v>
      </c>
      <c r="CM165" s="306">
        <f ca="1">COUNTIF('Knock Out Stages'!R7:R50,BW165)</f>
        <v>0</v>
      </c>
      <c r="CN165" s="306">
        <f ca="1">IF(RIGHT('Group Stages'!$B$105,5)="T.com",SUM(BX165:CM165),0)</f>
        <v>0</v>
      </c>
      <c r="CO165" s="306">
        <f ca="1">RANK(CN165,CN3:CN834)+COUNTIF(CN3:CN165,CN165)-1</f>
        <v>163</v>
      </c>
      <c r="CP165" s="306" t="str">
        <f t="shared" ca="1" si="143"/>
        <v>DeAndre Yedlin (United States)</v>
      </c>
    </row>
    <row r="166" spans="1:94" x14ac:dyDescent="0.3">
      <c r="BT166" s="306" t="str">
        <f t="shared" ca="1" si="132"/>
        <v>United States</v>
      </c>
      <c r="BU166" s="306">
        <f t="shared" si="133"/>
        <v>7</v>
      </c>
      <c r="BV166" s="306">
        <f t="shared" si="134"/>
        <v>5</v>
      </c>
      <c r="BW166" s="306" t="str">
        <f ca="1">OFFSET(C3,BU166,BV166)</f>
        <v>Ethan Horvath</v>
      </c>
      <c r="BX166" s="306">
        <f ca="1">COUNTIF('Group Stages'!J7:J102,BW166)</f>
        <v>0</v>
      </c>
      <c r="BY166" s="306">
        <f ca="1">COUNTIF('Group Stages'!K7:K102,BW166)</f>
        <v>0</v>
      </c>
      <c r="BZ166" s="306">
        <f ca="1">COUNTIF('Group Stages'!L7:L102,BW166)</f>
        <v>0</v>
      </c>
      <c r="CA166" s="306">
        <f ca="1">COUNTIF('Group Stages'!M7:M102,BW166)</f>
        <v>0</v>
      </c>
      <c r="CB166" s="306">
        <f ca="1">COUNTIF('Group Stages'!N7:N102,BW166)</f>
        <v>0</v>
      </c>
      <c r="CC166" s="306">
        <f ca="1">COUNTIF('Group Stages'!O7:O102,BW166)</f>
        <v>0</v>
      </c>
      <c r="CD166" s="306">
        <f ca="1">COUNTIF('Group Stages'!P7:P102,BW166)</f>
        <v>0</v>
      </c>
      <c r="CE166" s="306">
        <f ca="1">COUNTIF('Group Stages'!Q7:Q102,BW166)</f>
        <v>0</v>
      </c>
      <c r="CF166" s="306">
        <f ca="1">COUNTIF('Knock Out Stages'!K7:K50,BW166)</f>
        <v>0</v>
      </c>
      <c r="CG166" s="306">
        <f ca="1">COUNTIF('Knock Out Stages'!L7:L50,BW166)</f>
        <v>0</v>
      </c>
      <c r="CH166" s="306">
        <f ca="1">COUNTIF('Knock Out Stages'!M7:M50,BW166)</f>
        <v>0</v>
      </c>
      <c r="CI166" s="306">
        <f ca="1">COUNTIF('Knock Out Stages'!N7:N50,BW166)</f>
        <v>0</v>
      </c>
      <c r="CJ166" s="306">
        <f ca="1">COUNTIF('Knock Out Stages'!O7:O50,BW166)</f>
        <v>0</v>
      </c>
      <c r="CK166" s="306">
        <f ca="1">COUNTIF('Knock Out Stages'!P7:P50,BW166)</f>
        <v>0</v>
      </c>
      <c r="CL166" s="306">
        <f ca="1">COUNTIF('Knock Out Stages'!Q7:Q50,BW166)</f>
        <v>0</v>
      </c>
      <c r="CM166" s="306">
        <f ca="1">COUNTIF('Knock Out Stages'!R7:R50,BW166)</f>
        <v>0</v>
      </c>
      <c r="CN166" s="306">
        <f ca="1">IF(RIGHT('Group Stages'!$B$105,5)="T.com",SUM(BX166:CM166),0)</f>
        <v>0</v>
      </c>
      <c r="CO166" s="306">
        <f ca="1">RANK(CN166,CN3:CN834)+COUNTIF(CN3:CN166,CN166)-1</f>
        <v>164</v>
      </c>
      <c r="CP166" s="306" t="str">
        <f t="shared" ca="1" si="143"/>
        <v>Ethan Horvath (United States)</v>
      </c>
    </row>
    <row r="167" spans="1:94" x14ac:dyDescent="0.3">
      <c r="BT167" s="306" t="str">
        <f t="shared" ca="1" si="132"/>
        <v>United States</v>
      </c>
      <c r="BU167" s="306">
        <f t="shared" si="133"/>
        <v>8</v>
      </c>
      <c r="BV167" s="306">
        <f t="shared" si="134"/>
        <v>5</v>
      </c>
      <c r="BW167" s="306" t="str">
        <f ca="1">OFFSET(C3,BU167,BV167)</f>
        <v>Giovanni Reyna</v>
      </c>
      <c r="BX167" s="306">
        <f ca="1">COUNTIF('Group Stages'!J7:J102,BW167)</f>
        <v>0</v>
      </c>
      <c r="BY167" s="306">
        <f ca="1">COUNTIF('Group Stages'!K7:K102,BW167)</f>
        <v>0</v>
      </c>
      <c r="BZ167" s="306">
        <f ca="1">COUNTIF('Group Stages'!L7:L102,BW167)</f>
        <v>0</v>
      </c>
      <c r="CA167" s="306">
        <f ca="1">COUNTIF('Group Stages'!M7:M102,BW167)</f>
        <v>0</v>
      </c>
      <c r="CB167" s="306">
        <f ca="1">COUNTIF('Group Stages'!N7:N102,BW167)</f>
        <v>0</v>
      </c>
      <c r="CC167" s="306">
        <f ca="1">COUNTIF('Group Stages'!O7:O102,BW167)</f>
        <v>0</v>
      </c>
      <c r="CD167" s="306">
        <f ca="1">COUNTIF('Group Stages'!P7:P102,BW167)</f>
        <v>0</v>
      </c>
      <c r="CE167" s="306">
        <f ca="1">COUNTIF('Group Stages'!Q7:Q102,BW167)</f>
        <v>0</v>
      </c>
      <c r="CF167" s="306">
        <f ca="1">COUNTIF('Knock Out Stages'!K7:K50,BW167)</f>
        <v>0</v>
      </c>
      <c r="CG167" s="306">
        <f ca="1">COUNTIF('Knock Out Stages'!L7:L50,BW167)</f>
        <v>0</v>
      </c>
      <c r="CH167" s="306">
        <f ca="1">COUNTIF('Knock Out Stages'!M7:M50,BW167)</f>
        <v>0</v>
      </c>
      <c r="CI167" s="306">
        <f ca="1">COUNTIF('Knock Out Stages'!N7:N50,BW167)</f>
        <v>0</v>
      </c>
      <c r="CJ167" s="306">
        <f ca="1">COUNTIF('Knock Out Stages'!O7:O50,BW167)</f>
        <v>0</v>
      </c>
      <c r="CK167" s="306">
        <f ca="1">COUNTIF('Knock Out Stages'!P7:P50,BW167)</f>
        <v>0</v>
      </c>
      <c r="CL167" s="306">
        <f ca="1">COUNTIF('Knock Out Stages'!Q7:Q50,BW167)</f>
        <v>0</v>
      </c>
      <c r="CM167" s="306">
        <f ca="1">COUNTIF('Knock Out Stages'!R7:R50,BW167)</f>
        <v>0</v>
      </c>
      <c r="CN167" s="306">
        <f ca="1">IF(RIGHT('Group Stages'!$B$105,5)="T.com",SUM(BX167:CM167),0)</f>
        <v>0</v>
      </c>
      <c r="CO167" s="306">
        <f ca="1">RANK(CN167,CN3:CN834)+COUNTIF(CN3:CN167,CN167)-1</f>
        <v>165</v>
      </c>
      <c r="CP167" s="306" t="str">
        <f t="shared" ca="1" si="143"/>
        <v>Giovanni Reyna (United States)</v>
      </c>
    </row>
    <row r="168" spans="1:94" x14ac:dyDescent="0.3">
      <c r="BT168" s="306" t="str">
        <f t="shared" ca="1" si="132"/>
        <v>United States</v>
      </c>
      <c r="BU168" s="306">
        <f t="shared" si="133"/>
        <v>9</v>
      </c>
      <c r="BV168" s="306">
        <f t="shared" si="134"/>
        <v>5</v>
      </c>
      <c r="BW168" s="306" t="str">
        <f ca="1">OFFSET(C3,BU168,BV168)</f>
        <v>Haji Wright</v>
      </c>
      <c r="BX168" s="306">
        <f ca="1">COUNTIF('Group Stages'!J7:J102,BW168)</f>
        <v>0</v>
      </c>
      <c r="BY168" s="306">
        <f ca="1">COUNTIF('Group Stages'!K7:K102,BW168)</f>
        <v>0</v>
      </c>
      <c r="BZ168" s="306">
        <f ca="1">COUNTIF('Group Stages'!L7:L102,BW168)</f>
        <v>0</v>
      </c>
      <c r="CA168" s="306">
        <f ca="1">COUNTIF('Group Stages'!M7:M102,BW168)</f>
        <v>0</v>
      </c>
      <c r="CB168" s="306">
        <f ca="1">COUNTIF('Group Stages'!N7:N102,BW168)</f>
        <v>0</v>
      </c>
      <c r="CC168" s="306">
        <f ca="1">COUNTIF('Group Stages'!O7:O102,BW168)</f>
        <v>0</v>
      </c>
      <c r="CD168" s="306">
        <f ca="1">COUNTIF('Group Stages'!P7:P102,BW168)</f>
        <v>0</v>
      </c>
      <c r="CE168" s="306">
        <f ca="1">COUNTIF('Group Stages'!Q7:Q102,BW168)</f>
        <v>0</v>
      </c>
      <c r="CF168" s="306">
        <f ca="1">COUNTIF('Knock Out Stages'!K7:K50,BW168)</f>
        <v>0</v>
      </c>
      <c r="CG168" s="306">
        <f ca="1">COUNTIF('Knock Out Stages'!L7:L50,BW168)</f>
        <v>0</v>
      </c>
      <c r="CH168" s="306">
        <f ca="1">COUNTIF('Knock Out Stages'!M7:M50,BW168)</f>
        <v>0</v>
      </c>
      <c r="CI168" s="306">
        <f ca="1">COUNTIF('Knock Out Stages'!N7:N50,BW168)</f>
        <v>0</v>
      </c>
      <c r="CJ168" s="306">
        <f ca="1">COUNTIF('Knock Out Stages'!O7:O50,BW168)</f>
        <v>0</v>
      </c>
      <c r="CK168" s="306">
        <f ca="1">COUNTIF('Knock Out Stages'!P7:P50,BW168)</f>
        <v>0</v>
      </c>
      <c r="CL168" s="306">
        <f ca="1">COUNTIF('Knock Out Stages'!Q7:Q50,BW168)</f>
        <v>0</v>
      </c>
      <c r="CM168" s="306">
        <f ca="1">COUNTIF('Knock Out Stages'!R7:R50,BW168)</f>
        <v>0</v>
      </c>
      <c r="CN168" s="306">
        <f ca="1">IF(RIGHT('Group Stages'!$B$105,5)="T.com",SUM(BX168:CM168),0)</f>
        <v>0</v>
      </c>
      <c r="CO168" s="306">
        <f ca="1">RANK(CN168,CN3:CN834)+COUNTIF(CN3:CN168,CN168)-1</f>
        <v>166</v>
      </c>
      <c r="CP168" s="306" t="str">
        <f t="shared" ca="1" si="143"/>
        <v>Haji Wright (United States)</v>
      </c>
    </row>
    <row r="169" spans="1:94" x14ac:dyDescent="0.3">
      <c r="BT169" s="306" t="str">
        <f t="shared" ca="1" si="132"/>
        <v>United States</v>
      </c>
      <c r="BU169" s="306">
        <f t="shared" si="133"/>
        <v>10</v>
      </c>
      <c r="BV169" s="306">
        <f t="shared" si="134"/>
        <v>5</v>
      </c>
      <c r="BW169" s="306" t="str">
        <f ca="1">OFFSET(C3,BU169,BV169)</f>
        <v>Jesús Ferreira</v>
      </c>
      <c r="BX169" s="306">
        <f ca="1">COUNTIF('Group Stages'!J7:J102,BW169)</f>
        <v>0</v>
      </c>
      <c r="BY169" s="306">
        <f ca="1">COUNTIF('Group Stages'!K7:K102,BW169)</f>
        <v>0</v>
      </c>
      <c r="BZ169" s="306">
        <f ca="1">COUNTIF('Group Stages'!L7:L102,BW169)</f>
        <v>0</v>
      </c>
      <c r="CA169" s="306">
        <f ca="1">COUNTIF('Group Stages'!M7:M102,BW169)</f>
        <v>0</v>
      </c>
      <c r="CB169" s="306">
        <f ca="1">COUNTIF('Group Stages'!N7:N102,BW169)</f>
        <v>0</v>
      </c>
      <c r="CC169" s="306">
        <f ca="1">COUNTIF('Group Stages'!O7:O102,BW169)</f>
        <v>0</v>
      </c>
      <c r="CD169" s="306">
        <f ca="1">COUNTIF('Group Stages'!P7:P102,BW169)</f>
        <v>0</v>
      </c>
      <c r="CE169" s="306">
        <f ca="1">COUNTIF('Group Stages'!Q7:Q102,BW169)</f>
        <v>0</v>
      </c>
      <c r="CF169" s="306">
        <f ca="1">COUNTIF('Knock Out Stages'!K7:K50,BW169)</f>
        <v>0</v>
      </c>
      <c r="CG169" s="306">
        <f ca="1">COUNTIF('Knock Out Stages'!L7:L50,BW169)</f>
        <v>0</v>
      </c>
      <c r="CH169" s="306">
        <f ca="1">COUNTIF('Knock Out Stages'!M7:M50,BW169)</f>
        <v>0</v>
      </c>
      <c r="CI169" s="306">
        <f ca="1">COUNTIF('Knock Out Stages'!N7:N50,BW169)</f>
        <v>0</v>
      </c>
      <c r="CJ169" s="306">
        <f ca="1">COUNTIF('Knock Out Stages'!O7:O50,BW169)</f>
        <v>0</v>
      </c>
      <c r="CK169" s="306">
        <f ca="1">COUNTIF('Knock Out Stages'!P7:P50,BW169)</f>
        <v>0</v>
      </c>
      <c r="CL169" s="306">
        <f ca="1">COUNTIF('Knock Out Stages'!Q7:Q50,BW169)</f>
        <v>0</v>
      </c>
      <c r="CM169" s="306">
        <f ca="1">COUNTIF('Knock Out Stages'!R7:R50,BW169)</f>
        <v>0</v>
      </c>
      <c r="CN169" s="306">
        <f ca="1">IF(RIGHT('Group Stages'!$B$105,5)="T.com",SUM(BX169:CM169),0)</f>
        <v>0</v>
      </c>
      <c r="CO169" s="306">
        <f ca="1">RANK(CN169,CN3:CN834)+COUNTIF(CN3:CN169,CN169)-1</f>
        <v>167</v>
      </c>
      <c r="CP169" s="306" t="str">
        <f t="shared" ca="1" si="143"/>
        <v>Jesús Ferreira (United States)</v>
      </c>
    </row>
    <row r="170" spans="1:94" x14ac:dyDescent="0.3">
      <c r="BT170" s="306" t="str">
        <f t="shared" ca="1" si="132"/>
        <v>United States</v>
      </c>
      <c r="BU170" s="306">
        <f t="shared" si="133"/>
        <v>11</v>
      </c>
      <c r="BV170" s="306">
        <f t="shared" si="134"/>
        <v>5</v>
      </c>
      <c r="BW170" s="306" t="str">
        <f ca="1">OFFSET(C3,BU170,BV170)</f>
        <v>Joe Scally</v>
      </c>
      <c r="BX170" s="306">
        <f ca="1">COUNTIF('Group Stages'!J7:J102,BW170)</f>
        <v>0</v>
      </c>
      <c r="BY170" s="306">
        <f ca="1">COUNTIF('Group Stages'!K7:K102,BW170)</f>
        <v>0</v>
      </c>
      <c r="BZ170" s="306">
        <f ca="1">COUNTIF('Group Stages'!L7:L102,BW170)</f>
        <v>0</v>
      </c>
      <c r="CA170" s="306">
        <f ca="1">COUNTIF('Group Stages'!M7:M102,BW170)</f>
        <v>0</v>
      </c>
      <c r="CB170" s="306">
        <f ca="1">COUNTIF('Group Stages'!N7:N102,BW170)</f>
        <v>0</v>
      </c>
      <c r="CC170" s="306">
        <f ca="1">COUNTIF('Group Stages'!O7:O102,BW170)</f>
        <v>0</v>
      </c>
      <c r="CD170" s="306">
        <f ca="1">COUNTIF('Group Stages'!P7:P102,BW170)</f>
        <v>0</v>
      </c>
      <c r="CE170" s="306">
        <f ca="1">COUNTIF('Group Stages'!Q7:Q102,BW170)</f>
        <v>0</v>
      </c>
      <c r="CF170" s="306">
        <f ca="1">COUNTIF('Knock Out Stages'!K7:K50,BW170)</f>
        <v>0</v>
      </c>
      <c r="CG170" s="306">
        <f ca="1">COUNTIF('Knock Out Stages'!L7:L50,BW170)</f>
        <v>0</v>
      </c>
      <c r="CH170" s="306">
        <f ca="1">COUNTIF('Knock Out Stages'!M7:M50,BW170)</f>
        <v>0</v>
      </c>
      <c r="CI170" s="306">
        <f ca="1">COUNTIF('Knock Out Stages'!N7:N50,BW170)</f>
        <v>0</v>
      </c>
      <c r="CJ170" s="306">
        <f ca="1">COUNTIF('Knock Out Stages'!O7:O50,BW170)</f>
        <v>0</v>
      </c>
      <c r="CK170" s="306">
        <f ca="1">COUNTIF('Knock Out Stages'!P7:P50,BW170)</f>
        <v>0</v>
      </c>
      <c r="CL170" s="306">
        <f ca="1">COUNTIF('Knock Out Stages'!Q7:Q50,BW170)</f>
        <v>0</v>
      </c>
      <c r="CM170" s="306">
        <f ca="1">COUNTIF('Knock Out Stages'!R7:R50,BW170)</f>
        <v>0</v>
      </c>
      <c r="CN170" s="306">
        <f ca="1">IF(RIGHT('Group Stages'!$B$105,5)="T.com",SUM(BX170:CM170),0)</f>
        <v>0</v>
      </c>
      <c r="CO170" s="306">
        <f ca="1">RANK(CN170,CN3:CN834)+COUNTIF(CN3:CN170,CN170)-1</f>
        <v>168</v>
      </c>
      <c r="CP170" s="306" t="str">
        <f t="shared" ca="1" si="143"/>
        <v>Joe Scally (United States)</v>
      </c>
    </row>
    <row r="171" spans="1:94" x14ac:dyDescent="0.3">
      <c r="BT171" s="306" t="str">
        <f t="shared" ca="1" si="132"/>
        <v>United States</v>
      </c>
      <c r="BU171" s="306">
        <f t="shared" si="133"/>
        <v>12</v>
      </c>
      <c r="BV171" s="306">
        <f t="shared" si="134"/>
        <v>5</v>
      </c>
      <c r="BW171" s="306" t="str">
        <f ca="1">OFFSET(C3,BU171,BV171)</f>
        <v>Jordan Morris</v>
      </c>
      <c r="BX171" s="306">
        <f ca="1">COUNTIF('Group Stages'!J7:J102,BW171)</f>
        <v>0</v>
      </c>
      <c r="BY171" s="306">
        <f ca="1">COUNTIF('Group Stages'!K7:K102,BW171)</f>
        <v>0</v>
      </c>
      <c r="BZ171" s="306">
        <f ca="1">COUNTIF('Group Stages'!L7:L102,BW171)</f>
        <v>0</v>
      </c>
      <c r="CA171" s="306">
        <f ca="1">COUNTIF('Group Stages'!M7:M102,BW171)</f>
        <v>0</v>
      </c>
      <c r="CB171" s="306">
        <f ca="1">COUNTIF('Group Stages'!N7:N102,BW171)</f>
        <v>0</v>
      </c>
      <c r="CC171" s="306">
        <f ca="1">COUNTIF('Group Stages'!O7:O102,BW171)</f>
        <v>0</v>
      </c>
      <c r="CD171" s="306">
        <f ca="1">COUNTIF('Group Stages'!P7:P102,BW171)</f>
        <v>0</v>
      </c>
      <c r="CE171" s="306">
        <f ca="1">COUNTIF('Group Stages'!Q7:Q102,BW171)</f>
        <v>0</v>
      </c>
      <c r="CF171" s="306">
        <f ca="1">COUNTIF('Knock Out Stages'!K7:K50,BW171)</f>
        <v>0</v>
      </c>
      <c r="CG171" s="306">
        <f ca="1">COUNTIF('Knock Out Stages'!L7:L50,BW171)</f>
        <v>0</v>
      </c>
      <c r="CH171" s="306">
        <f ca="1">COUNTIF('Knock Out Stages'!M7:M50,BW171)</f>
        <v>0</v>
      </c>
      <c r="CI171" s="306">
        <f ca="1">COUNTIF('Knock Out Stages'!N7:N50,BW171)</f>
        <v>0</v>
      </c>
      <c r="CJ171" s="306">
        <f ca="1">COUNTIF('Knock Out Stages'!O7:O50,BW171)</f>
        <v>0</v>
      </c>
      <c r="CK171" s="306">
        <f ca="1">COUNTIF('Knock Out Stages'!P7:P50,BW171)</f>
        <v>0</v>
      </c>
      <c r="CL171" s="306">
        <f ca="1">COUNTIF('Knock Out Stages'!Q7:Q50,BW171)</f>
        <v>0</v>
      </c>
      <c r="CM171" s="306">
        <f ca="1">COUNTIF('Knock Out Stages'!R7:R50,BW171)</f>
        <v>0</v>
      </c>
      <c r="CN171" s="306">
        <f ca="1">IF(RIGHT('Group Stages'!$B$105,5)="T.com",SUM(BX171:CM171),0)</f>
        <v>0</v>
      </c>
      <c r="CO171" s="306">
        <f ca="1">RANK(CN171,CN3:CN834)+COUNTIF(CN3:CN171,CN171)-1</f>
        <v>169</v>
      </c>
      <c r="CP171" s="306" t="str">
        <f t="shared" ca="1" si="143"/>
        <v>Jordan Morris (United States)</v>
      </c>
    </row>
    <row r="172" spans="1:94" x14ac:dyDescent="0.3">
      <c r="BT172" s="306" t="str">
        <f t="shared" ca="1" si="132"/>
        <v>United States</v>
      </c>
      <c r="BU172" s="306">
        <f t="shared" si="133"/>
        <v>13</v>
      </c>
      <c r="BV172" s="306">
        <f t="shared" si="134"/>
        <v>5</v>
      </c>
      <c r="BW172" s="306" t="str">
        <f ca="1">OFFSET(C3,BU172,BV172)</f>
        <v>Josh Sargent</v>
      </c>
      <c r="BX172" s="306">
        <f ca="1">COUNTIF('Group Stages'!J7:J102,BW172)</f>
        <v>0</v>
      </c>
      <c r="BY172" s="306">
        <f ca="1">COUNTIF('Group Stages'!K7:K102,BW172)</f>
        <v>0</v>
      </c>
      <c r="BZ172" s="306">
        <f ca="1">COUNTIF('Group Stages'!L7:L102,BW172)</f>
        <v>0</v>
      </c>
      <c r="CA172" s="306">
        <f ca="1">COUNTIF('Group Stages'!M7:M102,BW172)</f>
        <v>0</v>
      </c>
      <c r="CB172" s="306">
        <f ca="1">COUNTIF('Group Stages'!N7:N102,BW172)</f>
        <v>0</v>
      </c>
      <c r="CC172" s="306">
        <f ca="1">COUNTIF('Group Stages'!O7:O102,BW172)</f>
        <v>0</v>
      </c>
      <c r="CD172" s="306">
        <f ca="1">COUNTIF('Group Stages'!P7:P102,BW172)</f>
        <v>0</v>
      </c>
      <c r="CE172" s="306">
        <f ca="1">COUNTIF('Group Stages'!Q7:Q102,BW172)</f>
        <v>0</v>
      </c>
      <c r="CF172" s="306">
        <f ca="1">COUNTIF('Knock Out Stages'!K7:K50,BW172)</f>
        <v>0</v>
      </c>
      <c r="CG172" s="306">
        <f ca="1">COUNTIF('Knock Out Stages'!L7:L50,BW172)</f>
        <v>0</v>
      </c>
      <c r="CH172" s="306">
        <f ca="1">COUNTIF('Knock Out Stages'!M7:M50,BW172)</f>
        <v>0</v>
      </c>
      <c r="CI172" s="306">
        <f ca="1">COUNTIF('Knock Out Stages'!N7:N50,BW172)</f>
        <v>0</v>
      </c>
      <c r="CJ172" s="306">
        <f ca="1">COUNTIF('Knock Out Stages'!O7:O50,BW172)</f>
        <v>0</v>
      </c>
      <c r="CK172" s="306">
        <f ca="1">COUNTIF('Knock Out Stages'!P7:P50,BW172)</f>
        <v>0</v>
      </c>
      <c r="CL172" s="306">
        <f ca="1">COUNTIF('Knock Out Stages'!Q7:Q50,BW172)</f>
        <v>0</v>
      </c>
      <c r="CM172" s="306">
        <f ca="1">COUNTIF('Knock Out Stages'!R7:R50,BW172)</f>
        <v>0</v>
      </c>
      <c r="CN172" s="306">
        <f ca="1">IF(RIGHT('Group Stages'!$B$105,5)="T.com",SUM(BX172:CM172),0)</f>
        <v>0</v>
      </c>
      <c r="CO172" s="306">
        <f ca="1">RANK(CN172,CN3:CN834)+COUNTIF(CN3:CN172,CN172)-1</f>
        <v>170</v>
      </c>
      <c r="CP172" s="306" t="str">
        <f t="shared" ca="1" si="143"/>
        <v>Josh Sargent (United States)</v>
      </c>
    </row>
    <row r="173" spans="1:94" x14ac:dyDescent="0.3">
      <c r="BT173" s="306" t="str">
        <f t="shared" ca="1" si="132"/>
        <v>United States</v>
      </c>
      <c r="BU173" s="306">
        <f t="shared" si="133"/>
        <v>14</v>
      </c>
      <c r="BV173" s="306">
        <f t="shared" si="134"/>
        <v>5</v>
      </c>
      <c r="BW173" s="306" t="str">
        <f ca="1">OFFSET(C3,BU173,BV173)</f>
        <v>Kellyn Acosta</v>
      </c>
      <c r="BX173" s="306">
        <f ca="1">COUNTIF('Group Stages'!J7:J102,BW173)</f>
        <v>0</v>
      </c>
      <c r="BY173" s="306">
        <f ca="1">COUNTIF('Group Stages'!K7:K102,BW173)</f>
        <v>0</v>
      </c>
      <c r="BZ173" s="306">
        <f ca="1">COUNTIF('Group Stages'!L7:L102,BW173)</f>
        <v>0</v>
      </c>
      <c r="CA173" s="306">
        <f ca="1">COUNTIF('Group Stages'!M7:M102,BW173)</f>
        <v>0</v>
      </c>
      <c r="CB173" s="306">
        <f ca="1">COUNTIF('Group Stages'!N7:N102,BW173)</f>
        <v>0</v>
      </c>
      <c r="CC173" s="306">
        <f ca="1">COUNTIF('Group Stages'!O7:O102,BW173)</f>
        <v>0</v>
      </c>
      <c r="CD173" s="306">
        <f ca="1">COUNTIF('Group Stages'!P7:P102,BW173)</f>
        <v>0</v>
      </c>
      <c r="CE173" s="306">
        <f ca="1">COUNTIF('Group Stages'!Q7:Q102,BW173)</f>
        <v>0</v>
      </c>
      <c r="CF173" s="306">
        <f ca="1">COUNTIF('Knock Out Stages'!K7:K50,BW173)</f>
        <v>0</v>
      </c>
      <c r="CG173" s="306">
        <f ca="1">COUNTIF('Knock Out Stages'!L7:L50,BW173)</f>
        <v>0</v>
      </c>
      <c r="CH173" s="306">
        <f ca="1">COUNTIF('Knock Out Stages'!M7:M50,BW173)</f>
        <v>0</v>
      </c>
      <c r="CI173" s="306">
        <f ca="1">COUNTIF('Knock Out Stages'!N7:N50,BW173)</f>
        <v>0</v>
      </c>
      <c r="CJ173" s="306">
        <f ca="1">COUNTIF('Knock Out Stages'!O7:O50,BW173)</f>
        <v>0</v>
      </c>
      <c r="CK173" s="306">
        <f ca="1">COUNTIF('Knock Out Stages'!P7:P50,BW173)</f>
        <v>0</v>
      </c>
      <c r="CL173" s="306">
        <f ca="1">COUNTIF('Knock Out Stages'!Q7:Q50,BW173)</f>
        <v>0</v>
      </c>
      <c r="CM173" s="306">
        <f ca="1">COUNTIF('Knock Out Stages'!R7:R50,BW173)</f>
        <v>0</v>
      </c>
      <c r="CN173" s="306">
        <f ca="1">IF(RIGHT('Group Stages'!$B$105,5)="T.com",SUM(BX173:CM173),0)</f>
        <v>0</v>
      </c>
      <c r="CO173" s="306">
        <f ca="1">RANK(CN173,CN3:CN834)+COUNTIF(CN3:CN173,CN173)-1</f>
        <v>171</v>
      </c>
      <c r="CP173" s="306" t="str">
        <f t="shared" ca="1" si="143"/>
        <v>Kellyn Acosta (United States)</v>
      </c>
    </row>
    <row r="174" spans="1:94" x14ac:dyDescent="0.3">
      <c r="BT174" s="306" t="str">
        <f t="shared" ca="1" si="132"/>
        <v>United States</v>
      </c>
      <c r="BU174" s="306">
        <f t="shared" si="133"/>
        <v>15</v>
      </c>
      <c r="BV174" s="306">
        <f t="shared" si="134"/>
        <v>5</v>
      </c>
      <c r="BW174" s="306" t="str">
        <f ca="1">OFFSET(C3,BU174,BV174)</f>
        <v>Luca de la Torre</v>
      </c>
      <c r="BX174" s="306">
        <f ca="1">COUNTIF('Group Stages'!J7:J102,BW174)</f>
        <v>0</v>
      </c>
      <c r="BY174" s="306">
        <f ca="1">COUNTIF('Group Stages'!K7:K102,BW174)</f>
        <v>0</v>
      </c>
      <c r="BZ174" s="306">
        <f ca="1">COUNTIF('Group Stages'!L7:L102,BW174)</f>
        <v>0</v>
      </c>
      <c r="CA174" s="306">
        <f ca="1">COUNTIF('Group Stages'!M7:M102,BW174)</f>
        <v>0</v>
      </c>
      <c r="CB174" s="306">
        <f ca="1">COUNTIF('Group Stages'!N7:N102,BW174)</f>
        <v>0</v>
      </c>
      <c r="CC174" s="306">
        <f ca="1">COUNTIF('Group Stages'!O7:O102,BW174)</f>
        <v>0</v>
      </c>
      <c r="CD174" s="306">
        <f ca="1">COUNTIF('Group Stages'!P7:P102,BW174)</f>
        <v>0</v>
      </c>
      <c r="CE174" s="306">
        <f ca="1">COUNTIF('Group Stages'!Q7:Q102,BW174)</f>
        <v>0</v>
      </c>
      <c r="CF174" s="306">
        <f ca="1">COUNTIF('Knock Out Stages'!K7:K50,BW174)</f>
        <v>0</v>
      </c>
      <c r="CG174" s="306">
        <f ca="1">COUNTIF('Knock Out Stages'!L7:L50,BW174)</f>
        <v>0</v>
      </c>
      <c r="CH174" s="306">
        <f ca="1">COUNTIF('Knock Out Stages'!M7:M50,BW174)</f>
        <v>0</v>
      </c>
      <c r="CI174" s="306">
        <f ca="1">COUNTIF('Knock Out Stages'!N7:N50,BW174)</f>
        <v>0</v>
      </c>
      <c r="CJ174" s="306">
        <f ca="1">COUNTIF('Knock Out Stages'!O7:O50,BW174)</f>
        <v>0</v>
      </c>
      <c r="CK174" s="306">
        <f ca="1">COUNTIF('Knock Out Stages'!P7:P50,BW174)</f>
        <v>0</v>
      </c>
      <c r="CL174" s="306">
        <f ca="1">COUNTIF('Knock Out Stages'!Q7:Q50,BW174)</f>
        <v>0</v>
      </c>
      <c r="CM174" s="306">
        <f ca="1">COUNTIF('Knock Out Stages'!R7:R50,BW174)</f>
        <v>0</v>
      </c>
      <c r="CN174" s="306">
        <f ca="1">IF(RIGHT('Group Stages'!$B$105,5)="T.com",SUM(BX174:CM174),0)</f>
        <v>0</v>
      </c>
      <c r="CO174" s="306">
        <f ca="1">RANK(CN174,CN3:CN834)+COUNTIF(CN3:CN174,CN174)-1</f>
        <v>172</v>
      </c>
      <c r="CP174" s="306" t="str">
        <f t="shared" ca="1" si="143"/>
        <v>Luca de la Torre (United States)</v>
      </c>
    </row>
    <row r="175" spans="1:94" x14ac:dyDescent="0.3">
      <c r="BT175" s="306" t="str">
        <f t="shared" ca="1" si="132"/>
        <v>United States</v>
      </c>
      <c r="BU175" s="306">
        <f t="shared" si="133"/>
        <v>16</v>
      </c>
      <c r="BV175" s="306">
        <f t="shared" si="134"/>
        <v>5</v>
      </c>
      <c r="BW175" s="306" t="str">
        <f ca="1">OFFSET(C3,BU175,BV175)</f>
        <v>Matt Turner</v>
      </c>
      <c r="BX175" s="306">
        <f ca="1">COUNTIF('Group Stages'!J7:J102,BW175)</f>
        <v>0</v>
      </c>
      <c r="BY175" s="306">
        <f ca="1">COUNTIF('Group Stages'!K7:K102,BW175)</f>
        <v>0</v>
      </c>
      <c r="BZ175" s="306">
        <f ca="1">COUNTIF('Group Stages'!L7:L102,BW175)</f>
        <v>0</v>
      </c>
      <c r="CA175" s="306">
        <f ca="1">COUNTIF('Group Stages'!M7:M102,BW175)</f>
        <v>0</v>
      </c>
      <c r="CB175" s="306">
        <f ca="1">COUNTIF('Group Stages'!N7:N102,BW175)</f>
        <v>0</v>
      </c>
      <c r="CC175" s="306">
        <f ca="1">COUNTIF('Group Stages'!O7:O102,BW175)</f>
        <v>0</v>
      </c>
      <c r="CD175" s="306">
        <f ca="1">COUNTIF('Group Stages'!P7:P102,BW175)</f>
        <v>0</v>
      </c>
      <c r="CE175" s="306">
        <f ca="1">COUNTIF('Group Stages'!Q7:Q102,BW175)</f>
        <v>0</v>
      </c>
      <c r="CF175" s="306">
        <f ca="1">COUNTIF('Knock Out Stages'!K7:K50,BW175)</f>
        <v>0</v>
      </c>
      <c r="CG175" s="306">
        <f ca="1">COUNTIF('Knock Out Stages'!L7:L50,BW175)</f>
        <v>0</v>
      </c>
      <c r="CH175" s="306">
        <f ca="1">COUNTIF('Knock Out Stages'!M7:M50,BW175)</f>
        <v>0</v>
      </c>
      <c r="CI175" s="306">
        <f ca="1">COUNTIF('Knock Out Stages'!N7:N50,BW175)</f>
        <v>0</v>
      </c>
      <c r="CJ175" s="306">
        <f ca="1">COUNTIF('Knock Out Stages'!O7:O50,BW175)</f>
        <v>0</v>
      </c>
      <c r="CK175" s="306">
        <f ca="1">COUNTIF('Knock Out Stages'!P7:P50,BW175)</f>
        <v>0</v>
      </c>
      <c r="CL175" s="306">
        <f ca="1">COUNTIF('Knock Out Stages'!Q7:Q50,BW175)</f>
        <v>0</v>
      </c>
      <c r="CM175" s="306">
        <f ca="1">COUNTIF('Knock Out Stages'!R7:R50,BW175)</f>
        <v>0</v>
      </c>
      <c r="CN175" s="306">
        <f ca="1">IF(RIGHT('Group Stages'!$B$105,5)="T.com",SUM(BX175:CM175),0)</f>
        <v>0</v>
      </c>
      <c r="CO175" s="306">
        <f ca="1">RANK(CN175,CN3:CN834)+COUNTIF(CN3:CN175,CN175)-1</f>
        <v>173</v>
      </c>
      <c r="CP175" s="306" t="str">
        <f t="shared" ca="1" si="143"/>
        <v>Matt Turner (United States)</v>
      </c>
    </row>
    <row r="176" spans="1:94" x14ac:dyDescent="0.3">
      <c r="BT176" s="306" t="str">
        <f t="shared" ca="1" si="132"/>
        <v>United States</v>
      </c>
      <c r="BU176" s="306">
        <f t="shared" si="133"/>
        <v>17</v>
      </c>
      <c r="BV176" s="306">
        <f t="shared" si="134"/>
        <v>5</v>
      </c>
      <c r="BW176" s="306" t="str">
        <f ca="1">OFFSET(C3,BU176,BV176)</f>
        <v>Sean Johnson</v>
      </c>
      <c r="BX176" s="306">
        <f ca="1">COUNTIF('Group Stages'!J7:J102,BW176)</f>
        <v>0</v>
      </c>
      <c r="BY176" s="306">
        <f ca="1">COUNTIF('Group Stages'!K7:K102,BW176)</f>
        <v>0</v>
      </c>
      <c r="BZ176" s="306">
        <f ca="1">COUNTIF('Group Stages'!L7:L102,BW176)</f>
        <v>0</v>
      </c>
      <c r="CA176" s="306">
        <f ca="1">COUNTIF('Group Stages'!M7:M102,BW176)</f>
        <v>0</v>
      </c>
      <c r="CB176" s="306">
        <f ca="1">COUNTIF('Group Stages'!N7:N102,BW176)</f>
        <v>0</v>
      </c>
      <c r="CC176" s="306">
        <f ca="1">COUNTIF('Group Stages'!O7:O102,BW176)</f>
        <v>0</v>
      </c>
      <c r="CD176" s="306">
        <f ca="1">COUNTIF('Group Stages'!P7:P102,BW176)</f>
        <v>0</v>
      </c>
      <c r="CE176" s="306">
        <f ca="1">COUNTIF('Group Stages'!Q7:Q102,BW176)</f>
        <v>0</v>
      </c>
      <c r="CF176" s="306">
        <f ca="1">COUNTIF('Knock Out Stages'!K7:K50,BW176)</f>
        <v>0</v>
      </c>
      <c r="CG176" s="306">
        <f ca="1">COUNTIF('Knock Out Stages'!L7:L50,BW176)</f>
        <v>0</v>
      </c>
      <c r="CH176" s="306">
        <f ca="1">COUNTIF('Knock Out Stages'!M7:M50,BW176)</f>
        <v>0</v>
      </c>
      <c r="CI176" s="306">
        <f ca="1">COUNTIF('Knock Out Stages'!N7:N50,BW176)</f>
        <v>0</v>
      </c>
      <c r="CJ176" s="306">
        <f ca="1">COUNTIF('Knock Out Stages'!O7:O50,BW176)</f>
        <v>0</v>
      </c>
      <c r="CK176" s="306">
        <f ca="1">COUNTIF('Knock Out Stages'!P7:P50,BW176)</f>
        <v>0</v>
      </c>
      <c r="CL176" s="306">
        <f ca="1">COUNTIF('Knock Out Stages'!Q7:Q50,BW176)</f>
        <v>0</v>
      </c>
      <c r="CM176" s="306">
        <f ca="1">COUNTIF('Knock Out Stages'!R7:R50,BW176)</f>
        <v>0</v>
      </c>
      <c r="CN176" s="306">
        <f ca="1">IF(RIGHT('Group Stages'!$B$105,5)="T.com",SUM(BX176:CM176),0)</f>
        <v>0</v>
      </c>
      <c r="CO176" s="306">
        <f ca="1">RANK(CN176,CN3:CN834)+COUNTIF(CN3:CN176,CN176)-1</f>
        <v>174</v>
      </c>
      <c r="CP176" s="306" t="str">
        <f t="shared" ca="1" si="143"/>
        <v>Sean Johnson (United States)</v>
      </c>
    </row>
    <row r="177" spans="72:94" x14ac:dyDescent="0.3">
      <c r="BT177" s="306" t="str">
        <f t="shared" ca="1" si="132"/>
        <v>United States</v>
      </c>
      <c r="BU177" s="306">
        <f t="shared" si="133"/>
        <v>18</v>
      </c>
      <c r="BV177" s="306">
        <f t="shared" si="134"/>
        <v>5</v>
      </c>
      <c r="BW177" s="306" t="str">
        <f ca="1">OFFSET(C3,BU177,BV177)</f>
        <v>Sergiño Dest</v>
      </c>
      <c r="BX177" s="306">
        <f ca="1">COUNTIF('Group Stages'!J7:J102,BW177)</f>
        <v>0</v>
      </c>
      <c r="BY177" s="306">
        <f ca="1">COUNTIF('Group Stages'!K7:K102,BW177)</f>
        <v>0</v>
      </c>
      <c r="BZ177" s="306">
        <f ca="1">COUNTIF('Group Stages'!L7:L102,BW177)</f>
        <v>0</v>
      </c>
      <c r="CA177" s="306">
        <f ca="1">COUNTIF('Group Stages'!M7:M102,BW177)</f>
        <v>0</v>
      </c>
      <c r="CB177" s="306">
        <f ca="1">COUNTIF('Group Stages'!N7:N102,BW177)</f>
        <v>0</v>
      </c>
      <c r="CC177" s="306">
        <f ca="1">COUNTIF('Group Stages'!O7:O102,BW177)</f>
        <v>0</v>
      </c>
      <c r="CD177" s="306">
        <f ca="1">COUNTIF('Group Stages'!P7:P102,BW177)</f>
        <v>0</v>
      </c>
      <c r="CE177" s="306">
        <f ca="1">COUNTIF('Group Stages'!Q7:Q102,BW177)</f>
        <v>0</v>
      </c>
      <c r="CF177" s="306">
        <f ca="1">COUNTIF('Knock Out Stages'!K7:K50,BW177)</f>
        <v>0</v>
      </c>
      <c r="CG177" s="306">
        <f ca="1">COUNTIF('Knock Out Stages'!L7:L50,BW177)</f>
        <v>0</v>
      </c>
      <c r="CH177" s="306">
        <f ca="1">COUNTIF('Knock Out Stages'!M7:M50,BW177)</f>
        <v>0</v>
      </c>
      <c r="CI177" s="306">
        <f ca="1">COUNTIF('Knock Out Stages'!N7:N50,BW177)</f>
        <v>0</v>
      </c>
      <c r="CJ177" s="306">
        <f ca="1">COUNTIF('Knock Out Stages'!O7:O50,BW177)</f>
        <v>0</v>
      </c>
      <c r="CK177" s="306">
        <f ca="1">COUNTIF('Knock Out Stages'!P7:P50,BW177)</f>
        <v>0</v>
      </c>
      <c r="CL177" s="306">
        <f ca="1">COUNTIF('Knock Out Stages'!Q7:Q50,BW177)</f>
        <v>0</v>
      </c>
      <c r="CM177" s="306">
        <f ca="1">COUNTIF('Knock Out Stages'!R7:R50,BW177)</f>
        <v>0</v>
      </c>
      <c r="CN177" s="306">
        <f ca="1">IF(RIGHT('Group Stages'!$B$105,5)="T.com",SUM(BX177:CM177),0)</f>
        <v>0</v>
      </c>
      <c r="CO177" s="306">
        <f ca="1">RANK(CN177,CN3:CN834)+COUNTIF(CN3:CN177,CN177)-1</f>
        <v>175</v>
      </c>
      <c r="CP177" s="306" t="str">
        <f t="shared" ca="1" si="143"/>
        <v>Sergiño Dest (United States)</v>
      </c>
    </row>
    <row r="178" spans="72:94" x14ac:dyDescent="0.3">
      <c r="BT178" s="306" t="str">
        <f t="shared" ca="1" si="132"/>
        <v>United States</v>
      </c>
      <c r="BU178" s="306">
        <f t="shared" si="133"/>
        <v>19</v>
      </c>
      <c r="BV178" s="306">
        <f t="shared" si="134"/>
        <v>5</v>
      </c>
      <c r="BW178" s="306" t="str">
        <f ca="1">OFFSET(C3,BU178,BV178)</f>
        <v>Shaq Moore</v>
      </c>
      <c r="BX178" s="306">
        <f ca="1">COUNTIF('Group Stages'!J7:J102,BW178)</f>
        <v>0</v>
      </c>
      <c r="BY178" s="306">
        <f ca="1">COUNTIF('Group Stages'!K7:K102,BW178)</f>
        <v>0</v>
      </c>
      <c r="BZ178" s="306">
        <f ca="1">COUNTIF('Group Stages'!L7:L102,BW178)</f>
        <v>0</v>
      </c>
      <c r="CA178" s="306">
        <f ca="1">COUNTIF('Group Stages'!M7:M102,BW178)</f>
        <v>0</v>
      </c>
      <c r="CB178" s="306">
        <f ca="1">COUNTIF('Group Stages'!N7:N102,BW178)</f>
        <v>0</v>
      </c>
      <c r="CC178" s="306">
        <f ca="1">COUNTIF('Group Stages'!O7:O102,BW178)</f>
        <v>0</v>
      </c>
      <c r="CD178" s="306">
        <f ca="1">COUNTIF('Group Stages'!P7:P102,BW178)</f>
        <v>0</v>
      </c>
      <c r="CE178" s="306">
        <f ca="1">COUNTIF('Group Stages'!Q7:Q102,BW178)</f>
        <v>0</v>
      </c>
      <c r="CF178" s="306">
        <f ca="1">COUNTIF('Knock Out Stages'!K7:K50,BW178)</f>
        <v>0</v>
      </c>
      <c r="CG178" s="306">
        <f ca="1">COUNTIF('Knock Out Stages'!L7:L50,BW178)</f>
        <v>0</v>
      </c>
      <c r="CH178" s="306">
        <f ca="1">COUNTIF('Knock Out Stages'!M7:M50,BW178)</f>
        <v>0</v>
      </c>
      <c r="CI178" s="306">
        <f ca="1">COUNTIF('Knock Out Stages'!N7:N50,BW178)</f>
        <v>0</v>
      </c>
      <c r="CJ178" s="306">
        <f ca="1">COUNTIF('Knock Out Stages'!O7:O50,BW178)</f>
        <v>0</v>
      </c>
      <c r="CK178" s="306">
        <f ca="1">COUNTIF('Knock Out Stages'!P7:P50,BW178)</f>
        <v>0</v>
      </c>
      <c r="CL178" s="306">
        <f ca="1">COUNTIF('Knock Out Stages'!Q7:Q50,BW178)</f>
        <v>0</v>
      </c>
      <c r="CM178" s="306">
        <f ca="1">COUNTIF('Knock Out Stages'!R7:R50,BW178)</f>
        <v>0</v>
      </c>
      <c r="CN178" s="306">
        <f ca="1">IF(RIGHT('Group Stages'!$B$105,5)="T.com",SUM(BX178:CM178),0)</f>
        <v>0</v>
      </c>
      <c r="CO178" s="306">
        <f ca="1">RANK(CN178,CN3:CN834)+COUNTIF(CN3:CN178,CN178)-1</f>
        <v>176</v>
      </c>
      <c r="CP178" s="306" t="str">
        <f t="shared" ca="1" si="143"/>
        <v>Shaq Moore (United States)</v>
      </c>
    </row>
    <row r="179" spans="72:94" x14ac:dyDescent="0.3">
      <c r="BT179" s="306" t="str">
        <f t="shared" ca="1" si="132"/>
        <v>United States</v>
      </c>
      <c r="BU179" s="306">
        <f t="shared" si="133"/>
        <v>20</v>
      </c>
      <c r="BV179" s="306">
        <f t="shared" si="134"/>
        <v>5</v>
      </c>
      <c r="BW179" s="306" t="str">
        <f ca="1">OFFSET(C3,BU179,BV179)</f>
        <v>Tim Ream</v>
      </c>
      <c r="BX179" s="306">
        <f ca="1">COUNTIF('Group Stages'!J7:J102,BW179)</f>
        <v>0</v>
      </c>
      <c r="BY179" s="306">
        <f ca="1">COUNTIF('Group Stages'!K7:K102,BW179)</f>
        <v>0</v>
      </c>
      <c r="BZ179" s="306">
        <f ca="1">COUNTIF('Group Stages'!L7:L102,BW179)</f>
        <v>0</v>
      </c>
      <c r="CA179" s="306">
        <f ca="1">COUNTIF('Group Stages'!M7:M102,BW179)</f>
        <v>0</v>
      </c>
      <c r="CB179" s="306">
        <f ca="1">COUNTIF('Group Stages'!N7:N102,BW179)</f>
        <v>0</v>
      </c>
      <c r="CC179" s="306">
        <f ca="1">COUNTIF('Group Stages'!O7:O102,BW179)</f>
        <v>0</v>
      </c>
      <c r="CD179" s="306">
        <f ca="1">COUNTIF('Group Stages'!P7:P102,BW179)</f>
        <v>0</v>
      </c>
      <c r="CE179" s="306">
        <f ca="1">COUNTIF('Group Stages'!Q7:Q102,BW179)</f>
        <v>0</v>
      </c>
      <c r="CF179" s="306">
        <f ca="1">COUNTIF('Knock Out Stages'!K7:K50,BW179)</f>
        <v>0</v>
      </c>
      <c r="CG179" s="306">
        <f ca="1">COUNTIF('Knock Out Stages'!L7:L50,BW179)</f>
        <v>0</v>
      </c>
      <c r="CH179" s="306">
        <f ca="1">COUNTIF('Knock Out Stages'!M7:M50,BW179)</f>
        <v>0</v>
      </c>
      <c r="CI179" s="306">
        <f ca="1">COUNTIF('Knock Out Stages'!N7:N50,BW179)</f>
        <v>0</v>
      </c>
      <c r="CJ179" s="306">
        <f ca="1">COUNTIF('Knock Out Stages'!O7:O50,BW179)</f>
        <v>0</v>
      </c>
      <c r="CK179" s="306">
        <f ca="1">COUNTIF('Knock Out Stages'!P7:P50,BW179)</f>
        <v>0</v>
      </c>
      <c r="CL179" s="306">
        <f ca="1">COUNTIF('Knock Out Stages'!Q7:Q50,BW179)</f>
        <v>0</v>
      </c>
      <c r="CM179" s="306">
        <f ca="1">COUNTIF('Knock Out Stages'!R7:R50,BW179)</f>
        <v>0</v>
      </c>
      <c r="CN179" s="306">
        <f ca="1">IF(RIGHT('Group Stages'!$B$105,5)="T.com",SUM(BX179:CM179),0)</f>
        <v>0</v>
      </c>
      <c r="CO179" s="306">
        <f ca="1">RANK(CN179,CN3:CN834)+COUNTIF(CN3:CN179,CN179)-1</f>
        <v>177</v>
      </c>
      <c r="CP179" s="306" t="str">
        <f t="shared" ca="1" si="143"/>
        <v>Tim Ream (United States)</v>
      </c>
    </row>
    <row r="180" spans="72:94" x14ac:dyDescent="0.3">
      <c r="BT180" s="306" t="str">
        <f t="shared" ca="1" si="132"/>
        <v>United States</v>
      </c>
      <c r="BU180" s="306">
        <f t="shared" si="133"/>
        <v>21</v>
      </c>
      <c r="BV180" s="306">
        <f t="shared" si="134"/>
        <v>5</v>
      </c>
      <c r="BW180" s="306" t="str">
        <f ca="1">OFFSET(C3,BU180,BV180)</f>
        <v>Timothy Weah</v>
      </c>
      <c r="BX180" s="306">
        <f ca="1">COUNTIF('Group Stages'!J7:J102,BW180)</f>
        <v>0</v>
      </c>
      <c r="BY180" s="306">
        <f ca="1">COUNTIF('Group Stages'!K7:K102,BW180)</f>
        <v>0</v>
      </c>
      <c r="BZ180" s="306">
        <f ca="1">COUNTIF('Group Stages'!L7:L102,BW180)</f>
        <v>0</v>
      </c>
      <c r="CA180" s="306">
        <f ca="1">COUNTIF('Group Stages'!M7:M102,BW180)</f>
        <v>0</v>
      </c>
      <c r="CB180" s="306">
        <f ca="1">COUNTIF('Group Stages'!N7:N102,BW180)</f>
        <v>0</v>
      </c>
      <c r="CC180" s="306">
        <f ca="1">COUNTIF('Group Stages'!O7:O102,BW180)</f>
        <v>0</v>
      </c>
      <c r="CD180" s="306">
        <f ca="1">COUNTIF('Group Stages'!P7:P102,BW180)</f>
        <v>0</v>
      </c>
      <c r="CE180" s="306">
        <f ca="1">COUNTIF('Group Stages'!Q7:Q102,BW180)</f>
        <v>0</v>
      </c>
      <c r="CF180" s="306">
        <f ca="1">COUNTIF('Knock Out Stages'!K7:K50,BW180)</f>
        <v>0</v>
      </c>
      <c r="CG180" s="306">
        <f ca="1">COUNTIF('Knock Out Stages'!L7:L50,BW180)</f>
        <v>0</v>
      </c>
      <c r="CH180" s="306">
        <f ca="1">COUNTIF('Knock Out Stages'!M7:M50,BW180)</f>
        <v>0</v>
      </c>
      <c r="CI180" s="306">
        <f ca="1">COUNTIF('Knock Out Stages'!N7:N50,BW180)</f>
        <v>0</v>
      </c>
      <c r="CJ180" s="306">
        <f ca="1">COUNTIF('Knock Out Stages'!O7:O50,BW180)</f>
        <v>0</v>
      </c>
      <c r="CK180" s="306">
        <f ca="1">COUNTIF('Knock Out Stages'!P7:P50,BW180)</f>
        <v>0</v>
      </c>
      <c r="CL180" s="306">
        <f ca="1">COUNTIF('Knock Out Stages'!Q7:Q50,BW180)</f>
        <v>0</v>
      </c>
      <c r="CM180" s="306">
        <f ca="1">COUNTIF('Knock Out Stages'!R7:R50,BW180)</f>
        <v>0</v>
      </c>
      <c r="CN180" s="306">
        <f ca="1">IF(RIGHT('Group Stages'!$B$105,5)="T.com",SUM(BX180:CM180),0)</f>
        <v>0</v>
      </c>
      <c r="CO180" s="306">
        <f ca="1">RANK(CN180,CN3:CN834)+COUNTIF(CN3:CN180,CN180)-1</f>
        <v>178</v>
      </c>
      <c r="CP180" s="306" t="str">
        <f t="shared" ca="1" si="143"/>
        <v>Timothy Weah (United States)</v>
      </c>
    </row>
    <row r="181" spans="72:94" x14ac:dyDescent="0.3">
      <c r="BT181" s="306" t="str">
        <f t="shared" ca="1" si="132"/>
        <v>United States</v>
      </c>
      <c r="BU181" s="306">
        <f t="shared" si="133"/>
        <v>22</v>
      </c>
      <c r="BV181" s="306">
        <f t="shared" si="134"/>
        <v>5</v>
      </c>
      <c r="BW181" s="306" t="str">
        <f ca="1">OFFSET(C3,BU181,BV181)</f>
        <v>Tyler Adams</v>
      </c>
      <c r="BX181" s="306">
        <f ca="1">COUNTIF('Group Stages'!J7:J102,BW181)</f>
        <v>0</v>
      </c>
      <c r="BY181" s="306">
        <f ca="1">COUNTIF('Group Stages'!K7:K102,BW181)</f>
        <v>0</v>
      </c>
      <c r="BZ181" s="306">
        <f ca="1">COUNTIF('Group Stages'!L7:L102,BW181)</f>
        <v>0</v>
      </c>
      <c r="CA181" s="306">
        <f ca="1">COUNTIF('Group Stages'!M7:M102,BW181)</f>
        <v>0</v>
      </c>
      <c r="CB181" s="306">
        <f ca="1">COUNTIF('Group Stages'!N7:N102,BW181)</f>
        <v>0</v>
      </c>
      <c r="CC181" s="306">
        <f ca="1">COUNTIF('Group Stages'!O7:O102,BW181)</f>
        <v>0</v>
      </c>
      <c r="CD181" s="306">
        <f ca="1">COUNTIF('Group Stages'!P7:P102,BW181)</f>
        <v>0</v>
      </c>
      <c r="CE181" s="306">
        <f ca="1">COUNTIF('Group Stages'!Q7:Q102,BW181)</f>
        <v>0</v>
      </c>
      <c r="CF181" s="306">
        <f ca="1">COUNTIF('Knock Out Stages'!K7:K50,BW181)</f>
        <v>0</v>
      </c>
      <c r="CG181" s="306">
        <f ca="1">COUNTIF('Knock Out Stages'!L7:L50,BW181)</f>
        <v>0</v>
      </c>
      <c r="CH181" s="306">
        <f ca="1">COUNTIF('Knock Out Stages'!M7:M50,BW181)</f>
        <v>0</v>
      </c>
      <c r="CI181" s="306">
        <f ca="1">COUNTIF('Knock Out Stages'!N7:N50,BW181)</f>
        <v>0</v>
      </c>
      <c r="CJ181" s="306">
        <f ca="1">COUNTIF('Knock Out Stages'!O7:O50,BW181)</f>
        <v>0</v>
      </c>
      <c r="CK181" s="306">
        <f ca="1">COUNTIF('Knock Out Stages'!P7:P50,BW181)</f>
        <v>0</v>
      </c>
      <c r="CL181" s="306">
        <f ca="1">COUNTIF('Knock Out Stages'!Q7:Q50,BW181)</f>
        <v>0</v>
      </c>
      <c r="CM181" s="306">
        <f ca="1">COUNTIF('Knock Out Stages'!R7:R50,BW181)</f>
        <v>0</v>
      </c>
      <c r="CN181" s="306">
        <f ca="1">IF(RIGHT('Group Stages'!$B$105,5)="T.com",SUM(BX181:CM181),0)</f>
        <v>0</v>
      </c>
      <c r="CO181" s="306">
        <f ca="1">RANK(CN181,CN3:CN834)+COUNTIF(CN3:CN181,CN181)-1</f>
        <v>179</v>
      </c>
      <c r="CP181" s="306" t="str">
        <f t="shared" ca="1" si="143"/>
        <v>Tyler Adams (United States)</v>
      </c>
    </row>
    <row r="182" spans="72:94" x14ac:dyDescent="0.3">
      <c r="BT182" s="306" t="str">
        <f t="shared" ca="1" si="132"/>
        <v>United States</v>
      </c>
      <c r="BU182" s="306">
        <f t="shared" si="133"/>
        <v>23</v>
      </c>
      <c r="BV182" s="306">
        <f t="shared" si="134"/>
        <v>5</v>
      </c>
      <c r="BW182" s="306" t="str">
        <f ca="1">OFFSET(C3,BU182,BV182)</f>
        <v>Walker Zimmerman</v>
      </c>
      <c r="BX182" s="306">
        <f ca="1">COUNTIF('Group Stages'!J7:J102,BW182)</f>
        <v>0</v>
      </c>
      <c r="BY182" s="306">
        <f ca="1">COUNTIF('Group Stages'!K7:K102,BW182)</f>
        <v>0</v>
      </c>
      <c r="BZ182" s="306">
        <f ca="1">COUNTIF('Group Stages'!L7:L102,BW182)</f>
        <v>0</v>
      </c>
      <c r="CA182" s="306">
        <f ca="1">COUNTIF('Group Stages'!M7:M102,BW182)</f>
        <v>0</v>
      </c>
      <c r="CB182" s="306">
        <f ca="1">COUNTIF('Group Stages'!N7:N102,BW182)</f>
        <v>0</v>
      </c>
      <c r="CC182" s="306">
        <f ca="1">COUNTIF('Group Stages'!O7:O102,BW182)</f>
        <v>0</v>
      </c>
      <c r="CD182" s="306">
        <f ca="1">COUNTIF('Group Stages'!P7:P102,BW182)</f>
        <v>0</v>
      </c>
      <c r="CE182" s="306">
        <f ca="1">COUNTIF('Group Stages'!Q7:Q102,BW182)</f>
        <v>0</v>
      </c>
      <c r="CF182" s="306">
        <f ca="1">COUNTIF('Knock Out Stages'!K7:K50,BW182)</f>
        <v>0</v>
      </c>
      <c r="CG182" s="306">
        <f ca="1">COUNTIF('Knock Out Stages'!L7:L50,BW182)</f>
        <v>0</v>
      </c>
      <c r="CH182" s="306">
        <f ca="1">COUNTIF('Knock Out Stages'!M7:M50,BW182)</f>
        <v>0</v>
      </c>
      <c r="CI182" s="306">
        <f ca="1">COUNTIF('Knock Out Stages'!N7:N50,BW182)</f>
        <v>0</v>
      </c>
      <c r="CJ182" s="306">
        <f ca="1">COUNTIF('Knock Out Stages'!O7:O50,BW182)</f>
        <v>0</v>
      </c>
      <c r="CK182" s="306">
        <f ca="1">COUNTIF('Knock Out Stages'!P7:P50,BW182)</f>
        <v>0</v>
      </c>
      <c r="CL182" s="306">
        <f ca="1">COUNTIF('Knock Out Stages'!Q7:Q50,BW182)</f>
        <v>0</v>
      </c>
      <c r="CM182" s="306">
        <f ca="1">COUNTIF('Knock Out Stages'!R7:R50,BW182)</f>
        <v>0</v>
      </c>
      <c r="CN182" s="306">
        <f ca="1">IF(RIGHT('Group Stages'!$B$105,5)="T.com",SUM(BX182:CM182),0)</f>
        <v>0</v>
      </c>
      <c r="CO182" s="306">
        <f ca="1">RANK(CN182,CN3:CN834)+COUNTIF(CN3:CN182,CN182)-1</f>
        <v>180</v>
      </c>
      <c r="CP182" s="306" t="str">
        <f t="shared" ca="1" si="143"/>
        <v>Walker Zimmerman (United States)</v>
      </c>
    </row>
    <row r="183" spans="72:94" x14ac:dyDescent="0.3">
      <c r="BT183" s="306" t="str">
        <f t="shared" ca="1" si="132"/>
        <v>United States</v>
      </c>
      <c r="BU183" s="306">
        <f t="shared" si="133"/>
        <v>24</v>
      </c>
      <c r="BV183" s="306">
        <f t="shared" si="134"/>
        <v>5</v>
      </c>
      <c r="BW183" s="306" t="str">
        <f ca="1">OFFSET(C3,BU183,BV183)</f>
        <v>Weston McKennie</v>
      </c>
      <c r="BX183" s="306">
        <f ca="1">COUNTIF('Group Stages'!J7:J102,BW183)</f>
        <v>0</v>
      </c>
      <c r="BY183" s="306">
        <f ca="1">COUNTIF('Group Stages'!K7:K102,BW183)</f>
        <v>0</v>
      </c>
      <c r="BZ183" s="306">
        <f ca="1">COUNTIF('Group Stages'!L7:L102,BW183)</f>
        <v>0</v>
      </c>
      <c r="CA183" s="306">
        <f ca="1">COUNTIF('Group Stages'!M7:M102,BW183)</f>
        <v>0</v>
      </c>
      <c r="CB183" s="306">
        <f ca="1">COUNTIF('Group Stages'!N7:N102,BW183)</f>
        <v>0</v>
      </c>
      <c r="CC183" s="306">
        <f ca="1">COUNTIF('Group Stages'!O7:O102,BW183)</f>
        <v>0</v>
      </c>
      <c r="CD183" s="306">
        <f ca="1">COUNTIF('Group Stages'!P7:P102,BW183)</f>
        <v>0</v>
      </c>
      <c r="CE183" s="306">
        <f ca="1">COUNTIF('Group Stages'!Q7:Q102,BW183)</f>
        <v>0</v>
      </c>
      <c r="CF183" s="306">
        <f ca="1">COUNTIF('Knock Out Stages'!K7:K50,BW183)</f>
        <v>0</v>
      </c>
      <c r="CG183" s="306">
        <f ca="1">COUNTIF('Knock Out Stages'!L7:L50,BW183)</f>
        <v>0</v>
      </c>
      <c r="CH183" s="306">
        <f ca="1">COUNTIF('Knock Out Stages'!M7:M50,BW183)</f>
        <v>0</v>
      </c>
      <c r="CI183" s="306">
        <f ca="1">COUNTIF('Knock Out Stages'!N7:N50,BW183)</f>
        <v>0</v>
      </c>
      <c r="CJ183" s="306">
        <f ca="1">COUNTIF('Knock Out Stages'!O7:O50,BW183)</f>
        <v>0</v>
      </c>
      <c r="CK183" s="306">
        <f ca="1">COUNTIF('Knock Out Stages'!P7:P50,BW183)</f>
        <v>0</v>
      </c>
      <c r="CL183" s="306">
        <f ca="1">COUNTIF('Knock Out Stages'!Q7:Q50,BW183)</f>
        <v>0</v>
      </c>
      <c r="CM183" s="306">
        <f ca="1">COUNTIF('Knock Out Stages'!R7:R50,BW183)</f>
        <v>0</v>
      </c>
      <c r="CN183" s="306">
        <f ca="1">IF(RIGHT('Group Stages'!$B$105,5)="T.com",SUM(BX183:CM183),0)</f>
        <v>0</v>
      </c>
      <c r="CO183" s="306">
        <f ca="1">RANK(CN183,CN3:CN834)+COUNTIF(CN3:CN183,CN183)-1</f>
        <v>181</v>
      </c>
      <c r="CP183" s="306" t="str">
        <f t="shared" ca="1" si="143"/>
        <v>Weston McKennie (United States)</v>
      </c>
    </row>
    <row r="184" spans="72:94" x14ac:dyDescent="0.3">
      <c r="BT184" s="306" t="str">
        <f t="shared" ref="BT184:BT247" ca="1" si="179">BT183</f>
        <v>United States</v>
      </c>
      <c r="BU184" s="306">
        <f t="shared" ref="BU184:BU247" si="180">BU158</f>
        <v>25</v>
      </c>
      <c r="BV184" s="306">
        <f t="shared" ref="BV184:BV247" si="181">BV158+1</f>
        <v>5</v>
      </c>
      <c r="BW184" s="306" t="str">
        <f ca="1">OFFSET(C3,BU184,BV184)</f>
        <v>Yunus Musah</v>
      </c>
      <c r="BX184" s="306">
        <f ca="1">COUNTIF('Group Stages'!J7:J102,BW184)</f>
        <v>0</v>
      </c>
      <c r="BY184" s="306">
        <f ca="1">COUNTIF('Group Stages'!K7:K102,BW184)</f>
        <v>0</v>
      </c>
      <c r="BZ184" s="306">
        <f ca="1">COUNTIF('Group Stages'!L7:L102,BW184)</f>
        <v>0</v>
      </c>
      <c r="CA184" s="306">
        <f ca="1">COUNTIF('Group Stages'!M7:M102,BW184)</f>
        <v>0</v>
      </c>
      <c r="CB184" s="306">
        <f ca="1">COUNTIF('Group Stages'!N7:N102,BW184)</f>
        <v>0</v>
      </c>
      <c r="CC184" s="306">
        <f ca="1">COUNTIF('Group Stages'!O7:O102,BW184)</f>
        <v>0</v>
      </c>
      <c r="CD184" s="306">
        <f ca="1">COUNTIF('Group Stages'!P7:P102,BW184)</f>
        <v>0</v>
      </c>
      <c r="CE184" s="306">
        <f ca="1">COUNTIF('Group Stages'!Q7:Q102,BW184)</f>
        <v>0</v>
      </c>
      <c r="CF184" s="306">
        <f ca="1">COUNTIF('Knock Out Stages'!K7:K50,BW184)</f>
        <v>0</v>
      </c>
      <c r="CG184" s="306">
        <f ca="1">COUNTIF('Knock Out Stages'!L7:L50,BW184)</f>
        <v>0</v>
      </c>
      <c r="CH184" s="306">
        <f ca="1">COUNTIF('Knock Out Stages'!M7:M50,BW184)</f>
        <v>0</v>
      </c>
      <c r="CI184" s="306">
        <f ca="1">COUNTIF('Knock Out Stages'!N7:N50,BW184)</f>
        <v>0</v>
      </c>
      <c r="CJ184" s="306">
        <f ca="1">COUNTIF('Knock Out Stages'!O7:O50,BW184)</f>
        <v>0</v>
      </c>
      <c r="CK184" s="306">
        <f ca="1">COUNTIF('Knock Out Stages'!P7:P50,BW184)</f>
        <v>0</v>
      </c>
      <c r="CL184" s="306">
        <f ca="1">COUNTIF('Knock Out Stages'!Q7:Q50,BW184)</f>
        <v>0</v>
      </c>
      <c r="CM184" s="306">
        <f ca="1">COUNTIF('Knock Out Stages'!R7:R50,BW184)</f>
        <v>0</v>
      </c>
      <c r="CN184" s="306">
        <f ca="1">IF(RIGHT('Group Stages'!$B$105,5)="T.com",SUM(BX184:CM184),0)</f>
        <v>0</v>
      </c>
      <c r="CO184" s="306">
        <f ca="1">RANK(CN184,CN3:CN834)+COUNTIF(CN3:CN184,CN184)-1</f>
        <v>182</v>
      </c>
      <c r="CP184" s="306" t="str">
        <f t="shared" ca="1" si="143"/>
        <v>Yunus Musah (United States)</v>
      </c>
    </row>
    <row r="185" spans="72:94" x14ac:dyDescent="0.3">
      <c r="BT185" s="306" t="str">
        <f ca="1">OFFSET(C2,BU185,BV185)</f>
        <v>Wales</v>
      </c>
      <c r="BU185" s="306">
        <f t="shared" si="180"/>
        <v>0</v>
      </c>
      <c r="BV185" s="306">
        <f t="shared" si="181"/>
        <v>6</v>
      </c>
      <c r="BW185" s="306" t="str">
        <f ca="1">OFFSET(C3,BU185,BV185)</f>
        <v>Aaron Ramsey</v>
      </c>
      <c r="BX185" s="306">
        <f ca="1">COUNTIF('Group Stages'!J7:J102,BW185)</f>
        <v>0</v>
      </c>
      <c r="BY185" s="306">
        <f ca="1">COUNTIF('Group Stages'!K7:K102,BW185)</f>
        <v>0</v>
      </c>
      <c r="BZ185" s="306">
        <f ca="1">COUNTIF('Group Stages'!L7:L102,BW185)</f>
        <v>0</v>
      </c>
      <c r="CA185" s="306">
        <f ca="1">COUNTIF('Group Stages'!M7:M102,BW185)</f>
        <v>0</v>
      </c>
      <c r="CB185" s="306">
        <f ca="1">COUNTIF('Group Stages'!N7:N102,BW185)</f>
        <v>0</v>
      </c>
      <c r="CC185" s="306">
        <f ca="1">COUNTIF('Group Stages'!O7:O102,BW185)</f>
        <v>0</v>
      </c>
      <c r="CD185" s="306">
        <f ca="1">COUNTIF('Group Stages'!P7:P102,BW185)</f>
        <v>0</v>
      </c>
      <c r="CE185" s="306">
        <f ca="1">COUNTIF('Group Stages'!Q7:Q102,BW185)</f>
        <v>0</v>
      </c>
      <c r="CF185" s="306">
        <f ca="1">COUNTIF('Knock Out Stages'!K7:K50,BW185)</f>
        <v>0</v>
      </c>
      <c r="CG185" s="306">
        <f ca="1">COUNTIF('Knock Out Stages'!L7:L50,BW185)</f>
        <v>0</v>
      </c>
      <c r="CH185" s="306">
        <f ca="1">COUNTIF('Knock Out Stages'!M7:M50,BW185)</f>
        <v>0</v>
      </c>
      <c r="CI185" s="306">
        <f ca="1">COUNTIF('Knock Out Stages'!N7:N50,BW185)</f>
        <v>0</v>
      </c>
      <c r="CJ185" s="306">
        <f ca="1">COUNTIF('Knock Out Stages'!O7:O50,BW185)</f>
        <v>0</v>
      </c>
      <c r="CK185" s="306">
        <f ca="1">COUNTIF('Knock Out Stages'!P7:P50,BW185)</f>
        <v>0</v>
      </c>
      <c r="CL185" s="306">
        <f ca="1">COUNTIF('Knock Out Stages'!Q7:Q50,BW185)</f>
        <v>0</v>
      </c>
      <c r="CM185" s="306">
        <f ca="1">COUNTIF('Knock Out Stages'!R7:R50,BW185)</f>
        <v>0</v>
      </c>
      <c r="CN185" s="306">
        <f ca="1">IF(RIGHT('Group Stages'!$B$105,5)="T.com",SUM(BX185:CM185),0)</f>
        <v>0</v>
      </c>
      <c r="CO185" s="306">
        <f ca="1">RANK(CN185,CN3:CN834)+COUNTIF(CN3:CN185,CN185)-1</f>
        <v>183</v>
      </c>
      <c r="CP185" s="306" t="str">
        <f t="shared" ca="1" si="143"/>
        <v>Aaron Ramsey (Wales)</v>
      </c>
    </row>
    <row r="186" spans="72:94" x14ac:dyDescent="0.3">
      <c r="BT186" s="306" t="str">
        <f t="shared" ref="BT186" ca="1" si="182">BT185</f>
        <v>Wales</v>
      </c>
      <c r="BU186" s="306">
        <f t="shared" si="180"/>
        <v>1</v>
      </c>
      <c r="BV186" s="306">
        <f t="shared" si="181"/>
        <v>6</v>
      </c>
      <c r="BW186" s="306" t="str">
        <f ca="1">OFFSET(C3,BU186,BV186)</f>
        <v>Adam Davies</v>
      </c>
      <c r="BX186" s="306">
        <f ca="1">COUNTIF('Group Stages'!J7:J102,BW186)</f>
        <v>0</v>
      </c>
      <c r="BY186" s="306">
        <f ca="1">COUNTIF('Group Stages'!K7:K102,BW186)</f>
        <v>0</v>
      </c>
      <c r="BZ186" s="306">
        <f ca="1">COUNTIF('Group Stages'!L7:L102,BW186)</f>
        <v>0</v>
      </c>
      <c r="CA186" s="306">
        <f ca="1">COUNTIF('Group Stages'!M7:M102,BW186)</f>
        <v>0</v>
      </c>
      <c r="CB186" s="306">
        <f ca="1">COUNTIF('Group Stages'!N7:N102,BW186)</f>
        <v>0</v>
      </c>
      <c r="CC186" s="306">
        <f ca="1">COUNTIF('Group Stages'!O7:O102,BW186)</f>
        <v>0</v>
      </c>
      <c r="CD186" s="306">
        <f ca="1">COUNTIF('Group Stages'!P7:P102,BW186)</f>
        <v>0</v>
      </c>
      <c r="CE186" s="306">
        <f ca="1">COUNTIF('Group Stages'!Q7:Q102,BW186)</f>
        <v>0</v>
      </c>
      <c r="CF186" s="306">
        <f ca="1">COUNTIF('Knock Out Stages'!K7:K50,BW186)</f>
        <v>0</v>
      </c>
      <c r="CG186" s="306">
        <f ca="1">COUNTIF('Knock Out Stages'!L7:L50,BW186)</f>
        <v>0</v>
      </c>
      <c r="CH186" s="306">
        <f ca="1">COUNTIF('Knock Out Stages'!M7:M50,BW186)</f>
        <v>0</v>
      </c>
      <c r="CI186" s="306">
        <f ca="1">COUNTIF('Knock Out Stages'!N7:N50,BW186)</f>
        <v>0</v>
      </c>
      <c r="CJ186" s="306">
        <f ca="1">COUNTIF('Knock Out Stages'!O7:O50,BW186)</f>
        <v>0</v>
      </c>
      <c r="CK186" s="306">
        <f ca="1">COUNTIF('Knock Out Stages'!P7:P50,BW186)</f>
        <v>0</v>
      </c>
      <c r="CL186" s="306">
        <f ca="1">COUNTIF('Knock Out Stages'!Q7:Q50,BW186)</f>
        <v>0</v>
      </c>
      <c r="CM186" s="306">
        <f ca="1">COUNTIF('Knock Out Stages'!R7:R50,BW186)</f>
        <v>0</v>
      </c>
      <c r="CN186" s="306">
        <f ca="1">IF(RIGHT('Group Stages'!$B$105,5)="T.com",SUM(BX186:CM186),0)</f>
        <v>0</v>
      </c>
      <c r="CO186" s="306">
        <f ca="1">RANK(CN186,CN3:CN834)+COUNTIF(CN3:CN186,CN186)-1</f>
        <v>184</v>
      </c>
      <c r="CP186" s="306" t="str">
        <f t="shared" ca="1" si="143"/>
        <v>Adam Davies (Wales)</v>
      </c>
    </row>
    <row r="187" spans="72:94" x14ac:dyDescent="0.3">
      <c r="BT187" s="306" t="str">
        <f t="shared" ca="1" si="179"/>
        <v>Wales</v>
      </c>
      <c r="BU187" s="306">
        <f t="shared" si="180"/>
        <v>2</v>
      </c>
      <c r="BV187" s="306">
        <f t="shared" si="181"/>
        <v>6</v>
      </c>
      <c r="BW187" s="306" t="str">
        <f ca="1">OFFSET(C3,BU187,BV187)</f>
        <v>Ben Cabango</v>
      </c>
      <c r="BX187" s="306">
        <f ca="1">COUNTIF('Group Stages'!J7:J102,BW187)</f>
        <v>0</v>
      </c>
      <c r="BY187" s="306">
        <f ca="1">COUNTIF('Group Stages'!K7:K102,BW187)</f>
        <v>0</v>
      </c>
      <c r="BZ187" s="306">
        <f ca="1">COUNTIF('Group Stages'!L7:L102,BW187)</f>
        <v>0</v>
      </c>
      <c r="CA187" s="306">
        <f ca="1">COUNTIF('Group Stages'!M7:M102,BW187)</f>
        <v>0</v>
      </c>
      <c r="CB187" s="306">
        <f ca="1">COUNTIF('Group Stages'!N7:N102,BW187)</f>
        <v>0</v>
      </c>
      <c r="CC187" s="306">
        <f ca="1">COUNTIF('Group Stages'!O7:O102,BW187)</f>
        <v>0</v>
      </c>
      <c r="CD187" s="306">
        <f ca="1">COUNTIF('Group Stages'!P7:P102,BW187)</f>
        <v>0</v>
      </c>
      <c r="CE187" s="306">
        <f ca="1">COUNTIF('Group Stages'!Q7:Q102,BW187)</f>
        <v>0</v>
      </c>
      <c r="CF187" s="306">
        <f ca="1">COUNTIF('Knock Out Stages'!K7:K50,BW187)</f>
        <v>0</v>
      </c>
      <c r="CG187" s="306">
        <f ca="1">COUNTIF('Knock Out Stages'!L7:L50,BW187)</f>
        <v>0</v>
      </c>
      <c r="CH187" s="306">
        <f ca="1">COUNTIF('Knock Out Stages'!M7:M50,BW187)</f>
        <v>0</v>
      </c>
      <c r="CI187" s="306">
        <f ca="1">COUNTIF('Knock Out Stages'!N7:N50,BW187)</f>
        <v>0</v>
      </c>
      <c r="CJ187" s="306">
        <f ca="1">COUNTIF('Knock Out Stages'!O7:O50,BW187)</f>
        <v>0</v>
      </c>
      <c r="CK187" s="306">
        <f ca="1">COUNTIF('Knock Out Stages'!P7:P50,BW187)</f>
        <v>0</v>
      </c>
      <c r="CL187" s="306">
        <f ca="1">COUNTIF('Knock Out Stages'!Q7:Q50,BW187)</f>
        <v>0</v>
      </c>
      <c r="CM187" s="306">
        <f ca="1">COUNTIF('Knock Out Stages'!R7:R50,BW187)</f>
        <v>0</v>
      </c>
      <c r="CN187" s="306">
        <f ca="1">IF(RIGHT('Group Stages'!$B$105,5)="T.com",SUM(BX187:CM187),0)</f>
        <v>0</v>
      </c>
      <c r="CO187" s="306">
        <f ca="1">RANK(CN187,CN3:CN834)+COUNTIF(CN3:CN187,CN187)-1</f>
        <v>185</v>
      </c>
      <c r="CP187" s="306" t="str">
        <f t="shared" ca="1" si="143"/>
        <v>Ben Cabango (Wales)</v>
      </c>
    </row>
    <row r="188" spans="72:94" x14ac:dyDescent="0.3">
      <c r="BT188" s="306" t="str">
        <f t="shared" ca="1" si="179"/>
        <v>Wales</v>
      </c>
      <c r="BU188" s="306">
        <f t="shared" si="180"/>
        <v>3</v>
      </c>
      <c r="BV188" s="306">
        <f t="shared" si="181"/>
        <v>6</v>
      </c>
      <c r="BW188" s="306" t="str">
        <f ca="1">OFFSET(C3,BU188,BV188)</f>
        <v>Ben Davies</v>
      </c>
      <c r="BX188" s="306">
        <f ca="1">COUNTIF('Group Stages'!J7:J102,BW188)</f>
        <v>0</v>
      </c>
      <c r="BY188" s="306">
        <f ca="1">COUNTIF('Group Stages'!K7:K102,BW188)</f>
        <v>0</v>
      </c>
      <c r="BZ188" s="306">
        <f ca="1">COUNTIF('Group Stages'!L7:L102,BW188)</f>
        <v>0</v>
      </c>
      <c r="CA188" s="306">
        <f ca="1">COUNTIF('Group Stages'!M7:M102,BW188)</f>
        <v>0</v>
      </c>
      <c r="CB188" s="306">
        <f ca="1">COUNTIF('Group Stages'!N7:N102,BW188)</f>
        <v>0</v>
      </c>
      <c r="CC188" s="306">
        <f ca="1">COUNTIF('Group Stages'!O7:O102,BW188)</f>
        <v>0</v>
      </c>
      <c r="CD188" s="306">
        <f ca="1">COUNTIF('Group Stages'!P7:P102,BW188)</f>
        <v>0</v>
      </c>
      <c r="CE188" s="306">
        <f ca="1">COUNTIF('Group Stages'!Q7:Q102,BW188)</f>
        <v>0</v>
      </c>
      <c r="CF188" s="306">
        <f ca="1">COUNTIF('Knock Out Stages'!K7:K50,BW188)</f>
        <v>0</v>
      </c>
      <c r="CG188" s="306">
        <f ca="1">COUNTIF('Knock Out Stages'!L7:L50,BW188)</f>
        <v>0</v>
      </c>
      <c r="CH188" s="306">
        <f ca="1">COUNTIF('Knock Out Stages'!M7:M50,BW188)</f>
        <v>0</v>
      </c>
      <c r="CI188" s="306">
        <f ca="1">COUNTIF('Knock Out Stages'!N7:N50,BW188)</f>
        <v>0</v>
      </c>
      <c r="CJ188" s="306">
        <f ca="1">COUNTIF('Knock Out Stages'!O7:O50,BW188)</f>
        <v>0</v>
      </c>
      <c r="CK188" s="306">
        <f ca="1">COUNTIF('Knock Out Stages'!P7:P50,BW188)</f>
        <v>0</v>
      </c>
      <c r="CL188" s="306">
        <f ca="1">COUNTIF('Knock Out Stages'!Q7:Q50,BW188)</f>
        <v>0</v>
      </c>
      <c r="CM188" s="306">
        <f ca="1">COUNTIF('Knock Out Stages'!R7:R50,BW188)</f>
        <v>0</v>
      </c>
      <c r="CN188" s="306">
        <f ca="1">IF(RIGHT('Group Stages'!$B$105,5)="T.com",SUM(BX188:CM188),0)</f>
        <v>0</v>
      </c>
      <c r="CO188" s="306">
        <f ca="1">RANK(CN188,CN3:CN834)+COUNTIF(CN3:CN188,CN188)-1</f>
        <v>186</v>
      </c>
      <c r="CP188" s="306" t="str">
        <f t="shared" ca="1" si="143"/>
        <v>Ben Davies (Wales)</v>
      </c>
    </row>
    <row r="189" spans="72:94" x14ac:dyDescent="0.3">
      <c r="BT189" s="306" t="str">
        <f t="shared" ca="1" si="179"/>
        <v>Wales</v>
      </c>
      <c r="BU189" s="306">
        <f t="shared" si="180"/>
        <v>4</v>
      </c>
      <c r="BV189" s="306">
        <f t="shared" si="181"/>
        <v>6</v>
      </c>
      <c r="BW189" s="306" t="str">
        <f ca="1">OFFSET(C3,BU189,BV189)</f>
        <v>Brennan Johnson</v>
      </c>
      <c r="BX189" s="306">
        <f ca="1">COUNTIF('Group Stages'!J7:J102,BW189)</f>
        <v>0</v>
      </c>
      <c r="BY189" s="306">
        <f ca="1">COUNTIF('Group Stages'!K7:K102,BW189)</f>
        <v>0</v>
      </c>
      <c r="BZ189" s="306">
        <f ca="1">COUNTIF('Group Stages'!L7:L102,BW189)</f>
        <v>0</v>
      </c>
      <c r="CA189" s="306">
        <f ca="1">COUNTIF('Group Stages'!M7:M102,BW189)</f>
        <v>0</v>
      </c>
      <c r="CB189" s="306">
        <f ca="1">COUNTIF('Group Stages'!N7:N102,BW189)</f>
        <v>0</v>
      </c>
      <c r="CC189" s="306">
        <f ca="1">COUNTIF('Group Stages'!O7:O102,BW189)</f>
        <v>0</v>
      </c>
      <c r="CD189" s="306">
        <f ca="1">COUNTIF('Group Stages'!P7:P102,BW189)</f>
        <v>0</v>
      </c>
      <c r="CE189" s="306">
        <f ca="1">COUNTIF('Group Stages'!Q7:Q102,BW189)</f>
        <v>0</v>
      </c>
      <c r="CF189" s="306">
        <f ca="1">COUNTIF('Knock Out Stages'!K7:K50,BW189)</f>
        <v>0</v>
      </c>
      <c r="CG189" s="306">
        <f ca="1">COUNTIF('Knock Out Stages'!L7:L50,BW189)</f>
        <v>0</v>
      </c>
      <c r="CH189" s="306">
        <f ca="1">COUNTIF('Knock Out Stages'!M7:M50,BW189)</f>
        <v>0</v>
      </c>
      <c r="CI189" s="306">
        <f ca="1">COUNTIF('Knock Out Stages'!N7:N50,BW189)</f>
        <v>0</v>
      </c>
      <c r="CJ189" s="306">
        <f ca="1">COUNTIF('Knock Out Stages'!O7:O50,BW189)</f>
        <v>0</v>
      </c>
      <c r="CK189" s="306">
        <f ca="1">COUNTIF('Knock Out Stages'!P7:P50,BW189)</f>
        <v>0</v>
      </c>
      <c r="CL189" s="306">
        <f ca="1">COUNTIF('Knock Out Stages'!Q7:Q50,BW189)</f>
        <v>0</v>
      </c>
      <c r="CM189" s="306">
        <f ca="1">COUNTIF('Knock Out Stages'!R7:R50,BW189)</f>
        <v>0</v>
      </c>
      <c r="CN189" s="306">
        <f ca="1">IF(RIGHT('Group Stages'!$B$105,5)="T.com",SUM(BX189:CM189),0)</f>
        <v>0</v>
      </c>
      <c r="CO189" s="306">
        <f ca="1">RANK(CN189,CN3:CN834)+COUNTIF(CN3:CN189,CN189)-1</f>
        <v>187</v>
      </c>
      <c r="CP189" s="306" t="str">
        <f t="shared" ca="1" si="143"/>
        <v>Brennan Johnson (Wales)</v>
      </c>
    </row>
    <row r="190" spans="72:94" x14ac:dyDescent="0.3">
      <c r="BT190" s="306" t="str">
        <f t="shared" ca="1" si="179"/>
        <v>Wales</v>
      </c>
      <c r="BU190" s="306">
        <f t="shared" si="180"/>
        <v>5</v>
      </c>
      <c r="BV190" s="306">
        <f t="shared" si="181"/>
        <v>6</v>
      </c>
      <c r="BW190" s="306" t="str">
        <f ca="1">OFFSET(C3,BU190,BV190)</f>
        <v>Chris Gunter</v>
      </c>
      <c r="BX190" s="306">
        <f ca="1">COUNTIF('Group Stages'!J7:J102,BW190)</f>
        <v>0</v>
      </c>
      <c r="BY190" s="306">
        <f ca="1">COUNTIF('Group Stages'!K7:K102,BW190)</f>
        <v>0</v>
      </c>
      <c r="BZ190" s="306">
        <f ca="1">COUNTIF('Group Stages'!L7:L102,BW190)</f>
        <v>0</v>
      </c>
      <c r="CA190" s="306">
        <f ca="1">COUNTIF('Group Stages'!M7:M102,BW190)</f>
        <v>0</v>
      </c>
      <c r="CB190" s="306">
        <f ca="1">COUNTIF('Group Stages'!N7:N102,BW190)</f>
        <v>0</v>
      </c>
      <c r="CC190" s="306">
        <f ca="1">COUNTIF('Group Stages'!O7:O102,BW190)</f>
        <v>0</v>
      </c>
      <c r="CD190" s="306">
        <f ca="1">COUNTIF('Group Stages'!P7:P102,BW190)</f>
        <v>0</v>
      </c>
      <c r="CE190" s="306">
        <f ca="1">COUNTIF('Group Stages'!Q7:Q102,BW190)</f>
        <v>0</v>
      </c>
      <c r="CF190" s="306">
        <f ca="1">COUNTIF('Knock Out Stages'!K7:K50,BW190)</f>
        <v>0</v>
      </c>
      <c r="CG190" s="306">
        <f ca="1">COUNTIF('Knock Out Stages'!L7:L50,BW190)</f>
        <v>0</v>
      </c>
      <c r="CH190" s="306">
        <f ca="1">COUNTIF('Knock Out Stages'!M7:M50,BW190)</f>
        <v>0</v>
      </c>
      <c r="CI190" s="306">
        <f ca="1">COUNTIF('Knock Out Stages'!N7:N50,BW190)</f>
        <v>0</v>
      </c>
      <c r="CJ190" s="306">
        <f ca="1">COUNTIF('Knock Out Stages'!O7:O50,BW190)</f>
        <v>0</v>
      </c>
      <c r="CK190" s="306">
        <f ca="1">COUNTIF('Knock Out Stages'!P7:P50,BW190)</f>
        <v>0</v>
      </c>
      <c r="CL190" s="306">
        <f ca="1">COUNTIF('Knock Out Stages'!Q7:Q50,BW190)</f>
        <v>0</v>
      </c>
      <c r="CM190" s="306">
        <f ca="1">COUNTIF('Knock Out Stages'!R7:R50,BW190)</f>
        <v>0</v>
      </c>
      <c r="CN190" s="306">
        <f ca="1">IF(RIGHT('Group Stages'!$B$105,5)="T.com",SUM(BX190:CM190),0)</f>
        <v>0</v>
      </c>
      <c r="CO190" s="306">
        <f ca="1">RANK(CN190,CN3:CN834)+COUNTIF(CN3:CN190,CN190)-1</f>
        <v>188</v>
      </c>
      <c r="CP190" s="306" t="str">
        <f t="shared" ca="1" si="143"/>
        <v>Chris Gunter (Wales)</v>
      </c>
    </row>
    <row r="191" spans="72:94" x14ac:dyDescent="0.3">
      <c r="BT191" s="306" t="str">
        <f t="shared" ca="1" si="179"/>
        <v>Wales</v>
      </c>
      <c r="BU191" s="306">
        <f t="shared" si="180"/>
        <v>6</v>
      </c>
      <c r="BV191" s="306">
        <f t="shared" si="181"/>
        <v>6</v>
      </c>
      <c r="BW191" s="306" t="str">
        <f ca="1">OFFSET(C3,BU191,BV191)</f>
        <v>Chris Mepham</v>
      </c>
      <c r="BX191" s="306">
        <f ca="1">COUNTIF('Group Stages'!J7:J102,BW191)</f>
        <v>0</v>
      </c>
      <c r="BY191" s="306">
        <f ca="1">COUNTIF('Group Stages'!K7:K102,BW191)</f>
        <v>0</v>
      </c>
      <c r="BZ191" s="306">
        <f ca="1">COUNTIF('Group Stages'!L7:L102,BW191)</f>
        <v>0</v>
      </c>
      <c r="CA191" s="306">
        <f ca="1">COUNTIF('Group Stages'!M7:M102,BW191)</f>
        <v>0</v>
      </c>
      <c r="CB191" s="306">
        <f ca="1">COUNTIF('Group Stages'!N7:N102,BW191)</f>
        <v>0</v>
      </c>
      <c r="CC191" s="306">
        <f ca="1">COUNTIF('Group Stages'!O7:O102,BW191)</f>
        <v>0</v>
      </c>
      <c r="CD191" s="306">
        <f ca="1">COUNTIF('Group Stages'!P7:P102,BW191)</f>
        <v>0</v>
      </c>
      <c r="CE191" s="306">
        <f ca="1">COUNTIF('Group Stages'!Q7:Q102,BW191)</f>
        <v>0</v>
      </c>
      <c r="CF191" s="306">
        <f ca="1">COUNTIF('Knock Out Stages'!K7:K50,BW191)</f>
        <v>0</v>
      </c>
      <c r="CG191" s="306">
        <f ca="1">COUNTIF('Knock Out Stages'!L7:L50,BW191)</f>
        <v>0</v>
      </c>
      <c r="CH191" s="306">
        <f ca="1">COUNTIF('Knock Out Stages'!M7:M50,BW191)</f>
        <v>0</v>
      </c>
      <c r="CI191" s="306">
        <f ca="1">COUNTIF('Knock Out Stages'!N7:N50,BW191)</f>
        <v>0</v>
      </c>
      <c r="CJ191" s="306">
        <f ca="1">COUNTIF('Knock Out Stages'!O7:O50,BW191)</f>
        <v>0</v>
      </c>
      <c r="CK191" s="306">
        <f ca="1">COUNTIF('Knock Out Stages'!P7:P50,BW191)</f>
        <v>0</v>
      </c>
      <c r="CL191" s="306">
        <f ca="1">COUNTIF('Knock Out Stages'!Q7:Q50,BW191)</f>
        <v>0</v>
      </c>
      <c r="CM191" s="306">
        <f ca="1">COUNTIF('Knock Out Stages'!R7:R50,BW191)</f>
        <v>0</v>
      </c>
      <c r="CN191" s="306">
        <f ca="1">IF(RIGHT('Group Stages'!$B$105,5)="T.com",SUM(BX191:CM191),0)</f>
        <v>0</v>
      </c>
      <c r="CO191" s="306">
        <f ca="1">RANK(CN191,CN3:CN834)+COUNTIF(CN3:CN191,CN191)-1</f>
        <v>189</v>
      </c>
      <c r="CP191" s="306" t="str">
        <f t="shared" ca="1" si="143"/>
        <v>Chris Mepham (Wales)</v>
      </c>
    </row>
    <row r="192" spans="72:94" x14ac:dyDescent="0.3">
      <c r="BT192" s="306" t="str">
        <f t="shared" ca="1" si="179"/>
        <v>Wales</v>
      </c>
      <c r="BU192" s="306">
        <f t="shared" si="180"/>
        <v>7</v>
      </c>
      <c r="BV192" s="306">
        <f t="shared" si="181"/>
        <v>6</v>
      </c>
      <c r="BW192" s="306" t="str">
        <f ca="1">OFFSET(C3,BU192,BV192)</f>
        <v>Connor Roberts</v>
      </c>
      <c r="BX192" s="306">
        <f ca="1">COUNTIF('Group Stages'!J7:J102,BW192)</f>
        <v>0</v>
      </c>
      <c r="BY192" s="306">
        <f ca="1">COUNTIF('Group Stages'!K7:K102,BW192)</f>
        <v>0</v>
      </c>
      <c r="BZ192" s="306">
        <f ca="1">COUNTIF('Group Stages'!L7:L102,BW192)</f>
        <v>0</v>
      </c>
      <c r="CA192" s="306">
        <f ca="1">COUNTIF('Group Stages'!M7:M102,BW192)</f>
        <v>0</v>
      </c>
      <c r="CB192" s="306">
        <f ca="1">COUNTIF('Group Stages'!N7:N102,BW192)</f>
        <v>0</v>
      </c>
      <c r="CC192" s="306">
        <f ca="1">COUNTIF('Group Stages'!O7:O102,BW192)</f>
        <v>0</v>
      </c>
      <c r="CD192" s="306">
        <f ca="1">COUNTIF('Group Stages'!P7:P102,BW192)</f>
        <v>0</v>
      </c>
      <c r="CE192" s="306">
        <f ca="1">COUNTIF('Group Stages'!Q7:Q102,BW192)</f>
        <v>0</v>
      </c>
      <c r="CF192" s="306">
        <f ca="1">COUNTIF('Knock Out Stages'!K7:K50,BW192)</f>
        <v>0</v>
      </c>
      <c r="CG192" s="306">
        <f ca="1">COUNTIF('Knock Out Stages'!L7:L50,BW192)</f>
        <v>0</v>
      </c>
      <c r="CH192" s="306">
        <f ca="1">COUNTIF('Knock Out Stages'!M7:M50,BW192)</f>
        <v>0</v>
      </c>
      <c r="CI192" s="306">
        <f ca="1">COUNTIF('Knock Out Stages'!N7:N50,BW192)</f>
        <v>0</v>
      </c>
      <c r="CJ192" s="306">
        <f ca="1">COUNTIF('Knock Out Stages'!O7:O50,BW192)</f>
        <v>0</v>
      </c>
      <c r="CK192" s="306">
        <f ca="1">COUNTIF('Knock Out Stages'!P7:P50,BW192)</f>
        <v>0</v>
      </c>
      <c r="CL192" s="306">
        <f ca="1">COUNTIF('Knock Out Stages'!Q7:Q50,BW192)</f>
        <v>0</v>
      </c>
      <c r="CM192" s="306">
        <f ca="1">COUNTIF('Knock Out Stages'!R7:R50,BW192)</f>
        <v>0</v>
      </c>
      <c r="CN192" s="306">
        <f ca="1">IF(RIGHT('Group Stages'!$B$105,5)="T.com",SUM(BX192:CM192),0)</f>
        <v>0</v>
      </c>
      <c r="CO192" s="306">
        <f ca="1">RANK(CN192,CN3:CN834)+COUNTIF(CN3:CN192,CN192)-1</f>
        <v>190</v>
      </c>
      <c r="CP192" s="306" t="str">
        <f t="shared" ca="1" si="143"/>
        <v>Connor Roberts (Wales)</v>
      </c>
    </row>
    <row r="193" spans="72:94" x14ac:dyDescent="0.3">
      <c r="BT193" s="306" t="str">
        <f t="shared" ca="1" si="179"/>
        <v>Wales</v>
      </c>
      <c r="BU193" s="306">
        <f t="shared" si="180"/>
        <v>8</v>
      </c>
      <c r="BV193" s="306">
        <f t="shared" si="181"/>
        <v>6</v>
      </c>
      <c r="BW193" s="306" t="str">
        <f ca="1">OFFSET(C3,BU193,BV193)</f>
        <v>Daniel James</v>
      </c>
      <c r="BX193" s="306">
        <f ca="1">COUNTIF('Group Stages'!J7:J102,BW193)</f>
        <v>0</v>
      </c>
      <c r="BY193" s="306">
        <f ca="1">COUNTIF('Group Stages'!K7:K102,BW193)</f>
        <v>0</v>
      </c>
      <c r="BZ193" s="306">
        <f ca="1">COUNTIF('Group Stages'!L7:L102,BW193)</f>
        <v>0</v>
      </c>
      <c r="CA193" s="306">
        <f ca="1">COUNTIF('Group Stages'!M7:M102,BW193)</f>
        <v>0</v>
      </c>
      <c r="CB193" s="306">
        <f ca="1">COUNTIF('Group Stages'!N7:N102,BW193)</f>
        <v>0</v>
      </c>
      <c r="CC193" s="306">
        <f ca="1">COUNTIF('Group Stages'!O7:O102,BW193)</f>
        <v>0</v>
      </c>
      <c r="CD193" s="306">
        <f ca="1">COUNTIF('Group Stages'!P7:P102,BW193)</f>
        <v>0</v>
      </c>
      <c r="CE193" s="306">
        <f ca="1">COUNTIF('Group Stages'!Q7:Q102,BW193)</f>
        <v>0</v>
      </c>
      <c r="CF193" s="306">
        <f ca="1">COUNTIF('Knock Out Stages'!K7:K50,BW193)</f>
        <v>0</v>
      </c>
      <c r="CG193" s="306">
        <f ca="1">COUNTIF('Knock Out Stages'!L7:L50,BW193)</f>
        <v>0</v>
      </c>
      <c r="CH193" s="306">
        <f ca="1">COUNTIF('Knock Out Stages'!M7:M50,BW193)</f>
        <v>0</v>
      </c>
      <c r="CI193" s="306">
        <f ca="1">COUNTIF('Knock Out Stages'!N7:N50,BW193)</f>
        <v>0</v>
      </c>
      <c r="CJ193" s="306">
        <f ca="1">COUNTIF('Knock Out Stages'!O7:O50,BW193)</f>
        <v>0</v>
      </c>
      <c r="CK193" s="306">
        <f ca="1">COUNTIF('Knock Out Stages'!P7:P50,BW193)</f>
        <v>0</v>
      </c>
      <c r="CL193" s="306">
        <f ca="1">COUNTIF('Knock Out Stages'!Q7:Q50,BW193)</f>
        <v>0</v>
      </c>
      <c r="CM193" s="306">
        <f ca="1">COUNTIF('Knock Out Stages'!R7:R50,BW193)</f>
        <v>0</v>
      </c>
      <c r="CN193" s="306">
        <f ca="1">IF(RIGHT('Group Stages'!$B$105,5)="T.com",SUM(BX193:CM193),0)</f>
        <v>0</v>
      </c>
      <c r="CO193" s="306">
        <f ca="1">RANK(CN193,CN3:CN834)+COUNTIF(CN3:CN193,CN193)-1</f>
        <v>191</v>
      </c>
      <c r="CP193" s="306" t="str">
        <f t="shared" ca="1" si="143"/>
        <v>Daniel James (Wales)</v>
      </c>
    </row>
    <row r="194" spans="72:94" x14ac:dyDescent="0.3">
      <c r="BT194" s="306" t="str">
        <f t="shared" ca="1" si="179"/>
        <v>Wales</v>
      </c>
      <c r="BU194" s="306">
        <f t="shared" si="180"/>
        <v>9</v>
      </c>
      <c r="BV194" s="306">
        <f t="shared" si="181"/>
        <v>6</v>
      </c>
      <c r="BW194" s="306" t="str">
        <f ca="1">OFFSET(C3,BU194,BV194)</f>
        <v>Danny Ward</v>
      </c>
      <c r="BX194" s="306">
        <f ca="1">COUNTIF('Group Stages'!J7:J102,BW194)</f>
        <v>0</v>
      </c>
      <c r="BY194" s="306">
        <f ca="1">COUNTIF('Group Stages'!K7:K102,BW194)</f>
        <v>0</v>
      </c>
      <c r="BZ194" s="306">
        <f ca="1">COUNTIF('Group Stages'!L7:L102,BW194)</f>
        <v>0</v>
      </c>
      <c r="CA194" s="306">
        <f ca="1">COUNTIF('Group Stages'!M7:M102,BW194)</f>
        <v>0</v>
      </c>
      <c r="CB194" s="306">
        <f ca="1">COUNTIF('Group Stages'!N7:N102,BW194)</f>
        <v>0</v>
      </c>
      <c r="CC194" s="306">
        <f ca="1">COUNTIF('Group Stages'!O7:O102,BW194)</f>
        <v>0</v>
      </c>
      <c r="CD194" s="306">
        <f ca="1">COUNTIF('Group Stages'!P7:P102,BW194)</f>
        <v>0</v>
      </c>
      <c r="CE194" s="306">
        <f ca="1">COUNTIF('Group Stages'!Q7:Q102,BW194)</f>
        <v>0</v>
      </c>
      <c r="CF194" s="306">
        <f ca="1">COUNTIF('Knock Out Stages'!K7:K50,BW194)</f>
        <v>0</v>
      </c>
      <c r="CG194" s="306">
        <f ca="1">COUNTIF('Knock Out Stages'!L7:L50,BW194)</f>
        <v>0</v>
      </c>
      <c r="CH194" s="306">
        <f ca="1">COUNTIF('Knock Out Stages'!M7:M50,BW194)</f>
        <v>0</v>
      </c>
      <c r="CI194" s="306">
        <f ca="1">COUNTIF('Knock Out Stages'!N7:N50,BW194)</f>
        <v>0</v>
      </c>
      <c r="CJ194" s="306">
        <f ca="1">COUNTIF('Knock Out Stages'!O7:O50,BW194)</f>
        <v>0</v>
      </c>
      <c r="CK194" s="306">
        <f ca="1">COUNTIF('Knock Out Stages'!P7:P50,BW194)</f>
        <v>0</v>
      </c>
      <c r="CL194" s="306">
        <f ca="1">COUNTIF('Knock Out Stages'!Q7:Q50,BW194)</f>
        <v>0</v>
      </c>
      <c r="CM194" s="306">
        <f ca="1">COUNTIF('Knock Out Stages'!R7:R50,BW194)</f>
        <v>0</v>
      </c>
      <c r="CN194" s="306">
        <f ca="1">IF(RIGHT('Group Stages'!$B$105,5)="T.com",SUM(BX194:CM194),0)</f>
        <v>0</v>
      </c>
      <c r="CO194" s="306">
        <f ca="1">RANK(CN194,CN3:CN834)+COUNTIF(CN3:CN194,CN194)-1</f>
        <v>192</v>
      </c>
      <c r="CP194" s="306" t="str">
        <f t="shared" ca="1" si="143"/>
        <v>Danny Ward (Wales)</v>
      </c>
    </row>
    <row r="195" spans="72:94" x14ac:dyDescent="0.3">
      <c r="BT195" s="306" t="str">
        <f t="shared" ca="1" si="179"/>
        <v>Wales</v>
      </c>
      <c r="BU195" s="306">
        <f t="shared" si="180"/>
        <v>10</v>
      </c>
      <c r="BV195" s="306">
        <f t="shared" si="181"/>
        <v>6</v>
      </c>
      <c r="BW195" s="306" t="str">
        <f ca="1">OFFSET(C3,BU195,BV195)</f>
        <v>Dylan Levitt</v>
      </c>
      <c r="BX195" s="306">
        <f ca="1">COUNTIF('Group Stages'!J7:J102,BW195)</f>
        <v>0</v>
      </c>
      <c r="BY195" s="306">
        <f ca="1">COUNTIF('Group Stages'!K7:K102,BW195)</f>
        <v>0</v>
      </c>
      <c r="BZ195" s="306">
        <f ca="1">COUNTIF('Group Stages'!L7:L102,BW195)</f>
        <v>0</v>
      </c>
      <c r="CA195" s="306">
        <f ca="1">COUNTIF('Group Stages'!M7:M102,BW195)</f>
        <v>0</v>
      </c>
      <c r="CB195" s="306">
        <f ca="1">COUNTIF('Group Stages'!N7:N102,BW195)</f>
        <v>0</v>
      </c>
      <c r="CC195" s="306">
        <f ca="1">COUNTIF('Group Stages'!O7:O102,BW195)</f>
        <v>0</v>
      </c>
      <c r="CD195" s="306">
        <f ca="1">COUNTIF('Group Stages'!P7:P102,BW195)</f>
        <v>0</v>
      </c>
      <c r="CE195" s="306">
        <f ca="1">COUNTIF('Group Stages'!Q7:Q102,BW195)</f>
        <v>0</v>
      </c>
      <c r="CF195" s="306">
        <f ca="1">COUNTIF('Knock Out Stages'!K7:K50,BW195)</f>
        <v>0</v>
      </c>
      <c r="CG195" s="306">
        <f ca="1">COUNTIF('Knock Out Stages'!L7:L50,BW195)</f>
        <v>0</v>
      </c>
      <c r="CH195" s="306">
        <f ca="1">COUNTIF('Knock Out Stages'!M7:M50,BW195)</f>
        <v>0</v>
      </c>
      <c r="CI195" s="306">
        <f ca="1">COUNTIF('Knock Out Stages'!N7:N50,BW195)</f>
        <v>0</v>
      </c>
      <c r="CJ195" s="306">
        <f ca="1">COUNTIF('Knock Out Stages'!O7:O50,BW195)</f>
        <v>0</v>
      </c>
      <c r="CK195" s="306">
        <f ca="1">COUNTIF('Knock Out Stages'!P7:P50,BW195)</f>
        <v>0</v>
      </c>
      <c r="CL195" s="306">
        <f ca="1">COUNTIF('Knock Out Stages'!Q7:Q50,BW195)</f>
        <v>0</v>
      </c>
      <c r="CM195" s="306">
        <f ca="1">COUNTIF('Knock Out Stages'!R7:R50,BW195)</f>
        <v>0</v>
      </c>
      <c r="CN195" s="306">
        <f ca="1">IF(RIGHT('Group Stages'!$B$105,5)="T.com",SUM(BX195:CM195),0)</f>
        <v>0</v>
      </c>
      <c r="CO195" s="306">
        <f ca="1">RANK(CN195,CN3:CN834)+COUNTIF(CN3:CN195,CN195)-1</f>
        <v>193</v>
      </c>
      <c r="CP195" s="306" t="str">
        <f t="shared" ca="1" si="143"/>
        <v>Dylan Levitt (Wales)</v>
      </c>
    </row>
    <row r="196" spans="72:94" x14ac:dyDescent="0.3">
      <c r="BT196" s="306" t="str">
        <f t="shared" ca="1" si="179"/>
        <v>Wales</v>
      </c>
      <c r="BU196" s="306">
        <f t="shared" si="180"/>
        <v>11</v>
      </c>
      <c r="BV196" s="306">
        <f t="shared" si="181"/>
        <v>6</v>
      </c>
      <c r="BW196" s="306" t="str">
        <f ca="1">OFFSET(C3,BU196,BV196)</f>
        <v>Ethan Ampadu</v>
      </c>
      <c r="BX196" s="306">
        <f ca="1">COUNTIF('Group Stages'!J7:J102,BW196)</f>
        <v>0</v>
      </c>
      <c r="BY196" s="306">
        <f ca="1">COUNTIF('Group Stages'!K7:K102,BW196)</f>
        <v>0</v>
      </c>
      <c r="BZ196" s="306">
        <f ca="1">COUNTIF('Group Stages'!L7:L102,BW196)</f>
        <v>0</v>
      </c>
      <c r="CA196" s="306">
        <f ca="1">COUNTIF('Group Stages'!M7:M102,BW196)</f>
        <v>0</v>
      </c>
      <c r="CB196" s="306">
        <f ca="1">COUNTIF('Group Stages'!N7:N102,BW196)</f>
        <v>0</v>
      </c>
      <c r="CC196" s="306">
        <f ca="1">COUNTIF('Group Stages'!O7:O102,BW196)</f>
        <v>0</v>
      </c>
      <c r="CD196" s="306">
        <f ca="1">COUNTIF('Group Stages'!P7:P102,BW196)</f>
        <v>0</v>
      </c>
      <c r="CE196" s="306">
        <f ca="1">COUNTIF('Group Stages'!Q7:Q102,BW196)</f>
        <v>0</v>
      </c>
      <c r="CF196" s="306">
        <f ca="1">COUNTIF('Knock Out Stages'!K7:K50,BW196)</f>
        <v>0</v>
      </c>
      <c r="CG196" s="306">
        <f ca="1">COUNTIF('Knock Out Stages'!L7:L50,BW196)</f>
        <v>0</v>
      </c>
      <c r="CH196" s="306">
        <f ca="1">COUNTIF('Knock Out Stages'!M7:M50,BW196)</f>
        <v>0</v>
      </c>
      <c r="CI196" s="306">
        <f ca="1">COUNTIF('Knock Out Stages'!N7:N50,BW196)</f>
        <v>0</v>
      </c>
      <c r="CJ196" s="306">
        <f ca="1">COUNTIF('Knock Out Stages'!O7:O50,BW196)</f>
        <v>0</v>
      </c>
      <c r="CK196" s="306">
        <f ca="1">COUNTIF('Knock Out Stages'!P7:P50,BW196)</f>
        <v>0</v>
      </c>
      <c r="CL196" s="306">
        <f ca="1">COUNTIF('Knock Out Stages'!Q7:Q50,BW196)</f>
        <v>0</v>
      </c>
      <c r="CM196" s="306">
        <f ca="1">COUNTIF('Knock Out Stages'!R7:R50,BW196)</f>
        <v>0</v>
      </c>
      <c r="CN196" s="306">
        <f ca="1">IF(RIGHT('Group Stages'!$B$105,5)="T.com",SUM(BX196:CM196),0)</f>
        <v>0</v>
      </c>
      <c r="CO196" s="306">
        <f ca="1">RANK(CN196,CN3:CN834)+COUNTIF(CN3:CN196,CN196)-1</f>
        <v>194</v>
      </c>
      <c r="CP196" s="306" t="str">
        <f t="shared" ref="CP196:CP259" ca="1" si="183">BW196&amp;" ("&amp;BT196&amp;")"</f>
        <v>Ethan Ampadu (Wales)</v>
      </c>
    </row>
    <row r="197" spans="72:94" x14ac:dyDescent="0.3">
      <c r="BT197" s="306" t="str">
        <f t="shared" ca="1" si="179"/>
        <v>Wales</v>
      </c>
      <c r="BU197" s="306">
        <f t="shared" si="180"/>
        <v>12</v>
      </c>
      <c r="BV197" s="306">
        <f t="shared" si="181"/>
        <v>6</v>
      </c>
      <c r="BW197" s="306" t="str">
        <f ca="1">OFFSET(C3,BU197,BV197)</f>
        <v>Gareth Bale</v>
      </c>
      <c r="BX197" s="306">
        <f ca="1">COUNTIF('Group Stages'!J7:J102,BW197)</f>
        <v>0</v>
      </c>
      <c r="BY197" s="306">
        <f ca="1">COUNTIF('Group Stages'!K7:K102,BW197)</f>
        <v>0</v>
      </c>
      <c r="BZ197" s="306">
        <f ca="1">COUNTIF('Group Stages'!L7:L102,BW197)</f>
        <v>0</v>
      </c>
      <c r="CA197" s="306">
        <f ca="1">COUNTIF('Group Stages'!M7:M102,BW197)</f>
        <v>0</v>
      </c>
      <c r="CB197" s="306">
        <f ca="1">COUNTIF('Group Stages'!N7:N102,BW197)</f>
        <v>0</v>
      </c>
      <c r="CC197" s="306">
        <f ca="1">COUNTIF('Group Stages'!O7:O102,BW197)</f>
        <v>0</v>
      </c>
      <c r="CD197" s="306">
        <f ca="1">COUNTIF('Group Stages'!P7:P102,BW197)</f>
        <v>0</v>
      </c>
      <c r="CE197" s="306">
        <f ca="1">COUNTIF('Group Stages'!Q7:Q102,BW197)</f>
        <v>0</v>
      </c>
      <c r="CF197" s="306">
        <f ca="1">COUNTIF('Knock Out Stages'!K7:K50,BW197)</f>
        <v>0</v>
      </c>
      <c r="CG197" s="306">
        <f ca="1">COUNTIF('Knock Out Stages'!L7:L50,BW197)</f>
        <v>0</v>
      </c>
      <c r="CH197" s="306">
        <f ca="1">COUNTIF('Knock Out Stages'!M7:M50,BW197)</f>
        <v>0</v>
      </c>
      <c r="CI197" s="306">
        <f ca="1">COUNTIF('Knock Out Stages'!N7:N50,BW197)</f>
        <v>0</v>
      </c>
      <c r="CJ197" s="306">
        <f ca="1">COUNTIF('Knock Out Stages'!O7:O50,BW197)</f>
        <v>0</v>
      </c>
      <c r="CK197" s="306">
        <f ca="1">COUNTIF('Knock Out Stages'!P7:P50,BW197)</f>
        <v>0</v>
      </c>
      <c r="CL197" s="306">
        <f ca="1">COUNTIF('Knock Out Stages'!Q7:Q50,BW197)</f>
        <v>0</v>
      </c>
      <c r="CM197" s="306">
        <f ca="1">COUNTIF('Knock Out Stages'!R7:R50,BW197)</f>
        <v>0</v>
      </c>
      <c r="CN197" s="306">
        <f ca="1">IF(RIGHT('Group Stages'!$B$105,5)="T.com",SUM(BX197:CM197),0)</f>
        <v>0</v>
      </c>
      <c r="CO197" s="306">
        <f ca="1">RANK(CN197,CN3:CN834)+COUNTIF(CN3:CN197,CN197)-1</f>
        <v>195</v>
      </c>
      <c r="CP197" s="306" t="str">
        <f t="shared" ca="1" si="183"/>
        <v>Gareth Bale (Wales)</v>
      </c>
    </row>
    <row r="198" spans="72:94" x14ac:dyDescent="0.3">
      <c r="BT198" s="306" t="str">
        <f t="shared" ca="1" si="179"/>
        <v>Wales</v>
      </c>
      <c r="BU198" s="306">
        <f t="shared" si="180"/>
        <v>13</v>
      </c>
      <c r="BV198" s="306">
        <f t="shared" si="181"/>
        <v>6</v>
      </c>
      <c r="BW198" s="306" t="str">
        <f ca="1">OFFSET(C3,BU198,BV198)</f>
        <v>Harry Wilson</v>
      </c>
      <c r="BX198" s="306">
        <f ca="1">COUNTIF('Group Stages'!J7:J102,BW198)</f>
        <v>0</v>
      </c>
      <c r="BY198" s="306">
        <f ca="1">COUNTIF('Group Stages'!K7:K102,BW198)</f>
        <v>0</v>
      </c>
      <c r="BZ198" s="306">
        <f ca="1">COUNTIF('Group Stages'!L7:L102,BW198)</f>
        <v>0</v>
      </c>
      <c r="CA198" s="306">
        <f ca="1">COUNTIF('Group Stages'!M7:M102,BW198)</f>
        <v>0</v>
      </c>
      <c r="CB198" s="306">
        <f ca="1">COUNTIF('Group Stages'!N7:N102,BW198)</f>
        <v>0</v>
      </c>
      <c r="CC198" s="306">
        <f ca="1">COUNTIF('Group Stages'!O7:O102,BW198)</f>
        <v>0</v>
      </c>
      <c r="CD198" s="306">
        <f ca="1">COUNTIF('Group Stages'!P7:P102,BW198)</f>
        <v>0</v>
      </c>
      <c r="CE198" s="306">
        <f ca="1">COUNTIF('Group Stages'!Q7:Q102,BW198)</f>
        <v>0</v>
      </c>
      <c r="CF198" s="306">
        <f ca="1">COUNTIF('Knock Out Stages'!K7:K50,BW198)</f>
        <v>0</v>
      </c>
      <c r="CG198" s="306">
        <f ca="1">COUNTIF('Knock Out Stages'!L7:L50,BW198)</f>
        <v>0</v>
      </c>
      <c r="CH198" s="306">
        <f ca="1">COUNTIF('Knock Out Stages'!M7:M50,BW198)</f>
        <v>0</v>
      </c>
      <c r="CI198" s="306">
        <f ca="1">COUNTIF('Knock Out Stages'!N7:N50,BW198)</f>
        <v>0</v>
      </c>
      <c r="CJ198" s="306">
        <f ca="1">COUNTIF('Knock Out Stages'!O7:O50,BW198)</f>
        <v>0</v>
      </c>
      <c r="CK198" s="306">
        <f ca="1">COUNTIF('Knock Out Stages'!P7:P50,BW198)</f>
        <v>0</v>
      </c>
      <c r="CL198" s="306">
        <f ca="1">COUNTIF('Knock Out Stages'!Q7:Q50,BW198)</f>
        <v>0</v>
      </c>
      <c r="CM198" s="306">
        <f ca="1">COUNTIF('Knock Out Stages'!R7:R50,BW198)</f>
        <v>0</v>
      </c>
      <c r="CN198" s="306">
        <f ca="1">IF(RIGHT('Group Stages'!$B$105,5)="T.com",SUM(BX198:CM198),0)</f>
        <v>0</v>
      </c>
      <c r="CO198" s="306">
        <f ca="1">RANK(CN198,CN3:CN834)+COUNTIF(CN3:CN198,CN198)-1</f>
        <v>196</v>
      </c>
      <c r="CP198" s="306" t="str">
        <f t="shared" ca="1" si="183"/>
        <v>Harry Wilson (Wales)</v>
      </c>
    </row>
    <row r="199" spans="72:94" x14ac:dyDescent="0.3">
      <c r="BT199" s="306" t="str">
        <f t="shared" ca="1" si="179"/>
        <v>Wales</v>
      </c>
      <c r="BU199" s="306">
        <f t="shared" si="180"/>
        <v>14</v>
      </c>
      <c r="BV199" s="306">
        <f t="shared" si="181"/>
        <v>6</v>
      </c>
      <c r="BW199" s="306" t="str">
        <f ca="1">OFFSET(C3,BU199,BV199)</f>
        <v>Joe Allen</v>
      </c>
      <c r="BX199" s="306">
        <f ca="1">COUNTIF('Group Stages'!J7:J102,BW199)</f>
        <v>0</v>
      </c>
      <c r="BY199" s="306">
        <f ca="1">COUNTIF('Group Stages'!K7:K102,BW199)</f>
        <v>0</v>
      </c>
      <c r="BZ199" s="306">
        <f ca="1">COUNTIF('Group Stages'!L7:L102,BW199)</f>
        <v>0</v>
      </c>
      <c r="CA199" s="306">
        <f ca="1">COUNTIF('Group Stages'!M7:M102,BW199)</f>
        <v>0</v>
      </c>
      <c r="CB199" s="306">
        <f ca="1">COUNTIF('Group Stages'!N7:N102,BW199)</f>
        <v>0</v>
      </c>
      <c r="CC199" s="306">
        <f ca="1">COUNTIF('Group Stages'!O7:O102,BW199)</f>
        <v>0</v>
      </c>
      <c r="CD199" s="306">
        <f ca="1">COUNTIF('Group Stages'!P7:P102,BW199)</f>
        <v>0</v>
      </c>
      <c r="CE199" s="306">
        <f ca="1">COUNTIF('Group Stages'!Q7:Q102,BW199)</f>
        <v>0</v>
      </c>
      <c r="CF199" s="306">
        <f ca="1">COUNTIF('Knock Out Stages'!K7:K50,BW199)</f>
        <v>0</v>
      </c>
      <c r="CG199" s="306">
        <f ca="1">COUNTIF('Knock Out Stages'!L7:L50,BW199)</f>
        <v>0</v>
      </c>
      <c r="CH199" s="306">
        <f ca="1">COUNTIF('Knock Out Stages'!M7:M50,BW199)</f>
        <v>0</v>
      </c>
      <c r="CI199" s="306">
        <f ca="1">COUNTIF('Knock Out Stages'!N7:N50,BW199)</f>
        <v>0</v>
      </c>
      <c r="CJ199" s="306">
        <f ca="1">COUNTIF('Knock Out Stages'!O7:O50,BW199)</f>
        <v>0</v>
      </c>
      <c r="CK199" s="306">
        <f ca="1">COUNTIF('Knock Out Stages'!P7:P50,BW199)</f>
        <v>0</v>
      </c>
      <c r="CL199" s="306">
        <f ca="1">COUNTIF('Knock Out Stages'!Q7:Q50,BW199)</f>
        <v>0</v>
      </c>
      <c r="CM199" s="306">
        <f ca="1">COUNTIF('Knock Out Stages'!R7:R50,BW199)</f>
        <v>0</v>
      </c>
      <c r="CN199" s="306">
        <f ca="1">IF(RIGHT('Group Stages'!$B$105,5)="T.com",SUM(BX199:CM199),0)</f>
        <v>0</v>
      </c>
      <c r="CO199" s="306">
        <f ca="1">RANK(CN199,CN3:CN834)+COUNTIF(CN3:CN199,CN199)-1</f>
        <v>197</v>
      </c>
      <c r="CP199" s="306" t="str">
        <f t="shared" ca="1" si="183"/>
        <v>Joe Allen (Wales)</v>
      </c>
    </row>
    <row r="200" spans="72:94" x14ac:dyDescent="0.3">
      <c r="BT200" s="306" t="str">
        <f t="shared" ca="1" si="179"/>
        <v>Wales</v>
      </c>
      <c r="BU200" s="306">
        <f t="shared" si="180"/>
        <v>15</v>
      </c>
      <c r="BV200" s="306">
        <f t="shared" si="181"/>
        <v>6</v>
      </c>
      <c r="BW200" s="306" t="str">
        <f ca="1">OFFSET(C3,BU200,BV200)</f>
        <v>Joe Morrell</v>
      </c>
      <c r="BX200" s="306">
        <f ca="1">COUNTIF('Group Stages'!J7:J102,BW200)</f>
        <v>0</v>
      </c>
      <c r="BY200" s="306">
        <f ca="1">COUNTIF('Group Stages'!K7:K102,BW200)</f>
        <v>0</v>
      </c>
      <c r="BZ200" s="306">
        <f ca="1">COUNTIF('Group Stages'!L7:L102,BW200)</f>
        <v>0</v>
      </c>
      <c r="CA200" s="306">
        <f ca="1">COUNTIF('Group Stages'!M7:M102,BW200)</f>
        <v>0</v>
      </c>
      <c r="CB200" s="306">
        <f ca="1">COUNTIF('Group Stages'!N7:N102,BW200)</f>
        <v>0</v>
      </c>
      <c r="CC200" s="306">
        <f ca="1">COUNTIF('Group Stages'!O7:O102,BW200)</f>
        <v>0</v>
      </c>
      <c r="CD200" s="306">
        <f ca="1">COUNTIF('Group Stages'!P7:P102,BW200)</f>
        <v>0</v>
      </c>
      <c r="CE200" s="306">
        <f ca="1">COUNTIF('Group Stages'!Q7:Q102,BW200)</f>
        <v>0</v>
      </c>
      <c r="CF200" s="306">
        <f ca="1">COUNTIF('Knock Out Stages'!K7:K50,BW200)</f>
        <v>0</v>
      </c>
      <c r="CG200" s="306">
        <f ca="1">COUNTIF('Knock Out Stages'!L7:L50,BW200)</f>
        <v>0</v>
      </c>
      <c r="CH200" s="306">
        <f ca="1">COUNTIF('Knock Out Stages'!M7:M50,BW200)</f>
        <v>0</v>
      </c>
      <c r="CI200" s="306">
        <f ca="1">COUNTIF('Knock Out Stages'!N7:N50,BW200)</f>
        <v>0</v>
      </c>
      <c r="CJ200" s="306">
        <f ca="1">COUNTIF('Knock Out Stages'!O7:O50,BW200)</f>
        <v>0</v>
      </c>
      <c r="CK200" s="306">
        <f ca="1">COUNTIF('Knock Out Stages'!P7:P50,BW200)</f>
        <v>0</v>
      </c>
      <c r="CL200" s="306">
        <f ca="1">COUNTIF('Knock Out Stages'!Q7:Q50,BW200)</f>
        <v>0</v>
      </c>
      <c r="CM200" s="306">
        <f ca="1">COUNTIF('Knock Out Stages'!R7:R50,BW200)</f>
        <v>0</v>
      </c>
      <c r="CN200" s="306">
        <f ca="1">IF(RIGHT('Group Stages'!$B$105,5)="T.com",SUM(BX200:CM200),0)</f>
        <v>0</v>
      </c>
      <c r="CO200" s="306">
        <f ca="1">RANK(CN200,CN3:CN834)+COUNTIF(CN3:CN200,CN200)-1</f>
        <v>198</v>
      </c>
      <c r="CP200" s="306" t="str">
        <f t="shared" ca="1" si="183"/>
        <v>Joe Morrell (Wales)</v>
      </c>
    </row>
    <row r="201" spans="72:94" x14ac:dyDescent="0.3">
      <c r="BT201" s="306" t="str">
        <f t="shared" ca="1" si="179"/>
        <v>Wales</v>
      </c>
      <c r="BU201" s="306">
        <f t="shared" si="180"/>
        <v>16</v>
      </c>
      <c r="BV201" s="306">
        <f t="shared" si="181"/>
        <v>6</v>
      </c>
      <c r="BW201" s="306" t="str">
        <f ca="1">OFFSET(C3,BU201,BV201)</f>
        <v>Joe Rodon</v>
      </c>
      <c r="BX201" s="306">
        <f ca="1">COUNTIF('Group Stages'!J7:J102,BW201)</f>
        <v>0</v>
      </c>
      <c r="BY201" s="306">
        <f ca="1">COUNTIF('Group Stages'!K7:K102,BW201)</f>
        <v>0</v>
      </c>
      <c r="BZ201" s="306">
        <f ca="1">COUNTIF('Group Stages'!L7:L102,BW201)</f>
        <v>0</v>
      </c>
      <c r="CA201" s="306">
        <f ca="1">COUNTIF('Group Stages'!M7:M102,BW201)</f>
        <v>0</v>
      </c>
      <c r="CB201" s="306">
        <f ca="1">COUNTIF('Group Stages'!N7:N102,BW201)</f>
        <v>0</v>
      </c>
      <c r="CC201" s="306">
        <f ca="1">COUNTIF('Group Stages'!O7:O102,BW201)</f>
        <v>0</v>
      </c>
      <c r="CD201" s="306">
        <f ca="1">COUNTIF('Group Stages'!P7:P102,BW201)</f>
        <v>0</v>
      </c>
      <c r="CE201" s="306">
        <f ca="1">COUNTIF('Group Stages'!Q7:Q102,BW201)</f>
        <v>0</v>
      </c>
      <c r="CF201" s="306">
        <f ca="1">COUNTIF('Knock Out Stages'!K7:K50,BW201)</f>
        <v>0</v>
      </c>
      <c r="CG201" s="306">
        <f ca="1">COUNTIF('Knock Out Stages'!L7:L50,BW201)</f>
        <v>0</v>
      </c>
      <c r="CH201" s="306">
        <f ca="1">COUNTIF('Knock Out Stages'!M7:M50,BW201)</f>
        <v>0</v>
      </c>
      <c r="CI201" s="306">
        <f ca="1">COUNTIF('Knock Out Stages'!N7:N50,BW201)</f>
        <v>0</v>
      </c>
      <c r="CJ201" s="306">
        <f ca="1">COUNTIF('Knock Out Stages'!O7:O50,BW201)</f>
        <v>0</v>
      </c>
      <c r="CK201" s="306">
        <f ca="1">COUNTIF('Knock Out Stages'!P7:P50,BW201)</f>
        <v>0</v>
      </c>
      <c r="CL201" s="306">
        <f ca="1">COUNTIF('Knock Out Stages'!Q7:Q50,BW201)</f>
        <v>0</v>
      </c>
      <c r="CM201" s="306">
        <f ca="1">COUNTIF('Knock Out Stages'!R7:R50,BW201)</f>
        <v>0</v>
      </c>
      <c r="CN201" s="306">
        <f ca="1">IF(RIGHT('Group Stages'!$B$105,5)="T.com",SUM(BX201:CM201),0)</f>
        <v>0</v>
      </c>
      <c r="CO201" s="306">
        <f ca="1">RANK(CN201,CN3:CN834)+COUNTIF(CN3:CN201,CN201)-1</f>
        <v>199</v>
      </c>
      <c r="CP201" s="306" t="str">
        <f t="shared" ca="1" si="183"/>
        <v>Joe Rodon (Wales)</v>
      </c>
    </row>
    <row r="202" spans="72:94" x14ac:dyDescent="0.3">
      <c r="BT202" s="306" t="str">
        <f t="shared" ca="1" si="179"/>
        <v>Wales</v>
      </c>
      <c r="BU202" s="306">
        <f t="shared" si="180"/>
        <v>17</v>
      </c>
      <c r="BV202" s="306">
        <f t="shared" si="181"/>
        <v>6</v>
      </c>
      <c r="BW202" s="306" t="str">
        <f ca="1">OFFSET(C3,BU202,BV202)</f>
        <v>Jonny Williams</v>
      </c>
      <c r="BX202" s="306">
        <f ca="1">COUNTIF('Group Stages'!J7:J102,BW202)</f>
        <v>0</v>
      </c>
      <c r="BY202" s="306">
        <f ca="1">COUNTIF('Group Stages'!K7:K102,BW202)</f>
        <v>0</v>
      </c>
      <c r="BZ202" s="306">
        <f ca="1">COUNTIF('Group Stages'!L7:L102,BW202)</f>
        <v>0</v>
      </c>
      <c r="CA202" s="306">
        <f ca="1">COUNTIF('Group Stages'!M7:M102,BW202)</f>
        <v>0</v>
      </c>
      <c r="CB202" s="306">
        <f ca="1">COUNTIF('Group Stages'!N7:N102,BW202)</f>
        <v>0</v>
      </c>
      <c r="CC202" s="306">
        <f ca="1">COUNTIF('Group Stages'!O7:O102,BW202)</f>
        <v>0</v>
      </c>
      <c r="CD202" s="306">
        <f ca="1">COUNTIF('Group Stages'!P7:P102,BW202)</f>
        <v>0</v>
      </c>
      <c r="CE202" s="306">
        <f ca="1">COUNTIF('Group Stages'!Q7:Q102,BW202)</f>
        <v>0</v>
      </c>
      <c r="CF202" s="306">
        <f ca="1">COUNTIF('Knock Out Stages'!K7:K50,BW202)</f>
        <v>0</v>
      </c>
      <c r="CG202" s="306">
        <f ca="1">COUNTIF('Knock Out Stages'!L7:L50,BW202)</f>
        <v>0</v>
      </c>
      <c r="CH202" s="306">
        <f ca="1">COUNTIF('Knock Out Stages'!M7:M50,BW202)</f>
        <v>0</v>
      </c>
      <c r="CI202" s="306">
        <f ca="1">COUNTIF('Knock Out Stages'!N7:N50,BW202)</f>
        <v>0</v>
      </c>
      <c r="CJ202" s="306">
        <f ca="1">COUNTIF('Knock Out Stages'!O7:O50,BW202)</f>
        <v>0</v>
      </c>
      <c r="CK202" s="306">
        <f ca="1">COUNTIF('Knock Out Stages'!P7:P50,BW202)</f>
        <v>0</v>
      </c>
      <c r="CL202" s="306">
        <f ca="1">COUNTIF('Knock Out Stages'!Q7:Q50,BW202)</f>
        <v>0</v>
      </c>
      <c r="CM202" s="306">
        <f ca="1">COUNTIF('Knock Out Stages'!R7:R50,BW202)</f>
        <v>0</v>
      </c>
      <c r="CN202" s="306">
        <f ca="1">IF(RIGHT('Group Stages'!$B$105,5)="T.com",SUM(BX202:CM202),0)</f>
        <v>0</v>
      </c>
      <c r="CO202" s="306">
        <f ca="1">RANK(CN202,CN3:CN834)+COUNTIF(CN3:CN202,CN202)-1</f>
        <v>200</v>
      </c>
      <c r="CP202" s="306" t="str">
        <f t="shared" ca="1" si="183"/>
        <v>Jonny Williams (Wales)</v>
      </c>
    </row>
    <row r="203" spans="72:94" x14ac:dyDescent="0.3">
      <c r="BT203" s="306" t="str">
        <f t="shared" ca="1" si="179"/>
        <v>Wales</v>
      </c>
      <c r="BU203" s="306">
        <f t="shared" si="180"/>
        <v>18</v>
      </c>
      <c r="BV203" s="306">
        <f t="shared" si="181"/>
        <v>6</v>
      </c>
      <c r="BW203" s="306" t="str">
        <f ca="1">OFFSET(C3,BU203,BV203)</f>
        <v>Kieffer Moore</v>
      </c>
      <c r="BX203" s="306">
        <f ca="1">COUNTIF('Group Stages'!J7:J102,BW203)</f>
        <v>0</v>
      </c>
      <c r="BY203" s="306">
        <f ca="1">COUNTIF('Group Stages'!K7:K102,BW203)</f>
        <v>0</v>
      </c>
      <c r="BZ203" s="306">
        <f ca="1">COUNTIF('Group Stages'!L7:L102,BW203)</f>
        <v>0</v>
      </c>
      <c r="CA203" s="306">
        <f ca="1">COUNTIF('Group Stages'!M7:M102,BW203)</f>
        <v>0</v>
      </c>
      <c r="CB203" s="306">
        <f ca="1">COUNTIF('Group Stages'!N7:N102,BW203)</f>
        <v>0</v>
      </c>
      <c r="CC203" s="306">
        <f ca="1">COUNTIF('Group Stages'!O7:O102,BW203)</f>
        <v>0</v>
      </c>
      <c r="CD203" s="306">
        <f ca="1">COUNTIF('Group Stages'!P7:P102,BW203)</f>
        <v>0</v>
      </c>
      <c r="CE203" s="306">
        <f ca="1">COUNTIF('Group Stages'!Q7:Q102,BW203)</f>
        <v>0</v>
      </c>
      <c r="CF203" s="306">
        <f ca="1">COUNTIF('Knock Out Stages'!K7:K50,BW203)</f>
        <v>0</v>
      </c>
      <c r="CG203" s="306">
        <f ca="1">COUNTIF('Knock Out Stages'!L7:L50,BW203)</f>
        <v>0</v>
      </c>
      <c r="CH203" s="306">
        <f ca="1">COUNTIF('Knock Out Stages'!M7:M50,BW203)</f>
        <v>0</v>
      </c>
      <c r="CI203" s="306">
        <f ca="1">COUNTIF('Knock Out Stages'!N7:N50,BW203)</f>
        <v>0</v>
      </c>
      <c r="CJ203" s="306">
        <f ca="1">COUNTIF('Knock Out Stages'!O7:O50,BW203)</f>
        <v>0</v>
      </c>
      <c r="CK203" s="306">
        <f ca="1">COUNTIF('Knock Out Stages'!P7:P50,BW203)</f>
        <v>0</v>
      </c>
      <c r="CL203" s="306">
        <f ca="1">COUNTIF('Knock Out Stages'!Q7:Q50,BW203)</f>
        <v>0</v>
      </c>
      <c r="CM203" s="306">
        <f ca="1">COUNTIF('Knock Out Stages'!R7:R50,BW203)</f>
        <v>0</v>
      </c>
      <c r="CN203" s="306">
        <f ca="1">IF(RIGHT('Group Stages'!$B$105,5)="T.com",SUM(BX203:CM203),0)</f>
        <v>0</v>
      </c>
      <c r="CO203" s="306">
        <f ca="1">RANK(CN203,CN3:CN834)+COUNTIF(CN3:CN203,CN203)-1</f>
        <v>201</v>
      </c>
      <c r="CP203" s="306" t="str">
        <f t="shared" ca="1" si="183"/>
        <v>Kieffer Moore (Wales)</v>
      </c>
    </row>
    <row r="204" spans="72:94" x14ac:dyDescent="0.3">
      <c r="BT204" s="306" t="str">
        <f t="shared" ca="1" si="179"/>
        <v>Wales</v>
      </c>
      <c r="BU204" s="306">
        <f t="shared" si="180"/>
        <v>19</v>
      </c>
      <c r="BV204" s="306">
        <f t="shared" si="181"/>
        <v>6</v>
      </c>
      <c r="BW204" s="306" t="str">
        <f ca="1">OFFSET(C3,BU204,BV204)</f>
        <v>Mark Harris</v>
      </c>
      <c r="BX204" s="306">
        <f ca="1">COUNTIF('Group Stages'!J7:J102,BW204)</f>
        <v>0</v>
      </c>
      <c r="BY204" s="306">
        <f ca="1">COUNTIF('Group Stages'!K7:K102,BW204)</f>
        <v>0</v>
      </c>
      <c r="BZ204" s="306">
        <f ca="1">COUNTIF('Group Stages'!L7:L102,BW204)</f>
        <v>0</v>
      </c>
      <c r="CA204" s="306">
        <f ca="1">COUNTIF('Group Stages'!M7:M102,BW204)</f>
        <v>0</v>
      </c>
      <c r="CB204" s="306">
        <f ca="1">COUNTIF('Group Stages'!N7:N102,BW204)</f>
        <v>0</v>
      </c>
      <c r="CC204" s="306">
        <f ca="1">COUNTIF('Group Stages'!O7:O102,BW204)</f>
        <v>0</v>
      </c>
      <c r="CD204" s="306">
        <f ca="1">COUNTIF('Group Stages'!P7:P102,BW204)</f>
        <v>0</v>
      </c>
      <c r="CE204" s="306">
        <f ca="1">COUNTIF('Group Stages'!Q7:Q102,BW204)</f>
        <v>0</v>
      </c>
      <c r="CF204" s="306">
        <f ca="1">COUNTIF('Knock Out Stages'!K7:K50,BW204)</f>
        <v>0</v>
      </c>
      <c r="CG204" s="306">
        <f ca="1">COUNTIF('Knock Out Stages'!L7:L50,BW204)</f>
        <v>0</v>
      </c>
      <c r="CH204" s="306">
        <f ca="1">COUNTIF('Knock Out Stages'!M7:M50,BW204)</f>
        <v>0</v>
      </c>
      <c r="CI204" s="306">
        <f ca="1">COUNTIF('Knock Out Stages'!N7:N50,BW204)</f>
        <v>0</v>
      </c>
      <c r="CJ204" s="306">
        <f ca="1">COUNTIF('Knock Out Stages'!O7:O50,BW204)</f>
        <v>0</v>
      </c>
      <c r="CK204" s="306">
        <f ca="1">COUNTIF('Knock Out Stages'!P7:P50,BW204)</f>
        <v>0</v>
      </c>
      <c r="CL204" s="306">
        <f ca="1">COUNTIF('Knock Out Stages'!Q7:Q50,BW204)</f>
        <v>0</v>
      </c>
      <c r="CM204" s="306">
        <f ca="1">COUNTIF('Knock Out Stages'!R7:R50,BW204)</f>
        <v>0</v>
      </c>
      <c r="CN204" s="306">
        <f ca="1">IF(RIGHT('Group Stages'!$B$105,5)="T.com",SUM(BX204:CM204),0)</f>
        <v>0</v>
      </c>
      <c r="CO204" s="306">
        <f ca="1">RANK(CN204,CN3:CN834)+COUNTIF(CN3:CN204,CN204)-1</f>
        <v>202</v>
      </c>
      <c r="CP204" s="306" t="str">
        <f t="shared" ca="1" si="183"/>
        <v>Mark Harris (Wales)</v>
      </c>
    </row>
    <row r="205" spans="72:94" x14ac:dyDescent="0.3">
      <c r="BT205" s="306" t="str">
        <f t="shared" ca="1" si="179"/>
        <v>Wales</v>
      </c>
      <c r="BU205" s="306">
        <f t="shared" si="180"/>
        <v>20</v>
      </c>
      <c r="BV205" s="306">
        <f t="shared" si="181"/>
        <v>6</v>
      </c>
      <c r="BW205" s="306" t="str">
        <f ca="1">OFFSET(C3,BU205,BV205)</f>
        <v>Matthew Smith</v>
      </c>
      <c r="BX205" s="306">
        <f ca="1">COUNTIF('Group Stages'!J7:J102,BW205)</f>
        <v>0</v>
      </c>
      <c r="BY205" s="306">
        <f ca="1">COUNTIF('Group Stages'!K7:K102,BW205)</f>
        <v>0</v>
      </c>
      <c r="BZ205" s="306">
        <f ca="1">COUNTIF('Group Stages'!L7:L102,BW205)</f>
        <v>0</v>
      </c>
      <c r="CA205" s="306">
        <f ca="1">COUNTIF('Group Stages'!M7:M102,BW205)</f>
        <v>0</v>
      </c>
      <c r="CB205" s="306">
        <f ca="1">COUNTIF('Group Stages'!N7:N102,BW205)</f>
        <v>0</v>
      </c>
      <c r="CC205" s="306">
        <f ca="1">COUNTIF('Group Stages'!O7:O102,BW205)</f>
        <v>0</v>
      </c>
      <c r="CD205" s="306">
        <f ca="1">COUNTIF('Group Stages'!P7:P102,BW205)</f>
        <v>0</v>
      </c>
      <c r="CE205" s="306">
        <f ca="1">COUNTIF('Group Stages'!Q7:Q102,BW205)</f>
        <v>0</v>
      </c>
      <c r="CF205" s="306">
        <f ca="1">COUNTIF('Knock Out Stages'!K7:K50,BW205)</f>
        <v>0</v>
      </c>
      <c r="CG205" s="306">
        <f ca="1">COUNTIF('Knock Out Stages'!L7:L50,BW205)</f>
        <v>0</v>
      </c>
      <c r="CH205" s="306">
        <f ca="1">COUNTIF('Knock Out Stages'!M7:M50,BW205)</f>
        <v>0</v>
      </c>
      <c r="CI205" s="306">
        <f ca="1">COUNTIF('Knock Out Stages'!N7:N50,BW205)</f>
        <v>0</v>
      </c>
      <c r="CJ205" s="306">
        <f ca="1">COUNTIF('Knock Out Stages'!O7:O50,BW205)</f>
        <v>0</v>
      </c>
      <c r="CK205" s="306">
        <f ca="1">COUNTIF('Knock Out Stages'!P7:P50,BW205)</f>
        <v>0</v>
      </c>
      <c r="CL205" s="306">
        <f ca="1">COUNTIF('Knock Out Stages'!Q7:Q50,BW205)</f>
        <v>0</v>
      </c>
      <c r="CM205" s="306">
        <f ca="1">COUNTIF('Knock Out Stages'!R7:R50,BW205)</f>
        <v>0</v>
      </c>
      <c r="CN205" s="306">
        <f ca="1">IF(RIGHT('Group Stages'!$B$105,5)="T.com",SUM(BX205:CM205),0)</f>
        <v>0</v>
      </c>
      <c r="CO205" s="306">
        <f ca="1">RANK(CN205,CN3:CN834)+COUNTIF(CN3:CN205,CN205)-1</f>
        <v>203</v>
      </c>
      <c r="CP205" s="306" t="str">
        <f t="shared" ca="1" si="183"/>
        <v>Matthew Smith (Wales)</v>
      </c>
    </row>
    <row r="206" spans="72:94" x14ac:dyDescent="0.3">
      <c r="BT206" s="306" t="str">
        <f t="shared" ca="1" si="179"/>
        <v>Wales</v>
      </c>
      <c r="BU206" s="306">
        <f t="shared" si="180"/>
        <v>21</v>
      </c>
      <c r="BV206" s="306">
        <f t="shared" si="181"/>
        <v>6</v>
      </c>
      <c r="BW206" s="306" t="str">
        <f ca="1">OFFSET(C3,BU206,BV206)</f>
        <v>Neco Williams</v>
      </c>
      <c r="BX206" s="306">
        <f ca="1">COUNTIF('Group Stages'!J7:J102,BW206)</f>
        <v>0</v>
      </c>
      <c r="BY206" s="306">
        <f ca="1">COUNTIF('Group Stages'!K7:K102,BW206)</f>
        <v>0</v>
      </c>
      <c r="BZ206" s="306">
        <f ca="1">COUNTIF('Group Stages'!L7:L102,BW206)</f>
        <v>0</v>
      </c>
      <c r="CA206" s="306">
        <f ca="1">COUNTIF('Group Stages'!M7:M102,BW206)</f>
        <v>0</v>
      </c>
      <c r="CB206" s="306">
        <f ca="1">COUNTIF('Group Stages'!N7:N102,BW206)</f>
        <v>0</v>
      </c>
      <c r="CC206" s="306">
        <f ca="1">COUNTIF('Group Stages'!O7:O102,BW206)</f>
        <v>0</v>
      </c>
      <c r="CD206" s="306">
        <f ca="1">COUNTIF('Group Stages'!P7:P102,BW206)</f>
        <v>0</v>
      </c>
      <c r="CE206" s="306">
        <f ca="1">COUNTIF('Group Stages'!Q7:Q102,BW206)</f>
        <v>0</v>
      </c>
      <c r="CF206" s="306">
        <f ca="1">COUNTIF('Knock Out Stages'!K7:K50,BW206)</f>
        <v>0</v>
      </c>
      <c r="CG206" s="306">
        <f ca="1">COUNTIF('Knock Out Stages'!L7:L50,BW206)</f>
        <v>0</v>
      </c>
      <c r="CH206" s="306">
        <f ca="1">COUNTIF('Knock Out Stages'!M7:M50,BW206)</f>
        <v>0</v>
      </c>
      <c r="CI206" s="306">
        <f ca="1">COUNTIF('Knock Out Stages'!N7:N50,BW206)</f>
        <v>0</v>
      </c>
      <c r="CJ206" s="306">
        <f ca="1">COUNTIF('Knock Out Stages'!O7:O50,BW206)</f>
        <v>0</v>
      </c>
      <c r="CK206" s="306">
        <f ca="1">COUNTIF('Knock Out Stages'!P7:P50,BW206)</f>
        <v>0</v>
      </c>
      <c r="CL206" s="306">
        <f ca="1">COUNTIF('Knock Out Stages'!Q7:Q50,BW206)</f>
        <v>0</v>
      </c>
      <c r="CM206" s="306">
        <f ca="1">COUNTIF('Knock Out Stages'!R7:R50,BW206)</f>
        <v>0</v>
      </c>
      <c r="CN206" s="306">
        <f ca="1">IF(RIGHT('Group Stages'!$B$105,5)="T.com",SUM(BX206:CM206),0)</f>
        <v>0</v>
      </c>
      <c r="CO206" s="306">
        <f ca="1">RANK(CN206,CN3:CN834)+COUNTIF(CN3:CN206,CN206)-1</f>
        <v>204</v>
      </c>
      <c r="CP206" s="306" t="str">
        <f t="shared" ca="1" si="183"/>
        <v>Neco Williams (Wales)</v>
      </c>
    </row>
    <row r="207" spans="72:94" x14ac:dyDescent="0.3">
      <c r="BT207" s="306" t="str">
        <f t="shared" ca="1" si="179"/>
        <v>Wales</v>
      </c>
      <c r="BU207" s="306">
        <f t="shared" si="180"/>
        <v>22</v>
      </c>
      <c r="BV207" s="306">
        <f t="shared" si="181"/>
        <v>6</v>
      </c>
      <c r="BW207" s="306" t="str">
        <f ca="1">OFFSET(C3,BU207,BV207)</f>
        <v>Rubin Colwill</v>
      </c>
      <c r="BX207" s="306">
        <f ca="1">COUNTIF('Group Stages'!J7:J102,BW207)</f>
        <v>0</v>
      </c>
      <c r="BY207" s="306">
        <f ca="1">COUNTIF('Group Stages'!K7:K102,BW207)</f>
        <v>0</v>
      </c>
      <c r="BZ207" s="306">
        <f ca="1">COUNTIF('Group Stages'!L7:L102,BW207)</f>
        <v>0</v>
      </c>
      <c r="CA207" s="306">
        <f ca="1">COUNTIF('Group Stages'!M7:M102,BW207)</f>
        <v>0</v>
      </c>
      <c r="CB207" s="306">
        <f ca="1">COUNTIF('Group Stages'!N7:N102,BW207)</f>
        <v>0</v>
      </c>
      <c r="CC207" s="306">
        <f ca="1">COUNTIF('Group Stages'!O7:O102,BW207)</f>
        <v>0</v>
      </c>
      <c r="CD207" s="306">
        <f ca="1">COUNTIF('Group Stages'!P7:P102,BW207)</f>
        <v>0</v>
      </c>
      <c r="CE207" s="306">
        <f ca="1">COUNTIF('Group Stages'!Q7:Q102,BW207)</f>
        <v>0</v>
      </c>
      <c r="CF207" s="306">
        <f ca="1">COUNTIF('Knock Out Stages'!K7:K50,BW207)</f>
        <v>0</v>
      </c>
      <c r="CG207" s="306">
        <f ca="1">COUNTIF('Knock Out Stages'!L7:L50,BW207)</f>
        <v>0</v>
      </c>
      <c r="CH207" s="306">
        <f ca="1">COUNTIF('Knock Out Stages'!M7:M50,BW207)</f>
        <v>0</v>
      </c>
      <c r="CI207" s="306">
        <f ca="1">COUNTIF('Knock Out Stages'!N7:N50,BW207)</f>
        <v>0</v>
      </c>
      <c r="CJ207" s="306">
        <f ca="1">COUNTIF('Knock Out Stages'!O7:O50,BW207)</f>
        <v>0</v>
      </c>
      <c r="CK207" s="306">
        <f ca="1">COUNTIF('Knock Out Stages'!P7:P50,BW207)</f>
        <v>0</v>
      </c>
      <c r="CL207" s="306">
        <f ca="1">COUNTIF('Knock Out Stages'!Q7:Q50,BW207)</f>
        <v>0</v>
      </c>
      <c r="CM207" s="306">
        <f ca="1">COUNTIF('Knock Out Stages'!R7:R50,BW207)</f>
        <v>0</v>
      </c>
      <c r="CN207" s="306">
        <f ca="1">IF(RIGHT('Group Stages'!$B$105,5)="T.com",SUM(BX207:CM207),0)</f>
        <v>0</v>
      </c>
      <c r="CO207" s="306">
        <f ca="1">RANK(CN207,CN3:CN834)+COUNTIF(CN3:CN207,CN207)-1</f>
        <v>205</v>
      </c>
      <c r="CP207" s="306" t="str">
        <f t="shared" ca="1" si="183"/>
        <v>Rubin Colwill (Wales)</v>
      </c>
    </row>
    <row r="208" spans="72:94" x14ac:dyDescent="0.3">
      <c r="BT208" s="306" t="str">
        <f t="shared" ca="1" si="179"/>
        <v>Wales</v>
      </c>
      <c r="BU208" s="306">
        <f t="shared" si="180"/>
        <v>23</v>
      </c>
      <c r="BV208" s="306">
        <f t="shared" si="181"/>
        <v>6</v>
      </c>
      <c r="BW208" s="306" t="str">
        <f ca="1">OFFSET(C3,BU208,BV208)</f>
        <v>Sorba Thomas</v>
      </c>
      <c r="BX208" s="306">
        <f ca="1">COUNTIF('Group Stages'!J7:J102,BW208)</f>
        <v>0</v>
      </c>
      <c r="BY208" s="306">
        <f ca="1">COUNTIF('Group Stages'!K7:K102,BW208)</f>
        <v>0</v>
      </c>
      <c r="BZ208" s="306">
        <f ca="1">COUNTIF('Group Stages'!L7:L102,BW208)</f>
        <v>0</v>
      </c>
      <c r="CA208" s="306">
        <f ca="1">COUNTIF('Group Stages'!M7:M102,BW208)</f>
        <v>0</v>
      </c>
      <c r="CB208" s="306">
        <f ca="1">COUNTIF('Group Stages'!N7:N102,BW208)</f>
        <v>0</v>
      </c>
      <c r="CC208" s="306">
        <f ca="1">COUNTIF('Group Stages'!O7:O102,BW208)</f>
        <v>0</v>
      </c>
      <c r="CD208" s="306">
        <f ca="1">COUNTIF('Group Stages'!P7:P102,BW208)</f>
        <v>0</v>
      </c>
      <c r="CE208" s="306">
        <f ca="1">COUNTIF('Group Stages'!Q7:Q102,BW208)</f>
        <v>0</v>
      </c>
      <c r="CF208" s="306">
        <f ca="1">COUNTIF('Knock Out Stages'!K7:K50,BW208)</f>
        <v>0</v>
      </c>
      <c r="CG208" s="306">
        <f ca="1">COUNTIF('Knock Out Stages'!L7:L50,BW208)</f>
        <v>0</v>
      </c>
      <c r="CH208" s="306">
        <f ca="1">COUNTIF('Knock Out Stages'!M7:M50,BW208)</f>
        <v>0</v>
      </c>
      <c r="CI208" s="306">
        <f ca="1">COUNTIF('Knock Out Stages'!N7:N50,BW208)</f>
        <v>0</v>
      </c>
      <c r="CJ208" s="306">
        <f ca="1">COUNTIF('Knock Out Stages'!O7:O50,BW208)</f>
        <v>0</v>
      </c>
      <c r="CK208" s="306">
        <f ca="1">COUNTIF('Knock Out Stages'!P7:P50,BW208)</f>
        <v>0</v>
      </c>
      <c r="CL208" s="306">
        <f ca="1">COUNTIF('Knock Out Stages'!Q7:Q50,BW208)</f>
        <v>0</v>
      </c>
      <c r="CM208" s="306">
        <f ca="1">COUNTIF('Knock Out Stages'!R7:R50,BW208)</f>
        <v>0</v>
      </c>
      <c r="CN208" s="306">
        <f ca="1">IF(RIGHT('Group Stages'!$B$105,5)="T.com",SUM(BX208:CM208),0)</f>
        <v>0</v>
      </c>
      <c r="CO208" s="306">
        <f ca="1">RANK(CN208,CN3:CN834)+COUNTIF(CN3:CN208,CN208)-1</f>
        <v>206</v>
      </c>
      <c r="CP208" s="306" t="str">
        <f t="shared" ca="1" si="183"/>
        <v>Sorba Thomas (Wales)</v>
      </c>
    </row>
    <row r="209" spans="72:94" x14ac:dyDescent="0.3">
      <c r="BT209" s="306" t="str">
        <f t="shared" ca="1" si="179"/>
        <v>Wales</v>
      </c>
      <c r="BU209" s="306">
        <f t="shared" si="180"/>
        <v>24</v>
      </c>
      <c r="BV209" s="306">
        <f t="shared" si="181"/>
        <v>6</v>
      </c>
      <c r="BW209" s="306" t="str">
        <f ca="1">OFFSET(C3,BU209,BV209)</f>
        <v>Tom Lockyer</v>
      </c>
      <c r="BX209" s="306">
        <f ca="1">COUNTIF('Group Stages'!J7:J102,BW209)</f>
        <v>0</v>
      </c>
      <c r="BY209" s="306">
        <f ca="1">COUNTIF('Group Stages'!K7:K102,BW209)</f>
        <v>0</v>
      </c>
      <c r="BZ209" s="306">
        <f ca="1">COUNTIF('Group Stages'!L7:L102,BW209)</f>
        <v>0</v>
      </c>
      <c r="CA209" s="306">
        <f ca="1">COUNTIF('Group Stages'!M7:M102,BW209)</f>
        <v>0</v>
      </c>
      <c r="CB209" s="306">
        <f ca="1">COUNTIF('Group Stages'!N7:N102,BW209)</f>
        <v>0</v>
      </c>
      <c r="CC209" s="306">
        <f ca="1">COUNTIF('Group Stages'!O7:O102,BW209)</f>
        <v>0</v>
      </c>
      <c r="CD209" s="306">
        <f ca="1">COUNTIF('Group Stages'!P7:P102,BW209)</f>
        <v>0</v>
      </c>
      <c r="CE209" s="306">
        <f ca="1">COUNTIF('Group Stages'!Q7:Q102,BW209)</f>
        <v>0</v>
      </c>
      <c r="CF209" s="306">
        <f ca="1">COUNTIF('Knock Out Stages'!K7:K50,BW209)</f>
        <v>0</v>
      </c>
      <c r="CG209" s="306">
        <f ca="1">COUNTIF('Knock Out Stages'!L7:L50,BW209)</f>
        <v>0</v>
      </c>
      <c r="CH209" s="306">
        <f ca="1">COUNTIF('Knock Out Stages'!M7:M50,BW209)</f>
        <v>0</v>
      </c>
      <c r="CI209" s="306">
        <f ca="1">COUNTIF('Knock Out Stages'!N7:N50,BW209)</f>
        <v>0</v>
      </c>
      <c r="CJ209" s="306">
        <f ca="1">COUNTIF('Knock Out Stages'!O7:O50,BW209)</f>
        <v>0</v>
      </c>
      <c r="CK209" s="306">
        <f ca="1">COUNTIF('Knock Out Stages'!P7:P50,BW209)</f>
        <v>0</v>
      </c>
      <c r="CL209" s="306">
        <f ca="1">COUNTIF('Knock Out Stages'!Q7:Q50,BW209)</f>
        <v>0</v>
      </c>
      <c r="CM209" s="306">
        <f ca="1">COUNTIF('Knock Out Stages'!R7:R50,BW209)</f>
        <v>0</v>
      </c>
      <c r="CN209" s="306">
        <f ca="1">IF(RIGHT('Group Stages'!$B$105,5)="T.com",SUM(BX209:CM209),0)</f>
        <v>0</v>
      </c>
      <c r="CO209" s="306">
        <f ca="1">RANK(CN209,CN3:CN834)+COUNTIF(CN3:CN209,CN209)-1</f>
        <v>207</v>
      </c>
      <c r="CP209" s="306" t="str">
        <f t="shared" ca="1" si="183"/>
        <v>Tom Lockyer (Wales)</v>
      </c>
    </row>
    <row r="210" spans="72:94" x14ac:dyDescent="0.3">
      <c r="BT210" s="306" t="str">
        <f t="shared" ca="1" si="179"/>
        <v>Wales</v>
      </c>
      <c r="BU210" s="306">
        <f t="shared" si="180"/>
        <v>25</v>
      </c>
      <c r="BV210" s="306">
        <f t="shared" si="181"/>
        <v>6</v>
      </c>
      <c r="BW210" s="306" t="str">
        <f ca="1">OFFSET(C3,BU210,BV210)</f>
        <v>Wayne Hennessey</v>
      </c>
      <c r="BX210" s="306">
        <f ca="1">COUNTIF('Group Stages'!J7:J102,BW210)</f>
        <v>0</v>
      </c>
      <c r="BY210" s="306">
        <f ca="1">COUNTIF('Group Stages'!K7:K102,BW210)</f>
        <v>0</v>
      </c>
      <c r="BZ210" s="306">
        <f ca="1">COUNTIF('Group Stages'!L7:L102,BW210)</f>
        <v>0</v>
      </c>
      <c r="CA210" s="306">
        <f ca="1">COUNTIF('Group Stages'!M7:M102,BW210)</f>
        <v>0</v>
      </c>
      <c r="CB210" s="306">
        <f ca="1">COUNTIF('Group Stages'!N7:N102,BW210)</f>
        <v>0</v>
      </c>
      <c r="CC210" s="306">
        <f ca="1">COUNTIF('Group Stages'!O7:O102,BW210)</f>
        <v>0</v>
      </c>
      <c r="CD210" s="306">
        <f ca="1">COUNTIF('Group Stages'!P7:P102,BW210)</f>
        <v>0</v>
      </c>
      <c r="CE210" s="306">
        <f ca="1">COUNTIF('Group Stages'!Q7:Q102,BW210)</f>
        <v>0</v>
      </c>
      <c r="CF210" s="306">
        <f ca="1">COUNTIF('Knock Out Stages'!K7:K50,BW210)</f>
        <v>0</v>
      </c>
      <c r="CG210" s="306">
        <f ca="1">COUNTIF('Knock Out Stages'!L7:L50,BW210)</f>
        <v>0</v>
      </c>
      <c r="CH210" s="306">
        <f ca="1">COUNTIF('Knock Out Stages'!M7:M50,BW210)</f>
        <v>0</v>
      </c>
      <c r="CI210" s="306">
        <f ca="1">COUNTIF('Knock Out Stages'!N7:N50,BW210)</f>
        <v>0</v>
      </c>
      <c r="CJ210" s="306">
        <f ca="1">COUNTIF('Knock Out Stages'!O7:O50,BW210)</f>
        <v>0</v>
      </c>
      <c r="CK210" s="306">
        <f ca="1">COUNTIF('Knock Out Stages'!P7:P50,BW210)</f>
        <v>0</v>
      </c>
      <c r="CL210" s="306">
        <f ca="1">COUNTIF('Knock Out Stages'!Q7:Q50,BW210)</f>
        <v>0</v>
      </c>
      <c r="CM210" s="306">
        <f ca="1">COUNTIF('Knock Out Stages'!R7:R50,BW210)</f>
        <v>0</v>
      </c>
      <c r="CN210" s="306">
        <f ca="1">IF(RIGHT('Group Stages'!$B$105,5)="T.com",SUM(BX210:CM210),0)</f>
        <v>0</v>
      </c>
      <c r="CO210" s="306">
        <f ca="1">RANK(CN210,CN3:CN834)+COUNTIF(CN3:CN210,CN210)-1</f>
        <v>208</v>
      </c>
      <c r="CP210" s="306" t="str">
        <f t="shared" ca="1" si="183"/>
        <v>Wayne Hennessey (Wales)</v>
      </c>
    </row>
    <row r="211" spans="72:94" x14ac:dyDescent="0.3">
      <c r="BT211" s="306" t="str">
        <f ca="1">OFFSET(C2,BU211,BV211)</f>
        <v>Argentina</v>
      </c>
      <c r="BU211" s="306">
        <f t="shared" si="180"/>
        <v>0</v>
      </c>
      <c r="BV211" s="306">
        <f t="shared" si="181"/>
        <v>7</v>
      </c>
      <c r="BW211" s="306" t="str">
        <f ca="1">OFFSET(C3,BU211,BV211)</f>
        <v>Alejandro Gómez</v>
      </c>
      <c r="BX211" s="306">
        <f ca="1">COUNTIF('Group Stages'!J7:J102,BW211)</f>
        <v>0</v>
      </c>
      <c r="BY211" s="306">
        <f ca="1">COUNTIF('Group Stages'!K7:K102,BW211)</f>
        <v>0</v>
      </c>
      <c r="BZ211" s="306">
        <f ca="1">COUNTIF('Group Stages'!L7:L102,BW211)</f>
        <v>0</v>
      </c>
      <c r="CA211" s="306">
        <f ca="1">COUNTIF('Group Stages'!M7:M102,BW211)</f>
        <v>0</v>
      </c>
      <c r="CB211" s="306">
        <f ca="1">COUNTIF('Group Stages'!N7:N102,BW211)</f>
        <v>0</v>
      </c>
      <c r="CC211" s="306">
        <f ca="1">COUNTIF('Group Stages'!O7:O102,BW211)</f>
        <v>0</v>
      </c>
      <c r="CD211" s="306">
        <f ca="1">COUNTIF('Group Stages'!P7:P102,BW211)</f>
        <v>0</v>
      </c>
      <c r="CE211" s="306">
        <f ca="1">COUNTIF('Group Stages'!Q7:Q102,BW211)</f>
        <v>0</v>
      </c>
      <c r="CF211" s="306">
        <f ca="1">COUNTIF('Knock Out Stages'!K7:K50,BW211)</f>
        <v>0</v>
      </c>
      <c r="CG211" s="306">
        <f ca="1">COUNTIF('Knock Out Stages'!L7:L50,BW211)</f>
        <v>0</v>
      </c>
      <c r="CH211" s="306">
        <f ca="1">COUNTIF('Knock Out Stages'!M7:M50,BW211)</f>
        <v>0</v>
      </c>
      <c r="CI211" s="306">
        <f ca="1">COUNTIF('Knock Out Stages'!N7:N50,BW211)</f>
        <v>0</v>
      </c>
      <c r="CJ211" s="306">
        <f ca="1">COUNTIF('Knock Out Stages'!O7:O50,BW211)</f>
        <v>0</v>
      </c>
      <c r="CK211" s="306">
        <f ca="1">COUNTIF('Knock Out Stages'!P7:P50,BW211)</f>
        <v>0</v>
      </c>
      <c r="CL211" s="306">
        <f ca="1">COUNTIF('Knock Out Stages'!Q7:Q50,BW211)</f>
        <v>0</v>
      </c>
      <c r="CM211" s="306">
        <f ca="1">COUNTIF('Knock Out Stages'!R7:R50,BW211)</f>
        <v>0</v>
      </c>
      <c r="CN211" s="306">
        <f ca="1">IF(RIGHT('Group Stages'!$B$105,5)="T.com",SUM(BX211:CM211),0)</f>
        <v>0</v>
      </c>
      <c r="CO211" s="306">
        <f ca="1">RANK(CN211,CN3:CN834)+COUNTIF(CN3:CN211,CN211)-1</f>
        <v>209</v>
      </c>
      <c r="CP211" s="306" t="str">
        <f t="shared" ca="1" si="183"/>
        <v>Alejandro Gómez (Argentina)</v>
      </c>
    </row>
    <row r="212" spans="72:94" x14ac:dyDescent="0.3">
      <c r="BT212" s="306" t="str">
        <f t="shared" ref="BT212" ca="1" si="184">BT211</f>
        <v>Argentina</v>
      </c>
      <c r="BU212" s="306">
        <f t="shared" si="180"/>
        <v>1</v>
      </c>
      <c r="BV212" s="306">
        <f t="shared" si="181"/>
        <v>7</v>
      </c>
      <c r="BW212" s="306" t="str">
        <f ca="1">OFFSET(C3,BU212,BV212)</f>
        <v>Alexis Mac Allister</v>
      </c>
      <c r="BX212" s="306">
        <f ca="1">COUNTIF('Group Stages'!J7:J102,BW212)</f>
        <v>0</v>
      </c>
      <c r="BY212" s="306">
        <f ca="1">COUNTIF('Group Stages'!K7:K102,BW212)</f>
        <v>0</v>
      </c>
      <c r="BZ212" s="306">
        <f ca="1">COUNTIF('Group Stages'!L7:L102,BW212)</f>
        <v>0</v>
      </c>
      <c r="CA212" s="306">
        <f ca="1">COUNTIF('Group Stages'!M7:M102,BW212)</f>
        <v>0</v>
      </c>
      <c r="CB212" s="306">
        <f ca="1">COUNTIF('Group Stages'!N7:N102,BW212)</f>
        <v>0</v>
      </c>
      <c r="CC212" s="306">
        <f ca="1">COUNTIF('Group Stages'!O7:O102,BW212)</f>
        <v>0</v>
      </c>
      <c r="CD212" s="306">
        <f ca="1">COUNTIF('Group Stages'!P7:P102,BW212)</f>
        <v>0</v>
      </c>
      <c r="CE212" s="306">
        <f ca="1">COUNTIF('Group Stages'!Q7:Q102,BW212)</f>
        <v>0</v>
      </c>
      <c r="CF212" s="306">
        <f ca="1">COUNTIF('Knock Out Stages'!K7:K50,BW212)</f>
        <v>0</v>
      </c>
      <c r="CG212" s="306">
        <f ca="1">COUNTIF('Knock Out Stages'!L7:L50,BW212)</f>
        <v>0</v>
      </c>
      <c r="CH212" s="306">
        <f ca="1">COUNTIF('Knock Out Stages'!M7:M50,BW212)</f>
        <v>0</v>
      </c>
      <c r="CI212" s="306">
        <f ca="1">COUNTIF('Knock Out Stages'!N7:N50,BW212)</f>
        <v>0</v>
      </c>
      <c r="CJ212" s="306">
        <f ca="1">COUNTIF('Knock Out Stages'!O7:O50,BW212)</f>
        <v>0</v>
      </c>
      <c r="CK212" s="306">
        <f ca="1">COUNTIF('Knock Out Stages'!P7:P50,BW212)</f>
        <v>0</v>
      </c>
      <c r="CL212" s="306">
        <f ca="1">COUNTIF('Knock Out Stages'!Q7:Q50,BW212)</f>
        <v>0</v>
      </c>
      <c r="CM212" s="306">
        <f ca="1">COUNTIF('Knock Out Stages'!R7:R50,BW212)</f>
        <v>0</v>
      </c>
      <c r="CN212" s="306">
        <f ca="1">IF(RIGHT('Group Stages'!$B$105,5)="T.com",SUM(BX212:CM212),0)</f>
        <v>0</v>
      </c>
      <c r="CO212" s="306">
        <f ca="1">RANK(CN212,CN3:CN834)+COUNTIF(CN3:CN212,CN212)-1</f>
        <v>210</v>
      </c>
      <c r="CP212" s="306" t="str">
        <f t="shared" ca="1" si="183"/>
        <v>Alexis Mac Allister (Argentina)</v>
      </c>
    </row>
    <row r="213" spans="72:94" x14ac:dyDescent="0.3">
      <c r="BT213" s="306" t="str">
        <f t="shared" ca="1" si="179"/>
        <v>Argentina</v>
      </c>
      <c r="BU213" s="306">
        <f t="shared" si="180"/>
        <v>2</v>
      </c>
      <c r="BV213" s="306">
        <f t="shared" si="181"/>
        <v>7</v>
      </c>
      <c r="BW213" s="306" t="str">
        <f ca="1">OFFSET(C3,BU213,BV213)</f>
        <v>Ángel Di María</v>
      </c>
      <c r="BX213" s="306">
        <f ca="1">COUNTIF('Group Stages'!J7:J102,BW213)</f>
        <v>0</v>
      </c>
      <c r="BY213" s="306">
        <f ca="1">COUNTIF('Group Stages'!K7:K102,BW213)</f>
        <v>0</v>
      </c>
      <c r="BZ213" s="306">
        <f ca="1">COUNTIF('Group Stages'!L7:L102,BW213)</f>
        <v>0</v>
      </c>
      <c r="CA213" s="306">
        <f ca="1">COUNTIF('Group Stages'!M7:M102,BW213)</f>
        <v>0</v>
      </c>
      <c r="CB213" s="306">
        <f ca="1">COUNTIF('Group Stages'!N7:N102,BW213)</f>
        <v>0</v>
      </c>
      <c r="CC213" s="306">
        <f ca="1">COUNTIF('Group Stages'!O7:O102,BW213)</f>
        <v>0</v>
      </c>
      <c r="CD213" s="306">
        <f ca="1">COUNTIF('Group Stages'!P7:P102,BW213)</f>
        <v>0</v>
      </c>
      <c r="CE213" s="306">
        <f ca="1">COUNTIF('Group Stages'!Q7:Q102,BW213)</f>
        <v>0</v>
      </c>
      <c r="CF213" s="306">
        <f ca="1">COUNTIF('Knock Out Stages'!K7:K50,BW213)</f>
        <v>0</v>
      </c>
      <c r="CG213" s="306">
        <f ca="1">COUNTIF('Knock Out Stages'!L7:L50,BW213)</f>
        <v>0</v>
      </c>
      <c r="CH213" s="306">
        <f ca="1">COUNTIF('Knock Out Stages'!M7:M50,BW213)</f>
        <v>0</v>
      </c>
      <c r="CI213" s="306">
        <f ca="1">COUNTIF('Knock Out Stages'!N7:N50,BW213)</f>
        <v>0</v>
      </c>
      <c r="CJ213" s="306">
        <f ca="1">COUNTIF('Knock Out Stages'!O7:O50,BW213)</f>
        <v>0</v>
      </c>
      <c r="CK213" s="306">
        <f ca="1">COUNTIF('Knock Out Stages'!P7:P50,BW213)</f>
        <v>0</v>
      </c>
      <c r="CL213" s="306">
        <f ca="1">COUNTIF('Knock Out Stages'!Q7:Q50,BW213)</f>
        <v>0</v>
      </c>
      <c r="CM213" s="306">
        <f ca="1">COUNTIF('Knock Out Stages'!R7:R50,BW213)</f>
        <v>0</v>
      </c>
      <c r="CN213" s="306">
        <f ca="1">IF(RIGHT('Group Stages'!$B$105,5)="T.com",SUM(BX213:CM213),0)</f>
        <v>0</v>
      </c>
      <c r="CO213" s="306">
        <f ca="1">RANK(CN213,CN3:CN834)+COUNTIF(CN3:CN213,CN213)-1</f>
        <v>211</v>
      </c>
      <c r="CP213" s="306" t="str">
        <f t="shared" ca="1" si="183"/>
        <v>Ángel Di María (Argentina)</v>
      </c>
    </row>
    <row r="214" spans="72:94" x14ac:dyDescent="0.3">
      <c r="BT214" s="306" t="str">
        <f t="shared" ca="1" si="179"/>
        <v>Argentina</v>
      </c>
      <c r="BU214" s="306">
        <f t="shared" si="180"/>
        <v>3</v>
      </c>
      <c r="BV214" s="306">
        <f t="shared" si="181"/>
        <v>7</v>
      </c>
      <c r="BW214" s="306" t="str">
        <f ca="1">OFFSET(C3,BU214,BV214)</f>
        <v>Cristian Romero</v>
      </c>
      <c r="BX214" s="306">
        <f ca="1">COUNTIF('Group Stages'!J7:J102,BW214)</f>
        <v>0</v>
      </c>
      <c r="BY214" s="306">
        <f ca="1">COUNTIF('Group Stages'!K7:K102,BW214)</f>
        <v>0</v>
      </c>
      <c r="BZ214" s="306">
        <f ca="1">COUNTIF('Group Stages'!L7:L102,BW214)</f>
        <v>0</v>
      </c>
      <c r="CA214" s="306">
        <f ca="1">COUNTIF('Group Stages'!M7:M102,BW214)</f>
        <v>0</v>
      </c>
      <c r="CB214" s="306">
        <f ca="1">COUNTIF('Group Stages'!N7:N102,BW214)</f>
        <v>0</v>
      </c>
      <c r="CC214" s="306">
        <f ca="1">COUNTIF('Group Stages'!O7:O102,BW214)</f>
        <v>0</v>
      </c>
      <c r="CD214" s="306">
        <f ca="1">COUNTIF('Group Stages'!P7:P102,BW214)</f>
        <v>0</v>
      </c>
      <c r="CE214" s="306">
        <f ca="1">COUNTIF('Group Stages'!Q7:Q102,BW214)</f>
        <v>0</v>
      </c>
      <c r="CF214" s="306">
        <f ca="1">COUNTIF('Knock Out Stages'!K7:K50,BW214)</f>
        <v>0</v>
      </c>
      <c r="CG214" s="306">
        <f ca="1">COUNTIF('Knock Out Stages'!L7:L50,BW214)</f>
        <v>0</v>
      </c>
      <c r="CH214" s="306">
        <f ca="1">COUNTIF('Knock Out Stages'!M7:M50,BW214)</f>
        <v>0</v>
      </c>
      <c r="CI214" s="306">
        <f ca="1">COUNTIF('Knock Out Stages'!N7:N50,BW214)</f>
        <v>0</v>
      </c>
      <c r="CJ214" s="306">
        <f ca="1">COUNTIF('Knock Out Stages'!O7:O50,BW214)</f>
        <v>0</v>
      </c>
      <c r="CK214" s="306">
        <f ca="1">COUNTIF('Knock Out Stages'!P7:P50,BW214)</f>
        <v>0</v>
      </c>
      <c r="CL214" s="306">
        <f ca="1">COUNTIF('Knock Out Stages'!Q7:Q50,BW214)</f>
        <v>0</v>
      </c>
      <c r="CM214" s="306">
        <f ca="1">COUNTIF('Knock Out Stages'!R7:R50,BW214)</f>
        <v>0</v>
      </c>
      <c r="CN214" s="306">
        <f ca="1">IF(RIGHT('Group Stages'!$B$105,5)="T.com",SUM(BX214:CM214),0)</f>
        <v>0</v>
      </c>
      <c r="CO214" s="306">
        <f ca="1">RANK(CN214,CN3:CN834)+COUNTIF(CN3:CN214,CN214)-1</f>
        <v>212</v>
      </c>
      <c r="CP214" s="306" t="str">
        <f t="shared" ca="1" si="183"/>
        <v>Cristian Romero (Argentina)</v>
      </c>
    </row>
    <row r="215" spans="72:94" x14ac:dyDescent="0.3">
      <c r="BT215" s="306" t="str">
        <f t="shared" ca="1" si="179"/>
        <v>Argentina</v>
      </c>
      <c r="BU215" s="306">
        <f t="shared" si="180"/>
        <v>4</v>
      </c>
      <c r="BV215" s="306">
        <f t="shared" si="181"/>
        <v>7</v>
      </c>
      <c r="BW215" s="306" t="str">
        <f ca="1">OFFSET(C3,BU215,BV215)</f>
        <v>Emiliano Martínez</v>
      </c>
      <c r="BX215" s="306">
        <f ca="1">COUNTIF('Group Stages'!J7:J102,BW215)</f>
        <v>0</v>
      </c>
      <c r="BY215" s="306">
        <f ca="1">COUNTIF('Group Stages'!K7:K102,BW215)</f>
        <v>0</v>
      </c>
      <c r="BZ215" s="306">
        <f ca="1">COUNTIF('Group Stages'!L7:L102,BW215)</f>
        <v>0</v>
      </c>
      <c r="CA215" s="306">
        <f ca="1">COUNTIF('Group Stages'!M7:M102,BW215)</f>
        <v>0</v>
      </c>
      <c r="CB215" s="306">
        <f ca="1">COUNTIF('Group Stages'!N7:N102,BW215)</f>
        <v>0</v>
      </c>
      <c r="CC215" s="306">
        <f ca="1">COUNTIF('Group Stages'!O7:O102,BW215)</f>
        <v>0</v>
      </c>
      <c r="CD215" s="306">
        <f ca="1">COUNTIF('Group Stages'!P7:P102,BW215)</f>
        <v>0</v>
      </c>
      <c r="CE215" s="306">
        <f ca="1">COUNTIF('Group Stages'!Q7:Q102,BW215)</f>
        <v>0</v>
      </c>
      <c r="CF215" s="306">
        <f ca="1">COUNTIF('Knock Out Stages'!K7:K50,BW215)</f>
        <v>0</v>
      </c>
      <c r="CG215" s="306">
        <f ca="1">COUNTIF('Knock Out Stages'!L7:L50,BW215)</f>
        <v>0</v>
      </c>
      <c r="CH215" s="306">
        <f ca="1">COUNTIF('Knock Out Stages'!M7:M50,BW215)</f>
        <v>0</v>
      </c>
      <c r="CI215" s="306">
        <f ca="1">COUNTIF('Knock Out Stages'!N7:N50,BW215)</f>
        <v>0</v>
      </c>
      <c r="CJ215" s="306">
        <f ca="1">COUNTIF('Knock Out Stages'!O7:O50,BW215)</f>
        <v>0</v>
      </c>
      <c r="CK215" s="306">
        <f ca="1">COUNTIF('Knock Out Stages'!P7:P50,BW215)</f>
        <v>0</v>
      </c>
      <c r="CL215" s="306">
        <f ca="1">COUNTIF('Knock Out Stages'!Q7:Q50,BW215)</f>
        <v>0</v>
      </c>
      <c r="CM215" s="306">
        <f ca="1">COUNTIF('Knock Out Stages'!R7:R50,BW215)</f>
        <v>0</v>
      </c>
      <c r="CN215" s="306">
        <f ca="1">IF(RIGHT('Group Stages'!$B$105,5)="T.com",SUM(BX215:CM215),0)</f>
        <v>0</v>
      </c>
      <c r="CO215" s="306">
        <f ca="1">RANK(CN215,CN3:CN834)+COUNTIF(CN3:CN215,CN215)-1</f>
        <v>213</v>
      </c>
      <c r="CP215" s="306" t="str">
        <f t="shared" ca="1" si="183"/>
        <v>Emiliano Martínez (Argentina)</v>
      </c>
    </row>
    <row r="216" spans="72:94" x14ac:dyDescent="0.3">
      <c r="BT216" s="306" t="str">
        <f t="shared" ca="1" si="179"/>
        <v>Argentina</v>
      </c>
      <c r="BU216" s="306">
        <f t="shared" si="180"/>
        <v>5</v>
      </c>
      <c r="BV216" s="306">
        <f t="shared" si="181"/>
        <v>7</v>
      </c>
      <c r="BW216" s="306" t="str">
        <f ca="1">OFFSET(C3,BU216,BV216)</f>
        <v>Enzo Fernández</v>
      </c>
      <c r="BX216" s="306">
        <f ca="1">COUNTIF('Group Stages'!J7:J102,BW216)</f>
        <v>0</v>
      </c>
      <c r="BY216" s="306">
        <f ca="1">COUNTIF('Group Stages'!K7:K102,BW216)</f>
        <v>0</v>
      </c>
      <c r="BZ216" s="306">
        <f ca="1">COUNTIF('Group Stages'!L7:L102,BW216)</f>
        <v>0</v>
      </c>
      <c r="CA216" s="306">
        <f ca="1">COUNTIF('Group Stages'!M7:M102,BW216)</f>
        <v>0</v>
      </c>
      <c r="CB216" s="306">
        <f ca="1">COUNTIF('Group Stages'!N7:N102,BW216)</f>
        <v>0</v>
      </c>
      <c r="CC216" s="306">
        <f ca="1">COUNTIF('Group Stages'!O7:O102,BW216)</f>
        <v>0</v>
      </c>
      <c r="CD216" s="306">
        <f ca="1">COUNTIF('Group Stages'!P7:P102,BW216)</f>
        <v>0</v>
      </c>
      <c r="CE216" s="306">
        <f ca="1">COUNTIF('Group Stages'!Q7:Q102,BW216)</f>
        <v>0</v>
      </c>
      <c r="CF216" s="306">
        <f ca="1">COUNTIF('Knock Out Stages'!K7:K50,BW216)</f>
        <v>0</v>
      </c>
      <c r="CG216" s="306">
        <f ca="1">COUNTIF('Knock Out Stages'!L7:L50,BW216)</f>
        <v>0</v>
      </c>
      <c r="CH216" s="306">
        <f ca="1">COUNTIF('Knock Out Stages'!M7:M50,BW216)</f>
        <v>0</v>
      </c>
      <c r="CI216" s="306">
        <f ca="1">COUNTIF('Knock Out Stages'!N7:N50,BW216)</f>
        <v>0</v>
      </c>
      <c r="CJ216" s="306">
        <f ca="1">COUNTIF('Knock Out Stages'!O7:O50,BW216)</f>
        <v>0</v>
      </c>
      <c r="CK216" s="306">
        <f ca="1">COUNTIF('Knock Out Stages'!P7:P50,BW216)</f>
        <v>0</v>
      </c>
      <c r="CL216" s="306">
        <f ca="1">COUNTIF('Knock Out Stages'!Q7:Q50,BW216)</f>
        <v>0</v>
      </c>
      <c r="CM216" s="306">
        <f ca="1">COUNTIF('Knock Out Stages'!R7:R50,BW216)</f>
        <v>0</v>
      </c>
      <c r="CN216" s="306">
        <f ca="1">IF(RIGHT('Group Stages'!$B$105,5)="T.com",SUM(BX216:CM216),0)</f>
        <v>0</v>
      </c>
      <c r="CO216" s="306">
        <f ca="1">RANK(CN216,CN3:CN834)+COUNTIF(CN3:CN216,CN216)-1</f>
        <v>214</v>
      </c>
      <c r="CP216" s="306" t="str">
        <f t="shared" ca="1" si="183"/>
        <v>Enzo Fernández (Argentina)</v>
      </c>
    </row>
    <row r="217" spans="72:94" x14ac:dyDescent="0.3">
      <c r="BT217" s="306" t="str">
        <f t="shared" ca="1" si="179"/>
        <v>Argentina</v>
      </c>
      <c r="BU217" s="306">
        <f t="shared" si="180"/>
        <v>6</v>
      </c>
      <c r="BV217" s="306">
        <f t="shared" si="181"/>
        <v>7</v>
      </c>
      <c r="BW217" s="306" t="str">
        <f ca="1">OFFSET(C3,BU217,BV217)</f>
        <v>Exequiel Palacios</v>
      </c>
      <c r="BX217" s="306">
        <f ca="1">COUNTIF('Group Stages'!J7:J102,BW217)</f>
        <v>0</v>
      </c>
      <c r="BY217" s="306">
        <f ca="1">COUNTIF('Group Stages'!K7:K102,BW217)</f>
        <v>0</v>
      </c>
      <c r="BZ217" s="306">
        <f ca="1">COUNTIF('Group Stages'!L7:L102,BW217)</f>
        <v>0</v>
      </c>
      <c r="CA217" s="306">
        <f ca="1">COUNTIF('Group Stages'!M7:M102,BW217)</f>
        <v>0</v>
      </c>
      <c r="CB217" s="306">
        <f ca="1">COUNTIF('Group Stages'!N7:N102,BW217)</f>
        <v>0</v>
      </c>
      <c r="CC217" s="306">
        <f ca="1">COUNTIF('Group Stages'!O7:O102,BW217)</f>
        <v>0</v>
      </c>
      <c r="CD217" s="306">
        <f ca="1">COUNTIF('Group Stages'!P7:P102,BW217)</f>
        <v>0</v>
      </c>
      <c r="CE217" s="306">
        <f ca="1">COUNTIF('Group Stages'!Q7:Q102,BW217)</f>
        <v>0</v>
      </c>
      <c r="CF217" s="306">
        <f ca="1">COUNTIF('Knock Out Stages'!K7:K50,BW217)</f>
        <v>0</v>
      </c>
      <c r="CG217" s="306">
        <f ca="1">COUNTIF('Knock Out Stages'!L7:L50,BW217)</f>
        <v>0</v>
      </c>
      <c r="CH217" s="306">
        <f ca="1">COUNTIF('Knock Out Stages'!M7:M50,BW217)</f>
        <v>0</v>
      </c>
      <c r="CI217" s="306">
        <f ca="1">COUNTIF('Knock Out Stages'!N7:N50,BW217)</f>
        <v>0</v>
      </c>
      <c r="CJ217" s="306">
        <f ca="1">COUNTIF('Knock Out Stages'!O7:O50,BW217)</f>
        <v>0</v>
      </c>
      <c r="CK217" s="306">
        <f ca="1">COUNTIF('Knock Out Stages'!P7:P50,BW217)</f>
        <v>0</v>
      </c>
      <c r="CL217" s="306">
        <f ca="1">COUNTIF('Knock Out Stages'!Q7:Q50,BW217)</f>
        <v>0</v>
      </c>
      <c r="CM217" s="306">
        <f ca="1">COUNTIF('Knock Out Stages'!R7:R50,BW217)</f>
        <v>0</v>
      </c>
      <c r="CN217" s="306">
        <f ca="1">IF(RIGHT('Group Stages'!$B$105,5)="T.com",SUM(BX217:CM217),0)</f>
        <v>0</v>
      </c>
      <c r="CO217" s="306">
        <f ca="1">RANK(CN217,CN3:CN834)+COUNTIF(CN3:CN217,CN217)-1</f>
        <v>215</v>
      </c>
      <c r="CP217" s="306" t="str">
        <f t="shared" ca="1" si="183"/>
        <v>Exequiel Palacios (Argentina)</v>
      </c>
    </row>
    <row r="218" spans="72:94" x14ac:dyDescent="0.3">
      <c r="BT218" s="306" t="str">
        <f t="shared" ca="1" si="179"/>
        <v>Argentina</v>
      </c>
      <c r="BU218" s="306">
        <f t="shared" si="180"/>
        <v>7</v>
      </c>
      <c r="BV218" s="306">
        <f t="shared" si="181"/>
        <v>7</v>
      </c>
      <c r="BW218" s="306" t="str">
        <f ca="1">OFFSET(C3,BU218,BV218)</f>
        <v>Franco Armani</v>
      </c>
      <c r="BX218" s="306">
        <f ca="1">COUNTIF('Group Stages'!J7:J102,BW218)</f>
        <v>0</v>
      </c>
      <c r="BY218" s="306">
        <f ca="1">COUNTIF('Group Stages'!K7:K102,BW218)</f>
        <v>0</v>
      </c>
      <c r="BZ218" s="306">
        <f ca="1">COUNTIF('Group Stages'!L7:L102,BW218)</f>
        <v>0</v>
      </c>
      <c r="CA218" s="306">
        <f ca="1">COUNTIF('Group Stages'!M7:M102,BW218)</f>
        <v>0</v>
      </c>
      <c r="CB218" s="306">
        <f ca="1">COUNTIF('Group Stages'!N7:N102,BW218)</f>
        <v>0</v>
      </c>
      <c r="CC218" s="306">
        <f ca="1">COUNTIF('Group Stages'!O7:O102,BW218)</f>
        <v>0</v>
      </c>
      <c r="CD218" s="306">
        <f ca="1">COUNTIF('Group Stages'!P7:P102,BW218)</f>
        <v>0</v>
      </c>
      <c r="CE218" s="306">
        <f ca="1">COUNTIF('Group Stages'!Q7:Q102,BW218)</f>
        <v>0</v>
      </c>
      <c r="CF218" s="306">
        <f ca="1">COUNTIF('Knock Out Stages'!K7:K50,BW218)</f>
        <v>0</v>
      </c>
      <c r="CG218" s="306">
        <f ca="1">COUNTIF('Knock Out Stages'!L7:L50,BW218)</f>
        <v>0</v>
      </c>
      <c r="CH218" s="306">
        <f ca="1">COUNTIF('Knock Out Stages'!M7:M50,BW218)</f>
        <v>0</v>
      </c>
      <c r="CI218" s="306">
        <f ca="1">COUNTIF('Knock Out Stages'!N7:N50,BW218)</f>
        <v>0</v>
      </c>
      <c r="CJ218" s="306">
        <f ca="1">COUNTIF('Knock Out Stages'!O7:O50,BW218)</f>
        <v>0</v>
      </c>
      <c r="CK218" s="306">
        <f ca="1">COUNTIF('Knock Out Stages'!P7:P50,BW218)</f>
        <v>0</v>
      </c>
      <c r="CL218" s="306">
        <f ca="1">COUNTIF('Knock Out Stages'!Q7:Q50,BW218)</f>
        <v>0</v>
      </c>
      <c r="CM218" s="306">
        <f ca="1">COUNTIF('Knock Out Stages'!R7:R50,BW218)</f>
        <v>0</v>
      </c>
      <c r="CN218" s="306">
        <f ca="1">IF(RIGHT('Group Stages'!$B$105,5)="T.com",SUM(BX218:CM218),0)</f>
        <v>0</v>
      </c>
      <c r="CO218" s="306">
        <f ca="1">RANK(CN218,CN3:CN834)+COUNTIF(CN3:CN218,CN218)-1</f>
        <v>216</v>
      </c>
      <c r="CP218" s="306" t="str">
        <f t="shared" ca="1" si="183"/>
        <v>Franco Armani (Argentina)</v>
      </c>
    </row>
    <row r="219" spans="72:94" x14ac:dyDescent="0.3">
      <c r="BT219" s="306" t="str">
        <f t="shared" ca="1" si="179"/>
        <v>Argentina</v>
      </c>
      <c r="BU219" s="306">
        <f t="shared" si="180"/>
        <v>8</v>
      </c>
      <c r="BV219" s="306">
        <f t="shared" si="181"/>
        <v>7</v>
      </c>
      <c r="BW219" s="306" t="str">
        <f ca="1">OFFSET(C3,BU219,BV219)</f>
        <v>Germán Pezzella</v>
      </c>
      <c r="BX219" s="306">
        <f ca="1">COUNTIF('Group Stages'!J7:J102,BW219)</f>
        <v>0</v>
      </c>
      <c r="BY219" s="306">
        <f ca="1">COUNTIF('Group Stages'!K7:K102,BW219)</f>
        <v>0</v>
      </c>
      <c r="BZ219" s="306">
        <f ca="1">COUNTIF('Group Stages'!L7:L102,BW219)</f>
        <v>0</v>
      </c>
      <c r="CA219" s="306">
        <f ca="1">COUNTIF('Group Stages'!M7:M102,BW219)</f>
        <v>0</v>
      </c>
      <c r="CB219" s="306">
        <f ca="1">COUNTIF('Group Stages'!N7:N102,BW219)</f>
        <v>0</v>
      </c>
      <c r="CC219" s="306">
        <f ca="1">COUNTIF('Group Stages'!O7:O102,BW219)</f>
        <v>0</v>
      </c>
      <c r="CD219" s="306">
        <f ca="1">COUNTIF('Group Stages'!P7:P102,BW219)</f>
        <v>0</v>
      </c>
      <c r="CE219" s="306">
        <f ca="1">COUNTIF('Group Stages'!Q7:Q102,BW219)</f>
        <v>0</v>
      </c>
      <c r="CF219" s="306">
        <f ca="1">COUNTIF('Knock Out Stages'!K7:K50,BW219)</f>
        <v>0</v>
      </c>
      <c r="CG219" s="306">
        <f ca="1">COUNTIF('Knock Out Stages'!L7:L50,BW219)</f>
        <v>0</v>
      </c>
      <c r="CH219" s="306">
        <f ca="1">COUNTIF('Knock Out Stages'!M7:M50,BW219)</f>
        <v>0</v>
      </c>
      <c r="CI219" s="306">
        <f ca="1">COUNTIF('Knock Out Stages'!N7:N50,BW219)</f>
        <v>0</v>
      </c>
      <c r="CJ219" s="306">
        <f ca="1">COUNTIF('Knock Out Stages'!O7:O50,BW219)</f>
        <v>0</v>
      </c>
      <c r="CK219" s="306">
        <f ca="1">COUNTIF('Knock Out Stages'!P7:P50,BW219)</f>
        <v>0</v>
      </c>
      <c r="CL219" s="306">
        <f ca="1">COUNTIF('Knock Out Stages'!Q7:Q50,BW219)</f>
        <v>0</v>
      </c>
      <c r="CM219" s="306">
        <f ca="1">COUNTIF('Knock Out Stages'!R7:R50,BW219)</f>
        <v>0</v>
      </c>
      <c r="CN219" s="306">
        <f ca="1">IF(RIGHT('Group Stages'!$B$105,5)="T.com",SUM(BX219:CM219),0)</f>
        <v>0</v>
      </c>
      <c r="CO219" s="306">
        <f ca="1">RANK(CN219,CN3:CN834)+COUNTIF(CN3:CN219,CN219)-1</f>
        <v>217</v>
      </c>
      <c r="CP219" s="306" t="str">
        <f t="shared" ca="1" si="183"/>
        <v>Germán Pezzella (Argentina)</v>
      </c>
    </row>
    <row r="220" spans="72:94" x14ac:dyDescent="0.3">
      <c r="BT220" s="306" t="str">
        <f t="shared" ca="1" si="179"/>
        <v>Argentina</v>
      </c>
      <c r="BU220" s="306">
        <f t="shared" si="180"/>
        <v>9</v>
      </c>
      <c r="BV220" s="306">
        <f t="shared" si="181"/>
        <v>7</v>
      </c>
      <c r="BW220" s="306" t="str">
        <f ca="1">OFFSET(C3,BU220,BV220)</f>
        <v>Gerónimo Rulli</v>
      </c>
      <c r="BX220" s="306">
        <f ca="1">COUNTIF('Group Stages'!J7:J102,BW220)</f>
        <v>0</v>
      </c>
      <c r="BY220" s="306">
        <f ca="1">COUNTIF('Group Stages'!K7:K102,BW220)</f>
        <v>0</v>
      </c>
      <c r="BZ220" s="306">
        <f ca="1">COUNTIF('Group Stages'!L7:L102,BW220)</f>
        <v>0</v>
      </c>
      <c r="CA220" s="306">
        <f ca="1">COUNTIF('Group Stages'!M7:M102,BW220)</f>
        <v>0</v>
      </c>
      <c r="CB220" s="306">
        <f ca="1">COUNTIF('Group Stages'!N7:N102,BW220)</f>
        <v>0</v>
      </c>
      <c r="CC220" s="306">
        <f ca="1">COUNTIF('Group Stages'!O7:O102,BW220)</f>
        <v>0</v>
      </c>
      <c r="CD220" s="306">
        <f ca="1">COUNTIF('Group Stages'!P7:P102,BW220)</f>
        <v>0</v>
      </c>
      <c r="CE220" s="306">
        <f ca="1">COUNTIF('Group Stages'!Q7:Q102,BW220)</f>
        <v>0</v>
      </c>
      <c r="CF220" s="306">
        <f ca="1">COUNTIF('Knock Out Stages'!K7:K50,BW220)</f>
        <v>0</v>
      </c>
      <c r="CG220" s="306">
        <f ca="1">COUNTIF('Knock Out Stages'!L7:L50,BW220)</f>
        <v>0</v>
      </c>
      <c r="CH220" s="306">
        <f ca="1">COUNTIF('Knock Out Stages'!M7:M50,BW220)</f>
        <v>0</v>
      </c>
      <c r="CI220" s="306">
        <f ca="1">COUNTIF('Knock Out Stages'!N7:N50,BW220)</f>
        <v>0</v>
      </c>
      <c r="CJ220" s="306">
        <f ca="1">COUNTIF('Knock Out Stages'!O7:O50,BW220)</f>
        <v>0</v>
      </c>
      <c r="CK220" s="306">
        <f ca="1">COUNTIF('Knock Out Stages'!P7:P50,BW220)</f>
        <v>0</v>
      </c>
      <c r="CL220" s="306">
        <f ca="1">COUNTIF('Knock Out Stages'!Q7:Q50,BW220)</f>
        <v>0</v>
      </c>
      <c r="CM220" s="306">
        <f ca="1">COUNTIF('Knock Out Stages'!R7:R50,BW220)</f>
        <v>0</v>
      </c>
      <c r="CN220" s="306">
        <f ca="1">IF(RIGHT('Group Stages'!$B$105,5)="T.com",SUM(BX220:CM220),0)</f>
        <v>0</v>
      </c>
      <c r="CO220" s="306">
        <f ca="1">RANK(CN220,CN3:CN834)+COUNTIF(CN3:CN220,CN220)-1</f>
        <v>218</v>
      </c>
      <c r="CP220" s="306" t="str">
        <f t="shared" ca="1" si="183"/>
        <v>Gerónimo Rulli (Argentina)</v>
      </c>
    </row>
    <row r="221" spans="72:94" x14ac:dyDescent="0.3">
      <c r="BT221" s="306" t="str">
        <f t="shared" ca="1" si="179"/>
        <v>Argentina</v>
      </c>
      <c r="BU221" s="306">
        <f t="shared" si="180"/>
        <v>10</v>
      </c>
      <c r="BV221" s="306">
        <f t="shared" si="181"/>
        <v>7</v>
      </c>
      <c r="BW221" s="306" t="str">
        <f ca="1">OFFSET(C3,BU221,BV221)</f>
        <v>Gonzalo Montiel</v>
      </c>
      <c r="BX221" s="306">
        <f ca="1">COUNTIF('Group Stages'!J7:J102,BW221)</f>
        <v>0</v>
      </c>
      <c r="BY221" s="306">
        <f ca="1">COUNTIF('Group Stages'!K7:K102,BW221)</f>
        <v>0</v>
      </c>
      <c r="BZ221" s="306">
        <f ca="1">COUNTIF('Group Stages'!L7:L102,BW221)</f>
        <v>0</v>
      </c>
      <c r="CA221" s="306">
        <f ca="1">COUNTIF('Group Stages'!M7:M102,BW221)</f>
        <v>0</v>
      </c>
      <c r="CB221" s="306">
        <f ca="1">COUNTIF('Group Stages'!N7:N102,BW221)</f>
        <v>0</v>
      </c>
      <c r="CC221" s="306">
        <f ca="1">COUNTIF('Group Stages'!O7:O102,BW221)</f>
        <v>0</v>
      </c>
      <c r="CD221" s="306">
        <f ca="1">COUNTIF('Group Stages'!P7:P102,BW221)</f>
        <v>0</v>
      </c>
      <c r="CE221" s="306">
        <f ca="1">COUNTIF('Group Stages'!Q7:Q102,BW221)</f>
        <v>0</v>
      </c>
      <c r="CF221" s="306">
        <f ca="1">COUNTIF('Knock Out Stages'!K7:K50,BW221)</f>
        <v>0</v>
      </c>
      <c r="CG221" s="306">
        <f ca="1">COUNTIF('Knock Out Stages'!L7:L50,BW221)</f>
        <v>0</v>
      </c>
      <c r="CH221" s="306">
        <f ca="1">COUNTIF('Knock Out Stages'!M7:M50,BW221)</f>
        <v>0</v>
      </c>
      <c r="CI221" s="306">
        <f ca="1">COUNTIF('Knock Out Stages'!N7:N50,BW221)</f>
        <v>0</v>
      </c>
      <c r="CJ221" s="306">
        <f ca="1">COUNTIF('Knock Out Stages'!O7:O50,BW221)</f>
        <v>0</v>
      </c>
      <c r="CK221" s="306">
        <f ca="1">COUNTIF('Knock Out Stages'!P7:P50,BW221)</f>
        <v>0</v>
      </c>
      <c r="CL221" s="306">
        <f ca="1">COUNTIF('Knock Out Stages'!Q7:Q50,BW221)</f>
        <v>0</v>
      </c>
      <c r="CM221" s="306">
        <f ca="1">COUNTIF('Knock Out Stages'!R7:R50,BW221)</f>
        <v>0</v>
      </c>
      <c r="CN221" s="306">
        <f ca="1">IF(RIGHT('Group Stages'!$B$105,5)="T.com",SUM(BX221:CM221),0)</f>
        <v>0</v>
      </c>
      <c r="CO221" s="306">
        <f ca="1">RANK(CN221,CN3:CN834)+COUNTIF(CN3:CN221,CN221)-1</f>
        <v>219</v>
      </c>
      <c r="CP221" s="306" t="str">
        <f t="shared" ca="1" si="183"/>
        <v>Gonzalo Montiel (Argentina)</v>
      </c>
    </row>
    <row r="222" spans="72:94" x14ac:dyDescent="0.3">
      <c r="BT222" s="306" t="str">
        <f t="shared" ca="1" si="179"/>
        <v>Argentina</v>
      </c>
      <c r="BU222" s="306">
        <f t="shared" si="180"/>
        <v>11</v>
      </c>
      <c r="BV222" s="306">
        <f t="shared" si="181"/>
        <v>7</v>
      </c>
      <c r="BW222" s="306" t="str">
        <f ca="1">OFFSET(C3,BU222,BV222)</f>
        <v>Guido Rodríguez</v>
      </c>
      <c r="BX222" s="306">
        <f ca="1">COUNTIF('Group Stages'!J7:J102,BW222)</f>
        <v>0</v>
      </c>
      <c r="BY222" s="306">
        <f ca="1">COUNTIF('Group Stages'!K7:K102,BW222)</f>
        <v>0</v>
      </c>
      <c r="BZ222" s="306">
        <f ca="1">COUNTIF('Group Stages'!L7:L102,BW222)</f>
        <v>0</v>
      </c>
      <c r="CA222" s="306">
        <f ca="1">COUNTIF('Group Stages'!M7:M102,BW222)</f>
        <v>0</v>
      </c>
      <c r="CB222" s="306">
        <f ca="1">COUNTIF('Group Stages'!N7:N102,BW222)</f>
        <v>0</v>
      </c>
      <c r="CC222" s="306">
        <f ca="1">COUNTIF('Group Stages'!O7:O102,BW222)</f>
        <v>0</v>
      </c>
      <c r="CD222" s="306">
        <f ca="1">COUNTIF('Group Stages'!P7:P102,BW222)</f>
        <v>0</v>
      </c>
      <c r="CE222" s="306">
        <f ca="1">COUNTIF('Group Stages'!Q7:Q102,BW222)</f>
        <v>0</v>
      </c>
      <c r="CF222" s="306">
        <f ca="1">COUNTIF('Knock Out Stages'!K7:K50,BW222)</f>
        <v>0</v>
      </c>
      <c r="CG222" s="306">
        <f ca="1">COUNTIF('Knock Out Stages'!L7:L50,BW222)</f>
        <v>0</v>
      </c>
      <c r="CH222" s="306">
        <f ca="1">COUNTIF('Knock Out Stages'!M7:M50,BW222)</f>
        <v>0</v>
      </c>
      <c r="CI222" s="306">
        <f ca="1">COUNTIF('Knock Out Stages'!N7:N50,BW222)</f>
        <v>0</v>
      </c>
      <c r="CJ222" s="306">
        <f ca="1">COUNTIF('Knock Out Stages'!O7:O50,BW222)</f>
        <v>0</v>
      </c>
      <c r="CK222" s="306">
        <f ca="1">COUNTIF('Knock Out Stages'!P7:P50,BW222)</f>
        <v>0</v>
      </c>
      <c r="CL222" s="306">
        <f ca="1">COUNTIF('Knock Out Stages'!Q7:Q50,BW222)</f>
        <v>0</v>
      </c>
      <c r="CM222" s="306">
        <f ca="1">COUNTIF('Knock Out Stages'!R7:R50,BW222)</f>
        <v>0</v>
      </c>
      <c r="CN222" s="306">
        <f ca="1">IF(RIGHT('Group Stages'!$B$105,5)="T.com",SUM(BX222:CM222),0)</f>
        <v>0</v>
      </c>
      <c r="CO222" s="306">
        <f ca="1">RANK(CN222,CN3:CN834)+COUNTIF(CN3:CN222,CN222)-1</f>
        <v>220</v>
      </c>
      <c r="CP222" s="306" t="str">
        <f t="shared" ca="1" si="183"/>
        <v>Guido Rodríguez (Argentina)</v>
      </c>
    </row>
    <row r="223" spans="72:94" x14ac:dyDescent="0.3">
      <c r="BT223" s="306" t="str">
        <f t="shared" ca="1" si="179"/>
        <v>Argentina</v>
      </c>
      <c r="BU223" s="306">
        <f t="shared" si="180"/>
        <v>12</v>
      </c>
      <c r="BV223" s="306">
        <f t="shared" si="181"/>
        <v>7</v>
      </c>
      <c r="BW223" s="306" t="str">
        <f ca="1">OFFSET(C3,BU223,BV223)</f>
        <v>Joaquín Correa</v>
      </c>
      <c r="BX223" s="306">
        <f ca="1">COUNTIF('Group Stages'!J7:J102,BW223)</f>
        <v>0</v>
      </c>
      <c r="BY223" s="306">
        <f ca="1">COUNTIF('Group Stages'!K7:K102,BW223)</f>
        <v>0</v>
      </c>
      <c r="BZ223" s="306">
        <f ca="1">COUNTIF('Group Stages'!L7:L102,BW223)</f>
        <v>0</v>
      </c>
      <c r="CA223" s="306">
        <f ca="1">COUNTIF('Group Stages'!M7:M102,BW223)</f>
        <v>0</v>
      </c>
      <c r="CB223" s="306">
        <f ca="1">COUNTIF('Group Stages'!N7:N102,BW223)</f>
        <v>0</v>
      </c>
      <c r="CC223" s="306">
        <f ca="1">COUNTIF('Group Stages'!O7:O102,BW223)</f>
        <v>0</v>
      </c>
      <c r="CD223" s="306">
        <f ca="1">COUNTIF('Group Stages'!P7:P102,BW223)</f>
        <v>0</v>
      </c>
      <c r="CE223" s="306">
        <f ca="1">COUNTIF('Group Stages'!Q7:Q102,BW223)</f>
        <v>0</v>
      </c>
      <c r="CF223" s="306">
        <f ca="1">COUNTIF('Knock Out Stages'!K7:K50,BW223)</f>
        <v>0</v>
      </c>
      <c r="CG223" s="306">
        <f ca="1">COUNTIF('Knock Out Stages'!L7:L50,BW223)</f>
        <v>0</v>
      </c>
      <c r="CH223" s="306">
        <f ca="1">COUNTIF('Knock Out Stages'!M7:M50,BW223)</f>
        <v>0</v>
      </c>
      <c r="CI223" s="306">
        <f ca="1">COUNTIF('Knock Out Stages'!N7:N50,BW223)</f>
        <v>0</v>
      </c>
      <c r="CJ223" s="306">
        <f ca="1">COUNTIF('Knock Out Stages'!O7:O50,BW223)</f>
        <v>0</v>
      </c>
      <c r="CK223" s="306">
        <f ca="1">COUNTIF('Knock Out Stages'!P7:P50,BW223)</f>
        <v>0</v>
      </c>
      <c r="CL223" s="306">
        <f ca="1">COUNTIF('Knock Out Stages'!Q7:Q50,BW223)</f>
        <v>0</v>
      </c>
      <c r="CM223" s="306">
        <f ca="1">COUNTIF('Knock Out Stages'!R7:R50,BW223)</f>
        <v>0</v>
      </c>
      <c r="CN223" s="306">
        <f ca="1">IF(RIGHT('Group Stages'!$B$105,5)="T.com",SUM(BX223:CM223),0)</f>
        <v>0</v>
      </c>
      <c r="CO223" s="306">
        <f ca="1">RANK(CN223,CN3:CN834)+COUNTIF(CN3:CN223,CN223)-1</f>
        <v>221</v>
      </c>
      <c r="CP223" s="306" t="str">
        <f t="shared" ca="1" si="183"/>
        <v>Joaquín Correa (Argentina)</v>
      </c>
    </row>
    <row r="224" spans="72:94" x14ac:dyDescent="0.3">
      <c r="BT224" s="306" t="str">
        <f t="shared" ca="1" si="179"/>
        <v>Argentina</v>
      </c>
      <c r="BU224" s="306">
        <f t="shared" si="180"/>
        <v>13</v>
      </c>
      <c r="BV224" s="306">
        <f t="shared" si="181"/>
        <v>7</v>
      </c>
      <c r="BW224" s="306" t="str">
        <f ca="1">OFFSET(C3,BU224,BV224)</f>
        <v>Juan Foyth</v>
      </c>
      <c r="BX224" s="306">
        <f ca="1">COUNTIF('Group Stages'!J7:J102,BW224)</f>
        <v>0</v>
      </c>
      <c r="BY224" s="306">
        <f ca="1">COUNTIF('Group Stages'!K7:K102,BW224)</f>
        <v>0</v>
      </c>
      <c r="BZ224" s="306">
        <f ca="1">COUNTIF('Group Stages'!L7:L102,BW224)</f>
        <v>0</v>
      </c>
      <c r="CA224" s="306">
        <f ca="1">COUNTIF('Group Stages'!M7:M102,BW224)</f>
        <v>0</v>
      </c>
      <c r="CB224" s="306">
        <f ca="1">COUNTIF('Group Stages'!N7:N102,BW224)</f>
        <v>0</v>
      </c>
      <c r="CC224" s="306">
        <f ca="1">COUNTIF('Group Stages'!O7:O102,BW224)</f>
        <v>0</v>
      </c>
      <c r="CD224" s="306">
        <f ca="1">COUNTIF('Group Stages'!P7:P102,BW224)</f>
        <v>0</v>
      </c>
      <c r="CE224" s="306">
        <f ca="1">COUNTIF('Group Stages'!Q7:Q102,BW224)</f>
        <v>0</v>
      </c>
      <c r="CF224" s="306">
        <f ca="1">COUNTIF('Knock Out Stages'!K7:K50,BW224)</f>
        <v>0</v>
      </c>
      <c r="CG224" s="306">
        <f ca="1">COUNTIF('Knock Out Stages'!L7:L50,BW224)</f>
        <v>0</v>
      </c>
      <c r="CH224" s="306">
        <f ca="1">COUNTIF('Knock Out Stages'!M7:M50,BW224)</f>
        <v>0</v>
      </c>
      <c r="CI224" s="306">
        <f ca="1">COUNTIF('Knock Out Stages'!N7:N50,BW224)</f>
        <v>0</v>
      </c>
      <c r="CJ224" s="306">
        <f ca="1">COUNTIF('Knock Out Stages'!O7:O50,BW224)</f>
        <v>0</v>
      </c>
      <c r="CK224" s="306">
        <f ca="1">COUNTIF('Knock Out Stages'!P7:P50,BW224)</f>
        <v>0</v>
      </c>
      <c r="CL224" s="306">
        <f ca="1">COUNTIF('Knock Out Stages'!Q7:Q50,BW224)</f>
        <v>0</v>
      </c>
      <c r="CM224" s="306">
        <f ca="1">COUNTIF('Knock Out Stages'!R7:R50,BW224)</f>
        <v>0</v>
      </c>
      <c r="CN224" s="306">
        <f ca="1">IF(RIGHT('Group Stages'!$B$105,5)="T.com",SUM(BX224:CM224),0)</f>
        <v>0</v>
      </c>
      <c r="CO224" s="306">
        <f ca="1">RANK(CN224,CN3:CN834)+COUNTIF(CN3:CN224,CN224)-1</f>
        <v>222</v>
      </c>
      <c r="CP224" s="306" t="str">
        <f t="shared" ca="1" si="183"/>
        <v>Juan Foyth (Argentina)</v>
      </c>
    </row>
    <row r="225" spans="72:94" x14ac:dyDescent="0.3">
      <c r="BT225" s="306" t="str">
        <f t="shared" ca="1" si="179"/>
        <v>Argentina</v>
      </c>
      <c r="BU225" s="306">
        <f t="shared" si="180"/>
        <v>14</v>
      </c>
      <c r="BV225" s="306">
        <f t="shared" si="181"/>
        <v>7</v>
      </c>
      <c r="BW225" s="306" t="str">
        <f ca="1">OFFSET(C3,BU225,BV225)</f>
        <v>Julián Álvarez</v>
      </c>
      <c r="BX225" s="306">
        <f ca="1">COUNTIF('Group Stages'!J7:J102,BW225)</f>
        <v>0</v>
      </c>
      <c r="BY225" s="306">
        <f ca="1">COUNTIF('Group Stages'!K7:K102,BW225)</f>
        <v>0</v>
      </c>
      <c r="BZ225" s="306">
        <f ca="1">COUNTIF('Group Stages'!L7:L102,BW225)</f>
        <v>0</v>
      </c>
      <c r="CA225" s="306">
        <f ca="1">COUNTIF('Group Stages'!M7:M102,BW225)</f>
        <v>0</v>
      </c>
      <c r="CB225" s="306">
        <f ca="1">COUNTIF('Group Stages'!N7:N102,BW225)</f>
        <v>0</v>
      </c>
      <c r="CC225" s="306">
        <f ca="1">COUNTIF('Group Stages'!O7:O102,BW225)</f>
        <v>0</v>
      </c>
      <c r="CD225" s="306">
        <f ca="1">COUNTIF('Group Stages'!P7:P102,BW225)</f>
        <v>0</v>
      </c>
      <c r="CE225" s="306">
        <f ca="1">COUNTIF('Group Stages'!Q7:Q102,BW225)</f>
        <v>0</v>
      </c>
      <c r="CF225" s="306">
        <f ca="1">COUNTIF('Knock Out Stages'!K7:K50,BW225)</f>
        <v>0</v>
      </c>
      <c r="CG225" s="306">
        <f ca="1">COUNTIF('Knock Out Stages'!L7:L50,BW225)</f>
        <v>0</v>
      </c>
      <c r="CH225" s="306">
        <f ca="1">COUNTIF('Knock Out Stages'!M7:M50,BW225)</f>
        <v>0</v>
      </c>
      <c r="CI225" s="306">
        <f ca="1">COUNTIF('Knock Out Stages'!N7:N50,BW225)</f>
        <v>0</v>
      </c>
      <c r="CJ225" s="306">
        <f ca="1">COUNTIF('Knock Out Stages'!O7:O50,BW225)</f>
        <v>0</v>
      </c>
      <c r="CK225" s="306">
        <f ca="1">COUNTIF('Knock Out Stages'!P7:P50,BW225)</f>
        <v>0</v>
      </c>
      <c r="CL225" s="306">
        <f ca="1">COUNTIF('Knock Out Stages'!Q7:Q50,BW225)</f>
        <v>0</v>
      </c>
      <c r="CM225" s="306">
        <f ca="1">COUNTIF('Knock Out Stages'!R7:R50,BW225)</f>
        <v>0</v>
      </c>
      <c r="CN225" s="306">
        <f ca="1">IF(RIGHT('Group Stages'!$B$105,5)="T.com",SUM(BX225:CM225),0)</f>
        <v>0</v>
      </c>
      <c r="CO225" s="306">
        <f ca="1">RANK(CN225,CN3:CN834)+COUNTIF(CN3:CN225,CN225)-1</f>
        <v>223</v>
      </c>
      <c r="CP225" s="306" t="str">
        <f t="shared" ca="1" si="183"/>
        <v>Julián Álvarez (Argentina)</v>
      </c>
    </row>
    <row r="226" spans="72:94" x14ac:dyDescent="0.3">
      <c r="BT226" s="306" t="str">
        <f t="shared" ca="1" si="179"/>
        <v>Argentina</v>
      </c>
      <c r="BU226" s="306">
        <f t="shared" si="180"/>
        <v>15</v>
      </c>
      <c r="BV226" s="306">
        <f t="shared" si="181"/>
        <v>7</v>
      </c>
      <c r="BW226" s="306" t="str">
        <f ca="1">OFFSET(C3,BU226,BV226)</f>
        <v>Lautaro Martínez</v>
      </c>
      <c r="BX226" s="306">
        <f ca="1">COUNTIF('Group Stages'!J7:J102,BW226)</f>
        <v>0</v>
      </c>
      <c r="BY226" s="306">
        <f ca="1">COUNTIF('Group Stages'!K7:K102,BW226)</f>
        <v>0</v>
      </c>
      <c r="BZ226" s="306">
        <f ca="1">COUNTIF('Group Stages'!L7:L102,BW226)</f>
        <v>0</v>
      </c>
      <c r="CA226" s="306">
        <f ca="1">COUNTIF('Group Stages'!M7:M102,BW226)</f>
        <v>0</v>
      </c>
      <c r="CB226" s="306">
        <f ca="1">COUNTIF('Group Stages'!N7:N102,BW226)</f>
        <v>0</v>
      </c>
      <c r="CC226" s="306">
        <f ca="1">COUNTIF('Group Stages'!O7:O102,BW226)</f>
        <v>0</v>
      </c>
      <c r="CD226" s="306">
        <f ca="1">COUNTIF('Group Stages'!P7:P102,BW226)</f>
        <v>0</v>
      </c>
      <c r="CE226" s="306">
        <f ca="1">COUNTIF('Group Stages'!Q7:Q102,BW226)</f>
        <v>0</v>
      </c>
      <c r="CF226" s="306">
        <f ca="1">COUNTIF('Knock Out Stages'!K7:K50,BW226)</f>
        <v>0</v>
      </c>
      <c r="CG226" s="306">
        <f ca="1">COUNTIF('Knock Out Stages'!L7:L50,BW226)</f>
        <v>0</v>
      </c>
      <c r="CH226" s="306">
        <f ca="1">COUNTIF('Knock Out Stages'!M7:M50,BW226)</f>
        <v>0</v>
      </c>
      <c r="CI226" s="306">
        <f ca="1">COUNTIF('Knock Out Stages'!N7:N50,BW226)</f>
        <v>0</v>
      </c>
      <c r="CJ226" s="306">
        <f ca="1">COUNTIF('Knock Out Stages'!O7:O50,BW226)</f>
        <v>0</v>
      </c>
      <c r="CK226" s="306">
        <f ca="1">COUNTIF('Knock Out Stages'!P7:P50,BW226)</f>
        <v>0</v>
      </c>
      <c r="CL226" s="306">
        <f ca="1">COUNTIF('Knock Out Stages'!Q7:Q50,BW226)</f>
        <v>0</v>
      </c>
      <c r="CM226" s="306">
        <f ca="1">COUNTIF('Knock Out Stages'!R7:R50,BW226)</f>
        <v>0</v>
      </c>
      <c r="CN226" s="306">
        <f ca="1">IF(RIGHT('Group Stages'!$B$105,5)="T.com",SUM(BX226:CM226),0)</f>
        <v>0</v>
      </c>
      <c r="CO226" s="306">
        <f ca="1">RANK(CN226,CN3:CN834)+COUNTIF(CN3:CN226,CN226)-1</f>
        <v>224</v>
      </c>
      <c r="CP226" s="306" t="str">
        <f t="shared" ca="1" si="183"/>
        <v>Lautaro Martínez (Argentina)</v>
      </c>
    </row>
    <row r="227" spans="72:94" x14ac:dyDescent="0.3">
      <c r="BT227" s="306" t="str">
        <f t="shared" ca="1" si="179"/>
        <v>Argentina</v>
      </c>
      <c r="BU227" s="306">
        <f t="shared" si="180"/>
        <v>16</v>
      </c>
      <c r="BV227" s="306">
        <f t="shared" si="181"/>
        <v>7</v>
      </c>
      <c r="BW227" s="306" t="str">
        <f ca="1">OFFSET(C3,BU227,BV227)</f>
        <v>Leandro Paredes</v>
      </c>
      <c r="BX227" s="306">
        <f ca="1">COUNTIF('Group Stages'!J7:J102,BW227)</f>
        <v>0</v>
      </c>
      <c r="BY227" s="306">
        <f ca="1">COUNTIF('Group Stages'!K7:K102,BW227)</f>
        <v>0</v>
      </c>
      <c r="BZ227" s="306">
        <f ca="1">COUNTIF('Group Stages'!L7:L102,BW227)</f>
        <v>0</v>
      </c>
      <c r="CA227" s="306">
        <f ca="1">COUNTIF('Group Stages'!M7:M102,BW227)</f>
        <v>0</v>
      </c>
      <c r="CB227" s="306">
        <f ca="1">COUNTIF('Group Stages'!N7:N102,BW227)</f>
        <v>0</v>
      </c>
      <c r="CC227" s="306">
        <f ca="1">COUNTIF('Group Stages'!O7:O102,BW227)</f>
        <v>0</v>
      </c>
      <c r="CD227" s="306">
        <f ca="1">COUNTIF('Group Stages'!P7:P102,BW227)</f>
        <v>0</v>
      </c>
      <c r="CE227" s="306">
        <f ca="1">COUNTIF('Group Stages'!Q7:Q102,BW227)</f>
        <v>0</v>
      </c>
      <c r="CF227" s="306">
        <f ca="1">COUNTIF('Knock Out Stages'!K7:K50,BW227)</f>
        <v>0</v>
      </c>
      <c r="CG227" s="306">
        <f ca="1">COUNTIF('Knock Out Stages'!L7:L50,BW227)</f>
        <v>0</v>
      </c>
      <c r="CH227" s="306">
        <f ca="1">COUNTIF('Knock Out Stages'!M7:M50,BW227)</f>
        <v>0</v>
      </c>
      <c r="CI227" s="306">
        <f ca="1">COUNTIF('Knock Out Stages'!N7:N50,BW227)</f>
        <v>0</v>
      </c>
      <c r="CJ227" s="306">
        <f ca="1">COUNTIF('Knock Out Stages'!O7:O50,BW227)</f>
        <v>0</v>
      </c>
      <c r="CK227" s="306">
        <f ca="1">COUNTIF('Knock Out Stages'!P7:P50,BW227)</f>
        <v>0</v>
      </c>
      <c r="CL227" s="306">
        <f ca="1">COUNTIF('Knock Out Stages'!Q7:Q50,BW227)</f>
        <v>0</v>
      </c>
      <c r="CM227" s="306">
        <f ca="1">COUNTIF('Knock Out Stages'!R7:R50,BW227)</f>
        <v>0</v>
      </c>
      <c r="CN227" s="306">
        <f ca="1">IF(RIGHT('Group Stages'!$B$105,5)="T.com",SUM(BX227:CM227),0)</f>
        <v>0</v>
      </c>
      <c r="CO227" s="306">
        <f ca="1">RANK(CN227,CN3:CN834)+COUNTIF(CN3:CN227,CN227)-1</f>
        <v>225</v>
      </c>
      <c r="CP227" s="306" t="str">
        <f t="shared" ca="1" si="183"/>
        <v>Leandro Paredes (Argentina)</v>
      </c>
    </row>
    <row r="228" spans="72:94" x14ac:dyDescent="0.3">
      <c r="BT228" s="306" t="str">
        <f t="shared" ca="1" si="179"/>
        <v>Argentina</v>
      </c>
      <c r="BU228" s="306">
        <f t="shared" si="180"/>
        <v>17</v>
      </c>
      <c r="BV228" s="306">
        <f t="shared" si="181"/>
        <v>7</v>
      </c>
      <c r="BW228" s="306" t="str">
        <f ca="1">OFFSET(C3,BU228,BV228)</f>
        <v>Lionel Messi</v>
      </c>
      <c r="BX228" s="306">
        <f ca="1">COUNTIF('Group Stages'!J7:J102,BW228)</f>
        <v>0</v>
      </c>
      <c r="BY228" s="306">
        <f ca="1">COUNTIF('Group Stages'!K7:K102,BW228)</f>
        <v>0</v>
      </c>
      <c r="BZ228" s="306">
        <f ca="1">COUNTIF('Group Stages'!L7:L102,BW228)</f>
        <v>0</v>
      </c>
      <c r="CA228" s="306">
        <f ca="1">COUNTIF('Group Stages'!M7:M102,BW228)</f>
        <v>0</v>
      </c>
      <c r="CB228" s="306">
        <f ca="1">COUNTIF('Group Stages'!N7:N102,BW228)</f>
        <v>0</v>
      </c>
      <c r="CC228" s="306">
        <f ca="1">COUNTIF('Group Stages'!O7:O102,BW228)</f>
        <v>0</v>
      </c>
      <c r="CD228" s="306">
        <f ca="1">COUNTIF('Group Stages'!P7:P102,BW228)</f>
        <v>0</v>
      </c>
      <c r="CE228" s="306">
        <f ca="1">COUNTIF('Group Stages'!Q7:Q102,BW228)</f>
        <v>0</v>
      </c>
      <c r="CF228" s="306">
        <f ca="1">COUNTIF('Knock Out Stages'!K7:K50,BW228)</f>
        <v>0</v>
      </c>
      <c r="CG228" s="306">
        <f ca="1">COUNTIF('Knock Out Stages'!L7:L50,BW228)</f>
        <v>0</v>
      </c>
      <c r="CH228" s="306">
        <f ca="1">COUNTIF('Knock Out Stages'!M7:M50,BW228)</f>
        <v>0</v>
      </c>
      <c r="CI228" s="306">
        <f ca="1">COUNTIF('Knock Out Stages'!N7:N50,BW228)</f>
        <v>0</v>
      </c>
      <c r="CJ228" s="306">
        <f ca="1">COUNTIF('Knock Out Stages'!O7:O50,BW228)</f>
        <v>0</v>
      </c>
      <c r="CK228" s="306">
        <f ca="1">COUNTIF('Knock Out Stages'!P7:P50,BW228)</f>
        <v>0</v>
      </c>
      <c r="CL228" s="306">
        <f ca="1">COUNTIF('Knock Out Stages'!Q7:Q50,BW228)</f>
        <v>0</v>
      </c>
      <c r="CM228" s="306">
        <f ca="1">COUNTIF('Knock Out Stages'!R7:R50,BW228)</f>
        <v>0</v>
      </c>
      <c r="CN228" s="306">
        <f ca="1">IF(RIGHT('Group Stages'!$B$105,5)="T.com",SUM(BX228:CM228),0)</f>
        <v>0</v>
      </c>
      <c r="CO228" s="306">
        <f ca="1">RANK(CN228,CN3:CN834)+COUNTIF(CN3:CN228,CN228)-1</f>
        <v>226</v>
      </c>
      <c r="CP228" s="306" t="str">
        <f t="shared" ca="1" si="183"/>
        <v>Lionel Messi (Argentina)</v>
      </c>
    </row>
    <row r="229" spans="72:94" x14ac:dyDescent="0.3">
      <c r="BT229" s="306" t="str">
        <f t="shared" ca="1" si="179"/>
        <v>Argentina</v>
      </c>
      <c r="BU229" s="306">
        <f t="shared" si="180"/>
        <v>18</v>
      </c>
      <c r="BV229" s="306">
        <f t="shared" si="181"/>
        <v>7</v>
      </c>
      <c r="BW229" s="306" t="str">
        <f ca="1">OFFSET(C3,BU229,BV229)</f>
        <v>Lisandro Martínez</v>
      </c>
      <c r="BX229" s="306">
        <f ca="1">COUNTIF('Group Stages'!J7:J102,BW229)</f>
        <v>0</v>
      </c>
      <c r="BY229" s="306">
        <f ca="1">COUNTIF('Group Stages'!K7:K102,BW229)</f>
        <v>0</v>
      </c>
      <c r="BZ229" s="306">
        <f ca="1">COUNTIF('Group Stages'!L7:L102,BW229)</f>
        <v>0</v>
      </c>
      <c r="CA229" s="306">
        <f ca="1">COUNTIF('Group Stages'!M7:M102,BW229)</f>
        <v>0</v>
      </c>
      <c r="CB229" s="306">
        <f ca="1">COUNTIF('Group Stages'!N7:N102,BW229)</f>
        <v>0</v>
      </c>
      <c r="CC229" s="306">
        <f ca="1">COUNTIF('Group Stages'!O7:O102,BW229)</f>
        <v>0</v>
      </c>
      <c r="CD229" s="306">
        <f ca="1">COUNTIF('Group Stages'!P7:P102,BW229)</f>
        <v>0</v>
      </c>
      <c r="CE229" s="306">
        <f ca="1">COUNTIF('Group Stages'!Q7:Q102,BW229)</f>
        <v>0</v>
      </c>
      <c r="CF229" s="306">
        <f ca="1">COUNTIF('Knock Out Stages'!K7:K50,BW229)</f>
        <v>0</v>
      </c>
      <c r="CG229" s="306">
        <f ca="1">COUNTIF('Knock Out Stages'!L7:L50,BW229)</f>
        <v>0</v>
      </c>
      <c r="CH229" s="306">
        <f ca="1">COUNTIF('Knock Out Stages'!M7:M50,BW229)</f>
        <v>0</v>
      </c>
      <c r="CI229" s="306">
        <f ca="1">COUNTIF('Knock Out Stages'!N7:N50,BW229)</f>
        <v>0</v>
      </c>
      <c r="CJ229" s="306">
        <f ca="1">COUNTIF('Knock Out Stages'!O7:O50,BW229)</f>
        <v>0</v>
      </c>
      <c r="CK229" s="306">
        <f ca="1">COUNTIF('Knock Out Stages'!P7:P50,BW229)</f>
        <v>0</v>
      </c>
      <c r="CL229" s="306">
        <f ca="1">COUNTIF('Knock Out Stages'!Q7:Q50,BW229)</f>
        <v>0</v>
      </c>
      <c r="CM229" s="306">
        <f ca="1">COUNTIF('Knock Out Stages'!R7:R50,BW229)</f>
        <v>0</v>
      </c>
      <c r="CN229" s="306">
        <f ca="1">IF(RIGHT('Group Stages'!$B$105,5)="T.com",SUM(BX229:CM229),0)</f>
        <v>0</v>
      </c>
      <c r="CO229" s="306">
        <f ca="1">RANK(CN229,CN3:CN834)+COUNTIF(CN3:CN229,CN229)-1</f>
        <v>227</v>
      </c>
      <c r="CP229" s="306" t="str">
        <f t="shared" ca="1" si="183"/>
        <v>Lisandro Martínez (Argentina)</v>
      </c>
    </row>
    <row r="230" spans="72:94" x14ac:dyDescent="0.3">
      <c r="BT230" s="306" t="str">
        <f t="shared" ca="1" si="179"/>
        <v>Argentina</v>
      </c>
      <c r="BU230" s="306">
        <f t="shared" si="180"/>
        <v>19</v>
      </c>
      <c r="BV230" s="306">
        <f t="shared" si="181"/>
        <v>7</v>
      </c>
      <c r="BW230" s="306" t="str">
        <f ca="1">OFFSET(C3,BU230,BV230)</f>
        <v>Marcos Acuña</v>
      </c>
      <c r="BX230" s="306">
        <f ca="1">COUNTIF('Group Stages'!J7:J102,BW230)</f>
        <v>0</v>
      </c>
      <c r="BY230" s="306">
        <f ca="1">COUNTIF('Group Stages'!K7:K102,BW230)</f>
        <v>0</v>
      </c>
      <c r="BZ230" s="306">
        <f ca="1">COUNTIF('Group Stages'!L7:L102,BW230)</f>
        <v>0</v>
      </c>
      <c r="CA230" s="306">
        <f ca="1">COUNTIF('Group Stages'!M7:M102,BW230)</f>
        <v>0</v>
      </c>
      <c r="CB230" s="306">
        <f ca="1">COUNTIF('Group Stages'!N7:N102,BW230)</f>
        <v>0</v>
      </c>
      <c r="CC230" s="306">
        <f ca="1">COUNTIF('Group Stages'!O7:O102,BW230)</f>
        <v>0</v>
      </c>
      <c r="CD230" s="306">
        <f ca="1">COUNTIF('Group Stages'!P7:P102,BW230)</f>
        <v>0</v>
      </c>
      <c r="CE230" s="306">
        <f ca="1">COUNTIF('Group Stages'!Q7:Q102,BW230)</f>
        <v>0</v>
      </c>
      <c r="CF230" s="306">
        <f ca="1">COUNTIF('Knock Out Stages'!K7:K50,BW230)</f>
        <v>0</v>
      </c>
      <c r="CG230" s="306">
        <f ca="1">COUNTIF('Knock Out Stages'!L7:L50,BW230)</f>
        <v>0</v>
      </c>
      <c r="CH230" s="306">
        <f ca="1">COUNTIF('Knock Out Stages'!M7:M50,BW230)</f>
        <v>0</v>
      </c>
      <c r="CI230" s="306">
        <f ca="1">COUNTIF('Knock Out Stages'!N7:N50,BW230)</f>
        <v>0</v>
      </c>
      <c r="CJ230" s="306">
        <f ca="1">COUNTIF('Knock Out Stages'!O7:O50,BW230)</f>
        <v>0</v>
      </c>
      <c r="CK230" s="306">
        <f ca="1">COUNTIF('Knock Out Stages'!P7:P50,BW230)</f>
        <v>0</v>
      </c>
      <c r="CL230" s="306">
        <f ca="1">COUNTIF('Knock Out Stages'!Q7:Q50,BW230)</f>
        <v>0</v>
      </c>
      <c r="CM230" s="306">
        <f ca="1">COUNTIF('Knock Out Stages'!R7:R50,BW230)</f>
        <v>0</v>
      </c>
      <c r="CN230" s="306">
        <f ca="1">IF(RIGHT('Group Stages'!$B$105,5)="T.com",SUM(BX230:CM230),0)</f>
        <v>0</v>
      </c>
      <c r="CO230" s="306">
        <f ca="1">RANK(CN230,CN3:CN834)+COUNTIF(CN3:CN230,CN230)-1</f>
        <v>228</v>
      </c>
      <c r="CP230" s="306" t="str">
        <f t="shared" ca="1" si="183"/>
        <v>Marcos Acuña (Argentina)</v>
      </c>
    </row>
    <row r="231" spans="72:94" x14ac:dyDescent="0.3">
      <c r="BT231" s="306" t="str">
        <f t="shared" ca="1" si="179"/>
        <v>Argentina</v>
      </c>
      <c r="BU231" s="306">
        <f t="shared" si="180"/>
        <v>20</v>
      </c>
      <c r="BV231" s="306">
        <f t="shared" si="181"/>
        <v>7</v>
      </c>
      <c r="BW231" s="306" t="str">
        <f ca="1">OFFSET(C3,BU231,BV231)</f>
        <v>Nahuel Molina</v>
      </c>
      <c r="BX231" s="306">
        <f ca="1">COUNTIF('Group Stages'!J7:J102,BW231)</f>
        <v>0</v>
      </c>
      <c r="BY231" s="306">
        <f ca="1">COUNTIF('Group Stages'!K7:K102,BW231)</f>
        <v>0</v>
      </c>
      <c r="BZ231" s="306">
        <f ca="1">COUNTIF('Group Stages'!L7:L102,BW231)</f>
        <v>0</v>
      </c>
      <c r="CA231" s="306">
        <f ca="1">COUNTIF('Group Stages'!M7:M102,BW231)</f>
        <v>0</v>
      </c>
      <c r="CB231" s="306">
        <f ca="1">COUNTIF('Group Stages'!N7:N102,BW231)</f>
        <v>0</v>
      </c>
      <c r="CC231" s="306">
        <f ca="1">COUNTIF('Group Stages'!O7:O102,BW231)</f>
        <v>0</v>
      </c>
      <c r="CD231" s="306">
        <f ca="1">COUNTIF('Group Stages'!P7:P102,BW231)</f>
        <v>0</v>
      </c>
      <c r="CE231" s="306">
        <f ca="1">COUNTIF('Group Stages'!Q7:Q102,BW231)</f>
        <v>0</v>
      </c>
      <c r="CF231" s="306">
        <f ca="1">COUNTIF('Knock Out Stages'!K7:K50,BW231)</f>
        <v>0</v>
      </c>
      <c r="CG231" s="306">
        <f ca="1">COUNTIF('Knock Out Stages'!L7:L50,BW231)</f>
        <v>0</v>
      </c>
      <c r="CH231" s="306">
        <f ca="1">COUNTIF('Knock Out Stages'!M7:M50,BW231)</f>
        <v>0</v>
      </c>
      <c r="CI231" s="306">
        <f ca="1">COUNTIF('Knock Out Stages'!N7:N50,BW231)</f>
        <v>0</v>
      </c>
      <c r="CJ231" s="306">
        <f ca="1">COUNTIF('Knock Out Stages'!O7:O50,BW231)</f>
        <v>0</v>
      </c>
      <c r="CK231" s="306">
        <f ca="1">COUNTIF('Knock Out Stages'!P7:P50,BW231)</f>
        <v>0</v>
      </c>
      <c r="CL231" s="306">
        <f ca="1">COUNTIF('Knock Out Stages'!Q7:Q50,BW231)</f>
        <v>0</v>
      </c>
      <c r="CM231" s="306">
        <f ca="1">COUNTIF('Knock Out Stages'!R7:R50,BW231)</f>
        <v>0</v>
      </c>
      <c r="CN231" s="306">
        <f ca="1">IF(RIGHT('Group Stages'!$B$105,5)="T.com",SUM(BX231:CM231),0)</f>
        <v>0</v>
      </c>
      <c r="CO231" s="306">
        <f ca="1">RANK(CN231,CN3:CN834)+COUNTIF(CN3:CN231,CN231)-1</f>
        <v>229</v>
      </c>
      <c r="CP231" s="306" t="str">
        <f t="shared" ca="1" si="183"/>
        <v>Nahuel Molina (Argentina)</v>
      </c>
    </row>
    <row r="232" spans="72:94" x14ac:dyDescent="0.3">
      <c r="BT232" s="306" t="str">
        <f t="shared" ca="1" si="179"/>
        <v>Argentina</v>
      </c>
      <c r="BU232" s="306">
        <f t="shared" si="180"/>
        <v>21</v>
      </c>
      <c r="BV232" s="306">
        <f t="shared" si="181"/>
        <v>7</v>
      </c>
      <c r="BW232" s="306" t="str">
        <f ca="1">OFFSET(C3,BU232,BV232)</f>
        <v>Nicolás González</v>
      </c>
      <c r="BX232" s="306">
        <f ca="1">COUNTIF('Group Stages'!J7:J102,BW232)</f>
        <v>0</v>
      </c>
      <c r="BY232" s="306">
        <f ca="1">COUNTIF('Group Stages'!K7:K102,BW232)</f>
        <v>0</v>
      </c>
      <c r="BZ232" s="306">
        <f ca="1">COUNTIF('Group Stages'!L7:L102,BW232)</f>
        <v>0</v>
      </c>
      <c r="CA232" s="306">
        <f ca="1">COUNTIF('Group Stages'!M7:M102,BW232)</f>
        <v>0</v>
      </c>
      <c r="CB232" s="306">
        <f ca="1">COUNTIF('Group Stages'!N7:N102,BW232)</f>
        <v>0</v>
      </c>
      <c r="CC232" s="306">
        <f ca="1">COUNTIF('Group Stages'!O7:O102,BW232)</f>
        <v>0</v>
      </c>
      <c r="CD232" s="306">
        <f ca="1">COUNTIF('Group Stages'!P7:P102,BW232)</f>
        <v>0</v>
      </c>
      <c r="CE232" s="306">
        <f ca="1">COUNTIF('Group Stages'!Q7:Q102,BW232)</f>
        <v>0</v>
      </c>
      <c r="CF232" s="306">
        <f ca="1">COUNTIF('Knock Out Stages'!K7:K50,BW232)</f>
        <v>0</v>
      </c>
      <c r="CG232" s="306">
        <f ca="1">COUNTIF('Knock Out Stages'!L7:L50,BW232)</f>
        <v>0</v>
      </c>
      <c r="CH232" s="306">
        <f ca="1">COUNTIF('Knock Out Stages'!M7:M50,BW232)</f>
        <v>0</v>
      </c>
      <c r="CI232" s="306">
        <f ca="1">COUNTIF('Knock Out Stages'!N7:N50,BW232)</f>
        <v>0</v>
      </c>
      <c r="CJ232" s="306">
        <f ca="1">COUNTIF('Knock Out Stages'!O7:O50,BW232)</f>
        <v>0</v>
      </c>
      <c r="CK232" s="306">
        <f ca="1">COUNTIF('Knock Out Stages'!P7:P50,BW232)</f>
        <v>0</v>
      </c>
      <c r="CL232" s="306">
        <f ca="1">COUNTIF('Knock Out Stages'!Q7:Q50,BW232)</f>
        <v>0</v>
      </c>
      <c r="CM232" s="306">
        <f ca="1">COUNTIF('Knock Out Stages'!R7:R50,BW232)</f>
        <v>0</v>
      </c>
      <c r="CN232" s="306">
        <f ca="1">IF(RIGHT('Group Stages'!$B$105,5)="T.com",SUM(BX232:CM232),0)</f>
        <v>0</v>
      </c>
      <c r="CO232" s="306">
        <f ca="1">RANK(CN232,CN3:CN834)+COUNTIF(CN3:CN232,CN232)-1</f>
        <v>230</v>
      </c>
      <c r="CP232" s="306" t="str">
        <f t="shared" ca="1" si="183"/>
        <v>Nicolás González (Argentina)</v>
      </c>
    </row>
    <row r="233" spans="72:94" x14ac:dyDescent="0.3">
      <c r="BT233" s="306" t="str">
        <f t="shared" ca="1" si="179"/>
        <v>Argentina</v>
      </c>
      <c r="BU233" s="306">
        <f t="shared" si="180"/>
        <v>22</v>
      </c>
      <c r="BV233" s="306">
        <f t="shared" si="181"/>
        <v>7</v>
      </c>
      <c r="BW233" s="306" t="str">
        <f ca="1">OFFSET(C3,BU233,BV233)</f>
        <v>Nicolás Otamendi</v>
      </c>
      <c r="BX233" s="306">
        <f ca="1">COUNTIF('Group Stages'!J7:J102,BW233)</f>
        <v>0</v>
      </c>
      <c r="BY233" s="306">
        <f ca="1">COUNTIF('Group Stages'!K7:K102,BW233)</f>
        <v>0</v>
      </c>
      <c r="BZ233" s="306">
        <f ca="1">COUNTIF('Group Stages'!L7:L102,BW233)</f>
        <v>0</v>
      </c>
      <c r="CA233" s="306">
        <f ca="1">COUNTIF('Group Stages'!M7:M102,BW233)</f>
        <v>0</v>
      </c>
      <c r="CB233" s="306">
        <f ca="1">COUNTIF('Group Stages'!N7:N102,BW233)</f>
        <v>0</v>
      </c>
      <c r="CC233" s="306">
        <f ca="1">COUNTIF('Group Stages'!O7:O102,BW233)</f>
        <v>0</v>
      </c>
      <c r="CD233" s="306">
        <f ca="1">COUNTIF('Group Stages'!P7:P102,BW233)</f>
        <v>0</v>
      </c>
      <c r="CE233" s="306">
        <f ca="1">COUNTIF('Group Stages'!Q7:Q102,BW233)</f>
        <v>0</v>
      </c>
      <c r="CF233" s="306">
        <f ca="1">COUNTIF('Knock Out Stages'!K7:K50,BW233)</f>
        <v>0</v>
      </c>
      <c r="CG233" s="306">
        <f ca="1">COUNTIF('Knock Out Stages'!L7:L50,BW233)</f>
        <v>0</v>
      </c>
      <c r="CH233" s="306">
        <f ca="1">COUNTIF('Knock Out Stages'!M7:M50,BW233)</f>
        <v>0</v>
      </c>
      <c r="CI233" s="306">
        <f ca="1">COUNTIF('Knock Out Stages'!N7:N50,BW233)</f>
        <v>0</v>
      </c>
      <c r="CJ233" s="306">
        <f ca="1">COUNTIF('Knock Out Stages'!O7:O50,BW233)</f>
        <v>0</v>
      </c>
      <c r="CK233" s="306">
        <f ca="1">COUNTIF('Knock Out Stages'!P7:P50,BW233)</f>
        <v>0</v>
      </c>
      <c r="CL233" s="306">
        <f ca="1">COUNTIF('Knock Out Stages'!Q7:Q50,BW233)</f>
        <v>0</v>
      </c>
      <c r="CM233" s="306">
        <f ca="1">COUNTIF('Knock Out Stages'!R7:R50,BW233)</f>
        <v>0</v>
      </c>
      <c r="CN233" s="306">
        <f ca="1">IF(RIGHT('Group Stages'!$B$105,5)="T.com",SUM(BX233:CM233),0)</f>
        <v>0</v>
      </c>
      <c r="CO233" s="306">
        <f ca="1">RANK(CN233,CN3:CN834)+COUNTIF(CN3:CN233,CN233)-1</f>
        <v>231</v>
      </c>
      <c r="CP233" s="306" t="str">
        <f t="shared" ca="1" si="183"/>
        <v>Nicolás Otamendi (Argentina)</v>
      </c>
    </row>
    <row r="234" spans="72:94" x14ac:dyDescent="0.3">
      <c r="BT234" s="306" t="str">
        <f t="shared" ca="1" si="179"/>
        <v>Argentina</v>
      </c>
      <c r="BU234" s="306">
        <f t="shared" si="180"/>
        <v>23</v>
      </c>
      <c r="BV234" s="306">
        <f t="shared" si="181"/>
        <v>7</v>
      </c>
      <c r="BW234" s="306" t="str">
        <f ca="1">OFFSET(C3,BU234,BV234)</f>
        <v>Nicolás Tagliafico</v>
      </c>
      <c r="BX234" s="306">
        <f ca="1">COUNTIF('Group Stages'!J7:J102,BW234)</f>
        <v>0</v>
      </c>
      <c r="BY234" s="306">
        <f ca="1">COUNTIF('Group Stages'!K7:K102,BW234)</f>
        <v>0</v>
      </c>
      <c r="BZ234" s="306">
        <f ca="1">COUNTIF('Group Stages'!L7:L102,BW234)</f>
        <v>0</v>
      </c>
      <c r="CA234" s="306">
        <f ca="1">COUNTIF('Group Stages'!M7:M102,BW234)</f>
        <v>0</v>
      </c>
      <c r="CB234" s="306">
        <f ca="1">COUNTIF('Group Stages'!N7:N102,BW234)</f>
        <v>0</v>
      </c>
      <c r="CC234" s="306">
        <f ca="1">COUNTIF('Group Stages'!O7:O102,BW234)</f>
        <v>0</v>
      </c>
      <c r="CD234" s="306">
        <f ca="1">COUNTIF('Group Stages'!P7:P102,BW234)</f>
        <v>0</v>
      </c>
      <c r="CE234" s="306">
        <f ca="1">COUNTIF('Group Stages'!Q7:Q102,BW234)</f>
        <v>0</v>
      </c>
      <c r="CF234" s="306">
        <f ca="1">COUNTIF('Knock Out Stages'!K7:K50,BW234)</f>
        <v>0</v>
      </c>
      <c r="CG234" s="306">
        <f ca="1">COUNTIF('Knock Out Stages'!L7:L50,BW234)</f>
        <v>0</v>
      </c>
      <c r="CH234" s="306">
        <f ca="1">COUNTIF('Knock Out Stages'!M7:M50,BW234)</f>
        <v>0</v>
      </c>
      <c r="CI234" s="306">
        <f ca="1">COUNTIF('Knock Out Stages'!N7:N50,BW234)</f>
        <v>0</v>
      </c>
      <c r="CJ234" s="306">
        <f ca="1">COUNTIF('Knock Out Stages'!O7:O50,BW234)</f>
        <v>0</v>
      </c>
      <c r="CK234" s="306">
        <f ca="1">COUNTIF('Knock Out Stages'!P7:P50,BW234)</f>
        <v>0</v>
      </c>
      <c r="CL234" s="306">
        <f ca="1">COUNTIF('Knock Out Stages'!Q7:Q50,BW234)</f>
        <v>0</v>
      </c>
      <c r="CM234" s="306">
        <f ca="1">COUNTIF('Knock Out Stages'!R7:R50,BW234)</f>
        <v>0</v>
      </c>
      <c r="CN234" s="306">
        <f ca="1">IF(RIGHT('Group Stages'!$B$105,5)="T.com",SUM(BX234:CM234),0)</f>
        <v>0</v>
      </c>
      <c r="CO234" s="306">
        <f ca="1">RANK(CN234,CN3:CN834)+COUNTIF(CN3:CN234,CN234)-1</f>
        <v>232</v>
      </c>
      <c r="CP234" s="306" t="str">
        <f t="shared" ca="1" si="183"/>
        <v>Nicolás Tagliafico (Argentina)</v>
      </c>
    </row>
    <row r="235" spans="72:94" x14ac:dyDescent="0.3">
      <c r="BT235" s="306" t="str">
        <f t="shared" ca="1" si="179"/>
        <v>Argentina</v>
      </c>
      <c r="BU235" s="306">
        <f t="shared" si="180"/>
        <v>24</v>
      </c>
      <c r="BV235" s="306">
        <f t="shared" si="181"/>
        <v>7</v>
      </c>
      <c r="BW235" s="306" t="str">
        <f ca="1">OFFSET(C3,BU235,BV235)</f>
        <v>Paulo Dybala</v>
      </c>
      <c r="BX235" s="306">
        <f ca="1">COUNTIF('Group Stages'!J7:J102,BW235)</f>
        <v>0</v>
      </c>
      <c r="BY235" s="306">
        <f ca="1">COUNTIF('Group Stages'!K7:K102,BW235)</f>
        <v>0</v>
      </c>
      <c r="BZ235" s="306">
        <f ca="1">COUNTIF('Group Stages'!L7:L102,BW235)</f>
        <v>0</v>
      </c>
      <c r="CA235" s="306">
        <f ca="1">COUNTIF('Group Stages'!M7:M102,BW235)</f>
        <v>0</v>
      </c>
      <c r="CB235" s="306">
        <f ca="1">COUNTIF('Group Stages'!N7:N102,BW235)</f>
        <v>0</v>
      </c>
      <c r="CC235" s="306">
        <f ca="1">COUNTIF('Group Stages'!O7:O102,BW235)</f>
        <v>0</v>
      </c>
      <c r="CD235" s="306">
        <f ca="1">COUNTIF('Group Stages'!P7:P102,BW235)</f>
        <v>0</v>
      </c>
      <c r="CE235" s="306">
        <f ca="1">COUNTIF('Group Stages'!Q7:Q102,BW235)</f>
        <v>0</v>
      </c>
      <c r="CF235" s="306">
        <f ca="1">COUNTIF('Knock Out Stages'!K7:K50,BW235)</f>
        <v>0</v>
      </c>
      <c r="CG235" s="306">
        <f ca="1">COUNTIF('Knock Out Stages'!L7:L50,BW235)</f>
        <v>0</v>
      </c>
      <c r="CH235" s="306">
        <f ca="1">COUNTIF('Knock Out Stages'!M7:M50,BW235)</f>
        <v>0</v>
      </c>
      <c r="CI235" s="306">
        <f ca="1">COUNTIF('Knock Out Stages'!N7:N50,BW235)</f>
        <v>0</v>
      </c>
      <c r="CJ235" s="306">
        <f ca="1">COUNTIF('Knock Out Stages'!O7:O50,BW235)</f>
        <v>0</v>
      </c>
      <c r="CK235" s="306">
        <f ca="1">COUNTIF('Knock Out Stages'!P7:P50,BW235)</f>
        <v>0</v>
      </c>
      <c r="CL235" s="306">
        <f ca="1">COUNTIF('Knock Out Stages'!Q7:Q50,BW235)</f>
        <v>0</v>
      </c>
      <c r="CM235" s="306">
        <f ca="1">COUNTIF('Knock Out Stages'!R7:R50,BW235)</f>
        <v>0</v>
      </c>
      <c r="CN235" s="306">
        <f ca="1">IF(RIGHT('Group Stages'!$B$105,5)="T.com",SUM(BX235:CM235),0)</f>
        <v>0</v>
      </c>
      <c r="CO235" s="306">
        <f ca="1">RANK(CN235,CN3:CN834)+COUNTIF(CN3:CN235,CN235)-1</f>
        <v>233</v>
      </c>
      <c r="CP235" s="306" t="str">
        <f t="shared" ca="1" si="183"/>
        <v>Paulo Dybala (Argentina)</v>
      </c>
    </row>
    <row r="236" spans="72:94" x14ac:dyDescent="0.3">
      <c r="BT236" s="306" t="str">
        <f t="shared" ca="1" si="179"/>
        <v>Argentina</v>
      </c>
      <c r="BU236" s="306">
        <f t="shared" si="180"/>
        <v>25</v>
      </c>
      <c r="BV236" s="306">
        <f t="shared" si="181"/>
        <v>7</v>
      </c>
      <c r="BW236" s="306" t="str">
        <f ca="1">OFFSET(C3,BU236,BV236)</f>
        <v>Rodrigo De Paul</v>
      </c>
      <c r="BX236" s="306">
        <f ca="1">COUNTIF('Group Stages'!J7:J102,BW236)</f>
        <v>0</v>
      </c>
      <c r="BY236" s="306">
        <f ca="1">COUNTIF('Group Stages'!K7:K102,BW236)</f>
        <v>0</v>
      </c>
      <c r="BZ236" s="306">
        <f ca="1">COUNTIF('Group Stages'!L7:L102,BW236)</f>
        <v>0</v>
      </c>
      <c r="CA236" s="306">
        <f ca="1">COUNTIF('Group Stages'!M7:M102,BW236)</f>
        <v>0</v>
      </c>
      <c r="CB236" s="306">
        <f ca="1">COUNTIF('Group Stages'!N7:N102,BW236)</f>
        <v>0</v>
      </c>
      <c r="CC236" s="306">
        <f ca="1">COUNTIF('Group Stages'!O7:O102,BW236)</f>
        <v>0</v>
      </c>
      <c r="CD236" s="306">
        <f ca="1">COUNTIF('Group Stages'!P7:P102,BW236)</f>
        <v>0</v>
      </c>
      <c r="CE236" s="306">
        <f ca="1">COUNTIF('Group Stages'!Q7:Q102,BW236)</f>
        <v>0</v>
      </c>
      <c r="CF236" s="306">
        <f ca="1">COUNTIF('Knock Out Stages'!K7:K50,BW236)</f>
        <v>0</v>
      </c>
      <c r="CG236" s="306">
        <f ca="1">COUNTIF('Knock Out Stages'!L7:L50,BW236)</f>
        <v>0</v>
      </c>
      <c r="CH236" s="306">
        <f ca="1">COUNTIF('Knock Out Stages'!M7:M50,BW236)</f>
        <v>0</v>
      </c>
      <c r="CI236" s="306">
        <f ca="1">COUNTIF('Knock Out Stages'!N7:N50,BW236)</f>
        <v>0</v>
      </c>
      <c r="CJ236" s="306">
        <f ca="1">COUNTIF('Knock Out Stages'!O7:O50,BW236)</f>
        <v>0</v>
      </c>
      <c r="CK236" s="306">
        <f ca="1">COUNTIF('Knock Out Stages'!P7:P50,BW236)</f>
        <v>0</v>
      </c>
      <c r="CL236" s="306">
        <f ca="1">COUNTIF('Knock Out Stages'!Q7:Q50,BW236)</f>
        <v>0</v>
      </c>
      <c r="CM236" s="306">
        <f ca="1">COUNTIF('Knock Out Stages'!R7:R50,BW236)</f>
        <v>0</v>
      </c>
      <c r="CN236" s="306">
        <f ca="1">IF(RIGHT('Group Stages'!$B$105,5)="T.com",SUM(BX236:CM236),0)</f>
        <v>0</v>
      </c>
      <c r="CO236" s="306">
        <f ca="1">RANK(CN236,CN3:CN834)+COUNTIF(CN3:CN236,CN236)-1</f>
        <v>234</v>
      </c>
      <c r="CP236" s="306" t="str">
        <f t="shared" ca="1" si="183"/>
        <v>Rodrigo De Paul (Argentina)</v>
      </c>
    </row>
    <row r="237" spans="72:94" x14ac:dyDescent="0.3">
      <c r="BT237" s="306" t="str">
        <f ca="1">OFFSET(C2,BU237,BV237)</f>
        <v>Saudi Arabia</v>
      </c>
      <c r="BU237" s="306">
        <f t="shared" si="180"/>
        <v>0</v>
      </c>
      <c r="BV237" s="306">
        <f t="shared" si="181"/>
        <v>8</v>
      </c>
      <c r="BW237" s="306" t="str">
        <f ca="1">OFFSET(C3,BU237,BV237)</f>
        <v>Abdulelah Al-Amri</v>
      </c>
      <c r="BX237" s="306">
        <f ca="1">COUNTIF('Group Stages'!J7:J102,BW237)</f>
        <v>0</v>
      </c>
      <c r="BY237" s="306">
        <f ca="1">COUNTIF('Group Stages'!K7:K102,BW237)</f>
        <v>0</v>
      </c>
      <c r="BZ237" s="306">
        <f ca="1">COUNTIF('Group Stages'!L7:L102,BW237)</f>
        <v>0</v>
      </c>
      <c r="CA237" s="306">
        <f ca="1">COUNTIF('Group Stages'!M7:M102,BW237)</f>
        <v>0</v>
      </c>
      <c r="CB237" s="306">
        <f ca="1">COUNTIF('Group Stages'!N7:N102,BW237)</f>
        <v>0</v>
      </c>
      <c r="CC237" s="306">
        <f ca="1">COUNTIF('Group Stages'!O7:O102,BW237)</f>
        <v>0</v>
      </c>
      <c r="CD237" s="306">
        <f ca="1">COUNTIF('Group Stages'!P7:P102,BW237)</f>
        <v>0</v>
      </c>
      <c r="CE237" s="306">
        <f ca="1">COUNTIF('Group Stages'!Q7:Q102,BW237)</f>
        <v>0</v>
      </c>
      <c r="CF237" s="306">
        <f ca="1">COUNTIF('Knock Out Stages'!K7:K50,BW237)</f>
        <v>0</v>
      </c>
      <c r="CG237" s="306">
        <f ca="1">COUNTIF('Knock Out Stages'!L7:L50,BW237)</f>
        <v>0</v>
      </c>
      <c r="CH237" s="306">
        <f ca="1">COUNTIF('Knock Out Stages'!M7:M50,BW237)</f>
        <v>0</v>
      </c>
      <c r="CI237" s="306">
        <f ca="1">COUNTIF('Knock Out Stages'!N7:N50,BW237)</f>
        <v>0</v>
      </c>
      <c r="CJ237" s="306">
        <f ca="1">COUNTIF('Knock Out Stages'!O7:O50,BW237)</f>
        <v>0</v>
      </c>
      <c r="CK237" s="306">
        <f ca="1">COUNTIF('Knock Out Stages'!P7:P50,BW237)</f>
        <v>0</v>
      </c>
      <c r="CL237" s="306">
        <f ca="1">COUNTIF('Knock Out Stages'!Q7:Q50,BW237)</f>
        <v>0</v>
      </c>
      <c r="CM237" s="306">
        <f ca="1">COUNTIF('Knock Out Stages'!R7:R50,BW237)</f>
        <v>0</v>
      </c>
      <c r="CN237" s="306">
        <f ca="1">IF(RIGHT('Group Stages'!$B$105,5)="T.com",SUM(BX237:CM237),0)</f>
        <v>0</v>
      </c>
      <c r="CO237" s="306">
        <f ca="1">RANK(CN237,CN3:CN834)+COUNTIF(CN3:CN237,CN237)-1</f>
        <v>235</v>
      </c>
      <c r="CP237" s="306" t="str">
        <f t="shared" ca="1" si="183"/>
        <v>Abdulelah Al-Amri (Saudi Arabia)</v>
      </c>
    </row>
    <row r="238" spans="72:94" x14ac:dyDescent="0.3">
      <c r="BT238" s="306" t="str">
        <f t="shared" ref="BT238" ca="1" si="185">BT237</f>
        <v>Saudi Arabia</v>
      </c>
      <c r="BU238" s="306">
        <f t="shared" si="180"/>
        <v>1</v>
      </c>
      <c r="BV238" s="306">
        <f t="shared" si="181"/>
        <v>8</v>
      </c>
      <c r="BW238" s="306" t="str">
        <f ca="1">OFFSET(C3,BU238,BV238)</f>
        <v>Abdulellah Al-Malki</v>
      </c>
      <c r="BX238" s="306">
        <f ca="1">COUNTIF('Group Stages'!J7:J102,BW238)</f>
        <v>0</v>
      </c>
      <c r="BY238" s="306">
        <f ca="1">COUNTIF('Group Stages'!K7:K102,BW238)</f>
        <v>0</v>
      </c>
      <c r="BZ238" s="306">
        <f ca="1">COUNTIF('Group Stages'!L7:L102,BW238)</f>
        <v>0</v>
      </c>
      <c r="CA238" s="306">
        <f ca="1">COUNTIF('Group Stages'!M7:M102,BW238)</f>
        <v>0</v>
      </c>
      <c r="CB238" s="306">
        <f ca="1">COUNTIF('Group Stages'!N7:N102,BW238)</f>
        <v>0</v>
      </c>
      <c r="CC238" s="306">
        <f ca="1">COUNTIF('Group Stages'!O7:O102,BW238)</f>
        <v>0</v>
      </c>
      <c r="CD238" s="306">
        <f ca="1">COUNTIF('Group Stages'!P7:P102,BW238)</f>
        <v>0</v>
      </c>
      <c r="CE238" s="306">
        <f ca="1">COUNTIF('Group Stages'!Q7:Q102,BW238)</f>
        <v>0</v>
      </c>
      <c r="CF238" s="306">
        <f ca="1">COUNTIF('Knock Out Stages'!K7:K50,BW238)</f>
        <v>0</v>
      </c>
      <c r="CG238" s="306">
        <f ca="1">COUNTIF('Knock Out Stages'!L7:L50,BW238)</f>
        <v>0</v>
      </c>
      <c r="CH238" s="306">
        <f ca="1">COUNTIF('Knock Out Stages'!M7:M50,BW238)</f>
        <v>0</v>
      </c>
      <c r="CI238" s="306">
        <f ca="1">COUNTIF('Knock Out Stages'!N7:N50,BW238)</f>
        <v>0</v>
      </c>
      <c r="CJ238" s="306">
        <f ca="1">COUNTIF('Knock Out Stages'!O7:O50,BW238)</f>
        <v>0</v>
      </c>
      <c r="CK238" s="306">
        <f ca="1">COUNTIF('Knock Out Stages'!P7:P50,BW238)</f>
        <v>0</v>
      </c>
      <c r="CL238" s="306">
        <f ca="1">COUNTIF('Knock Out Stages'!Q7:Q50,BW238)</f>
        <v>0</v>
      </c>
      <c r="CM238" s="306">
        <f ca="1">COUNTIF('Knock Out Stages'!R7:R50,BW238)</f>
        <v>0</v>
      </c>
      <c r="CN238" s="306">
        <f ca="1">IF(RIGHT('Group Stages'!$B$105,5)="T.com",SUM(BX238:CM238),0)</f>
        <v>0</v>
      </c>
      <c r="CO238" s="306">
        <f ca="1">RANK(CN238,CN3:CN834)+COUNTIF(CN3:CN238,CN238)-1</f>
        <v>236</v>
      </c>
      <c r="CP238" s="306" t="str">
        <f t="shared" ca="1" si="183"/>
        <v>Abdulellah Al-Malki (Saudi Arabia)</v>
      </c>
    </row>
    <row r="239" spans="72:94" x14ac:dyDescent="0.3">
      <c r="BT239" s="306" t="str">
        <f t="shared" ca="1" si="179"/>
        <v>Saudi Arabia</v>
      </c>
      <c r="BU239" s="306">
        <f t="shared" si="180"/>
        <v>2</v>
      </c>
      <c r="BV239" s="306">
        <f t="shared" si="181"/>
        <v>8</v>
      </c>
      <c r="BW239" s="306" t="str">
        <f ca="1">OFFSET(C3,BU239,BV239)</f>
        <v>Abdullah Madu</v>
      </c>
      <c r="BX239" s="306">
        <f ca="1">COUNTIF('Group Stages'!J7:J102,BW239)</f>
        <v>0</v>
      </c>
      <c r="BY239" s="306">
        <f ca="1">COUNTIF('Group Stages'!K7:K102,BW239)</f>
        <v>0</v>
      </c>
      <c r="BZ239" s="306">
        <f ca="1">COUNTIF('Group Stages'!L7:L102,BW239)</f>
        <v>0</v>
      </c>
      <c r="CA239" s="306">
        <f ca="1">COUNTIF('Group Stages'!M7:M102,BW239)</f>
        <v>0</v>
      </c>
      <c r="CB239" s="306">
        <f ca="1">COUNTIF('Group Stages'!N7:N102,BW239)</f>
        <v>0</v>
      </c>
      <c r="CC239" s="306">
        <f ca="1">COUNTIF('Group Stages'!O7:O102,BW239)</f>
        <v>0</v>
      </c>
      <c r="CD239" s="306">
        <f ca="1">COUNTIF('Group Stages'!P7:P102,BW239)</f>
        <v>0</v>
      </c>
      <c r="CE239" s="306">
        <f ca="1">COUNTIF('Group Stages'!Q7:Q102,BW239)</f>
        <v>0</v>
      </c>
      <c r="CF239" s="306">
        <f ca="1">COUNTIF('Knock Out Stages'!K7:K50,BW239)</f>
        <v>0</v>
      </c>
      <c r="CG239" s="306">
        <f ca="1">COUNTIF('Knock Out Stages'!L7:L50,BW239)</f>
        <v>0</v>
      </c>
      <c r="CH239" s="306">
        <f ca="1">COUNTIF('Knock Out Stages'!M7:M50,BW239)</f>
        <v>0</v>
      </c>
      <c r="CI239" s="306">
        <f ca="1">COUNTIF('Knock Out Stages'!N7:N50,BW239)</f>
        <v>0</v>
      </c>
      <c r="CJ239" s="306">
        <f ca="1">COUNTIF('Knock Out Stages'!O7:O50,BW239)</f>
        <v>0</v>
      </c>
      <c r="CK239" s="306">
        <f ca="1">COUNTIF('Knock Out Stages'!P7:P50,BW239)</f>
        <v>0</v>
      </c>
      <c r="CL239" s="306">
        <f ca="1">COUNTIF('Knock Out Stages'!Q7:Q50,BW239)</f>
        <v>0</v>
      </c>
      <c r="CM239" s="306">
        <f ca="1">COUNTIF('Knock Out Stages'!R7:R50,BW239)</f>
        <v>0</v>
      </c>
      <c r="CN239" s="306">
        <f ca="1">IF(RIGHT('Group Stages'!$B$105,5)="T.com",SUM(BX239:CM239),0)</f>
        <v>0</v>
      </c>
      <c r="CO239" s="306">
        <f ca="1">RANK(CN239,CN3:CN834)+COUNTIF(CN3:CN239,CN239)-1</f>
        <v>237</v>
      </c>
      <c r="CP239" s="306" t="str">
        <f t="shared" ca="1" si="183"/>
        <v>Abdullah Madu (Saudi Arabia)</v>
      </c>
    </row>
    <row r="240" spans="72:94" x14ac:dyDescent="0.3">
      <c r="BT240" s="306" t="str">
        <f t="shared" ca="1" si="179"/>
        <v>Saudi Arabia</v>
      </c>
      <c r="BU240" s="306">
        <f t="shared" si="180"/>
        <v>3</v>
      </c>
      <c r="BV240" s="306">
        <f t="shared" si="181"/>
        <v>8</v>
      </c>
      <c r="BW240" s="306" t="str">
        <f ca="1">OFFSET(C3,BU240,BV240)</f>
        <v>Abdullah Otayf</v>
      </c>
      <c r="BX240" s="306">
        <f ca="1">COUNTIF('Group Stages'!J7:J102,BW240)</f>
        <v>0</v>
      </c>
      <c r="BY240" s="306">
        <f ca="1">COUNTIF('Group Stages'!K7:K102,BW240)</f>
        <v>0</v>
      </c>
      <c r="BZ240" s="306">
        <f ca="1">COUNTIF('Group Stages'!L7:L102,BW240)</f>
        <v>0</v>
      </c>
      <c r="CA240" s="306">
        <f ca="1">COUNTIF('Group Stages'!M7:M102,BW240)</f>
        <v>0</v>
      </c>
      <c r="CB240" s="306">
        <f ca="1">COUNTIF('Group Stages'!N7:N102,BW240)</f>
        <v>0</v>
      </c>
      <c r="CC240" s="306">
        <f ca="1">COUNTIF('Group Stages'!O7:O102,BW240)</f>
        <v>0</v>
      </c>
      <c r="CD240" s="306">
        <f ca="1">COUNTIF('Group Stages'!P7:P102,BW240)</f>
        <v>0</v>
      </c>
      <c r="CE240" s="306">
        <f ca="1">COUNTIF('Group Stages'!Q7:Q102,BW240)</f>
        <v>0</v>
      </c>
      <c r="CF240" s="306">
        <f ca="1">COUNTIF('Knock Out Stages'!K7:K50,BW240)</f>
        <v>0</v>
      </c>
      <c r="CG240" s="306">
        <f ca="1">COUNTIF('Knock Out Stages'!L7:L50,BW240)</f>
        <v>0</v>
      </c>
      <c r="CH240" s="306">
        <f ca="1">COUNTIF('Knock Out Stages'!M7:M50,BW240)</f>
        <v>0</v>
      </c>
      <c r="CI240" s="306">
        <f ca="1">COUNTIF('Knock Out Stages'!N7:N50,BW240)</f>
        <v>0</v>
      </c>
      <c r="CJ240" s="306">
        <f ca="1">COUNTIF('Knock Out Stages'!O7:O50,BW240)</f>
        <v>0</v>
      </c>
      <c r="CK240" s="306">
        <f ca="1">COUNTIF('Knock Out Stages'!P7:P50,BW240)</f>
        <v>0</v>
      </c>
      <c r="CL240" s="306">
        <f ca="1">COUNTIF('Knock Out Stages'!Q7:Q50,BW240)</f>
        <v>0</v>
      </c>
      <c r="CM240" s="306">
        <f ca="1">COUNTIF('Knock Out Stages'!R7:R50,BW240)</f>
        <v>0</v>
      </c>
      <c r="CN240" s="306">
        <f ca="1">IF(RIGHT('Group Stages'!$B$105,5)="T.com",SUM(BX240:CM240),0)</f>
        <v>0</v>
      </c>
      <c r="CO240" s="306">
        <f ca="1">RANK(CN240,CN3:CN834)+COUNTIF(CN3:CN240,CN240)-1</f>
        <v>238</v>
      </c>
      <c r="CP240" s="306" t="str">
        <f t="shared" ca="1" si="183"/>
        <v>Abdullah Otayf (Saudi Arabia)</v>
      </c>
    </row>
    <row r="241" spans="72:94" x14ac:dyDescent="0.3">
      <c r="BT241" s="306" t="str">
        <f t="shared" ca="1" si="179"/>
        <v>Saudi Arabia</v>
      </c>
      <c r="BU241" s="306">
        <f t="shared" si="180"/>
        <v>4</v>
      </c>
      <c r="BV241" s="306">
        <f t="shared" si="181"/>
        <v>8</v>
      </c>
      <c r="BW241" s="306" t="str">
        <f ca="1">OFFSET(C3,BU241,BV241)</f>
        <v>Abdulrahman Al-Aboud</v>
      </c>
      <c r="BX241" s="306">
        <f ca="1">COUNTIF('Group Stages'!J7:J102,BW241)</f>
        <v>0</v>
      </c>
      <c r="BY241" s="306">
        <f ca="1">COUNTIF('Group Stages'!K7:K102,BW241)</f>
        <v>0</v>
      </c>
      <c r="BZ241" s="306">
        <f ca="1">COUNTIF('Group Stages'!L7:L102,BW241)</f>
        <v>0</v>
      </c>
      <c r="CA241" s="306">
        <f ca="1">COUNTIF('Group Stages'!M7:M102,BW241)</f>
        <v>0</v>
      </c>
      <c r="CB241" s="306">
        <f ca="1">COUNTIF('Group Stages'!N7:N102,BW241)</f>
        <v>0</v>
      </c>
      <c r="CC241" s="306">
        <f ca="1">COUNTIF('Group Stages'!O7:O102,BW241)</f>
        <v>0</v>
      </c>
      <c r="CD241" s="306">
        <f ca="1">COUNTIF('Group Stages'!P7:P102,BW241)</f>
        <v>0</v>
      </c>
      <c r="CE241" s="306">
        <f ca="1">COUNTIF('Group Stages'!Q7:Q102,BW241)</f>
        <v>0</v>
      </c>
      <c r="CF241" s="306">
        <f ca="1">COUNTIF('Knock Out Stages'!K7:K50,BW241)</f>
        <v>0</v>
      </c>
      <c r="CG241" s="306">
        <f ca="1">COUNTIF('Knock Out Stages'!L7:L50,BW241)</f>
        <v>0</v>
      </c>
      <c r="CH241" s="306">
        <f ca="1">COUNTIF('Knock Out Stages'!M7:M50,BW241)</f>
        <v>0</v>
      </c>
      <c r="CI241" s="306">
        <f ca="1">COUNTIF('Knock Out Stages'!N7:N50,BW241)</f>
        <v>0</v>
      </c>
      <c r="CJ241" s="306">
        <f ca="1">COUNTIF('Knock Out Stages'!O7:O50,BW241)</f>
        <v>0</v>
      </c>
      <c r="CK241" s="306">
        <f ca="1">COUNTIF('Knock Out Stages'!P7:P50,BW241)</f>
        <v>0</v>
      </c>
      <c r="CL241" s="306">
        <f ca="1">COUNTIF('Knock Out Stages'!Q7:Q50,BW241)</f>
        <v>0</v>
      </c>
      <c r="CM241" s="306">
        <f ca="1">COUNTIF('Knock Out Stages'!R7:R50,BW241)</f>
        <v>0</v>
      </c>
      <c r="CN241" s="306">
        <f ca="1">IF(RIGHT('Group Stages'!$B$105,5)="T.com",SUM(BX241:CM241),0)</f>
        <v>0</v>
      </c>
      <c r="CO241" s="306">
        <f ca="1">RANK(CN241,CN3:CN834)+COUNTIF(CN3:CN241,CN241)-1</f>
        <v>239</v>
      </c>
      <c r="CP241" s="306" t="str">
        <f t="shared" ca="1" si="183"/>
        <v>Abdulrahman Al-Aboud (Saudi Arabia)</v>
      </c>
    </row>
    <row r="242" spans="72:94" x14ac:dyDescent="0.3">
      <c r="BT242" s="306" t="str">
        <f t="shared" ca="1" si="179"/>
        <v>Saudi Arabia</v>
      </c>
      <c r="BU242" s="306">
        <f t="shared" si="180"/>
        <v>5</v>
      </c>
      <c r="BV242" s="306">
        <f t="shared" si="181"/>
        <v>8</v>
      </c>
      <c r="BW242" s="306" t="str">
        <f ca="1">OFFSET(C3,BU242,BV242)</f>
        <v>Ali Al-Bulaihi</v>
      </c>
      <c r="BX242" s="306">
        <f ca="1">COUNTIF('Group Stages'!J7:J102,BW242)</f>
        <v>0</v>
      </c>
      <c r="BY242" s="306">
        <f ca="1">COUNTIF('Group Stages'!K7:K102,BW242)</f>
        <v>0</v>
      </c>
      <c r="BZ242" s="306">
        <f ca="1">COUNTIF('Group Stages'!L7:L102,BW242)</f>
        <v>0</v>
      </c>
      <c r="CA242" s="306">
        <f ca="1">COUNTIF('Group Stages'!M7:M102,BW242)</f>
        <v>0</v>
      </c>
      <c r="CB242" s="306">
        <f ca="1">COUNTIF('Group Stages'!N7:N102,BW242)</f>
        <v>0</v>
      </c>
      <c r="CC242" s="306">
        <f ca="1">COUNTIF('Group Stages'!O7:O102,BW242)</f>
        <v>0</v>
      </c>
      <c r="CD242" s="306">
        <f ca="1">COUNTIF('Group Stages'!P7:P102,BW242)</f>
        <v>0</v>
      </c>
      <c r="CE242" s="306">
        <f ca="1">COUNTIF('Group Stages'!Q7:Q102,BW242)</f>
        <v>0</v>
      </c>
      <c r="CF242" s="306">
        <f ca="1">COUNTIF('Knock Out Stages'!K7:K50,BW242)</f>
        <v>0</v>
      </c>
      <c r="CG242" s="306">
        <f ca="1">COUNTIF('Knock Out Stages'!L7:L50,BW242)</f>
        <v>0</v>
      </c>
      <c r="CH242" s="306">
        <f ca="1">COUNTIF('Knock Out Stages'!M7:M50,BW242)</f>
        <v>0</v>
      </c>
      <c r="CI242" s="306">
        <f ca="1">COUNTIF('Knock Out Stages'!N7:N50,BW242)</f>
        <v>0</v>
      </c>
      <c r="CJ242" s="306">
        <f ca="1">COUNTIF('Knock Out Stages'!O7:O50,BW242)</f>
        <v>0</v>
      </c>
      <c r="CK242" s="306">
        <f ca="1">COUNTIF('Knock Out Stages'!P7:P50,BW242)</f>
        <v>0</v>
      </c>
      <c r="CL242" s="306">
        <f ca="1">COUNTIF('Knock Out Stages'!Q7:Q50,BW242)</f>
        <v>0</v>
      </c>
      <c r="CM242" s="306">
        <f ca="1">COUNTIF('Knock Out Stages'!R7:R50,BW242)</f>
        <v>0</v>
      </c>
      <c r="CN242" s="306">
        <f ca="1">IF(RIGHT('Group Stages'!$B$105,5)="T.com",SUM(BX242:CM242),0)</f>
        <v>0</v>
      </c>
      <c r="CO242" s="306">
        <f ca="1">RANK(CN242,CN3:CN834)+COUNTIF(CN3:CN242,CN242)-1</f>
        <v>240</v>
      </c>
      <c r="CP242" s="306" t="str">
        <f t="shared" ca="1" si="183"/>
        <v>Ali Al-Bulaihi (Saudi Arabia)</v>
      </c>
    </row>
    <row r="243" spans="72:94" x14ac:dyDescent="0.3">
      <c r="BT243" s="306" t="str">
        <f t="shared" ca="1" si="179"/>
        <v>Saudi Arabia</v>
      </c>
      <c r="BU243" s="306">
        <f t="shared" si="180"/>
        <v>6</v>
      </c>
      <c r="BV243" s="306">
        <f t="shared" si="181"/>
        <v>8</v>
      </c>
      <c r="BW243" s="306" t="str">
        <f ca="1">OFFSET(C3,BU243,BV243)</f>
        <v>Ali Al-Hassan</v>
      </c>
      <c r="BX243" s="306">
        <f ca="1">COUNTIF('Group Stages'!J7:J102,BW243)</f>
        <v>0</v>
      </c>
      <c r="BY243" s="306">
        <f ca="1">COUNTIF('Group Stages'!K7:K102,BW243)</f>
        <v>0</v>
      </c>
      <c r="BZ243" s="306">
        <f ca="1">COUNTIF('Group Stages'!L7:L102,BW243)</f>
        <v>0</v>
      </c>
      <c r="CA243" s="306">
        <f ca="1">COUNTIF('Group Stages'!M7:M102,BW243)</f>
        <v>0</v>
      </c>
      <c r="CB243" s="306">
        <f ca="1">COUNTIF('Group Stages'!N7:N102,BW243)</f>
        <v>0</v>
      </c>
      <c r="CC243" s="306">
        <f ca="1">COUNTIF('Group Stages'!O7:O102,BW243)</f>
        <v>0</v>
      </c>
      <c r="CD243" s="306">
        <f ca="1">COUNTIF('Group Stages'!P7:P102,BW243)</f>
        <v>0</v>
      </c>
      <c r="CE243" s="306">
        <f ca="1">COUNTIF('Group Stages'!Q7:Q102,BW243)</f>
        <v>0</v>
      </c>
      <c r="CF243" s="306">
        <f ca="1">COUNTIF('Knock Out Stages'!K7:K50,BW243)</f>
        <v>0</v>
      </c>
      <c r="CG243" s="306">
        <f ca="1">COUNTIF('Knock Out Stages'!L7:L50,BW243)</f>
        <v>0</v>
      </c>
      <c r="CH243" s="306">
        <f ca="1">COUNTIF('Knock Out Stages'!M7:M50,BW243)</f>
        <v>0</v>
      </c>
      <c r="CI243" s="306">
        <f ca="1">COUNTIF('Knock Out Stages'!N7:N50,BW243)</f>
        <v>0</v>
      </c>
      <c r="CJ243" s="306">
        <f ca="1">COUNTIF('Knock Out Stages'!O7:O50,BW243)</f>
        <v>0</v>
      </c>
      <c r="CK243" s="306">
        <f ca="1">COUNTIF('Knock Out Stages'!P7:P50,BW243)</f>
        <v>0</v>
      </c>
      <c r="CL243" s="306">
        <f ca="1">COUNTIF('Knock Out Stages'!Q7:Q50,BW243)</f>
        <v>0</v>
      </c>
      <c r="CM243" s="306">
        <f ca="1">COUNTIF('Knock Out Stages'!R7:R50,BW243)</f>
        <v>0</v>
      </c>
      <c r="CN243" s="306">
        <f ca="1">IF(RIGHT('Group Stages'!$B$105,5)="T.com",SUM(BX243:CM243),0)</f>
        <v>0</v>
      </c>
      <c r="CO243" s="306">
        <f ca="1">RANK(CN243,CN3:CN834)+COUNTIF(CN3:CN243,CN243)-1</f>
        <v>241</v>
      </c>
      <c r="CP243" s="306" t="str">
        <f t="shared" ca="1" si="183"/>
        <v>Ali Al-Hassan (Saudi Arabia)</v>
      </c>
    </row>
    <row r="244" spans="72:94" x14ac:dyDescent="0.3">
      <c r="BT244" s="306" t="str">
        <f t="shared" ca="1" si="179"/>
        <v>Saudi Arabia</v>
      </c>
      <c r="BU244" s="306">
        <f t="shared" si="180"/>
        <v>7</v>
      </c>
      <c r="BV244" s="306">
        <f t="shared" si="181"/>
        <v>8</v>
      </c>
      <c r="BW244" s="306" t="str">
        <f ca="1">OFFSET(C3,BU244,BV244)</f>
        <v>Fahad Al-Muwallad</v>
      </c>
      <c r="BX244" s="306">
        <f ca="1">COUNTIF('Group Stages'!J7:J102,BW244)</f>
        <v>0</v>
      </c>
      <c r="BY244" s="306">
        <f ca="1">COUNTIF('Group Stages'!K7:K102,BW244)</f>
        <v>0</v>
      </c>
      <c r="BZ244" s="306">
        <f ca="1">COUNTIF('Group Stages'!L7:L102,BW244)</f>
        <v>0</v>
      </c>
      <c r="CA244" s="306">
        <f ca="1">COUNTIF('Group Stages'!M7:M102,BW244)</f>
        <v>0</v>
      </c>
      <c r="CB244" s="306">
        <f ca="1">COUNTIF('Group Stages'!N7:N102,BW244)</f>
        <v>0</v>
      </c>
      <c r="CC244" s="306">
        <f ca="1">COUNTIF('Group Stages'!O7:O102,BW244)</f>
        <v>0</v>
      </c>
      <c r="CD244" s="306">
        <f ca="1">COUNTIF('Group Stages'!P7:P102,BW244)</f>
        <v>0</v>
      </c>
      <c r="CE244" s="306">
        <f ca="1">COUNTIF('Group Stages'!Q7:Q102,BW244)</f>
        <v>0</v>
      </c>
      <c r="CF244" s="306">
        <f ca="1">COUNTIF('Knock Out Stages'!K7:K50,BW244)</f>
        <v>0</v>
      </c>
      <c r="CG244" s="306">
        <f ca="1">COUNTIF('Knock Out Stages'!L7:L50,BW244)</f>
        <v>0</v>
      </c>
      <c r="CH244" s="306">
        <f ca="1">COUNTIF('Knock Out Stages'!M7:M50,BW244)</f>
        <v>0</v>
      </c>
      <c r="CI244" s="306">
        <f ca="1">COUNTIF('Knock Out Stages'!N7:N50,BW244)</f>
        <v>0</v>
      </c>
      <c r="CJ244" s="306">
        <f ca="1">COUNTIF('Knock Out Stages'!O7:O50,BW244)</f>
        <v>0</v>
      </c>
      <c r="CK244" s="306">
        <f ca="1">COUNTIF('Knock Out Stages'!P7:P50,BW244)</f>
        <v>0</v>
      </c>
      <c r="CL244" s="306">
        <f ca="1">COUNTIF('Knock Out Stages'!Q7:Q50,BW244)</f>
        <v>0</v>
      </c>
      <c r="CM244" s="306">
        <f ca="1">COUNTIF('Knock Out Stages'!R7:R50,BW244)</f>
        <v>0</v>
      </c>
      <c r="CN244" s="306">
        <f ca="1">IF(RIGHT('Group Stages'!$B$105,5)="T.com",SUM(BX244:CM244),0)</f>
        <v>0</v>
      </c>
      <c r="CO244" s="306">
        <f ca="1">RANK(CN244,CN3:CN834)+COUNTIF(CN3:CN244,CN244)-1</f>
        <v>242</v>
      </c>
      <c r="CP244" s="306" t="str">
        <f t="shared" ca="1" si="183"/>
        <v>Fahad Al-Muwallad (Saudi Arabia)</v>
      </c>
    </row>
    <row r="245" spans="72:94" x14ac:dyDescent="0.3">
      <c r="BT245" s="306" t="str">
        <f t="shared" ca="1" si="179"/>
        <v>Saudi Arabia</v>
      </c>
      <c r="BU245" s="306">
        <f t="shared" si="180"/>
        <v>8</v>
      </c>
      <c r="BV245" s="306">
        <f t="shared" si="181"/>
        <v>8</v>
      </c>
      <c r="BW245" s="306" t="str">
        <f ca="1">OFFSET(C3,BU245,BV245)</f>
        <v>Firas Al-Buraikan</v>
      </c>
      <c r="BX245" s="306">
        <f ca="1">COUNTIF('Group Stages'!J7:J102,BW245)</f>
        <v>0</v>
      </c>
      <c r="BY245" s="306">
        <f ca="1">COUNTIF('Group Stages'!K7:K102,BW245)</f>
        <v>0</v>
      </c>
      <c r="BZ245" s="306">
        <f ca="1">COUNTIF('Group Stages'!L7:L102,BW245)</f>
        <v>0</v>
      </c>
      <c r="CA245" s="306">
        <f ca="1">COUNTIF('Group Stages'!M7:M102,BW245)</f>
        <v>0</v>
      </c>
      <c r="CB245" s="306">
        <f ca="1">COUNTIF('Group Stages'!N7:N102,BW245)</f>
        <v>0</v>
      </c>
      <c r="CC245" s="306">
        <f ca="1">COUNTIF('Group Stages'!O7:O102,BW245)</f>
        <v>0</v>
      </c>
      <c r="CD245" s="306">
        <f ca="1">COUNTIF('Group Stages'!P7:P102,BW245)</f>
        <v>0</v>
      </c>
      <c r="CE245" s="306">
        <f ca="1">COUNTIF('Group Stages'!Q7:Q102,BW245)</f>
        <v>0</v>
      </c>
      <c r="CF245" s="306">
        <f ca="1">COUNTIF('Knock Out Stages'!K7:K50,BW245)</f>
        <v>0</v>
      </c>
      <c r="CG245" s="306">
        <f ca="1">COUNTIF('Knock Out Stages'!L7:L50,BW245)</f>
        <v>0</v>
      </c>
      <c r="CH245" s="306">
        <f ca="1">COUNTIF('Knock Out Stages'!M7:M50,BW245)</f>
        <v>0</v>
      </c>
      <c r="CI245" s="306">
        <f ca="1">COUNTIF('Knock Out Stages'!N7:N50,BW245)</f>
        <v>0</v>
      </c>
      <c r="CJ245" s="306">
        <f ca="1">COUNTIF('Knock Out Stages'!O7:O50,BW245)</f>
        <v>0</v>
      </c>
      <c r="CK245" s="306">
        <f ca="1">COUNTIF('Knock Out Stages'!P7:P50,BW245)</f>
        <v>0</v>
      </c>
      <c r="CL245" s="306">
        <f ca="1">COUNTIF('Knock Out Stages'!Q7:Q50,BW245)</f>
        <v>0</v>
      </c>
      <c r="CM245" s="306">
        <f ca="1">COUNTIF('Knock Out Stages'!R7:R50,BW245)</f>
        <v>0</v>
      </c>
      <c r="CN245" s="306">
        <f ca="1">IF(RIGHT('Group Stages'!$B$105,5)="T.com",SUM(BX245:CM245),0)</f>
        <v>0</v>
      </c>
      <c r="CO245" s="306">
        <f ca="1">RANK(CN245,CN3:CN834)+COUNTIF(CN3:CN245,CN245)-1</f>
        <v>243</v>
      </c>
      <c r="CP245" s="306" t="str">
        <f t="shared" ca="1" si="183"/>
        <v>Firas Al-Buraikan (Saudi Arabia)</v>
      </c>
    </row>
    <row r="246" spans="72:94" x14ac:dyDescent="0.3">
      <c r="BT246" s="306" t="str">
        <f t="shared" ca="1" si="179"/>
        <v>Saudi Arabia</v>
      </c>
      <c r="BU246" s="306">
        <f t="shared" si="180"/>
        <v>9</v>
      </c>
      <c r="BV246" s="306">
        <f t="shared" si="181"/>
        <v>8</v>
      </c>
      <c r="BW246" s="306" t="str">
        <f ca="1">OFFSET(C3,BU246,BV246)</f>
        <v>Haitham Asiri</v>
      </c>
      <c r="BX246" s="306">
        <f ca="1">COUNTIF('Group Stages'!J7:J102,BW246)</f>
        <v>0</v>
      </c>
      <c r="BY246" s="306">
        <f ca="1">COUNTIF('Group Stages'!K7:K102,BW246)</f>
        <v>0</v>
      </c>
      <c r="BZ246" s="306">
        <f ca="1">COUNTIF('Group Stages'!L7:L102,BW246)</f>
        <v>0</v>
      </c>
      <c r="CA246" s="306">
        <f ca="1">COUNTIF('Group Stages'!M7:M102,BW246)</f>
        <v>0</v>
      </c>
      <c r="CB246" s="306">
        <f ca="1">COUNTIF('Group Stages'!N7:N102,BW246)</f>
        <v>0</v>
      </c>
      <c r="CC246" s="306">
        <f ca="1">COUNTIF('Group Stages'!O7:O102,BW246)</f>
        <v>0</v>
      </c>
      <c r="CD246" s="306">
        <f ca="1">COUNTIF('Group Stages'!P7:P102,BW246)</f>
        <v>0</v>
      </c>
      <c r="CE246" s="306">
        <f ca="1">COUNTIF('Group Stages'!Q7:Q102,BW246)</f>
        <v>0</v>
      </c>
      <c r="CF246" s="306">
        <f ca="1">COUNTIF('Knock Out Stages'!K7:K50,BW246)</f>
        <v>0</v>
      </c>
      <c r="CG246" s="306">
        <f ca="1">COUNTIF('Knock Out Stages'!L7:L50,BW246)</f>
        <v>0</v>
      </c>
      <c r="CH246" s="306">
        <f ca="1">COUNTIF('Knock Out Stages'!M7:M50,BW246)</f>
        <v>0</v>
      </c>
      <c r="CI246" s="306">
        <f ca="1">COUNTIF('Knock Out Stages'!N7:N50,BW246)</f>
        <v>0</v>
      </c>
      <c r="CJ246" s="306">
        <f ca="1">COUNTIF('Knock Out Stages'!O7:O50,BW246)</f>
        <v>0</v>
      </c>
      <c r="CK246" s="306">
        <f ca="1">COUNTIF('Knock Out Stages'!P7:P50,BW246)</f>
        <v>0</v>
      </c>
      <c r="CL246" s="306">
        <f ca="1">COUNTIF('Knock Out Stages'!Q7:Q50,BW246)</f>
        <v>0</v>
      </c>
      <c r="CM246" s="306">
        <f ca="1">COUNTIF('Knock Out Stages'!R7:R50,BW246)</f>
        <v>0</v>
      </c>
      <c r="CN246" s="306">
        <f ca="1">IF(RIGHT('Group Stages'!$B$105,5)="T.com",SUM(BX246:CM246),0)</f>
        <v>0</v>
      </c>
      <c r="CO246" s="306">
        <f ca="1">RANK(CN246,CN3:CN834)+COUNTIF(CN3:CN246,CN246)-1</f>
        <v>244</v>
      </c>
      <c r="CP246" s="306" t="str">
        <f t="shared" ca="1" si="183"/>
        <v>Haitham Asiri (Saudi Arabia)</v>
      </c>
    </row>
    <row r="247" spans="72:94" x14ac:dyDescent="0.3">
      <c r="BT247" s="306" t="str">
        <f t="shared" ca="1" si="179"/>
        <v>Saudi Arabia</v>
      </c>
      <c r="BU247" s="306">
        <f t="shared" si="180"/>
        <v>10</v>
      </c>
      <c r="BV247" s="306">
        <f t="shared" si="181"/>
        <v>8</v>
      </c>
      <c r="BW247" s="306" t="str">
        <f ca="1">OFFSET(C3,BU247,BV247)</f>
        <v>Hassan Tambakti</v>
      </c>
      <c r="BX247" s="306">
        <f ca="1">COUNTIF('Group Stages'!J7:J102,BW247)</f>
        <v>0</v>
      </c>
      <c r="BY247" s="306">
        <f ca="1">COUNTIF('Group Stages'!K7:K102,BW247)</f>
        <v>0</v>
      </c>
      <c r="BZ247" s="306">
        <f ca="1">COUNTIF('Group Stages'!L7:L102,BW247)</f>
        <v>0</v>
      </c>
      <c r="CA247" s="306">
        <f ca="1">COUNTIF('Group Stages'!M7:M102,BW247)</f>
        <v>0</v>
      </c>
      <c r="CB247" s="306">
        <f ca="1">COUNTIF('Group Stages'!N7:N102,BW247)</f>
        <v>0</v>
      </c>
      <c r="CC247" s="306">
        <f ca="1">COUNTIF('Group Stages'!O7:O102,BW247)</f>
        <v>0</v>
      </c>
      <c r="CD247" s="306">
        <f ca="1">COUNTIF('Group Stages'!P7:P102,BW247)</f>
        <v>0</v>
      </c>
      <c r="CE247" s="306">
        <f ca="1">COUNTIF('Group Stages'!Q7:Q102,BW247)</f>
        <v>0</v>
      </c>
      <c r="CF247" s="306">
        <f ca="1">COUNTIF('Knock Out Stages'!K7:K50,BW247)</f>
        <v>0</v>
      </c>
      <c r="CG247" s="306">
        <f ca="1">COUNTIF('Knock Out Stages'!L7:L50,BW247)</f>
        <v>0</v>
      </c>
      <c r="CH247" s="306">
        <f ca="1">COUNTIF('Knock Out Stages'!M7:M50,BW247)</f>
        <v>0</v>
      </c>
      <c r="CI247" s="306">
        <f ca="1">COUNTIF('Knock Out Stages'!N7:N50,BW247)</f>
        <v>0</v>
      </c>
      <c r="CJ247" s="306">
        <f ca="1">COUNTIF('Knock Out Stages'!O7:O50,BW247)</f>
        <v>0</v>
      </c>
      <c r="CK247" s="306">
        <f ca="1">COUNTIF('Knock Out Stages'!P7:P50,BW247)</f>
        <v>0</v>
      </c>
      <c r="CL247" s="306">
        <f ca="1">COUNTIF('Knock Out Stages'!Q7:Q50,BW247)</f>
        <v>0</v>
      </c>
      <c r="CM247" s="306">
        <f ca="1">COUNTIF('Knock Out Stages'!R7:R50,BW247)</f>
        <v>0</v>
      </c>
      <c r="CN247" s="306">
        <f ca="1">IF(RIGHT('Group Stages'!$B$105,5)="T.com",SUM(BX247:CM247),0)</f>
        <v>0</v>
      </c>
      <c r="CO247" s="306">
        <f ca="1">RANK(CN247,CN3:CN834)+COUNTIF(CN3:CN247,CN247)-1</f>
        <v>245</v>
      </c>
      <c r="CP247" s="306" t="str">
        <f t="shared" ca="1" si="183"/>
        <v>Hassan Tambakti (Saudi Arabia)</v>
      </c>
    </row>
    <row r="248" spans="72:94" x14ac:dyDescent="0.3">
      <c r="BT248" s="306" t="str">
        <f t="shared" ref="BT248:BT311" ca="1" si="186">BT247</f>
        <v>Saudi Arabia</v>
      </c>
      <c r="BU248" s="306">
        <f t="shared" ref="BU248:BU311" si="187">BU222</f>
        <v>11</v>
      </c>
      <c r="BV248" s="306">
        <f t="shared" ref="BV248:BV311" si="188">BV222+1</f>
        <v>8</v>
      </c>
      <c r="BW248" s="306" t="str">
        <f ca="1">OFFSET(C3,BU248,BV248)</f>
        <v>Hattan Bahebri</v>
      </c>
      <c r="BX248" s="306">
        <f ca="1">COUNTIF('Group Stages'!J7:J102,BW248)</f>
        <v>0</v>
      </c>
      <c r="BY248" s="306">
        <f ca="1">COUNTIF('Group Stages'!K7:K102,BW248)</f>
        <v>0</v>
      </c>
      <c r="BZ248" s="306">
        <f ca="1">COUNTIF('Group Stages'!L7:L102,BW248)</f>
        <v>0</v>
      </c>
      <c r="CA248" s="306">
        <f ca="1">COUNTIF('Group Stages'!M7:M102,BW248)</f>
        <v>0</v>
      </c>
      <c r="CB248" s="306">
        <f ca="1">COUNTIF('Group Stages'!N7:N102,BW248)</f>
        <v>0</v>
      </c>
      <c r="CC248" s="306">
        <f ca="1">COUNTIF('Group Stages'!O7:O102,BW248)</f>
        <v>0</v>
      </c>
      <c r="CD248" s="306">
        <f ca="1">COUNTIF('Group Stages'!P7:P102,BW248)</f>
        <v>0</v>
      </c>
      <c r="CE248" s="306">
        <f ca="1">COUNTIF('Group Stages'!Q7:Q102,BW248)</f>
        <v>0</v>
      </c>
      <c r="CF248" s="306">
        <f ca="1">COUNTIF('Knock Out Stages'!K7:K50,BW248)</f>
        <v>0</v>
      </c>
      <c r="CG248" s="306">
        <f ca="1">COUNTIF('Knock Out Stages'!L7:L50,BW248)</f>
        <v>0</v>
      </c>
      <c r="CH248" s="306">
        <f ca="1">COUNTIF('Knock Out Stages'!M7:M50,BW248)</f>
        <v>0</v>
      </c>
      <c r="CI248" s="306">
        <f ca="1">COUNTIF('Knock Out Stages'!N7:N50,BW248)</f>
        <v>0</v>
      </c>
      <c r="CJ248" s="306">
        <f ca="1">COUNTIF('Knock Out Stages'!O7:O50,BW248)</f>
        <v>0</v>
      </c>
      <c r="CK248" s="306">
        <f ca="1">COUNTIF('Knock Out Stages'!P7:P50,BW248)</f>
        <v>0</v>
      </c>
      <c r="CL248" s="306">
        <f ca="1">COUNTIF('Knock Out Stages'!Q7:Q50,BW248)</f>
        <v>0</v>
      </c>
      <c r="CM248" s="306">
        <f ca="1">COUNTIF('Knock Out Stages'!R7:R50,BW248)</f>
        <v>0</v>
      </c>
      <c r="CN248" s="306">
        <f ca="1">IF(RIGHT('Group Stages'!$B$105,5)="T.com",SUM(BX248:CM248),0)</f>
        <v>0</v>
      </c>
      <c r="CO248" s="306">
        <f ca="1">RANK(CN248,CN3:CN834)+COUNTIF(CN3:CN248,CN248)-1</f>
        <v>246</v>
      </c>
      <c r="CP248" s="306" t="str">
        <f t="shared" ca="1" si="183"/>
        <v>Hattan Bahebri (Saudi Arabia)</v>
      </c>
    </row>
    <row r="249" spans="72:94" x14ac:dyDescent="0.3">
      <c r="BT249" s="306" t="str">
        <f t="shared" ca="1" si="186"/>
        <v>Saudi Arabia</v>
      </c>
      <c r="BU249" s="306">
        <f t="shared" si="187"/>
        <v>12</v>
      </c>
      <c r="BV249" s="306">
        <f t="shared" si="188"/>
        <v>8</v>
      </c>
      <c r="BW249" s="306" t="str">
        <f ca="1">OFFSET(C3,BU249,BV249)</f>
        <v>Mohamed Kanno</v>
      </c>
      <c r="BX249" s="306">
        <f ca="1">COUNTIF('Group Stages'!J7:J102,BW249)</f>
        <v>0</v>
      </c>
      <c r="BY249" s="306">
        <f ca="1">COUNTIF('Group Stages'!K7:K102,BW249)</f>
        <v>0</v>
      </c>
      <c r="BZ249" s="306">
        <f ca="1">COUNTIF('Group Stages'!L7:L102,BW249)</f>
        <v>0</v>
      </c>
      <c r="CA249" s="306">
        <f ca="1">COUNTIF('Group Stages'!M7:M102,BW249)</f>
        <v>0</v>
      </c>
      <c r="CB249" s="306">
        <f ca="1">COUNTIF('Group Stages'!N7:N102,BW249)</f>
        <v>0</v>
      </c>
      <c r="CC249" s="306">
        <f ca="1">COUNTIF('Group Stages'!O7:O102,BW249)</f>
        <v>0</v>
      </c>
      <c r="CD249" s="306">
        <f ca="1">COUNTIF('Group Stages'!P7:P102,BW249)</f>
        <v>0</v>
      </c>
      <c r="CE249" s="306">
        <f ca="1">COUNTIF('Group Stages'!Q7:Q102,BW249)</f>
        <v>0</v>
      </c>
      <c r="CF249" s="306">
        <f ca="1">COUNTIF('Knock Out Stages'!K7:K50,BW249)</f>
        <v>0</v>
      </c>
      <c r="CG249" s="306">
        <f ca="1">COUNTIF('Knock Out Stages'!L7:L50,BW249)</f>
        <v>0</v>
      </c>
      <c r="CH249" s="306">
        <f ca="1">COUNTIF('Knock Out Stages'!M7:M50,BW249)</f>
        <v>0</v>
      </c>
      <c r="CI249" s="306">
        <f ca="1">COUNTIF('Knock Out Stages'!N7:N50,BW249)</f>
        <v>0</v>
      </c>
      <c r="CJ249" s="306">
        <f ca="1">COUNTIF('Knock Out Stages'!O7:O50,BW249)</f>
        <v>0</v>
      </c>
      <c r="CK249" s="306">
        <f ca="1">COUNTIF('Knock Out Stages'!P7:P50,BW249)</f>
        <v>0</v>
      </c>
      <c r="CL249" s="306">
        <f ca="1">COUNTIF('Knock Out Stages'!Q7:Q50,BW249)</f>
        <v>0</v>
      </c>
      <c r="CM249" s="306">
        <f ca="1">COUNTIF('Knock Out Stages'!R7:R50,BW249)</f>
        <v>0</v>
      </c>
      <c r="CN249" s="306">
        <f ca="1">IF(RIGHT('Group Stages'!$B$105,5)="T.com",SUM(BX249:CM249),0)</f>
        <v>0</v>
      </c>
      <c r="CO249" s="306">
        <f ca="1">RANK(CN249,CN3:CN834)+COUNTIF(CN3:CN249,CN249)-1</f>
        <v>247</v>
      </c>
      <c r="CP249" s="306" t="str">
        <f t="shared" ca="1" si="183"/>
        <v>Mohamed Kanno (Saudi Arabia)</v>
      </c>
    </row>
    <row r="250" spans="72:94" x14ac:dyDescent="0.3">
      <c r="BT250" s="306" t="str">
        <f t="shared" ca="1" si="186"/>
        <v>Saudi Arabia</v>
      </c>
      <c r="BU250" s="306">
        <f t="shared" si="187"/>
        <v>13</v>
      </c>
      <c r="BV250" s="306">
        <f t="shared" si="188"/>
        <v>8</v>
      </c>
      <c r="BW250" s="306" t="str">
        <f ca="1">OFFSET(C3,BU250,BV250)</f>
        <v>Mohammed Al Rubaie</v>
      </c>
      <c r="BX250" s="306">
        <f ca="1">COUNTIF('Group Stages'!J7:J102,BW250)</f>
        <v>0</v>
      </c>
      <c r="BY250" s="306">
        <f ca="1">COUNTIF('Group Stages'!K7:K102,BW250)</f>
        <v>0</v>
      </c>
      <c r="BZ250" s="306">
        <f ca="1">COUNTIF('Group Stages'!L7:L102,BW250)</f>
        <v>0</v>
      </c>
      <c r="CA250" s="306">
        <f ca="1">COUNTIF('Group Stages'!M7:M102,BW250)</f>
        <v>0</v>
      </c>
      <c r="CB250" s="306">
        <f ca="1">COUNTIF('Group Stages'!N7:N102,BW250)</f>
        <v>0</v>
      </c>
      <c r="CC250" s="306">
        <f ca="1">COUNTIF('Group Stages'!O7:O102,BW250)</f>
        <v>0</v>
      </c>
      <c r="CD250" s="306">
        <f ca="1">COUNTIF('Group Stages'!P7:P102,BW250)</f>
        <v>0</v>
      </c>
      <c r="CE250" s="306">
        <f ca="1">COUNTIF('Group Stages'!Q7:Q102,BW250)</f>
        <v>0</v>
      </c>
      <c r="CF250" s="306">
        <f ca="1">COUNTIF('Knock Out Stages'!K7:K50,BW250)</f>
        <v>0</v>
      </c>
      <c r="CG250" s="306">
        <f ca="1">COUNTIF('Knock Out Stages'!L7:L50,BW250)</f>
        <v>0</v>
      </c>
      <c r="CH250" s="306">
        <f ca="1">COUNTIF('Knock Out Stages'!M7:M50,BW250)</f>
        <v>0</v>
      </c>
      <c r="CI250" s="306">
        <f ca="1">COUNTIF('Knock Out Stages'!N7:N50,BW250)</f>
        <v>0</v>
      </c>
      <c r="CJ250" s="306">
        <f ca="1">COUNTIF('Knock Out Stages'!O7:O50,BW250)</f>
        <v>0</v>
      </c>
      <c r="CK250" s="306">
        <f ca="1">COUNTIF('Knock Out Stages'!P7:P50,BW250)</f>
        <v>0</v>
      </c>
      <c r="CL250" s="306">
        <f ca="1">COUNTIF('Knock Out Stages'!Q7:Q50,BW250)</f>
        <v>0</v>
      </c>
      <c r="CM250" s="306">
        <f ca="1">COUNTIF('Knock Out Stages'!R7:R50,BW250)</f>
        <v>0</v>
      </c>
      <c r="CN250" s="306">
        <f ca="1">IF(RIGHT('Group Stages'!$B$105,5)="T.com",SUM(BX250:CM250),0)</f>
        <v>0</v>
      </c>
      <c r="CO250" s="306">
        <f ca="1">RANK(CN250,CN3:CN834)+COUNTIF(CN3:CN250,CN250)-1</f>
        <v>248</v>
      </c>
      <c r="CP250" s="306" t="str">
        <f t="shared" ca="1" si="183"/>
        <v>Mohammed Al Rubaie (Saudi Arabia)</v>
      </c>
    </row>
    <row r="251" spans="72:94" x14ac:dyDescent="0.3">
      <c r="BT251" s="306" t="str">
        <f t="shared" ca="1" si="186"/>
        <v>Saudi Arabia</v>
      </c>
      <c r="BU251" s="306">
        <f t="shared" si="187"/>
        <v>14</v>
      </c>
      <c r="BV251" s="306">
        <f t="shared" si="188"/>
        <v>8</v>
      </c>
      <c r="BW251" s="306" t="str">
        <f ca="1">OFFSET(C3,BU251,BV251)</f>
        <v>Mohammed Al-Breik</v>
      </c>
      <c r="BX251" s="306">
        <f ca="1">COUNTIF('Group Stages'!J7:J102,BW251)</f>
        <v>0</v>
      </c>
      <c r="BY251" s="306">
        <f ca="1">COUNTIF('Group Stages'!K7:K102,BW251)</f>
        <v>0</v>
      </c>
      <c r="BZ251" s="306">
        <f ca="1">COUNTIF('Group Stages'!L7:L102,BW251)</f>
        <v>0</v>
      </c>
      <c r="CA251" s="306">
        <f ca="1">COUNTIF('Group Stages'!M7:M102,BW251)</f>
        <v>0</v>
      </c>
      <c r="CB251" s="306">
        <f ca="1">COUNTIF('Group Stages'!N7:N102,BW251)</f>
        <v>0</v>
      </c>
      <c r="CC251" s="306">
        <f ca="1">COUNTIF('Group Stages'!O7:O102,BW251)</f>
        <v>0</v>
      </c>
      <c r="CD251" s="306">
        <f ca="1">COUNTIF('Group Stages'!P7:P102,BW251)</f>
        <v>0</v>
      </c>
      <c r="CE251" s="306">
        <f ca="1">COUNTIF('Group Stages'!Q7:Q102,BW251)</f>
        <v>0</v>
      </c>
      <c r="CF251" s="306">
        <f ca="1">COUNTIF('Knock Out Stages'!K7:K50,BW251)</f>
        <v>0</v>
      </c>
      <c r="CG251" s="306">
        <f ca="1">COUNTIF('Knock Out Stages'!L7:L50,BW251)</f>
        <v>0</v>
      </c>
      <c r="CH251" s="306">
        <f ca="1">COUNTIF('Knock Out Stages'!M7:M50,BW251)</f>
        <v>0</v>
      </c>
      <c r="CI251" s="306">
        <f ca="1">COUNTIF('Knock Out Stages'!N7:N50,BW251)</f>
        <v>0</v>
      </c>
      <c r="CJ251" s="306">
        <f ca="1">COUNTIF('Knock Out Stages'!O7:O50,BW251)</f>
        <v>0</v>
      </c>
      <c r="CK251" s="306">
        <f ca="1">COUNTIF('Knock Out Stages'!P7:P50,BW251)</f>
        <v>0</v>
      </c>
      <c r="CL251" s="306">
        <f ca="1">COUNTIF('Knock Out Stages'!Q7:Q50,BW251)</f>
        <v>0</v>
      </c>
      <c r="CM251" s="306">
        <f ca="1">COUNTIF('Knock Out Stages'!R7:R50,BW251)</f>
        <v>0</v>
      </c>
      <c r="CN251" s="306">
        <f ca="1">IF(RIGHT('Group Stages'!$B$105,5)="T.com",SUM(BX251:CM251),0)</f>
        <v>0</v>
      </c>
      <c r="CO251" s="306">
        <f ca="1">RANK(CN251,CN3:CN834)+COUNTIF(CN3:CN251,CN251)-1</f>
        <v>249</v>
      </c>
      <c r="CP251" s="306" t="str">
        <f t="shared" ca="1" si="183"/>
        <v>Mohammed Al-Breik (Saudi Arabia)</v>
      </c>
    </row>
    <row r="252" spans="72:94" x14ac:dyDescent="0.3">
      <c r="BT252" s="306" t="str">
        <f t="shared" ca="1" si="186"/>
        <v>Saudi Arabia</v>
      </c>
      <c r="BU252" s="306">
        <f t="shared" si="187"/>
        <v>15</v>
      </c>
      <c r="BV252" s="306">
        <f t="shared" si="188"/>
        <v>8</v>
      </c>
      <c r="BW252" s="306" t="str">
        <f ca="1">OFFSET(C3,BU252,BV252)</f>
        <v>Mohammed Al-Owais</v>
      </c>
      <c r="BX252" s="306">
        <f ca="1">COUNTIF('Group Stages'!J7:J102,BW252)</f>
        <v>0</v>
      </c>
      <c r="BY252" s="306">
        <f ca="1">COUNTIF('Group Stages'!K7:K102,BW252)</f>
        <v>0</v>
      </c>
      <c r="BZ252" s="306">
        <f ca="1">COUNTIF('Group Stages'!L7:L102,BW252)</f>
        <v>0</v>
      </c>
      <c r="CA252" s="306">
        <f ca="1">COUNTIF('Group Stages'!M7:M102,BW252)</f>
        <v>0</v>
      </c>
      <c r="CB252" s="306">
        <f ca="1">COUNTIF('Group Stages'!N7:N102,BW252)</f>
        <v>0</v>
      </c>
      <c r="CC252" s="306">
        <f ca="1">COUNTIF('Group Stages'!O7:O102,BW252)</f>
        <v>0</v>
      </c>
      <c r="CD252" s="306">
        <f ca="1">COUNTIF('Group Stages'!P7:P102,BW252)</f>
        <v>0</v>
      </c>
      <c r="CE252" s="306">
        <f ca="1">COUNTIF('Group Stages'!Q7:Q102,BW252)</f>
        <v>0</v>
      </c>
      <c r="CF252" s="306">
        <f ca="1">COUNTIF('Knock Out Stages'!K7:K50,BW252)</f>
        <v>0</v>
      </c>
      <c r="CG252" s="306">
        <f ca="1">COUNTIF('Knock Out Stages'!L7:L50,BW252)</f>
        <v>0</v>
      </c>
      <c r="CH252" s="306">
        <f ca="1">COUNTIF('Knock Out Stages'!M7:M50,BW252)</f>
        <v>0</v>
      </c>
      <c r="CI252" s="306">
        <f ca="1">COUNTIF('Knock Out Stages'!N7:N50,BW252)</f>
        <v>0</v>
      </c>
      <c r="CJ252" s="306">
        <f ca="1">COUNTIF('Knock Out Stages'!O7:O50,BW252)</f>
        <v>0</v>
      </c>
      <c r="CK252" s="306">
        <f ca="1">COUNTIF('Knock Out Stages'!P7:P50,BW252)</f>
        <v>0</v>
      </c>
      <c r="CL252" s="306">
        <f ca="1">COUNTIF('Knock Out Stages'!Q7:Q50,BW252)</f>
        <v>0</v>
      </c>
      <c r="CM252" s="306">
        <f ca="1">COUNTIF('Knock Out Stages'!R7:R50,BW252)</f>
        <v>0</v>
      </c>
      <c r="CN252" s="306">
        <f ca="1">IF(RIGHT('Group Stages'!$B$105,5)="T.com",SUM(BX252:CM252),0)</f>
        <v>0</v>
      </c>
      <c r="CO252" s="306">
        <f ca="1">RANK(CN252,CN3:CN834)+COUNTIF(CN3:CN252,CN252)-1</f>
        <v>250</v>
      </c>
      <c r="CP252" s="306" t="str">
        <f t="shared" ca="1" si="183"/>
        <v>Mohammed Al-Owais (Saudi Arabia)</v>
      </c>
    </row>
    <row r="253" spans="72:94" x14ac:dyDescent="0.3">
      <c r="BT253" s="306" t="str">
        <f t="shared" ca="1" si="186"/>
        <v>Saudi Arabia</v>
      </c>
      <c r="BU253" s="306">
        <f t="shared" si="187"/>
        <v>16</v>
      </c>
      <c r="BV253" s="306">
        <f t="shared" si="188"/>
        <v>8</v>
      </c>
      <c r="BW253" s="306" t="str">
        <f ca="1">OFFSET(C3,BU253,BV253)</f>
        <v>Nasser Al-Dawsari</v>
      </c>
      <c r="BX253" s="306">
        <f ca="1">COUNTIF('Group Stages'!J7:J102,BW253)</f>
        <v>0</v>
      </c>
      <c r="BY253" s="306">
        <f ca="1">COUNTIF('Group Stages'!K7:K102,BW253)</f>
        <v>0</v>
      </c>
      <c r="BZ253" s="306">
        <f ca="1">COUNTIF('Group Stages'!L7:L102,BW253)</f>
        <v>0</v>
      </c>
      <c r="CA253" s="306">
        <f ca="1">COUNTIF('Group Stages'!M7:M102,BW253)</f>
        <v>0</v>
      </c>
      <c r="CB253" s="306">
        <f ca="1">COUNTIF('Group Stages'!N7:N102,BW253)</f>
        <v>0</v>
      </c>
      <c r="CC253" s="306">
        <f ca="1">COUNTIF('Group Stages'!O7:O102,BW253)</f>
        <v>0</v>
      </c>
      <c r="CD253" s="306">
        <f ca="1">COUNTIF('Group Stages'!P7:P102,BW253)</f>
        <v>0</v>
      </c>
      <c r="CE253" s="306">
        <f ca="1">COUNTIF('Group Stages'!Q7:Q102,BW253)</f>
        <v>0</v>
      </c>
      <c r="CF253" s="306">
        <f ca="1">COUNTIF('Knock Out Stages'!K7:K50,BW253)</f>
        <v>0</v>
      </c>
      <c r="CG253" s="306">
        <f ca="1">COUNTIF('Knock Out Stages'!L7:L50,BW253)</f>
        <v>0</v>
      </c>
      <c r="CH253" s="306">
        <f ca="1">COUNTIF('Knock Out Stages'!M7:M50,BW253)</f>
        <v>0</v>
      </c>
      <c r="CI253" s="306">
        <f ca="1">COUNTIF('Knock Out Stages'!N7:N50,BW253)</f>
        <v>0</v>
      </c>
      <c r="CJ253" s="306">
        <f ca="1">COUNTIF('Knock Out Stages'!O7:O50,BW253)</f>
        <v>0</v>
      </c>
      <c r="CK253" s="306">
        <f ca="1">COUNTIF('Knock Out Stages'!P7:P50,BW253)</f>
        <v>0</v>
      </c>
      <c r="CL253" s="306">
        <f ca="1">COUNTIF('Knock Out Stages'!Q7:Q50,BW253)</f>
        <v>0</v>
      </c>
      <c r="CM253" s="306">
        <f ca="1">COUNTIF('Knock Out Stages'!R7:R50,BW253)</f>
        <v>0</v>
      </c>
      <c r="CN253" s="306">
        <f ca="1">IF(RIGHT('Group Stages'!$B$105,5)="T.com",SUM(BX253:CM253),0)</f>
        <v>0</v>
      </c>
      <c r="CO253" s="306">
        <f ca="1">RANK(CN253,CN3:CN834)+COUNTIF(CN3:CN253,CN253)-1</f>
        <v>251</v>
      </c>
      <c r="CP253" s="306" t="str">
        <f t="shared" ca="1" si="183"/>
        <v>Nasser Al-Dawsari (Saudi Arabia)</v>
      </c>
    </row>
    <row r="254" spans="72:94" x14ac:dyDescent="0.3">
      <c r="BT254" s="306" t="str">
        <f t="shared" ca="1" si="186"/>
        <v>Saudi Arabia</v>
      </c>
      <c r="BU254" s="306">
        <f t="shared" si="187"/>
        <v>17</v>
      </c>
      <c r="BV254" s="306">
        <f t="shared" si="188"/>
        <v>8</v>
      </c>
      <c r="BW254" s="306" t="str">
        <f ca="1">OFFSET(C3,BU254,BV254)</f>
        <v>Nawaf Al-Aqidi</v>
      </c>
      <c r="BX254" s="306">
        <f ca="1">COUNTIF('Group Stages'!J7:J102,BW254)</f>
        <v>0</v>
      </c>
      <c r="BY254" s="306">
        <f ca="1">COUNTIF('Group Stages'!K7:K102,BW254)</f>
        <v>0</v>
      </c>
      <c r="BZ254" s="306">
        <f ca="1">COUNTIF('Group Stages'!L7:L102,BW254)</f>
        <v>0</v>
      </c>
      <c r="CA254" s="306">
        <f ca="1">COUNTIF('Group Stages'!M7:M102,BW254)</f>
        <v>0</v>
      </c>
      <c r="CB254" s="306">
        <f ca="1">COUNTIF('Group Stages'!N7:N102,BW254)</f>
        <v>0</v>
      </c>
      <c r="CC254" s="306">
        <f ca="1">COUNTIF('Group Stages'!O7:O102,BW254)</f>
        <v>0</v>
      </c>
      <c r="CD254" s="306">
        <f ca="1">COUNTIF('Group Stages'!P7:P102,BW254)</f>
        <v>0</v>
      </c>
      <c r="CE254" s="306">
        <f ca="1">COUNTIF('Group Stages'!Q7:Q102,BW254)</f>
        <v>0</v>
      </c>
      <c r="CF254" s="306">
        <f ca="1">COUNTIF('Knock Out Stages'!K7:K50,BW254)</f>
        <v>0</v>
      </c>
      <c r="CG254" s="306">
        <f ca="1">COUNTIF('Knock Out Stages'!L7:L50,BW254)</f>
        <v>0</v>
      </c>
      <c r="CH254" s="306">
        <f ca="1">COUNTIF('Knock Out Stages'!M7:M50,BW254)</f>
        <v>0</v>
      </c>
      <c r="CI254" s="306">
        <f ca="1">COUNTIF('Knock Out Stages'!N7:N50,BW254)</f>
        <v>0</v>
      </c>
      <c r="CJ254" s="306">
        <f ca="1">COUNTIF('Knock Out Stages'!O7:O50,BW254)</f>
        <v>0</v>
      </c>
      <c r="CK254" s="306">
        <f ca="1">COUNTIF('Knock Out Stages'!P7:P50,BW254)</f>
        <v>0</v>
      </c>
      <c r="CL254" s="306">
        <f ca="1">COUNTIF('Knock Out Stages'!Q7:Q50,BW254)</f>
        <v>0</v>
      </c>
      <c r="CM254" s="306">
        <f ca="1">COUNTIF('Knock Out Stages'!R7:R50,BW254)</f>
        <v>0</v>
      </c>
      <c r="CN254" s="306">
        <f ca="1">IF(RIGHT('Group Stages'!$B$105,5)="T.com",SUM(BX254:CM254),0)</f>
        <v>0</v>
      </c>
      <c r="CO254" s="306">
        <f ca="1">RANK(CN254,CN3:CN834)+COUNTIF(CN3:CN254,CN254)-1</f>
        <v>252</v>
      </c>
      <c r="CP254" s="306" t="str">
        <f t="shared" ca="1" si="183"/>
        <v>Nawaf Al-Aqidi (Saudi Arabia)</v>
      </c>
    </row>
    <row r="255" spans="72:94" x14ac:dyDescent="0.3">
      <c r="BT255" s="306" t="str">
        <f t="shared" ca="1" si="186"/>
        <v>Saudi Arabia</v>
      </c>
      <c r="BU255" s="306">
        <f t="shared" si="187"/>
        <v>18</v>
      </c>
      <c r="BV255" s="306">
        <f t="shared" si="188"/>
        <v>8</v>
      </c>
      <c r="BW255" s="306" t="str">
        <f ca="1">OFFSET(C3,BU255,BV255)</f>
        <v>Riyadh Sharahili</v>
      </c>
      <c r="BX255" s="306">
        <f ca="1">COUNTIF('Group Stages'!J7:J102,BW255)</f>
        <v>0</v>
      </c>
      <c r="BY255" s="306">
        <f ca="1">COUNTIF('Group Stages'!K7:K102,BW255)</f>
        <v>0</v>
      </c>
      <c r="BZ255" s="306">
        <f ca="1">COUNTIF('Group Stages'!L7:L102,BW255)</f>
        <v>0</v>
      </c>
      <c r="CA255" s="306">
        <f ca="1">COUNTIF('Group Stages'!M7:M102,BW255)</f>
        <v>0</v>
      </c>
      <c r="CB255" s="306">
        <f ca="1">COUNTIF('Group Stages'!N7:N102,BW255)</f>
        <v>0</v>
      </c>
      <c r="CC255" s="306">
        <f ca="1">COUNTIF('Group Stages'!O7:O102,BW255)</f>
        <v>0</v>
      </c>
      <c r="CD255" s="306">
        <f ca="1">COUNTIF('Group Stages'!P7:P102,BW255)</f>
        <v>0</v>
      </c>
      <c r="CE255" s="306">
        <f ca="1">COUNTIF('Group Stages'!Q7:Q102,BW255)</f>
        <v>0</v>
      </c>
      <c r="CF255" s="306">
        <f ca="1">COUNTIF('Knock Out Stages'!K7:K50,BW255)</f>
        <v>0</v>
      </c>
      <c r="CG255" s="306">
        <f ca="1">COUNTIF('Knock Out Stages'!L7:L50,BW255)</f>
        <v>0</v>
      </c>
      <c r="CH255" s="306">
        <f ca="1">COUNTIF('Knock Out Stages'!M7:M50,BW255)</f>
        <v>0</v>
      </c>
      <c r="CI255" s="306">
        <f ca="1">COUNTIF('Knock Out Stages'!N7:N50,BW255)</f>
        <v>0</v>
      </c>
      <c r="CJ255" s="306">
        <f ca="1">COUNTIF('Knock Out Stages'!O7:O50,BW255)</f>
        <v>0</v>
      </c>
      <c r="CK255" s="306">
        <f ca="1">COUNTIF('Knock Out Stages'!P7:P50,BW255)</f>
        <v>0</v>
      </c>
      <c r="CL255" s="306">
        <f ca="1">COUNTIF('Knock Out Stages'!Q7:Q50,BW255)</f>
        <v>0</v>
      </c>
      <c r="CM255" s="306">
        <f ca="1">COUNTIF('Knock Out Stages'!R7:R50,BW255)</f>
        <v>0</v>
      </c>
      <c r="CN255" s="306">
        <f ca="1">IF(RIGHT('Group Stages'!$B$105,5)="T.com",SUM(BX255:CM255),0)</f>
        <v>0</v>
      </c>
      <c r="CO255" s="306">
        <f ca="1">RANK(CN255,CN3:CN834)+COUNTIF(CN3:CN255,CN255)-1</f>
        <v>253</v>
      </c>
      <c r="CP255" s="306" t="str">
        <f t="shared" ca="1" si="183"/>
        <v>Riyadh Sharahili (Saudi Arabia)</v>
      </c>
    </row>
    <row r="256" spans="72:94" x14ac:dyDescent="0.3">
      <c r="BT256" s="306" t="str">
        <f t="shared" ca="1" si="186"/>
        <v>Saudi Arabia</v>
      </c>
      <c r="BU256" s="306">
        <f t="shared" si="187"/>
        <v>19</v>
      </c>
      <c r="BV256" s="306">
        <f t="shared" si="188"/>
        <v>8</v>
      </c>
      <c r="BW256" s="306" t="str">
        <f ca="1">OFFSET(C3,BU256,BV256)</f>
        <v>Saleh Al-Shehri</v>
      </c>
      <c r="BX256" s="306">
        <f ca="1">COUNTIF('Group Stages'!J7:J102,BW256)</f>
        <v>0</v>
      </c>
      <c r="BY256" s="306">
        <f ca="1">COUNTIF('Group Stages'!K7:K102,BW256)</f>
        <v>0</v>
      </c>
      <c r="BZ256" s="306">
        <f ca="1">COUNTIF('Group Stages'!L7:L102,BW256)</f>
        <v>0</v>
      </c>
      <c r="CA256" s="306">
        <f ca="1">COUNTIF('Group Stages'!M7:M102,BW256)</f>
        <v>0</v>
      </c>
      <c r="CB256" s="306">
        <f ca="1">COUNTIF('Group Stages'!N7:N102,BW256)</f>
        <v>0</v>
      </c>
      <c r="CC256" s="306">
        <f ca="1">COUNTIF('Group Stages'!O7:O102,BW256)</f>
        <v>0</v>
      </c>
      <c r="CD256" s="306">
        <f ca="1">COUNTIF('Group Stages'!P7:P102,BW256)</f>
        <v>0</v>
      </c>
      <c r="CE256" s="306">
        <f ca="1">COUNTIF('Group Stages'!Q7:Q102,BW256)</f>
        <v>0</v>
      </c>
      <c r="CF256" s="306">
        <f ca="1">COUNTIF('Knock Out Stages'!K7:K50,BW256)</f>
        <v>0</v>
      </c>
      <c r="CG256" s="306">
        <f ca="1">COUNTIF('Knock Out Stages'!L7:L50,BW256)</f>
        <v>0</v>
      </c>
      <c r="CH256" s="306">
        <f ca="1">COUNTIF('Knock Out Stages'!M7:M50,BW256)</f>
        <v>0</v>
      </c>
      <c r="CI256" s="306">
        <f ca="1">COUNTIF('Knock Out Stages'!N7:N50,BW256)</f>
        <v>0</v>
      </c>
      <c r="CJ256" s="306">
        <f ca="1">COUNTIF('Knock Out Stages'!O7:O50,BW256)</f>
        <v>0</v>
      </c>
      <c r="CK256" s="306">
        <f ca="1">COUNTIF('Knock Out Stages'!P7:P50,BW256)</f>
        <v>0</v>
      </c>
      <c r="CL256" s="306">
        <f ca="1">COUNTIF('Knock Out Stages'!Q7:Q50,BW256)</f>
        <v>0</v>
      </c>
      <c r="CM256" s="306">
        <f ca="1">COUNTIF('Knock Out Stages'!R7:R50,BW256)</f>
        <v>0</v>
      </c>
      <c r="CN256" s="306">
        <f ca="1">IF(RIGHT('Group Stages'!$B$105,5)="T.com",SUM(BX256:CM256),0)</f>
        <v>0</v>
      </c>
      <c r="CO256" s="306">
        <f ca="1">RANK(CN256,CN3:CN834)+COUNTIF(CN3:CN256,CN256)-1</f>
        <v>254</v>
      </c>
      <c r="CP256" s="306" t="str">
        <f t="shared" ca="1" si="183"/>
        <v>Saleh Al-Shehri (Saudi Arabia)</v>
      </c>
    </row>
    <row r="257" spans="72:94" x14ac:dyDescent="0.3">
      <c r="BT257" s="306" t="str">
        <f t="shared" ca="1" si="186"/>
        <v>Saudi Arabia</v>
      </c>
      <c r="BU257" s="306">
        <f t="shared" si="187"/>
        <v>20</v>
      </c>
      <c r="BV257" s="306">
        <f t="shared" si="188"/>
        <v>8</v>
      </c>
      <c r="BW257" s="306" t="str">
        <f ca="1">OFFSET(C3,BU257,BV257)</f>
        <v>Salem Al-Dawsari</v>
      </c>
      <c r="BX257" s="306">
        <f ca="1">COUNTIF('Group Stages'!J7:J102,BW257)</f>
        <v>0</v>
      </c>
      <c r="BY257" s="306">
        <f ca="1">COUNTIF('Group Stages'!K7:K102,BW257)</f>
        <v>0</v>
      </c>
      <c r="BZ257" s="306">
        <f ca="1">COUNTIF('Group Stages'!L7:L102,BW257)</f>
        <v>0</v>
      </c>
      <c r="CA257" s="306">
        <f ca="1">COUNTIF('Group Stages'!M7:M102,BW257)</f>
        <v>0</v>
      </c>
      <c r="CB257" s="306">
        <f ca="1">COUNTIF('Group Stages'!N7:N102,BW257)</f>
        <v>0</v>
      </c>
      <c r="CC257" s="306">
        <f ca="1">COUNTIF('Group Stages'!O7:O102,BW257)</f>
        <v>0</v>
      </c>
      <c r="CD257" s="306">
        <f ca="1">COUNTIF('Group Stages'!P7:P102,BW257)</f>
        <v>0</v>
      </c>
      <c r="CE257" s="306">
        <f ca="1">COUNTIF('Group Stages'!Q7:Q102,BW257)</f>
        <v>0</v>
      </c>
      <c r="CF257" s="306">
        <f ca="1">COUNTIF('Knock Out Stages'!K7:K50,BW257)</f>
        <v>0</v>
      </c>
      <c r="CG257" s="306">
        <f ca="1">COUNTIF('Knock Out Stages'!L7:L50,BW257)</f>
        <v>0</v>
      </c>
      <c r="CH257" s="306">
        <f ca="1">COUNTIF('Knock Out Stages'!M7:M50,BW257)</f>
        <v>0</v>
      </c>
      <c r="CI257" s="306">
        <f ca="1">COUNTIF('Knock Out Stages'!N7:N50,BW257)</f>
        <v>0</v>
      </c>
      <c r="CJ257" s="306">
        <f ca="1">COUNTIF('Knock Out Stages'!O7:O50,BW257)</f>
        <v>0</v>
      </c>
      <c r="CK257" s="306">
        <f ca="1">COUNTIF('Knock Out Stages'!P7:P50,BW257)</f>
        <v>0</v>
      </c>
      <c r="CL257" s="306">
        <f ca="1">COUNTIF('Knock Out Stages'!Q7:Q50,BW257)</f>
        <v>0</v>
      </c>
      <c r="CM257" s="306">
        <f ca="1">COUNTIF('Knock Out Stages'!R7:R50,BW257)</f>
        <v>0</v>
      </c>
      <c r="CN257" s="306">
        <f ca="1">IF(RIGHT('Group Stages'!$B$105,5)="T.com",SUM(BX257:CM257),0)</f>
        <v>0</v>
      </c>
      <c r="CO257" s="306">
        <f ca="1">RANK(CN257,CN3:CN834)+COUNTIF(CN3:CN257,CN257)-1</f>
        <v>255</v>
      </c>
      <c r="CP257" s="306" t="str">
        <f t="shared" ca="1" si="183"/>
        <v>Salem Al-Dawsari (Saudi Arabia)</v>
      </c>
    </row>
    <row r="258" spans="72:94" x14ac:dyDescent="0.3">
      <c r="BT258" s="306" t="str">
        <f t="shared" ca="1" si="186"/>
        <v>Saudi Arabia</v>
      </c>
      <c r="BU258" s="306">
        <f t="shared" si="187"/>
        <v>21</v>
      </c>
      <c r="BV258" s="306">
        <f t="shared" si="188"/>
        <v>8</v>
      </c>
      <c r="BW258" s="306" t="str">
        <f ca="1">OFFSET(C3,BU258,BV258)</f>
        <v>Salman Al-Faraj</v>
      </c>
      <c r="BX258" s="306">
        <f ca="1">COUNTIF('Group Stages'!J7:J102,BW258)</f>
        <v>0</v>
      </c>
      <c r="BY258" s="306">
        <f ca="1">COUNTIF('Group Stages'!K7:K102,BW258)</f>
        <v>0</v>
      </c>
      <c r="BZ258" s="306">
        <f ca="1">COUNTIF('Group Stages'!L7:L102,BW258)</f>
        <v>0</v>
      </c>
      <c r="CA258" s="306">
        <f ca="1">COUNTIF('Group Stages'!M7:M102,BW258)</f>
        <v>0</v>
      </c>
      <c r="CB258" s="306">
        <f ca="1">COUNTIF('Group Stages'!N7:N102,BW258)</f>
        <v>0</v>
      </c>
      <c r="CC258" s="306">
        <f ca="1">COUNTIF('Group Stages'!O7:O102,BW258)</f>
        <v>0</v>
      </c>
      <c r="CD258" s="306">
        <f ca="1">COUNTIF('Group Stages'!P7:P102,BW258)</f>
        <v>0</v>
      </c>
      <c r="CE258" s="306">
        <f ca="1">COUNTIF('Group Stages'!Q7:Q102,BW258)</f>
        <v>0</v>
      </c>
      <c r="CF258" s="306">
        <f ca="1">COUNTIF('Knock Out Stages'!K7:K50,BW258)</f>
        <v>0</v>
      </c>
      <c r="CG258" s="306">
        <f ca="1">COUNTIF('Knock Out Stages'!L7:L50,BW258)</f>
        <v>0</v>
      </c>
      <c r="CH258" s="306">
        <f ca="1">COUNTIF('Knock Out Stages'!M7:M50,BW258)</f>
        <v>0</v>
      </c>
      <c r="CI258" s="306">
        <f ca="1">COUNTIF('Knock Out Stages'!N7:N50,BW258)</f>
        <v>0</v>
      </c>
      <c r="CJ258" s="306">
        <f ca="1">COUNTIF('Knock Out Stages'!O7:O50,BW258)</f>
        <v>0</v>
      </c>
      <c r="CK258" s="306">
        <f ca="1">COUNTIF('Knock Out Stages'!P7:P50,BW258)</f>
        <v>0</v>
      </c>
      <c r="CL258" s="306">
        <f ca="1">COUNTIF('Knock Out Stages'!Q7:Q50,BW258)</f>
        <v>0</v>
      </c>
      <c r="CM258" s="306">
        <f ca="1">COUNTIF('Knock Out Stages'!R7:R50,BW258)</f>
        <v>0</v>
      </c>
      <c r="CN258" s="306">
        <f ca="1">IF(RIGHT('Group Stages'!$B$105,5)="T.com",SUM(BX258:CM258),0)</f>
        <v>0</v>
      </c>
      <c r="CO258" s="306">
        <f ca="1">RANK(CN258,CN3:CN834)+COUNTIF(CN3:CN258,CN258)-1</f>
        <v>256</v>
      </c>
      <c r="CP258" s="306" t="str">
        <f t="shared" ca="1" si="183"/>
        <v>Salman Al-Faraj (Saudi Arabia)</v>
      </c>
    </row>
    <row r="259" spans="72:94" x14ac:dyDescent="0.3">
      <c r="BT259" s="306" t="str">
        <f t="shared" ca="1" si="186"/>
        <v>Saudi Arabia</v>
      </c>
      <c r="BU259" s="306">
        <f t="shared" si="187"/>
        <v>22</v>
      </c>
      <c r="BV259" s="306">
        <f t="shared" si="188"/>
        <v>8</v>
      </c>
      <c r="BW259" s="306" t="str">
        <f ca="1">OFFSET(C3,BU259,BV259)</f>
        <v>Sami Al-Najei</v>
      </c>
      <c r="BX259" s="306">
        <f ca="1">COUNTIF('Group Stages'!J7:J102,BW259)</f>
        <v>0</v>
      </c>
      <c r="BY259" s="306">
        <f ca="1">COUNTIF('Group Stages'!K7:K102,BW259)</f>
        <v>0</v>
      </c>
      <c r="BZ259" s="306">
        <f ca="1">COUNTIF('Group Stages'!L7:L102,BW259)</f>
        <v>0</v>
      </c>
      <c r="CA259" s="306">
        <f ca="1">COUNTIF('Group Stages'!M7:M102,BW259)</f>
        <v>0</v>
      </c>
      <c r="CB259" s="306">
        <f ca="1">COUNTIF('Group Stages'!N7:N102,BW259)</f>
        <v>0</v>
      </c>
      <c r="CC259" s="306">
        <f ca="1">COUNTIF('Group Stages'!O7:O102,BW259)</f>
        <v>0</v>
      </c>
      <c r="CD259" s="306">
        <f ca="1">COUNTIF('Group Stages'!P7:P102,BW259)</f>
        <v>0</v>
      </c>
      <c r="CE259" s="306">
        <f ca="1">COUNTIF('Group Stages'!Q7:Q102,BW259)</f>
        <v>0</v>
      </c>
      <c r="CF259" s="306">
        <f ca="1">COUNTIF('Knock Out Stages'!K7:K50,BW259)</f>
        <v>0</v>
      </c>
      <c r="CG259" s="306">
        <f ca="1">COUNTIF('Knock Out Stages'!L7:L50,BW259)</f>
        <v>0</v>
      </c>
      <c r="CH259" s="306">
        <f ca="1">COUNTIF('Knock Out Stages'!M7:M50,BW259)</f>
        <v>0</v>
      </c>
      <c r="CI259" s="306">
        <f ca="1">COUNTIF('Knock Out Stages'!N7:N50,BW259)</f>
        <v>0</v>
      </c>
      <c r="CJ259" s="306">
        <f ca="1">COUNTIF('Knock Out Stages'!O7:O50,BW259)</f>
        <v>0</v>
      </c>
      <c r="CK259" s="306">
        <f ca="1">COUNTIF('Knock Out Stages'!P7:P50,BW259)</f>
        <v>0</v>
      </c>
      <c r="CL259" s="306">
        <f ca="1">COUNTIF('Knock Out Stages'!Q7:Q50,BW259)</f>
        <v>0</v>
      </c>
      <c r="CM259" s="306">
        <f ca="1">COUNTIF('Knock Out Stages'!R7:R50,BW259)</f>
        <v>0</v>
      </c>
      <c r="CN259" s="306">
        <f ca="1">IF(RIGHT('Group Stages'!$B$105,5)="T.com",SUM(BX259:CM259),0)</f>
        <v>0</v>
      </c>
      <c r="CO259" s="306">
        <f ca="1">RANK(CN259,CN3:CN834)+COUNTIF(CN3:CN259,CN259)-1</f>
        <v>257</v>
      </c>
      <c r="CP259" s="306" t="str">
        <f t="shared" ca="1" si="183"/>
        <v>Sami Al-Najei (Saudi Arabia)</v>
      </c>
    </row>
    <row r="260" spans="72:94" x14ac:dyDescent="0.3">
      <c r="BT260" s="306" t="str">
        <f t="shared" ca="1" si="186"/>
        <v>Saudi Arabia</v>
      </c>
      <c r="BU260" s="306">
        <f t="shared" si="187"/>
        <v>23</v>
      </c>
      <c r="BV260" s="306">
        <f t="shared" si="188"/>
        <v>8</v>
      </c>
      <c r="BW260" s="306" t="str">
        <f ca="1">OFFSET(C3,BU260,BV260)</f>
        <v>Saud Abdulhamid</v>
      </c>
      <c r="BX260" s="306">
        <f ca="1">COUNTIF('Group Stages'!J7:J102,BW260)</f>
        <v>0</v>
      </c>
      <c r="BY260" s="306">
        <f ca="1">COUNTIF('Group Stages'!K7:K102,BW260)</f>
        <v>0</v>
      </c>
      <c r="BZ260" s="306">
        <f ca="1">COUNTIF('Group Stages'!L7:L102,BW260)</f>
        <v>0</v>
      </c>
      <c r="CA260" s="306">
        <f ca="1">COUNTIF('Group Stages'!M7:M102,BW260)</f>
        <v>0</v>
      </c>
      <c r="CB260" s="306">
        <f ca="1">COUNTIF('Group Stages'!N7:N102,BW260)</f>
        <v>0</v>
      </c>
      <c r="CC260" s="306">
        <f ca="1">COUNTIF('Group Stages'!O7:O102,BW260)</f>
        <v>0</v>
      </c>
      <c r="CD260" s="306">
        <f ca="1">COUNTIF('Group Stages'!P7:P102,BW260)</f>
        <v>0</v>
      </c>
      <c r="CE260" s="306">
        <f ca="1">COUNTIF('Group Stages'!Q7:Q102,BW260)</f>
        <v>0</v>
      </c>
      <c r="CF260" s="306">
        <f ca="1">COUNTIF('Knock Out Stages'!K7:K50,BW260)</f>
        <v>0</v>
      </c>
      <c r="CG260" s="306">
        <f ca="1">COUNTIF('Knock Out Stages'!L7:L50,BW260)</f>
        <v>0</v>
      </c>
      <c r="CH260" s="306">
        <f ca="1">COUNTIF('Knock Out Stages'!M7:M50,BW260)</f>
        <v>0</v>
      </c>
      <c r="CI260" s="306">
        <f ca="1">COUNTIF('Knock Out Stages'!N7:N50,BW260)</f>
        <v>0</v>
      </c>
      <c r="CJ260" s="306">
        <f ca="1">COUNTIF('Knock Out Stages'!O7:O50,BW260)</f>
        <v>0</v>
      </c>
      <c r="CK260" s="306">
        <f ca="1">COUNTIF('Knock Out Stages'!P7:P50,BW260)</f>
        <v>0</v>
      </c>
      <c r="CL260" s="306">
        <f ca="1">COUNTIF('Knock Out Stages'!Q7:Q50,BW260)</f>
        <v>0</v>
      </c>
      <c r="CM260" s="306">
        <f ca="1">COUNTIF('Knock Out Stages'!R7:R50,BW260)</f>
        <v>0</v>
      </c>
      <c r="CN260" s="306">
        <f ca="1">IF(RIGHT('Group Stages'!$B$105,5)="T.com",SUM(BX260:CM260),0)</f>
        <v>0</v>
      </c>
      <c r="CO260" s="306">
        <f ca="1">RANK(CN260,CN3:CN834)+COUNTIF(CN3:CN260,CN260)-1</f>
        <v>258</v>
      </c>
      <c r="CP260" s="306" t="str">
        <f t="shared" ref="CP260:CP323" ca="1" si="189">BW260&amp;" ("&amp;BT260&amp;")"</f>
        <v>Saud Abdulhamid (Saudi Arabia)</v>
      </c>
    </row>
    <row r="261" spans="72:94" x14ac:dyDescent="0.3">
      <c r="BT261" s="306" t="str">
        <f t="shared" ca="1" si="186"/>
        <v>Saudi Arabia</v>
      </c>
      <c r="BU261" s="306">
        <f t="shared" si="187"/>
        <v>24</v>
      </c>
      <c r="BV261" s="306">
        <f t="shared" si="188"/>
        <v>8</v>
      </c>
      <c r="BW261" s="306" t="str">
        <f ca="1">OFFSET(C3,BU261,BV261)</f>
        <v>Sultan Al-Ghanam</v>
      </c>
      <c r="BX261" s="306">
        <f ca="1">COUNTIF('Group Stages'!J7:J102,BW261)</f>
        <v>0</v>
      </c>
      <c r="BY261" s="306">
        <f ca="1">COUNTIF('Group Stages'!K7:K102,BW261)</f>
        <v>0</v>
      </c>
      <c r="BZ261" s="306">
        <f ca="1">COUNTIF('Group Stages'!L7:L102,BW261)</f>
        <v>0</v>
      </c>
      <c r="CA261" s="306">
        <f ca="1">COUNTIF('Group Stages'!M7:M102,BW261)</f>
        <v>0</v>
      </c>
      <c r="CB261" s="306">
        <f ca="1">COUNTIF('Group Stages'!N7:N102,BW261)</f>
        <v>0</v>
      </c>
      <c r="CC261" s="306">
        <f ca="1">COUNTIF('Group Stages'!O7:O102,BW261)</f>
        <v>0</v>
      </c>
      <c r="CD261" s="306">
        <f ca="1">COUNTIF('Group Stages'!P7:P102,BW261)</f>
        <v>0</v>
      </c>
      <c r="CE261" s="306">
        <f ca="1">COUNTIF('Group Stages'!Q7:Q102,BW261)</f>
        <v>0</v>
      </c>
      <c r="CF261" s="306">
        <f ca="1">COUNTIF('Knock Out Stages'!K7:K50,BW261)</f>
        <v>0</v>
      </c>
      <c r="CG261" s="306">
        <f ca="1">COUNTIF('Knock Out Stages'!L7:L50,BW261)</f>
        <v>0</v>
      </c>
      <c r="CH261" s="306">
        <f ca="1">COUNTIF('Knock Out Stages'!M7:M50,BW261)</f>
        <v>0</v>
      </c>
      <c r="CI261" s="306">
        <f ca="1">COUNTIF('Knock Out Stages'!N7:N50,BW261)</f>
        <v>0</v>
      </c>
      <c r="CJ261" s="306">
        <f ca="1">COUNTIF('Knock Out Stages'!O7:O50,BW261)</f>
        <v>0</v>
      </c>
      <c r="CK261" s="306">
        <f ca="1">COUNTIF('Knock Out Stages'!P7:P50,BW261)</f>
        <v>0</v>
      </c>
      <c r="CL261" s="306">
        <f ca="1">COUNTIF('Knock Out Stages'!Q7:Q50,BW261)</f>
        <v>0</v>
      </c>
      <c r="CM261" s="306">
        <f ca="1">COUNTIF('Knock Out Stages'!R7:R50,BW261)</f>
        <v>0</v>
      </c>
      <c r="CN261" s="306">
        <f ca="1">IF(RIGHT('Group Stages'!$B$105,5)="T.com",SUM(BX261:CM261),0)</f>
        <v>0</v>
      </c>
      <c r="CO261" s="306">
        <f ca="1">RANK(CN261,CN3:CN834)+COUNTIF(CN3:CN261,CN261)-1</f>
        <v>259</v>
      </c>
      <c r="CP261" s="306" t="str">
        <f t="shared" ca="1" si="189"/>
        <v>Sultan Al-Ghanam (Saudi Arabia)</v>
      </c>
    </row>
    <row r="262" spans="72:94" x14ac:dyDescent="0.3">
      <c r="BT262" s="306" t="str">
        <f t="shared" ca="1" si="186"/>
        <v>Saudi Arabia</v>
      </c>
      <c r="BU262" s="306">
        <f t="shared" si="187"/>
        <v>25</v>
      </c>
      <c r="BV262" s="306">
        <f t="shared" si="188"/>
        <v>8</v>
      </c>
      <c r="BW262" s="306" t="str">
        <f ca="1">OFFSET(C3,BU262,BV262)</f>
        <v>Yasser Al-Shahrani</v>
      </c>
      <c r="BX262" s="306">
        <f ca="1">COUNTIF('Group Stages'!J7:J102,BW262)</f>
        <v>0</v>
      </c>
      <c r="BY262" s="306">
        <f ca="1">COUNTIF('Group Stages'!K7:K102,BW262)</f>
        <v>0</v>
      </c>
      <c r="BZ262" s="306">
        <f ca="1">COUNTIF('Group Stages'!L7:L102,BW262)</f>
        <v>0</v>
      </c>
      <c r="CA262" s="306">
        <f ca="1">COUNTIF('Group Stages'!M7:M102,BW262)</f>
        <v>0</v>
      </c>
      <c r="CB262" s="306">
        <f ca="1">COUNTIF('Group Stages'!N7:N102,BW262)</f>
        <v>0</v>
      </c>
      <c r="CC262" s="306">
        <f ca="1">COUNTIF('Group Stages'!O7:O102,BW262)</f>
        <v>0</v>
      </c>
      <c r="CD262" s="306">
        <f ca="1">COUNTIF('Group Stages'!P7:P102,BW262)</f>
        <v>0</v>
      </c>
      <c r="CE262" s="306">
        <f ca="1">COUNTIF('Group Stages'!Q7:Q102,BW262)</f>
        <v>0</v>
      </c>
      <c r="CF262" s="306">
        <f ca="1">COUNTIF('Knock Out Stages'!K7:K50,BW262)</f>
        <v>0</v>
      </c>
      <c r="CG262" s="306">
        <f ca="1">COUNTIF('Knock Out Stages'!L7:L50,BW262)</f>
        <v>0</v>
      </c>
      <c r="CH262" s="306">
        <f ca="1">COUNTIF('Knock Out Stages'!M7:M50,BW262)</f>
        <v>0</v>
      </c>
      <c r="CI262" s="306">
        <f ca="1">COUNTIF('Knock Out Stages'!N7:N50,BW262)</f>
        <v>0</v>
      </c>
      <c r="CJ262" s="306">
        <f ca="1">COUNTIF('Knock Out Stages'!O7:O50,BW262)</f>
        <v>0</v>
      </c>
      <c r="CK262" s="306">
        <f ca="1">COUNTIF('Knock Out Stages'!P7:P50,BW262)</f>
        <v>0</v>
      </c>
      <c r="CL262" s="306">
        <f ca="1">COUNTIF('Knock Out Stages'!Q7:Q50,BW262)</f>
        <v>0</v>
      </c>
      <c r="CM262" s="306">
        <f ca="1">COUNTIF('Knock Out Stages'!R7:R50,BW262)</f>
        <v>0</v>
      </c>
      <c r="CN262" s="306">
        <f ca="1">IF(RIGHT('Group Stages'!$B$105,5)="T.com",SUM(BX262:CM262),0)</f>
        <v>0</v>
      </c>
      <c r="CO262" s="306">
        <f ca="1">RANK(CN262,CN3:CN834)+COUNTIF(CN3:CN262,CN262)-1</f>
        <v>260</v>
      </c>
      <c r="CP262" s="306" t="str">
        <f t="shared" ca="1" si="189"/>
        <v>Yasser Al-Shahrani (Saudi Arabia)</v>
      </c>
    </row>
    <row r="263" spans="72:94" x14ac:dyDescent="0.3">
      <c r="BT263" s="306" t="str">
        <f ca="1">OFFSET(C2,BU263,BV263)</f>
        <v>Mexico</v>
      </c>
      <c r="BU263" s="306">
        <f t="shared" si="187"/>
        <v>0</v>
      </c>
      <c r="BV263" s="306">
        <f t="shared" si="188"/>
        <v>9</v>
      </c>
      <c r="BW263" s="306" t="str">
        <f ca="1">OFFSET(C3,BU263,BV263)</f>
        <v>Alexis Vega</v>
      </c>
      <c r="BX263" s="306">
        <f ca="1">COUNTIF('Group Stages'!J7:J102,BW263)</f>
        <v>0</v>
      </c>
      <c r="BY263" s="306">
        <f ca="1">COUNTIF('Group Stages'!K7:K102,BW263)</f>
        <v>0</v>
      </c>
      <c r="BZ263" s="306">
        <f ca="1">COUNTIF('Group Stages'!L7:L102,BW263)</f>
        <v>0</v>
      </c>
      <c r="CA263" s="306">
        <f ca="1">COUNTIF('Group Stages'!M7:M102,BW263)</f>
        <v>0</v>
      </c>
      <c r="CB263" s="306">
        <f ca="1">COUNTIF('Group Stages'!N7:N102,BW263)</f>
        <v>0</v>
      </c>
      <c r="CC263" s="306">
        <f ca="1">COUNTIF('Group Stages'!O7:O102,BW263)</f>
        <v>0</v>
      </c>
      <c r="CD263" s="306">
        <f ca="1">COUNTIF('Group Stages'!P7:P102,BW263)</f>
        <v>0</v>
      </c>
      <c r="CE263" s="306">
        <f ca="1">COUNTIF('Group Stages'!Q7:Q102,BW263)</f>
        <v>0</v>
      </c>
      <c r="CF263" s="306">
        <f ca="1">COUNTIF('Knock Out Stages'!K7:K50,BW263)</f>
        <v>0</v>
      </c>
      <c r="CG263" s="306">
        <f ca="1">COUNTIF('Knock Out Stages'!L7:L50,BW263)</f>
        <v>0</v>
      </c>
      <c r="CH263" s="306">
        <f ca="1">COUNTIF('Knock Out Stages'!M7:M50,BW263)</f>
        <v>0</v>
      </c>
      <c r="CI263" s="306">
        <f ca="1">COUNTIF('Knock Out Stages'!N7:N50,BW263)</f>
        <v>0</v>
      </c>
      <c r="CJ263" s="306">
        <f ca="1">COUNTIF('Knock Out Stages'!O7:O50,BW263)</f>
        <v>0</v>
      </c>
      <c r="CK263" s="306">
        <f ca="1">COUNTIF('Knock Out Stages'!P7:P50,BW263)</f>
        <v>0</v>
      </c>
      <c r="CL263" s="306">
        <f ca="1">COUNTIF('Knock Out Stages'!Q7:Q50,BW263)</f>
        <v>0</v>
      </c>
      <c r="CM263" s="306">
        <f ca="1">COUNTIF('Knock Out Stages'!R7:R50,BW263)</f>
        <v>0</v>
      </c>
      <c r="CN263" s="306">
        <f ca="1">IF(RIGHT('Group Stages'!$B$105,5)="T.com",SUM(BX263:CM263),0)</f>
        <v>0</v>
      </c>
      <c r="CO263" s="306">
        <f ca="1">RANK(CN263,CN3:CN834)+COUNTIF(CN3:CN263,CN263)-1</f>
        <v>261</v>
      </c>
      <c r="CP263" s="306" t="str">
        <f t="shared" ca="1" si="189"/>
        <v>Alexis Vega (Mexico)</v>
      </c>
    </row>
    <row r="264" spans="72:94" x14ac:dyDescent="0.3">
      <c r="BT264" s="306" t="str">
        <f t="shared" ref="BT264" ca="1" si="190">BT263</f>
        <v>Mexico</v>
      </c>
      <c r="BU264" s="306">
        <f t="shared" si="187"/>
        <v>1</v>
      </c>
      <c r="BV264" s="306">
        <f t="shared" si="188"/>
        <v>9</v>
      </c>
      <c r="BW264" s="306" t="str">
        <f ca="1">OFFSET(C3,BU264,BV264)</f>
        <v>Alfredo Talavera</v>
      </c>
      <c r="BX264" s="306">
        <f ca="1">COUNTIF('Group Stages'!J7:J102,BW264)</f>
        <v>0</v>
      </c>
      <c r="BY264" s="306">
        <f ca="1">COUNTIF('Group Stages'!K7:K102,BW264)</f>
        <v>0</v>
      </c>
      <c r="BZ264" s="306">
        <f ca="1">COUNTIF('Group Stages'!L7:L102,BW264)</f>
        <v>0</v>
      </c>
      <c r="CA264" s="306">
        <f ca="1">COUNTIF('Group Stages'!M7:M102,BW264)</f>
        <v>0</v>
      </c>
      <c r="CB264" s="306">
        <f ca="1">COUNTIF('Group Stages'!N7:N102,BW264)</f>
        <v>0</v>
      </c>
      <c r="CC264" s="306">
        <f ca="1">COUNTIF('Group Stages'!O7:O102,BW264)</f>
        <v>0</v>
      </c>
      <c r="CD264" s="306">
        <f ca="1">COUNTIF('Group Stages'!P7:P102,BW264)</f>
        <v>0</v>
      </c>
      <c r="CE264" s="306">
        <f ca="1">COUNTIF('Group Stages'!Q7:Q102,BW264)</f>
        <v>0</v>
      </c>
      <c r="CF264" s="306">
        <f ca="1">COUNTIF('Knock Out Stages'!K7:K50,BW264)</f>
        <v>0</v>
      </c>
      <c r="CG264" s="306">
        <f ca="1">COUNTIF('Knock Out Stages'!L7:L50,BW264)</f>
        <v>0</v>
      </c>
      <c r="CH264" s="306">
        <f ca="1">COUNTIF('Knock Out Stages'!M7:M50,BW264)</f>
        <v>0</v>
      </c>
      <c r="CI264" s="306">
        <f ca="1">COUNTIF('Knock Out Stages'!N7:N50,BW264)</f>
        <v>0</v>
      </c>
      <c r="CJ264" s="306">
        <f ca="1">COUNTIF('Knock Out Stages'!O7:O50,BW264)</f>
        <v>0</v>
      </c>
      <c r="CK264" s="306">
        <f ca="1">COUNTIF('Knock Out Stages'!P7:P50,BW264)</f>
        <v>0</v>
      </c>
      <c r="CL264" s="306">
        <f ca="1">COUNTIF('Knock Out Stages'!Q7:Q50,BW264)</f>
        <v>0</v>
      </c>
      <c r="CM264" s="306">
        <f ca="1">COUNTIF('Knock Out Stages'!R7:R50,BW264)</f>
        <v>0</v>
      </c>
      <c r="CN264" s="306">
        <f ca="1">IF(RIGHT('Group Stages'!$B$105,5)="T.com",SUM(BX264:CM264),0)</f>
        <v>0</v>
      </c>
      <c r="CO264" s="306">
        <f ca="1">RANK(CN264,CN3:CN834)+COUNTIF(CN3:CN264,CN264)-1</f>
        <v>262</v>
      </c>
      <c r="CP264" s="306" t="str">
        <f t="shared" ca="1" si="189"/>
        <v>Alfredo Talavera (Mexico)</v>
      </c>
    </row>
    <row r="265" spans="72:94" x14ac:dyDescent="0.3">
      <c r="BT265" s="306" t="str">
        <f t="shared" ca="1" si="186"/>
        <v>Mexico</v>
      </c>
      <c r="BU265" s="306">
        <f t="shared" si="187"/>
        <v>2</v>
      </c>
      <c r="BV265" s="306">
        <f t="shared" si="188"/>
        <v>9</v>
      </c>
      <c r="BW265" s="306" t="str">
        <f ca="1">OFFSET(C3,BU265,BV265)</f>
        <v>Andrés Guardado</v>
      </c>
      <c r="BX265" s="306">
        <f ca="1">COUNTIF('Group Stages'!J7:J102,BW265)</f>
        <v>0</v>
      </c>
      <c r="BY265" s="306">
        <f ca="1">COUNTIF('Group Stages'!K7:K102,BW265)</f>
        <v>0</v>
      </c>
      <c r="BZ265" s="306">
        <f ca="1">COUNTIF('Group Stages'!L7:L102,BW265)</f>
        <v>0</v>
      </c>
      <c r="CA265" s="306">
        <f ca="1">COUNTIF('Group Stages'!M7:M102,BW265)</f>
        <v>0</v>
      </c>
      <c r="CB265" s="306">
        <f ca="1">COUNTIF('Group Stages'!N7:N102,BW265)</f>
        <v>0</v>
      </c>
      <c r="CC265" s="306">
        <f ca="1">COUNTIF('Group Stages'!O7:O102,BW265)</f>
        <v>0</v>
      </c>
      <c r="CD265" s="306">
        <f ca="1">COUNTIF('Group Stages'!P7:P102,BW265)</f>
        <v>0</v>
      </c>
      <c r="CE265" s="306">
        <f ca="1">COUNTIF('Group Stages'!Q7:Q102,BW265)</f>
        <v>0</v>
      </c>
      <c r="CF265" s="306">
        <f ca="1">COUNTIF('Knock Out Stages'!K7:K50,BW265)</f>
        <v>0</v>
      </c>
      <c r="CG265" s="306">
        <f ca="1">COUNTIF('Knock Out Stages'!L7:L50,BW265)</f>
        <v>0</v>
      </c>
      <c r="CH265" s="306">
        <f ca="1">COUNTIF('Knock Out Stages'!M7:M50,BW265)</f>
        <v>0</v>
      </c>
      <c r="CI265" s="306">
        <f ca="1">COUNTIF('Knock Out Stages'!N7:N50,BW265)</f>
        <v>0</v>
      </c>
      <c r="CJ265" s="306">
        <f ca="1">COUNTIF('Knock Out Stages'!O7:O50,BW265)</f>
        <v>0</v>
      </c>
      <c r="CK265" s="306">
        <f ca="1">COUNTIF('Knock Out Stages'!P7:P50,BW265)</f>
        <v>0</v>
      </c>
      <c r="CL265" s="306">
        <f ca="1">COUNTIF('Knock Out Stages'!Q7:Q50,BW265)</f>
        <v>0</v>
      </c>
      <c r="CM265" s="306">
        <f ca="1">COUNTIF('Knock Out Stages'!R7:R50,BW265)</f>
        <v>0</v>
      </c>
      <c r="CN265" s="306">
        <f ca="1">IF(RIGHT('Group Stages'!$B$105,5)="T.com",SUM(BX265:CM265),0)</f>
        <v>0</v>
      </c>
      <c r="CO265" s="306">
        <f ca="1">RANK(CN265,CN3:CN834)+COUNTIF(CN3:CN265,CN265)-1</f>
        <v>263</v>
      </c>
      <c r="CP265" s="306" t="str">
        <f t="shared" ca="1" si="189"/>
        <v>Andrés Guardado (Mexico)</v>
      </c>
    </row>
    <row r="266" spans="72:94" x14ac:dyDescent="0.3">
      <c r="BT266" s="306" t="str">
        <f t="shared" ca="1" si="186"/>
        <v>Mexico</v>
      </c>
      <c r="BU266" s="306">
        <f t="shared" si="187"/>
        <v>3</v>
      </c>
      <c r="BV266" s="306">
        <f t="shared" si="188"/>
        <v>9</v>
      </c>
      <c r="BW266" s="306" t="str">
        <f ca="1">OFFSET(C3,BU266,BV266)</f>
        <v>Carlos Rodríguez</v>
      </c>
      <c r="BX266" s="306">
        <f ca="1">COUNTIF('Group Stages'!J7:J102,BW266)</f>
        <v>0</v>
      </c>
      <c r="BY266" s="306">
        <f ca="1">COUNTIF('Group Stages'!K7:K102,BW266)</f>
        <v>0</v>
      </c>
      <c r="BZ266" s="306">
        <f ca="1">COUNTIF('Group Stages'!L7:L102,BW266)</f>
        <v>0</v>
      </c>
      <c r="CA266" s="306">
        <f ca="1">COUNTIF('Group Stages'!M7:M102,BW266)</f>
        <v>0</v>
      </c>
      <c r="CB266" s="306">
        <f ca="1">COUNTIF('Group Stages'!N7:N102,BW266)</f>
        <v>0</v>
      </c>
      <c r="CC266" s="306">
        <f ca="1">COUNTIF('Group Stages'!O7:O102,BW266)</f>
        <v>0</v>
      </c>
      <c r="CD266" s="306">
        <f ca="1">COUNTIF('Group Stages'!P7:P102,BW266)</f>
        <v>0</v>
      </c>
      <c r="CE266" s="306">
        <f ca="1">COUNTIF('Group Stages'!Q7:Q102,BW266)</f>
        <v>0</v>
      </c>
      <c r="CF266" s="306">
        <f ca="1">COUNTIF('Knock Out Stages'!K7:K50,BW266)</f>
        <v>0</v>
      </c>
      <c r="CG266" s="306">
        <f ca="1">COUNTIF('Knock Out Stages'!L7:L50,BW266)</f>
        <v>0</v>
      </c>
      <c r="CH266" s="306">
        <f ca="1">COUNTIF('Knock Out Stages'!M7:M50,BW266)</f>
        <v>0</v>
      </c>
      <c r="CI266" s="306">
        <f ca="1">COUNTIF('Knock Out Stages'!N7:N50,BW266)</f>
        <v>0</v>
      </c>
      <c r="CJ266" s="306">
        <f ca="1">COUNTIF('Knock Out Stages'!O7:O50,BW266)</f>
        <v>0</v>
      </c>
      <c r="CK266" s="306">
        <f ca="1">COUNTIF('Knock Out Stages'!P7:P50,BW266)</f>
        <v>0</v>
      </c>
      <c r="CL266" s="306">
        <f ca="1">COUNTIF('Knock Out Stages'!Q7:Q50,BW266)</f>
        <v>0</v>
      </c>
      <c r="CM266" s="306">
        <f ca="1">COUNTIF('Knock Out Stages'!R7:R50,BW266)</f>
        <v>0</v>
      </c>
      <c r="CN266" s="306">
        <f ca="1">IF(RIGHT('Group Stages'!$B$105,5)="T.com",SUM(BX266:CM266),0)</f>
        <v>0</v>
      </c>
      <c r="CO266" s="306">
        <f ca="1">RANK(CN266,CN3:CN834)+COUNTIF(CN3:CN266,CN266)-1</f>
        <v>264</v>
      </c>
      <c r="CP266" s="306" t="str">
        <f t="shared" ca="1" si="189"/>
        <v>Carlos Rodríguez (Mexico)</v>
      </c>
    </row>
    <row r="267" spans="72:94" x14ac:dyDescent="0.3">
      <c r="BT267" s="306" t="str">
        <f t="shared" ca="1" si="186"/>
        <v>Mexico</v>
      </c>
      <c r="BU267" s="306">
        <f t="shared" si="187"/>
        <v>4</v>
      </c>
      <c r="BV267" s="306">
        <f t="shared" si="188"/>
        <v>9</v>
      </c>
      <c r="BW267" s="306" t="str">
        <f ca="1">OFFSET(C3,BU267,BV267)</f>
        <v>César Montes</v>
      </c>
      <c r="BX267" s="306">
        <f ca="1">COUNTIF('Group Stages'!J7:J102,BW267)</f>
        <v>0</v>
      </c>
      <c r="BY267" s="306">
        <f ca="1">COUNTIF('Group Stages'!K7:K102,BW267)</f>
        <v>0</v>
      </c>
      <c r="BZ267" s="306">
        <f ca="1">COUNTIF('Group Stages'!L7:L102,BW267)</f>
        <v>0</v>
      </c>
      <c r="CA267" s="306">
        <f ca="1">COUNTIF('Group Stages'!M7:M102,BW267)</f>
        <v>0</v>
      </c>
      <c r="CB267" s="306">
        <f ca="1">COUNTIF('Group Stages'!N7:N102,BW267)</f>
        <v>0</v>
      </c>
      <c r="CC267" s="306">
        <f ca="1">COUNTIF('Group Stages'!O7:O102,BW267)</f>
        <v>0</v>
      </c>
      <c r="CD267" s="306">
        <f ca="1">COUNTIF('Group Stages'!P7:P102,BW267)</f>
        <v>0</v>
      </c>
      <c r="CE267" s="306">
        <f ca="1">COUNTIF('Group Stages'!Q7:Q102,BW267)</f>
        <v>0</v>
      </c>
      <c r="CF267" s="306">
        <f ca="1">COUNTIF('Knock Out Stages'!K7:K50,BW267)</f>
        <v>0</v>
      </c>
      <c r="CG267" s="306">
        <f ca="1">COUNTIF('Knock Out Stages'!L7:L50,BW267)</f>
        <v>0</v>
      </c>
      <c r="CH267" s="306">
        <f ca="1">COUNTIF('Knock Out Stages'!M7:M50,BW267)</f>
        <v>0</v>
      </c>
      <c r="CI267" s="306">
        <f ca="1">COUNTIF('Knock Out Stages'!N7:N50,BW267)</f>
        <v>0</v>
      </c>
      <c r="CJ267" s="306">
        <f ca="1">COUNTIF('Knock Out Stages'!O7:O50,BW267)</f>
        <v>0</v>
      </c>
      <c r="CK267" s="306">
        <f ca="1">COUNTIF('Knock Out Stages'!P7:P50,BW267)</f>
        <v>0</v>
      </c>
      <c r="CL267" s="306">
        <f ca="1">COUNTIF('Knock Out Stages'!Q7:Q50,BW267)</f>
        <v>0</v>
      </c>
      <c r="CM267" s="306">
        <f ca="1">COUNTIF('Knock Out Stages'!R7:R50,BW267)</f>
        <v>0</v>
      </c>
      <c r="CN267" s="306">
        <f ca="1">IF(RIGHT('Group Stages'!$B$105,5)="T.com",SUM(BX267:CM267),0)</f>
        <v>0</v>
      </c>
      <c r="CO267" s="306">
        <f ca="1">RANK(CN267,CN3:CN834)+COUNTIF(CN3:CN267,CN267)-1</f>
        <v>265</v>
      </c>
      <c r="CP267" s="306" t="str">
        <f t="shared" ca="1" si="189"/>
        <v>César Montes (Mexico)</v>
      </c>
    </row>
    <row r="268" spans="72:94" x14ac:dyDescent="0.3">
      <c r="BT268" s="306" t="str">
        <f t="shared" ca="1" si="186"/>
        <v>Mexico</v>
      </c>
      <c r="BU268" s="306">
        <f t="shared" si="187"/>
        <v>5</v>
      </c>
      <c r="BV268" s="306">
        <f t="shared" si="188"/>
        <v>9</v>
      </c>
      <c r="BW268" s="306" t="str">
        <f ca="1">OFFSET(C3,BU268,BV268)</f>
        <v>Edson Álvarez</v>
      </c>
      <c r="BX268" s="306">
        <f ca="1">COUNTIF('Group Stages'!J7:J102,BW268)</f>
        <v>0</v>
      </c>
      <c r="BY268" s="306">
        <f ca="1">COUNTIF('Group Stages'!K7:K102,BW268)</f>
        <v>0</v>
      </c>
      <c r="BZ268" s="306">
        <f ca="1">COUNTIF('Group Stages'!L7:L102,BW268)</f>
        <v>0</v>
      </c>
      <c r="CA268" s="306">
        <f ca="1">COUNTIF('Group Stages'!M7:M102,BW268)</f>
        <v>0</v>
      </c>
      <c r="CB268" s="306">
        <f ca="1">COUNTIF('Group Stages'!N7:N102,BW268)</f>
        <v>0</v>
      </c>
      <c r="CC268" s="306">
        <f ca="1">COUNTIF('Group Stages'!O7:O102,BW268)</f>
        <v>0</v>
      </c>
      <c r="CD268" s="306">
        <f ca="1">COUNTIF('Group Stages'!P7:P102,BW268)</f>
        <v>0</v>
      </c>
      <c r="CE268" s="306">
        <f ca="1">COUNTIF('Group Stages'!Q7:Q102,BW268)</f>
        <v>0</v>
      </c>
      <c r="CF268" s="306">
        <f ca="1">COUNTIF('Knock Out Stages'!K7:K50,BW268)</f>
        <v>0</v>
      </c>
      <c r="CG268" s="306">
        <f ca="1">COUNTIF('Knock Out Stages'!L7:L50,BW268)</f>
        <v>0</v>
      </c>
      <c r="CH268" s="306">
        <f ca="1">COUNTIF('Knock Out Stages'!M7:M50,BW268)</f>
        <v>0</v>
      </c>
      <c r="CI268" s="306">
        <f ca="1">COUNTIF('Knock Out Stages'!N7:N50,BW268)</f>
        <v>0</v>
      </c>
      <c r="CJ268" s="306">
        <f ca="1">COUNTIF('Knock Out Stages'!O7:O50,BW268)</f>
        <v>0</v>
      </c>
      <c r="CK268" s="306">
        <f ca="1">COUNTIF('Knock Out Stages'!P7:P50,BW268)</f>
        <v>0</v>
      </c>
      <c r="CL268" s="306">
        <f ca="1">COUNTIF('Knock Out Stages'!Q7:Q50,BW268)</f>
        <v>0</v>
      </c>
      <c r="CM268" s="306">
        <f ca="1">COUNTIF('Knock Out Stages'!R7:R50,BW268)</f>
        <v>0</v>
      </c>
      <c r="CN268" s="306">
        <f ca="1">IF(RIGHT('Group Stages'!$B$105,5)="T.com",SUM(BX268:CM268),0)</f>
        <v>0</v>
      </c>
      <c r="CO268" s="306">
        <f ca="1">RANK(CN268,CN3:CN834)+COUNTIF(CN3:CN268,CN268)-1</f>
        <v>266</v>
      </c>
      <c r="CP268" s="306" t="str">
        <f t="shared" ca="1" si="189"/>
        <v>Edson Álvarez (Mexico)</v>
      </c>
    </row>
    <row r="269" spans="72:94" x14ac:dyDescent="0.3">
      <c r="BT269" s="306" t="str">
        <f t="shared" ca="1" si="186"/>
        <v>Mexico</v>
      </c>
      <c r="BU269" s="306">
        <f t="shared" si="187"/>
        <v>6</v>
      </c>
      <c r="BV269" s="306">
        <f t="shared" si="188"/>
        <v>9</v>
      </c>
      <c r="BW269" s="306" t="str">
        <f ca="1">OFFSET(C3,BU269,BV269)</f>
        <v>Érick Gutiérrez</v>
      </c>
      <c r="BX269" s="306">
        <f ca="1">COUNTIF('Group Stages'!J7:J102,BW269)</f>
        <v>0</v>
      </c>
      <c r="BY269" s="306">
        <f ca="1">COUNTIF('Group Stages'!K7:K102,BW269)</f>
        <v>0</v>
      </c>
      <c r="BZ269" s="306">
        <f ca="1">COUNTIF('Group Stages'!L7:L102,BW269)</f>
        <v>0</v>
      </c>
      <c r="CA269" s="306">
        <f ca="1">COUNTIF('Group Stages'!M7:M102,BW269)</f>
        <v>0</v>
      </c>
      <c r="CB269" s="306">
        <f ca="1">COUNTIF('Group Stages'!N7:N102,BW269)</f>
        <v>0</v>
      </c>
      <c r="CC269" s="306">
        <f ca="1">COUNTIF('Group Stages'!O7:O102,BW269)</f>
        <v>0</v>
      </c>
      <c r="CD269" s="306">
        <f ca="1">COUNTIF('Group Stages'!P7:P102,BW269)</f>
        <v>0</v>
      </c>
      <c r="CE269" s="306">
        <f ca="1">COUNTIF('Group Stages'!Q7:Q102,BW269)</f>
        <v>0</v>
      </c>
      <c r="CF269" s="306">
        <f ca="1">COUNTIF('Knock Out Stages'!K7:K50,BW269)</f>
        <v>0</v>
      </c>
      <c r="CG269" s="306">
        <f ca="1">COUNTIF('Knock Out Stages'!L7:L50,BW269)</f>
        <v>0</v>
      </c>
      <c r="CH269" s="306">
        <f ca="1">COUNTIF('Knock Out Stages'!M7:M50,BW269)</f>
        <v>0</v>
      </c>
      <c r="CI269" s="306">
        <f ca="1">COUNTIF('Knock Out Stages'!N7:N50,BW269)</f>
        <v>0</v>
      </c>
      <c r="CJ269" s="306">
        <f ca="1">COUNTIF('Knock Out Stages'!O7:O50,BW269)</f>
        <v>0</v>
      </c>
      <c r="CK269" s="306">
        <f ca="1">COUNTIF('Knock Out Stages'!P7:P50,BW269)</f>
        <v>0</v>
      </c>
      <c r="CL269" s="306">
        <f ca="1">COUNTIF('Knock Out Stages'!Q7:Q50,BW269)</f>
        <v>0</v>
      </c>
      <c r="CM269" s="306">
        <f ca="1">COUNTIF('Knock Out Stages'!R7:R50,BW269)</f>
        <v>0</v>
      </c>
      <c r="CN269" s="306">
        <f ca="1">IF(RIGHT('Group Stages'!$B$105,5)="T.com",SUM(BX269:CM269),0)</f>
        <v>0</v>
      </c>
      <c r="CO269" s="306">
        <f ca="1">RANK(CN269,CN3:CN834)+COUNTIF(CN3:CN269,CN269)-1</f>
        <v>267</v>
      </c>
      <c r="CP269" s="306" t="str">
        <f t="shared" ca="1" si="189"/>
        <v>Érick Gutiérrez (Mexico)</v>
      </c>
    </row>
    <row r="270" spans="72:94" x14ac:dyDescent="0.3">
      <c r="BT270" s="306" t="str">
        <f t="shared" ca="1" si="186"/>
        <v>Mexico</v>
      </c>
      <c r="BU270" s="306">
        <f t="shared" si="187"/>
        <v>7</v>
      </c>
      <c r="BV270" s="306">
        <f t="shared" si="188"/>
        <v>9</v>
      </c>
      <c r="BW270" s="306" t="str">
        <f ca="1">OFFSET(C3,BU270,BV270)</f>
        <v>Gerardo Arteaga</v>
      </c>
      <c r="BX270" s="306">
        <f ca="1">COUNTIF('Group Stages'!J7:J102,BW270)</f>
        <v>0</v>
      </c>
      <c r="BY270" s="306">
        <f ca="1">COUNTIF('Group Stages'!K7:K102,BW270)</f>
        <v>0</v>
      </c>
      <c r="BZ270" s="306">
        <f ca="1">COUNTIF('Group Stages'!L7:L102,BW270)</f>
        <v>0</v>
      </c>
      <c r="CA270" s="306">
        <f ca="1">COUNTIF('Group Stages'!M7:M102,BW270)</f>
        <v>0</v>
      </c>
      <c r="CB270" s="306">
        <f ca="1">COUNTIF('Group Stages'!N7:N102,BW270)</f>
        <v>0</v>
      </c>
      <c r="CC270" s="306">
        <f ca="1">COUNTIF('Group Stages'!O7:O102,BW270)</f>
        <v>0</v>
      </c>
      <c r="CD270" s="306">
        <f ca="1">COUNTIF('Group Stages'!P7:P102,BW270)</f>
        <v>0</v>
      </c>
      <c r="CE270" s="306">
        <f ca="1">COUNTIF('Group Stages'!Q7:Q102,BW270)</f>
        <v>0</v>
      </c>
      <c r="CF270" s="306">
        <f ca="1">COUNTIF('Knock Out Stages'!K7:K50,BW270)</f>
        <v>0</v>
      </c>
      <c r="CG270" s="306">
        <f ca="1">COUNTIF('Knock Out Stages'!L7:L50,BW270)</f>
        <v>0</v>
      </c>
      <c r="CH270" s="306">
        <f ca="1">COUNTIF('Knock Out Stages'!M7:M50,BW270)</f>
        <v>0</v>
      </c>
      <c r="CI270" s="306">
        <f ca="1">COUNTIF('Knock Out Stages'!N7:N50,BW270)</f>
        <v>0</v>
      </c>
      <c r="CJ270" s="306">
        <f ca="1">COUNTIF('Knock Out Stages'!O7:O50,BW270)</f>
        <v>0</v>
      </c>
      <c r="CK270" s="306">
        <f ca="1">COUNTIF('Knock Out Stages'!P7:P50,BW270)</f>
        <v>0</v>
      </c>
      <c r="CL270" s="306">
        <f ca="1">COUNTIF('Knock Out Stages'!Q7:Q50,BW270)</f>
        <v>0</v>
      </c>
      <c r="CM270" s="306">
        <f ca="1">COUNTIF('Knock Out Stages'!R7:R50,BW270)</f>
        <v>0</v>
      </c>
      <c r="CN270" s="306">
        <f ca="1">IF(RIGHT('Group Stages'!$B$105,5)="T.com",SUM(BX270:CM270),0)</f>
        <v>0</v>
      </c>
      <c r="CO270" s="306">
        <f ca="1">RANK(CN270,CN3:CN834)+COUNTIF(CN3:CN270,CN270)-1</f>
        <v>268</v>
      </c>
      <c r="CP270" s="306" t="str">
        <f t="shared" ca="1" si="189"/>
        <v>Gerardo Arteaga (Mexico)</v>
      </c>
    </row>
    <row r="271" spans="72:94" x14ac:dyDescent="0.3">
      <c r="BT271" s="306" t="str">
        <f t="shared" ca="1" si="186"/>
        <v>Mexico</v>
      </c>
      <c r="BU271" s="306">
        <f t="shared" si="187"/>
        <v>8</v>
      </c>
      <c r="BV271" s="306">
        <f t="shared" si="188"/>
        <v>9</v>
      </c>
      <c r="BW271" s="306" t="str">
        <f ca="1">OFFSET(C3,BU271,BV271)</f>
        <v>Guillermo Ochoa</v>
      </c>
      <c r="BX271" s="306">
        <f ca="1">COUNTIF('Group Stages'!J7:J102,BW271)</f>
        <v>0</v>
      </c>
      <c r="BY271" s="306">
        <f ca="1">COUNTIF('Group Stages'!K7:K102,BW271)</f>
        <v>0</v>
      </c>
      <c r="BZ271" s="306">
        <f ca="1">COUNTIF('Group Stages'!L7:L102,BW271)</f>
        <v>0</v>
      </c>
      <c r="CA271" s="306">
        <f ca="1">COUNTIF('Group Stages'!M7:M102,BW271)</f>
        <v>0</v>
      </c>
      <c r="CB271" s="306">
        <f ca="1">COUNTIF('Group Stages'!N7:N102,BW271)</f>
        <v>0</v>
      </c>
      <c r="CC271" s="306">
        <f ca="1">COUNTIF('Group Stages'!O7:O102,BW271)</f>
        <v>0</v>
      </c>
      <c r="CD271" s="306">
        <f ca="1">COUNTIF('Group Stages'!P7:P102,BW271)</f>
        <v>0</v>
      </c>
      <c r="CE271" s="306">
        <f ca="1">COUNTIF('Group Stages'!Q7:Q102,BW271)</f>
        <v>0</v>
      </c>
      <c r="CF271" s="306">
        <f ca="1">COUNTIF('Knock Out Stages'!K7:K50,BW271)</f>
        <v>0</v>
      </c>
      <c r="CG271" s="306">
        <f ca="1">COUNTIF('Knock Out Stages'!L7:L50,BW271)</f>
        <v>0</v>
      </c>
      <c r="CH271" s="306">
        <f ca="1">COUNTIF('Knock Out Stages'!M7:M50,BW271)</f>
        <v>0</v>
      </c>
      <c r="CI271" s="306">
        <f ca="1">COUNTIF('Knock Out Stages'!N7:N50,BW271)</f>
        <v>0</v>
      </c>
      <c r="CJ271" s="306">
        <f ca="1">COUNTIF('Knock Out Stages'!O7:O50,BW271)</f>
        <v>0</v>
      </c>
      <c r="CK271" s="306">
        <f ca="1">COUNTIF('Knock Out Stages'!P7:P50,BW271)</f>
        <v>0</v>
      </c>
      <c r="CL271" s="306">
        <f ca="1">COUNTIF('Knock Out Stages'!Q7:Q50,BW271)</f>
        <v>0</v>
      </c>
      <c r="CM271" s="306">
        <f ca="1">COUNTIF('Knock Out Stages'!R7:R50,BW271)</f>
        <v>0</v>
      </c>
      <c r="CN271" s="306">
        <f ca="1">IF(RIGHT('Group Stages'!$B$105,5)="T.com",SUM(BX271:CM271),0)</f>
        <v>0</v>
      </c>
      <c r="CO271" s="306">
        <f ca="1">RANK(CN271,CN3:CN834)+COUNTIF(CN3:CN271,CN271)-1</f>
        <v>269</v>
      </c>
      <c r="CP271" s="306" t="str">
        <f t="shared" ca="1" si="189"/>
        <v>Guillermo Ochoa (Mexico)</v>
      </c>
    </row>
    <row r="272" spans="72:94" x14ac:dyDescent="0.3">
      <c r="BT272" s="306" t="str">
        <f t="shared" ca="1" si="186"/>
        <v>Mexico</v>
      </c>
      <c r="BU272" s="306">
        <f t="shared" si="187"/>
        <v>9</v>
      </c>
      <c r="BV272" s="306">
        <f t="shared" si="188"/>
        <v>9</v>
      </c>
      <c r="BW272" s="306" t="str">
        <f ca="1">OFFSET(C3,BU272,BV272)</f>
        <v>Héctor Herrera</v>
      </c>
      <c r="BX272" s="306">
        <f ca="1">COUNTIF('Group Stages'!J7:J102,BW272)</f>
        <v>0</v>
      </c>
      <c r="BY272" s="306">
        <f ca="1">COUNTIF('Group Stages'!K7:K102,BW272)</f>
        <v>0</v>
      </c>
      <c r="BZ272" s="306">
        <f ca="1">COUNTIF('Group Stages'!L7:L102,BW272)</f>
        <v>0</v>
      </c>
      <c r="CA272" s="306">
        <f ca="1">COUNTIF('Group Stages'!M7:M102,BW272)</f>
        <v>0</v>
      </c>
      <c r="CB272" s="306">
        <f ca="1">COUNTIF('Group Stages'!N7:N102,BW272)</f>
        <v>0</v>
      </c>
      <c r="CC272" s="306">
        <f ca="1">COUNTIF('Group Stages'!O7:O102,BW272)</f>
        <v>0</v>
      </c>
      <c r="CD272" s="306">
        <f ca="1">COUNTIF('Group Stages'!P7:P102,BW272)</f>
        <v>0</v>
      </c>
      <c r="CE272" s="306">
        <f ca="1">COUNTIF('Group Stages'!Q7:Q102,BW272)</f>
        <v>0</v>
      </c>
      <c r="CF272" s="306">
        <f ca="1">COUNTIF('Knock Out Stages'!K7:K50,BW272)</f>
        <v>0</v>
      </c>
      <c r="CG272" s="306">
        <f ca="1">COUNTIF('Knock Out Stages'!L7:L50,BW272)</f>
        <v>0</v>
      </c>
      <c r="CH272" s="306">
        <f ca="1">COUNTIF('Knock Out Stages'!M7:M50,BW272)</f>
        <v>0</v>
      </c>
      <c r="CI272" s="306">
        <f ca="1">COUNTIF('Knock Out Stages'!N7:N50,BW272)</f>
        <v>0</v>
      </c>
      <c r="CJ272" s="306">
        <f ca="1">COUNTIF('Knock Out Stages'!O7:O50,BW272)</f>
        <v>0</v>
      </c>
      <c r="CK272" s="306">
        <f ca="1">COUNTIF('Knock Out Stages'!P7:P50,BW272)</f>
        <v>0</v>
      </c>
      <c r="CL272" s="306">
        <f ca="1">COUNTIF('Knock Out Stages'!Q7:Q50,BW272)</f>
        <v>0</v>
      </c>
      <c r="CM272" s="306">
        <f ca="1">COUNTIF('Knock Out Stages'!R7:R50,BW272)</f>
        <v>0</v>
      </c>
      <c r="CN272" s="306">
        <f ca="1">IF(RIGHT('Group Stages'!$B$105,5)="T.com",SUM(BX272:CM272),0)</f>
        <v>0</v>
      </c>
      <c r="CO272" s="306">
        <f ca="1">RANK(CN272,CN3:CN834)+COUNTIF(CN3:CN272,CN272)-1</f>
        <v>270</v>
      </c>
      <c r="CP272" s="306" t="str">
        <f t="shared" ca="1" si="189"/>
        <v>Héctor Herrera (Mexico)</v>
      </c>
    </row>
    <row r="273" spans="72:94" x14ac:dyDescent="0.3">
      <c r="BT273" s="306" t="str">
        <f t="shared" ca="1" si="186"/>
        <v>Mexico</v>
      </c>
      <c r="BU273" s="306">
        <f t="shared" si="187"/>
        <v>10</v>
      </c>
      <c r="BV273" s="306">
        <f t="shared" si="188"/>
        <v>9</v>
      </c>
      <c r="BW273" s="306" t="str">
        <f ca="1">OFFSET(C3,BU273,BV273)</f>
        <v>Héctor Moreno</v>
      </c>
      <c r="BX273" s="306">
        <f ca="1">COUNTIF('Group Stages'!J7:J102,BW273)</f>
        <v>0</v>
      </c>
      <c r="BY273" s="306">
        <f ca="1">COUNTIF('Group Stages'!K7:K102,BW273)</f>
        <v>0</v>
      </c>
      <c r="BZ273" s="306">
        <f ca="1">COUNTIF('Group Stages'!L7:L102,BW273)</f>
        <v>0</v>
      </c>
      <c r="CA273" s="306">
        <f ca="1">COUNTIF('Group Stages'!M7:M102,BW273)</f>
        <v>0</v>
      </c>
      <c r="CB273" s="306">
        <f ca="1">COUNTIF('Group Stages'!N7:N102,BW273)</f>
        <v>0</v>
      </c>
      <c r="CC273" s="306">
        <f ca="1">COUNTIF('Group Stages'!O7:O102,BW273)</f>
        <v>0</v>
      </c>
      <c r="CD273" s="306">
        <f ca="1">COUNTIF('Group Stages'!P7:P102,BW273)</f>
        <v>0</v>
      </c>
      <c r="CE273" s="306">
        <f ca="1">COUNTIF('Group Stages'!Q7:Q102,BW273)</f>
        <v>0</v>
      </c>
      <c r="CF273" s="306">
        <f ca="1">COUNTIF('Knock Out Stages'!K7:K50,BW273)</f>
        <v>0</v>
      </c>
      <c r="CG273" s="306">
        <f ca="1">COUNTIF('Knock Out Stages'!L7:L50,BW273)</f>
        <v>0</v>
      </c>
      <c r="CH273" s="306">
        <f ca="1">COUNTIF('Knock Out Stages'!M7:M50,BW273)</f>
        <v>0</v>
      </c>
      <c r="CI273" s="306">
        <f ca="1">COUNTIF('Knock Out Stages'!N7:N50,BW273)</f>
        <v>0</v>
      </c>
      <c r="CJ273" s="306">
        <f ca="1">COUNTIF('Knock Out Stages'!O7:O50,BW273)</f>
        <v>0</v>
      </c>
      <c r="CK273" s="306">
        <f ca="1">COUNTIF('Knock Out Stages'!P7:P50,BW273)</f>
        <v>0</v>
      </c>
      <c r="CL273" s="306">
        <f ca="1">COUNTIF('Knock Out Stages'!Q7:Q50,BW273)</f>
        <v>0</v>
      </c>
      <c r="CM273" s="306">
        <f ca="1">COUNTIF('Knock Out Stages'!R7:R50,BW273)</f>
        <v>0</v>
      </c>
      <c r="CN273" s="306">
        <f ca="1">IF(RIGHT('Group Stages'!$B$105,5)="T.com",SUM(BX273:CM273),0)</f>
        <v>0</v>
      </c>
      <c r="CO273" s="306">
        <f ca="1">RANK(CN273,CN3:CN834)+COUNTIF(CN3:CN273,CN273)-1</f>
        <v>271</v>
      </c>
      <c r="CP273" s="306" t="str">
        <f t="shared" ca="1" si="189"/>
        <v>Héctor Moreno (Mexico)</v>
      </c>
    </row>
    <row r="274" spans="72:94" x14ac:dyDescent="0.3">
      <c r="BT274" s="306" t="str">
        <f t="shared" ca="1" si="186"/>
        <v>Mexico</v>
      </c>
      <c r="BU274" s="306">
        <f t="shared" si="187"/>
        <v>11</v>
      </c>
      <c r="BV274" s="306">
        <f t="shared" si="188"/>
        <v>9</v>
      </c>
      <c r="BW274" s="306" t="str">
        <f ca="1">OFFSET(C3,BU274,BV274)</f>
        <v>Henry Martín</v>
      </c>
      <c r="BX274" s="306">
        <f ca="1">COUNTIF('Group Stages'!J7:J102,BW274)</f>
        <v>0</v>
      </c>
      <c r="BY274" s="306">
        <f ca="1">COUNTIF('Group Stages'!K7:K102,BW274)</f>
        <v>0</v>
      </c>
      <c r="BZ274" s="306">
        <f ca="1">COUNTIF('Group Stages'!L7:L102,BW274)</f>
        <v>0</v>
      </c>
      <c r="CA274" s="306">
        <f ca="1">COUNTIF('Group Stages'!M7:M102,BW274)</f>
        <v>0</v>
      </c>
      <c r="CB274" s="306">
        <f ca="1">COUNTIF('Group Stages'!N7:N102,BW274)</f>
        <v>0</v>
      </c>
      <c r="CC274" s="306">
        <f ca="1">COUNTIF('Group Stages'!O7:O102,BW274)</f>
        <v>0</v>
      </c>
      <c r="CD274" s="306">
        <f ca="1">COUNTIF('Group Stages'!P7:P102,BW274)</f>
        <v>0</v>
      </c>
      <c r="CE274" s="306">
        <f ca="1">COUNTIF('Group Stages'!Q7:Q102,BW274)</f>
        <v>0</v>
      </c>
      <c r="CF274" s="306">
        <f ca="1">COUNTIF('Knock Out Stages'!K7:K50,BW274)</f>
        <v>0</v>
      </c>
      <c r="CG274" s="306">
        <f ca="1">COUNTIF('Knock Out Stages'!L7:L50,BW274)</f>
        <v>0</v>
      </c>
      <c r="CH274" s="306">
        <f ca="1">COUNTIF('Knock Out Stages'!M7:M50,BW274)</f>
        <v>0</v>
      </c>
      <c r="CI274" s="306">
        <f ca="1">COUNTIF('Knock Out Stages'!N7:N50,BW274)</f>
        <v>0</v>
      </c>
      <c r="CJ274" s="306">
        <f ca="1">COUNTIF('Knock Out Stages'!O7:O50,BW274)</f>
        <v>0</v>
      </c>
      <c r="CK274" s="306">
        <f ca="1">COUNTIF('Knock Out Stages'!P7:P50,BW274)</f>
        <v>0</v>
      </c>
      <c r="CL274" s="306">
        <f ca="1">COUNTIF('Knock Out Stages'!Q7:Q50,BW274)</f>
        <v>0</v>
      </c>
      <c r="CM274" s="306">
        <f ca="1">COUNTIF('Knock Out Stages'!R7:R50,BW274)</f>
        <v>0</v>
      </c>
      <c r="CN274" s="306">
        <f ca="1">IF(RIGHT('Group Stages'!$B$105,5)="T.com",SUM(BX274:CM274),0)</f>
        <v>0</v>
      </c>
      <c r="CO274" s="306">
        <f ca="1">RANK(CN274,CN3:CN834)+COUNTIF(CN3:CN274,CN274)-1</f>
        <v>272</v>
      </c>
      <c r="CP274" s="306" t="str">
        <f t="shared" ca="1" si="189"/>
        <v>Henry Martín (Mexico)</v>
      </c>
    </row>
    <row r="275" spans="72:94" x14ac:dyDescent="0.3">
      <c r="BT275" s="306" t="str">
        <f t="shared" ca="1" si="186"/>
        <v>Mexico</v>
      </c>
      <c r="BU275" s="306">
        <f t="shared" si="187"/>
        <v>12</v>
      </c>
      <c r="BV275" s="306">
        <f t="shared" si="188"/>
        <v>9</v>
      </c>
      <c r="BW275" s="306" t="str">
        <f ca="1">OFFSET(C3,BU275,BV275)</f>
        <v>Hirving Lozano</v>
      </c>
      <c r="BX275" s="306">
        <f ca="1">COUNTIF('Group Stages'!J7:J102,BW275)</f>
        <v>0</v>
      </c>
      <c r="BY275" s="306">
        <f ca="1">COUNTIF('Group Stages'!K7:K102,BW275)</f>
        <v>0</v>
      </c>
      <c r="BZ275" s="306">
        <f ca="1">COUNTIF('Group Stages'!L7:L102,BW275)</f>
        <v>0</v>
      </c>
      <c r="CA275" s="306">
        <f ca="1">COUNTIF('Group Stages'!M7:M102,BW275)</f>
        <v>0</v>
      </c>
      <c r="CB275" s="306">
        <f ca="1">COUNTIF('Group Stages'!N7:N102,BW275)</f>
        <v>0</v>
      </c>
      <c r="CC275" s="306">
        <f ca="1">COUNTIF('Group Stages'!O7:O102,BW275)</f>
        <v>0</v>
      </c>
      <c r="CD275" s="306">
        <f ca="1">COUNTIF('Group Stages'!P7:P102,BW275)</f>
        <v>0</v>
      </c>
      <c r="CE275" s="306">
        <f ca="1">COUNTIF('Group Stages'!Q7:Q102,BW275)</f>
        <v>0</v>
      </c>
      <c r="CF275" s="306">
        <f ca="1">COUNTIF('Knock Out Stages'!K7:K50,BW275)</f>
        <v>0</v>
      </c>
      <c r="CG275" s="306">
        <f ca="1">COUNTIF('Knock Out Stages'!L7:L50,BW275)</f>
        <v>0</v>
      </c>
      <c r="CH275" s="306">
        <f ca="1">COUNTIF('Knock Out Stages'!M7:M50,BW275)</f>
        <v>0</v>
      </c>
      <c r="CI275" s="306">
        <f ca="1">COUNTIF('Knock Out Stages'!N7:N50,BW275)</f>
        <v>0</v>
      </c>
      <c r="CJ275" s="306">
        <f ca="1">COUNTIF('Knock Out Stages'!O7:O50,BW275)</f>
        <v>0</v>
      </c>
      <c r="CK275" s="306">
        <f ca="1">COUNTIF('Knock Out Stages'!P7:P50,BW275)</f>
        <v>0</v>
      </c>
      <c r="CL275" s="306">
        <f ca="1">COUNTIF('Knock Out Stages'!Q7:Q50,BW275)</f>
        <v>0</v>
      </c>
      <c r="CM275" s="306">
        <f ca="1">COUNTIF('Knock Out Stages'!R7:R50,BW275)</f>
        <v>0</v>
      </c>
      <c r="CN275" s="306">
        <f ca="1">IF(RIGHT('Group Stages'!$B$105,5)="T.com",SUM(BX275:CM275),0)</f>
        <v>0</v>
      </c>
      <c r="CO275" s="306">
        <f ca="1">RANK(CN275,CN3:CN834)+COUNTIF(CN3:CN275,CN275)-1</f>
        <v>273</v>
      </c>
      <c r="CP275" s="306" t="str">
        <f t="shared" ca="1" si="189"/>
        <v>Hirving Lozano (Mexico)</v>
      </c>
    </row>
    <row r="276" spans="72:94" x14ac:dyDescent="0.3">
      <c r="BT276" s="306" t="str">
        <f t="shared" ca="1" si="186"/>
        <v>Mexico</v>
      </c>
      <c r="BU276" s="306">
        <f t="shared" si="187"/>
        <v>13</v>
      </c>
      <c r="BV276" s="306">
        <f t="shared" si="188"/>
        <v>9</v>
      </c>
      <c r="BW276" s="306" t="str">
        <f ca="1">OFFSET(C3,BU276,BV276)</f>
        <v>Jesús Gallardo</v>
      </c>
      <c r="BX276" s="306">
        <f ca="1">COUNTIF('Group Stages'!J7:J102,BW276)</f>
        <v>0</v>
      </c>
      <c r="BY276" s="306">
        <f ca="1">COUNTIF('Group Stages'!K7:K102,BW276)</f>
        <v>0</v>
      </c>
      <c r="BZ276" s="306">
        <f ca="1">COUNTIF('Group Stages'!L7:L102,BW276)</f>
        <v>0</v>
      </c>
      <c r="CA276" s="306">
        <f ca="1">COUNTIF('Group Stages'!M7:M102,BW276)</f>
        <v>0</v>
      </c>
      <c r="CB276" s="306">
        <f ca="1">COUNTIF('Group Stages'!N7:N102,BW276)</f>
        <v>0</v>
      </c>
      <c r="CC276" s="306">
        <f ca="1">COUNTIF('Group Stages'!O7:O102,BW276)</f>
        <v>0</v>
      </c>
      <c r="CD276" s="306">
        <f ca="1">COUNTIF('Group Stages'!P7:P102,BW276)</f>
        <v>0</v>
      </c>
      <c r="CE276" s="306">
        <f ca="1">COUNTIF('Group Stages'!Q7:Q102,BW276)</f>
        <v>0</v>
      </c>
      <c r="CF276" s="306">
        <f ca="1">COUNTIF('Knock Out Stages'!K7:K50,BW276)</f>
        <v>0</v>
      </c>
      <c r="CG276" s="306">
        <f ca="1">COUNTIF('Knock Out Stages'!L7:L50,BW276)</f>
        <v>0</v>
      </c>
      <c r="CH276" s="306">
        <f ca="1">COUNTIF('Knock Out Stages'!M7:M50,BW276)</f>
        <v>0</v>
      </c>
      <c r="CI276" s="306">
        <f ca="1">COUNTIF('Knock Out Stages'!N7:N50,BW276)</f>
        <v>0</v>
      </c>
      <c r="CJ276" s="306">
        <f ca="1">COUNTIF('Knock Out Stages'!O7:O50,BW276)</f>
        <v>0</v>
      </c>
      <c r="CK276" s="306">
        <f ca="1">COUNTIF('Knock Out Stages'!P7:P50,BW276)</f>
        <v>0</v>
      </c>
      <c r="CL276" s="306">
        <f ca="1">COUNTIF('Knock Out Stages'!Q7:Q50,BW276)</f>
        <v>0</v>
      </c>
      <c r="CM276" s="306">
        <f ca="1">COUNTIF('Knock Out Stages'!R7:R50,BW276)</f>
        <v>0</v>
      </c>
      <c r="CN276" s="306">
        <f ca="1">IF(RIGHT('Group Stages'!$B$105,5)="T.com",SUM(BX276:CM276),0)</f>
        <v>0</v>
      </c>
      <c r="CO276" s="306">
        <f ca="1">RANK(CN276,CN3:CN834)+COUNTIF(CN3:CN276,CN276)-1</f>
        <v>274</v>
      </c>
      <c r="CP276" s="306" t="str">
        <f t="shared" ca="1" si="189"/>
        <v>Jesús Gallardo (Mexico)</v>
      </c>
    </row>
    <row r="277" spans="72:94" x14ac:dyDescent="0.3">
      <c r="BT277" s="306" t="str">
        <f t="shared" ca="1" si="186"/>
        <v>Mexico</v>
      </c>
      <c r="BU277" s="306">
        <f t="shared" si="187"/>
        <v>14</v>
      </c>
      <c r="BV277" s="306">
        <f t="shared" si="188"/>
        <v>9</v>
      </c>
      <c r="BW277" s="306" t="str">
        <f ca="1">OFFSET(C3,BU277,BV277)</f>
        <v>Johan Vásquez</v>
      </c>
      <c r="BX277" s="306">
        <f ca="1">COUNTIF('Group Stages'!J7:J102,BW277)</f>
        <v>0</v>
      </c>
      <c r="BY277" s="306">
        <f ca="1">COUNTIF('Group Stages'!K7:K102,BW277)</f>
        <v>0</v>
      </c>
      <c r="BZ277" s="306">
        <f ca="1">COUNTIF('Group Stages'!L7:L102,BW277)</f>
        <v>0</v>
      </c>
      <c r="CA277" s="306">
        <f ca="1">COUNTIF('Group Stages'!M7:M102,BW277)</f>
        <v>0</v>
      </c>
      <c r="CB277" s="306">
        <f ca="1">COUNTIF('Group Stages'!N7:N102,BW277)</f>
        <v>0</v>
      </c>
      <c r="CC277" s="306">
        <f ca="1">COUNTIF('Group Stages'!O7:O102,BW277)</f>
        <v>0</v>
      </c>
      <c r="CD277" s="306">
        <f ca="1">COUNTIF('Group Stages'!P7:P102,BW277)</f>
        <v>0</v>
      </c>
      <c r="CE277" s="306">
        <f ca="1">COUNTIF('Group Stages'!Q7:Q102,BW277)</f>
        <v>0</v>
      </c>
      <c r="CF277" s="306">
        <f ca="1">COUNTIF('Knock Out Stages'!K7:K50,BW277)</f>
        <v>0</v>
      </c>
      <c r="CG277" s="306">
        <f ca="1">COUNTIF('Knock Out Stages'!L7:L50,BW277)</f>
        <v>0</v>
      </c>
      <c r="CH277" s="306">
        <f ca="1">COUNTIF('Knock Out Stages'!M7:M50,BW277)</f>
        <v>0</v>
      </c>
      <c r="CI277" s="306">
        <f ca="1">COUNTIF('Knock Out Stages'!N7:N50,BW277)</f>
        <v>0</v>
      </c>
      <c r="CJ277" s="306">
        <f ca="1">COUNTIF('Knock Out Stages'!O7:O50,BW277)</f>
        <v>0</v>
      </c>
      <c r="CK277" s="306">
        <f ca="1">COUNTIF('Knock Out Stages'!P7:P50,BW277)</f>
        <v>0</v>
      </c>
      <c r="CL277" s="306">
        <f ca="1">COUNTIF('Knock Out Stages'!Q7:Q50,BW277)</f>
        <v>0</v>
      </c>
      <c r="CM277" s="306">
        <f ca="1">COUNTIF('Knock Out Stages'!R7:R50,BW277)</f>
        <v>0</v>
      </c>
      <c r="CN277" s="306">
        <f ca="1">IF(RIGHT('Group Stages'!$B$105,5)="T.com",SUM(BX277:CM277),0)</f>
        <v>0</v>
      </c>
      <c r="CO277" s="306">
        <f ca="1">RANK(CN277,CN3:CN834)+COUNTIF(CN3:CN277,CN277)-1</f>
        <v>275</v>
      </c>
      <c r="CP277" s="306" t="str">
        <f t="shared" ca="1" si="189"/>
        <v>Johan Vásquez (Mexico)</v>
      </c>
    </row>
    <row r="278" spans="72:94" x14ac:dyDescent="0.3">
      <c r="BT278" s="306" t="str">
        <f t="shared" ca="1" si="186"/>
        <v>Mexico</v>
      </c>
      <c r="BU278" s="306">
        <f t="shared" si="187"/>
        <v>15</v>
      </c>
      <c r="BV278" s="306">
        <f t="shared" si="188"/>
        <v>9</v>
      </c>
      <c r="BW278" s="306" t="str">
        <f ca="1">OFFSET(C3,BU278,BV278)</f>
        <v>Jorge Sánchez</v>
      </c>
      <c r="BX278" s="306">
        <f ca="1">COUNTIF('Group Stages'!J7:J102,BW278)</f>
        <v>0</v>
      </c>
      <c r="BY278" s="306">
        <f ca="1">COUNTIF('Group Stages'!K7:K102,BW278)</f>
        <v>0</v>
      </c>
      <c r="BZ278" s="306">
        <f ca="1">COUNTIF('Group Stages'!L7:L102,BW278)</f>
        <v>0</v>
      </c>
      <c r="CA278" s="306">
        <f ca="1">COUNTIF('Group Stages'!M7:M102,BW278)</f>
        <v>0</v>
      </c>
      <c r="CB278" s="306">
        <f ca="1">COUNTIF('Group Stages'!N7:N102,BW278)</f>
        <v>0</v>
      </c>
      <c r="CC278" s="306">
        <f ca="1">COUNTIF('Group Stages'!O7:O102,BW278)</f>
        <v>0</v>
      </c>
      <c r="CD278" s="306">
        <f ca="1">COUNTIF('Group Stages'!P7:P102,BW278)</f>
        <v>0</v>
      </c>
      <c r="CE278" s="306">
        <f ca="1">COUNTIF('Group Stages'!Q7:Q102,BW278)</f>
        <v>0</v>
      </c>
      <c r="CF278" s="306">
        <f ca="1">COUNTIF('Knock Out Stages'!K7:K50,BW278)</f>
        <v>0</v>
      </c>
      <c r="CG278" s="306">
        <f ca="1">COUNTIF('Knock Out Stages'!L7:L50,BW278)</f>
        <v>0</v>
      </c>
      <c r="CH278" s="306">
        <f ca="1">COUNTIF('Knock Out Stages'!M7:M50,BW278)</f>
        <v>0</v>
      </c>
      <c r="CI278" s="306">
        <f ca="1">COUNTIF('Knock Out Stages'!N7:N50,BW278)</f>
        <v>0</v>
      </c>
      <c r="CJ278" s="306">
        <f ca="1">COUNTIF('Knock Out Stages'!O7:O50,BW278)</f>
        <v>0</v>
      </c>
      <c r="CK278" s="306">
        <f ca="1">COUNTIF('Knock Out Stages'!P7:P50,BW278)</f>
        <v>0</v>
      </c>
      <c r="CL278" s="306">
        <f ca="1">COUNTIF('Knock Out Stages'!Q7:Q50,BW278)</f>
        <v>0</v>
      </c>
      <c r="CM278" s="306">
        <f ca="1">COUNTIF('Knock Out Stages'!R7:R50,BW278)</f>
        <v>0</v>
      </c>
      <c r="CN278" s="306">
        <f ca="1">IF(RIGHT('Group Stages'!$B$105,5)="T.com",SUM(BX278:CM278),0)</f>
        <v>0</v>
      </c>
      <c r="CO278" s="306">
        <f ca="1">RANK(CN278,CN3:CN834)+COUNTIF(CN3:CN278,CN278)-1</f>
        <v>276</v>
      </c>
      <c r="CP278" s="306" t="str">
        <f t="shared" ca="1" si="189"/>
        <v>Jorge Sánchez (Mexico)</v>
      </c>
    </row>
    <row r="279" spans="72:94" x14ac:dyDescent="0.3">
      <c r="BT279" s="306" t="str">
        <f t="shared" ca="1" si="186"/>
        <v>Mexico</v>
      </c>
      <c r="BU279" s="306">
        <f t="shared" si="187"/>
        <v>16</v>
      </c>
      <c r="BV279" s="306">
        <f t="shared" si="188"/>
        <v>9</v>
      </c>
      <c r="BW279" s="306" t="str">
        <f ca="1">OFFSET(C3,BU279,BV279)</f>
        <v>Kevin Álvarez</v>
      </c>
      <c r="BX279" s="306">
        <f ca="1">COUNTIF('Group Stages'!J7:J102,BW279)</f>
        <v>0</v>
      </c>
      <c r="BY279" s="306">
        <f ca="1">COUNTIF('Group Stages'!K7:K102,BW279)</f>
        <v>0</v>
      </c>
      <c r="BZ279" s="306">
        <f ca="1">COUNTIF('Group Stages'!L7:L102,BW279)</f>
        <v>0</v>
      </c>
      <c r="CA279" s="306">
        <f ca="1">COUNTIF('Group Stages'!M7:M102,BW279)</f>
        <v>0</v>
      </c>
      <c r="CB279" s="306">
        <f ca="1">COUNTIF('Group Stages'!N7:N102,BW279)</f>
        <v>0</v>
      </c>
      <c r="CC279" s="306">
        <f ca="1">COUNTIF('Group Stages'!O7:O102,BW279)</f>
        <v>0</v>
      </c>
      <c r="CD279" s="306">
        <f ca="1">COUNTIF('Group Stages'!P7:P102,BW279)</f>
        <v>0</v>
      </c>
      <c r="CE279" s="306">
        <f ca="1">COUNTIF('Group Stages'!Q7:Q102,BW279)</f>
        <v>0</v>
      </c>
      <c r="CF279" s="306">
        <f ca="1">COUNTIF('Knock Out Stages'!K7:K50,BW279)</f>
        <v>0</v>
      </c>
      <c r="CG279" s="306">
        <f ca="1">COUNTIF('Knock Out Stages'!L7:L50,BW279)</f>
        <v>0</v>
      </c>
      <c r="CH279" s="306">
        <f ca="1">COUNTIF('Knock Out Stages'!M7:M50,BW279)</f>
        <v>0</v>
      </c>
      <c r="CI279" s="306">
        <f ca="1">COUNTIF('Knock Out Stages'!N7:N50,BW279)</f>
        <v>0</v>
      </c>
      <c r="CJ279" s="306">
        <f ca="1">COUNTIF('Knock Out Stages'!O7:O50,BW279)</f>
        <v>0</v>
      </c>
      <c r="CK279" s="306">
        <f ca="1">COUNTIF('Knock Out Stages'!P7:P50,BW279)</f>
        <v>0</v>
      </c>
      <c r="CL279" s="306">
        <f ca="1">COUNTIF('Knock Out Stages'!Q7:Q50,BW279)</f>
        <v>0</v>
      </c>
      <c r="CM279" s="306">
        <f ca="1">COUNTIF('Knock Out Stages'!R7:R50,BW279)</f>
        <v>0</v>
      </c>
      <c r="CN279" s="306">
        <f ca="1">IF(RIGHT('Group Stages'!$B$105,5)="T.com",SUM(BX279:CM279),0)</f>
        <v>0</v>
      </c>
      <c r="CO279" s="306">
        <f ca="1">RANK(CN279,CN3:CN834)+COUNTIF(CN3:CN279,CN279)-1</f>
        <v>277</v>
      </c>
      <c r="CP279" s="306" t="str">
        <f t="shared" ca="1" si="189"/>
        <v>Kevin Álvarez (Mexico)</v>
      </c>
    </row>
    <row r="280" spans="72:94" x14ac:dyDescent="0.3">
      <c r="BT280" s="306" t="str">
        <f t="shared" ca="1" si="186"/>
        <v>Mexico</v>
      </c>
      <c r="BU280" s="306">
        <f t="shared" si="187"/>
        <v>17</v>
      </c>
      <c r="BV280" s="306">
        <f t="shared" si="188"/>
        <v>9</v>
      </c>
      <c r="BW280" s="306" t="str">
        <f ca="1">OFFSET(C3,BU280,BV280)</f>
        <v>Luis Chávez</v>
      </c>
      <c r="BX280" s="306">
        <f ca="1">COUNTIF('Group Stages'!J7:J102,BW280)</f>
        <v>0</v>
      </c>
      <c r="BY280" s="306">
        <f ca="1">COUNTIF('Group Stages'!K7:K102,BW280)</f>
        <v>0</v>
      </c>
      <c r="BZ280" s="306">
        <f ca="1">COUNTIF('Group Stages'!L7:L102,BW280)</f>
        <v>0</v>
      </c>
      <c r="CA280" s="306">
        <f ca="1">COUNTIF('Group Stages'!M7:M102,BW280)</f>
        <v>0</v>
      </c>
      <c r="CB280" s="306">
        <f ca="1">COUNTIF('Group Stages'!N7:N102,BW280)</f>
        <v>0</v>
      </c>
      <c r="CC280" s="306">
        <f ca="1">COUNTIF('Group Stages'!O7:O102,BW280)</f>
        <v>0</v>
      </c>
      <c r="CD280" s="306">
        <f ca="1">COUNTIF('Group Stages'!P7:P102,BW280)</f>
        <v>0</v>
      </c>
      <c r="CE280" s="306">
        <f ca="1">COUNTIF('Group Stages'!Q7:Q102,BW280)</f>
        <v>0</v>
      </c>
      <c r="CF280" s="306">
        <f ca="1">COUNTIF('Knock Out Stages'!K7:K50,BW280)</f>
        <v>0</v>
      </c>
      <c r="CG280" s="306">
        <f ca="1">COUNTIF('Knock Out Stages'!L7:L50,BW280)</f>
        <v>0</v>
      </c>
      <c r="CH280" s="306">
        <f ca="1">COUNTIF('Knock Out Stages'!M7:M50,BW280)</f>
        <v>0</v>
      </c>
      <c r="CI280" s="306">
        <f ca="1">COUNTIF('Knock Out Stages'!N7:N50,BW280)</f>
        <v>0</v>
      </c>
      <c r="CJ280" s="306">
        <f ca="1">COUNTIF('Knock Out Stages'!O7:O50,BW280)</f>
        <v>0</v>
      </c>
      <c r="CK280" s="306">
        <f ca="1">COUNTIF('Knock Out Stages'!P7:P50,BW280)</f>
        <v>0</v>
      </c>
      <c r="CL280" s="306">
        <f ca="1">COUNTIF('Knock Out Stages'!Q7:Q50,BW280)</f>
        <v>0</v>
      </c>
      <c r="CM280" s="306">
        <f ca="1">COUNTIF('Knock Out Stages'!R7:R50,BW280)</f>
        <v>0</v>
      </c>
      <c r="CN280" s="306">
        <f ca="1">IF(RIGHT('Group Stages'!$B$105,5)="T.com",SUM(BX280:CM280),0)</f>
        <v>0</v>
      </c>
      <c r="CO280" s="306">
        <f ca="1">RANK(CN280,CN3:CN834)+COUNTIF(CN3:CN280,CN280)-1</f>
        <v>278</v>
      </c>
      <c r="CP280" s="306" t="str">
        <f t="shared" ca="1" si="189"/>
        <v>Luis Chávez (Mexico)</v>
      </c>
    </row>
    <row r="281" spans="72:94" x14ac:dyDescent="0.3">
      <c r="BT281" s="306" t="str">
        <f t="shared" ca="1" si="186"/>
        <v>Mexico</v>
      </c>
      <c r="BU281" s="306">
        <f t="shared" si="187"/>
        <v>18</v>
      </c>
      <c r="BV281" s="306">
        <f t="shared" si="188"/>
        <v>9</v>
      </c>
      <c r="BW281" s="306" t="str">
        <f ca="1">OFFSET(C3,BU281,BV281)</f>
        <v>Luis Romo</v>
      </c>
      <c r="BX281" s="306">
        <f ca="1">COUNTIF('Group Stages'!J7:J102,BW281)</f>
        <v>0</v>
      </c>
      <c r="BY281" s="306">
        <f ca="1">COUNTIF('Group Stages'!K7:K102,BW281)</f>
        <v>0</v>
      </c>
      <c r="BZ281" s="306">
        <f ca="1">COUNTIF('Group Stages'!L7:L102,BW281)</f>
        <v>0</v>
      </c>
      <c r="CA281" s="306">
        <f ca="1">COUNTIF('Group Stages'!M7:M102,BW281)</f>
        <v>0</v>
      </c>
      <c r="CB281" s="306">
        <f ca="1">COUNTIF('Group Stages'!N7:N102,BW281)</f>
        <v>0</v>
      </c>
      <c r="CC281" s="306">
        <f ca="1">COUNTIF('Group Stages'!O7:O102,BW281)</f>
        <v>0</v>
      </c>
      <c r="CD281" s="306">
        <f ca="1">COUNTIF('Group Stages'!P7:P102,BW281)</f>
        <v>0</v>
      </c>
      <c r="CE281" s="306">
        <f ca="1">COUNTIF('Group Stages'!Q7:Q102,BW281)</f>
        <v>0</v>
      </c>
      <c r="CF281" s="306">
        <f ca="1">COUNTIF('Knock Out Stages'!K7:K50,BW281)</f>
        <v>0</v>
      </c>
      <c r="CG281" s="306">
        <f ca="1">COUNTIF('Knock Out Stages'!L7:L50,BW281)</f>
        <v>0</v>
      </c>
      <c r="CH281" s="306">
        <f ca="1">COUNTIF('Knock Out Stages'!M7:M50,BW281)</f>
        <v>0</v>
      </c>
      <c r="CI281" s="306">
        <f ca="1">COUNTIF('Knock Out Stages'!N7:N50,BW281)</f>
        <v>0</v>
      </c>
      <c r="CJ281" s="306">
        <f ca="1">COUNTIF('Knock Out Stages'!O7:O50,BW281)</f>
        <v>0</v>
      </c>
      <c r="CK281" s="306">
        <f ca="1">COUNTIF('Knock Out Stages'!P7:P50,BW281)</f>
        <v>0</v>
      </c>
      <c r="CL281" s="306">
        <f ca="1">COUNTIF('Knock Out Stages'!Q7:Q50,BW281)</f>
        <v>0</v>
      </c>
      <c r="CM281" s="306">
        <f ca="1">COUNTIF('Knock Out Stages'!R7:R50,BW281)</f>
        <v>0</v>
      </c>
      <c r="CN281" s="306">
        <f ca="1">IF(RIGHT('Group Stages'!$B$105,5)="T.com",SUM(BX281:CM281),0)</f>
        <v>0</v>
      </c>
      <c r="CO281" s="306">
        <f ca="1">RANK(CN281,CN3:CN834)+COUNTIF(CN3:CN281,CN281)-1</f>
        <v>279</v>
      </c>
      <c r="CP281" s="306" t="str">
        <f t="shared" ca="1" si="189"/>
        <v>Luis Romo (Mexico)</v>
      </c>
    </row>
    <row r="282" spans="72:94" x14ac:dyDescent="0.3">
      <c r="BT282" s="306" t="str">
        <f t="shared" ca="1" si="186"/>
        <v>Mexico</v>
      </c>
      <c r="BU282" s="306">
        <f t="shared" si="187"/>
        <v>19</v>
      </c>
      <c r="BV282" s="306">
        <f t="shared" si="188"/>
        <v>9</v>
      </c>
      <c r="BW282" s="306" t="str">
        <f ca="1">OFFSET(C3,BU282,BV282)</f>
        <v>Néstor Araujo</v>
      </c>
      <c r="BX282" s="306">
        <f ca="1">COUNTIF('Group Stages'!J7:J102,BW282)</f>
        <v>0</v>
      </c>
      <c r="BY282" s="306">
        <f ca="1">COUNTIF('Group Stages'!K7:K102,BW282)</f>
        <v>0</v>
      </c>
      <c r="BZ282" s="306">
        <f ca="1">COUNTIF('Group Stages'!L7:L102,BW282)</f>
        <v>0</v>
      </c>
      <c r="CA282" s="306">
        <f ca="1">COUNTIF('Group Stages'!M7:M102,BW282)</f>
        <v>0</v>
      </c>
      <c r="CB282" s="306">
        <f ca="1">COUNTIF('Group Stages'!N7:N102,BW282)</f>
        <v>0</v>
      </c>
      <c r="CC282" s="306">
        <f ca="1">COUNTIF('Group Stages'!O7:O102,BW282)</f>
        <v>0</v>
      </c>
      <c r="CD282" s="306">
        <f ca="1">COUNTIF('Group Stages'!P7:P102,BW282)</f>
        <v>0</v>
      </c>
      <c r="CE282" s="306">
        <f ca="1">COUNTIF('Group Stages'!Q7:Q102,BW282)</f>
        <v>0</v>
      </c>
      <c r="CF282" s="306">
        <f ca="1">COUNTIF('Knock Out Stages'!K7:K50,BW282)</f>
        <v>0</v>
      </c>
      <c r="CG282" s="306">
        <f ca="1">COUNTIF('Knock Out Stages'!L7:L50,BW282)</f>
        <v>0</v>
      </c>
      <c r="CH282" s="306">
        <f ca="1">COUNTIF('Knock Out Stages'!M7:M50,BW282)</f>
        <v>0</v>
      </c>
      <c r="CI282" s="306">
        <f ca="1">COUNTIF('Knock Out Stages'!N7:N50,BW282)</f>
        <v>0</v>
      </c>
      <c r="CJ282" s="306">
        <f ca="1">COUNTIF('Knock Out Stages'!O7:O50,BW282)</f>
        <v>0</v>
      </c>
      <c r="CK282" s="306">
        <f ca="1">COUNTIF('Knock Out Stages'!P7:P50,BW282)</f>
        <v>0</v>
      </c>
      <c r="CL282" s="306">
        <f ca="1">COUNTIF('Knock Out Stages'!Q7:Q50,BW282)</f>
        <v>0</v>
      </c>
      <c r="CM282" s="306">
        <f ca="1">COUNTIF('Knock Out Stages'!R7:R50,BW282)</f>
        <v>0</v>
      </c>
      <c r="CN282" s="306">
        <f ca="1">IF(RIGHT('Group Stages'!$B$105,5)="T.com",SUM(BX282:CM282),0)</f>
        <v>0</v>
      </c>
      <c r="CO282" s="306">
        <f ca="1">RANK(CN282,CN3:CN834)+COUNTIF(CN3:CN282,CN282)-1</f>
        <v>280</v>
      </c>
      <c r="CP282" s="306" t="str">
        <f t="shared" ca="1" si="189"/>
        <v>Néstor Araujo (Mexico)</v>
      </c>
    </row>
    <row r="283" spans="72:94" x14ac:dyDescent="0.3">
      <c r="BT283" s="306" t="str">
        <f t="shared" ca="1" si="186"/>
        <v>Mexico</v>
      </c>
      <c r="BU283" s="306">
        <f t="shared" si="187"/>
        <v>20</v>
      </c>
      <c r="BV283" s="306">
        <f t="shared" si="188"/>
        <v>9</v>
      </c>
      <c r="BW283" s="306" t="str">
        <f ca="1">OFFSET(C3,BU283,BV283)</f>
        <v>Orbelín Pineda</v>
      </c>
      <c r="BX283" s="306">
        <f ca="1">COUNTIF('Group Stages'!J7:J102,BW283)</f>
        <v>0</v>
      </c>
      <c r="BY283" s="306">
        <f ca="1">COUNTIF('Group Stages'!K7:K102,BW283)</f>
        <v>0</v>
      </c>
      <c r="BZ283" s="306">
        <f ca="1">COUNTIF('Group Stages'!L7:L102,BW283)</f>
        <v>0</v>
      </c>
      <c r="CA283" s="306">
        <f ca="1">COUNTIF('Group Stages'!M7:M102,BW283)</f>
        <v>0</v>
      </c>
      <c r="CB283" s="306">
        <f ca="1">COUNTIF('Group Stages'!N7:N102,BW283)</f>
        <v>0</v>
      </c>
      <c r="CC283" s="306">
        <f ca="1">COUNTIF('Group Stages'!O7:O102,BW283)</f>
        <v>0</v>
      </c>
      <c r="CD283" s="306">
        <f ca="1">COUNTIF('Group Stages'!P7:P102,BW283)</f>
        <v>0</v>
      </c>
      <c r="CE283" s="306">
        <f ca="1">COUNTIF('Group Stages'!Q7:Q102,BW283)</f>
        <v>0</v>
      </c>
      <c r="CF283" s="306">
        <f ca="1">COUNTIF('Knock Out Stages'!K7:K50,BW283)</f>
        <v>0</v>
      </c>
      <c r="CG283" s="306">
        <f ca="1">COUNTIF('Knock Out Stages'!L7:L50,BW283)</f>
        <v>0</v>
      </c>
      <c r="CH283" s="306">
        <f ca="1">COUNTIF('Knock Out Stages'!M7:M50,BW283)</f>
        <v>0</v>
      </c>
      <c r="CI283" s="306">
        <f ca="1">COUNTIF('Knock Out Stages'!N7:N50,BW283)</f>
        <v>0</v>
      </c>
      <c r="CJ283" s="306">
        <f ca="1">COUNTIF('Knock Out Stages'!O7:O50,BW283)</f>
        <v>0</v>
      </c>
      <c r="CK283" s="306">
        <f ca="1">COUNTIF('Knock Out Stages'!P7:P50,BW283)</f>
        <v>0</v>
      </c>
      <c r="CL283" s="306">
        <f ca="1">COUNTIF('Knock Out Stages'!Q7:Q50,BW283)</f>
        <v>0</v>
      </c>
      <c r="CM283" s="306">
        <f ca="1">COUNTIF('Knock Out Stages'!R7:R50,BW283)</f>
        <v>0</v>
      </c>
      <c r="CN283" s="306">
        <f ca="1">IF(RIGHT('Group Stages'!$B$105,5)="T.com",SUM(BX283:CM283),0)</f>
        <v>0</v>
      </c>
      <c r="CO283" s="306">
        <f ca="1">RANK(CN283,CN3:CN834)+COUNTIF(CN3:CN283,CN283)-1</f>
        <v>281</v>
      </c>
      <c r="CP283" s="306" t="str">
        <f t="shared" ca="1" si="189"/>
        <v>Orbelín Pineda (Mexico)</v>
      </c>
    </row>
    <row r="284" spans="72:94" x14ac:dyDescent="0.3">
      <c r="BT284" s="306" t="str">
        <f t="shared" ca="1" si="186"/>
        <v>Mexico</v>
      </c>
      <c r="BU284" s="306">
        <f t="shared" si="187"/>
        <v>21</v>
      </c>
      <c r="BV284" s="306">
        <f t="shared" si="188"/>
        <v>9</v>
      </c>
      <c r="BW284" s="306" t="str">
        <f ca="1">OFFSET(C3,BU284,BV284)</f>
        <v>Raúl Jiménez</v>
      </c>
      <c r="BX284" s="306">
        <f ca="1">COUNTIF('Group Stages'!J7:J102,BW284)</f>
        <v>0</v>
      </c>
      <c r="BY284" s="306">
        <f ca="1">COUNTIF('Group Stages'!K7:K102,BW284)</f>
        <v>0</v>
      </c>
      <c r="BZ284" s="306">
        <f ca="1">COUNTIF('Group Stages'!L7:L102,BW284)</f>
        <v>0</v>
      </c>
      <c r="CA284" s="306">
        <f ca="1">COUNTIF('Group Stages'!M7:M102,BW284)</f>
        <v>0</v>
      </c>
      <c r="CB284" s="306">
        <f ca="1">COUNTIF('Group Stages'!N7:N102,BW284)</f>
        <v>0</v>
      </c>
      <c r="CC284" s="306">
        <f ca="1">COUNTIF('Group Stages'!O7:O102,BW284)</f>
        <v>0</v>
      </c>
      <c r="CD284" s="306">
        <f ca="1">COUNTIF('Group Stages'!P7:P102,BW284)</f>
        <v>0</v>
      </c>
      <c r="CE284" s="306">
        <f ca="1">COUNTIF('Group Stages'!Q7:Q102,BW284)</f>
        <v>0</v>
      </c>
      <c r="CF284" s="306">
        <f ca="1">COUNTIF('Knock Out Stages'!K7:K50,BW284)</f>
        <v>0</v>
      </c>
      <c r="CG284" s="306">
        <f ca="1">COUNTIF('Knock Out Stages'!L7:L50,BW284)</f>
        <v>0</v>
      </c>
      <c r="CH284" s="306">
        <f ca="1">COUNTIF('Knock Out Stages'!M7:M50,BW284)</f>
        <v>0</v>
      </c>
      <c r="CI284" s="306">
        <f ca="1">COUNTIF('Knock Out Stages'!N7:N50,BW284)</f>
        <v>0</v>
      </c>
      <c r="CJ284" s="306">
        <f ca="1">COUNTIF('Knock Out Stages'!O7:O50,BW284)</f>
        <v>0</v>
      </c>
      <c r="CK284" s="306">
        <f ca="1">COUNTIF('Knock Out Stages'!P7:P50,BW284)</f>
        <v>0</v>
      </c>
      <c r="CL284" s="306">
        <f ca="1">COUNTIF('Knock Out Stages'!Q7:Q50,BW284)</f>
        <v>0</v>
      </c>
      <c r="CM284" s="306">
        <f ca="1">COUNTIF('Knock Out Stages'!R7:R50,BW284)</f>
        <v>0</v>
      </c>
      <c r="CN284" s="306">
        <f ca="1">IF(RIGHT('Group Stages'!$B$105,5)="T.com",SUM(BX284:CM284),0)</f>
        <v>0</v>
      </c>
      <c r="CO284" s="306">
        <f ca="1">RANK(CN284,CN3:CN834)+COUNTIF(CN3:CN284,CN284)-1</f>
        <v>282</v>
      </c>
      <c r="CP284" s="306" t="str">
        <f t="shared" ca="1" si="189"/>
        <v>Raúl Jiménez (Mexico)</v>
      </c>
    </row>
    <row r="285" spans="72:94" x14ac:dyDescent="0.3">
      <c r="BT285" s="306" t="str">
        <f t="shared" ca="1" si="186"/>
        <v>Mexico</v>
      </c>
      <c r="BU285" s="306">
        <f t="shared" si="187"/>
        <v>22</v>
      </c>
      <c r="BV285" s="306">
        <f t="shared" si="188"/>
        <v>9</v>
      </c>
      <c r="BW285" s="306" t="str">
        <f ca="1">OFFSET(C3,BU285,BV285)</f>
        <v>Roberto Alvarado</v>
      </c>
      <c r="BX285" s="306">
        <f ca="1">COUNTIF('Group Stages'!J7:J102,BW285)</f>
        <v>0</v>
      </c>
      <c r="BY285" s="306">
        <f ca="1">COUNTIF('Group Stages'!K7:K102,BW285)</f>
        <v>0</v>
      </c>
      <c r="BZ285" s="306">
        <f ca="1">COUNTIF('Group Stages'!L7:L102,BW285)</f>
        <v>0</v>
      </c>
      <c r="CA285" s="306">
        <f ca="1">COUNTIF('Group Stages'!M7:M102,BW285)</f>
        <v>0</v>
      </c>
      <c r="CB285" s="306">
        <f ca="1">COUNTIF('Group Stages'!N7:N102,BW285)</f>
        <v>0</v>
      </c>
      <c r="CC285" s="306">
        <f ca="1">COUNTIF('Group Stages'!O7:O102,BW285)</f>
        <v>0</v>
      </c>
      <c r="CD285" s="306">
        <f ca="1">COUNTIF('Group Stages'!P7:P102,BW285)</f>
        <v>0</v>
      </c>
      <c r="CE285" s="306">
        <f ca="1">COUNTIF('Group Stages'!Q7:Q102,BW285)</f>
        <v>0</v>
      </c>
      <c r="CF285" s="306">
        <f ca="1">COUNTIF('Knock Out Stages'!K7:K50,BW285)</f>
        <v>0</v>
      </c>
      <c r="CG285" s="306">
        <f ca="1">COUNTIF('Knock Out Stages'!L7:L50,BW285)</f>
        <v>0</v>
      </c>
      <c r="CH285" s="306">
        <f ca="1">COUNTIF('Knock Out Stages'!M7:M50,BW285)</f>
        <v>0</v>
      </c>
      <c r="CI285" s="306">
        <f ca="1">COUNTIF('Knock Out Stages'!N7:N50,BW285)</f>
        <v>0</v>
      </c>
      <c r="CJ285" s="306">
        <f ca="1">COUNTIF('Knock Out Stages'!O7:O50,BW285)</f>
        <v>0</v>
      </c>
      <c r="CK285" s="306">
        <f ca="1">COUNTIF('Knock Out Stages'!P7:P50,BW285)</f>
        <v>0</v>
      </c>
      <c r="CL285" s="306">
        <f ca="1">COUNTIF('Knock Out Stages'!Q7:Q50,BW285)</f>
        <v>0</v>
      </c>
      <c r="CM285" s="306">
        <f ca="1">COUNTIF('Knock Out Stages'!R7:R50,BW285)</f>
        <v>0</v>
      </c>
      <c r="CN285" s="306">
        <f ca="1">IF(RIGHT('Group Stages'!$B$105,5)="T.com",SUM(BX285:CM285),0)</f>
        <v>0</v>
      </c>
      <c r="CO285" s="306">
        <f ca="1">RANK(CN285,CN3:CN834)+COUNTIF(CN3:CN285,CN285)-1</f>
        <v>283</v>
      </c>
      <c r="CP285" s="306" t="str">
        <f t="shared" ca="1" si="189"/>
        <v>Roberto Alvarado (Mexico)</v>
      </c>
    </row>
    <row r="286" spans="72:94" x14ac:dyDescent="0.3">
      <c r="BT286" s="306" t="str">
        <f t="shared" ca="1" si="186"/>
        <v>Mexico</v>
      </c>
      <c r="BU286" s="306">
        <f t="shared" si="187"/>
        <v>23</v>
      </c>
      <c r="BV286" s="306">
        <f t="shared" si="188"/>
        <v>9</v>
      </c>
      <c r="BW286" s="306" t="str">
        <f ca="1">OFFSET(C3,BU286,BV286)</f>
        <v>Rodolfo Cota</v>
      </c>
      <c r="BX286" s="306">
        <f ca="1">COUNTIF('Group Stages'!J7:J102,BW286)</f>
        <v>0</v>
      </c>
      <c r="BY286" s="306">
        <f ca="1">COUNTIF('Group Stages'!K7:K102,BW286)</f>
        <v>0</v>
      </c>
      <c r="BZ286" s="306">
        <f ca="1">COUNTIF('Group Stages'!L7:L102,BW286)</f>
        <v>0</v>
      </c>
      <c r="CA286" s="306">
        <f ca="1">COUNTIF('Group Stages'!M7:M102,BW286)</f>
        <v>0</v>
      </c>
      <c r="CB286" s="306">
        <f ca="1">COUNTIF('Group Stages'!N7:N102,BW286)</f>
        <v>0</v>
      </c>
      <c r="CC286" s="306">
        <f ca="1">COUNTIF('Group Stages'!O7:O102,BW286)</f>
        <v>0</v>
      </c>
      <c r="CD286" s="306">
        <f ca="1">COUNTIF('Group Stages'!P7:P102,BW286)</f>
        <v>0</v>
      </c>
      <c r="CE286" s="306">
        <f ca="1">COUNTIF('Group Stages'!Q7:Q102,BW286)</f>
        <v>0</v>
      </c>
      <c r="CF286" s="306">
        <f ca="1">COUNTIF('Knock Out Stages'!K7:K50,BW286)</f>
        <v>0</v>
      </c>
      <c r="CG286" s="306">
        <f ca="1">COUNTIF('Knock Out Stages'!L7:L50,BW286)</f>
        <v>0</v>
      </c>
      <c r="CH286" s="306">
        <f ca="1">COUNTIF('Knock Out Stages'!M7:M50,BW286)</f>
        <v>0</v>
      </c>
      <c r="CI286" s="306">
        <f ca="1">COUNTIF('Knock Out Stages'!N7:N50,BW286)</f>
        <v>0</v>
      </c>
      <c r="CJ286" s="306">
        <f ca="1">COUNTIF('Knock Out Stages'!O7:O50,BW286)</f>
        <v>0</v>
      </c>
      <c r="CK286" s="306">
        <f ca="1">COUNTIF('Knock Out Stages'!P7:P50,BW286)</f>
        <v>0</v>
      </c>
      <c r="CL286" s="306">
        <f ca="1">COUNTIF('Knock Out Stages'!Q7:Q50,BW286)</f>
        <v>0</v>
      </c>
      <c r="CM286" s="306">
        <f ca="1">COUNTIF('Knock Out Stages'!R7:R50,BW286)</f>
        <v>0</v>
      </c>
      <c r="CN286" s="306">
        <f ca="1">IF(RIGHT('Group Stages'!$B$105,5)="T.com",SUM(BX286:CM286),0)</f>
        <v>0</v>
      </c>
      <c r="CO286" s="306">
        <f ca="1">RANK(CN286,CN3:CN834)+COUNTIF(CN3:CN286,CN286)-1</f>
        <v>284</v>
      </c>
      <c r="CP286" s="306" t="str">
        <f t="shared" ca="1" si="189"/>
        <v>Rodolfo Cota (Mexico)</v>
      </c>
    </row>
    <row r="287" spans="72:94" x14ac:dyDescent="0.3">
      <c r="BT287" s="306" t="str">
        <f t="shared" ca="1" si="186"/>
        <v>Mexico</v>
      </c>
      <c r="BU287" s="306">
        <f t="shared" si="187"/>
        <v>24</v>
      </c>
      <c r="BV287" s="306">
        <f t="shared" si="188"/>
        <v>9</v>
      </c>
      <c r="BW287" s="306" t="str">
        <f ca="1">OFFSET(C3,BU287,BV287)</f>
        <v>Rogelio Funes Mori</v>
      </c>
      <c r="BX287" s="306">
        <f ca="1">COUNTIF('Group Stages'!J7:J102,BW287)</f>
        <v>0</v>
      </c>
      <c r="BY287" s="306">
        <f ca="1">COUNTIF('Group Stages'!K7:K102,BW287)</f>
        <v>0</v>
      </c>
      <c r="BZ287" s="306">
        <f ca="1">COUNTIF('Group Stages'!L7:L102,BW287)</f>
        <v>0</v>
      </c>
      <c r="CA287" s="306">
        <f ca="1">COUNTIF('Group Stages'!M7:M102,BW287)</f>
        <v>0</v>
      </c>
      <c r="CB287" s="306">
        <f ca="1">COUNTIF('Group Stages'!N7:N102,BW287)</f>
        <v>0</v>
      </c>
      <c r="CC287" s="306">
        <f ca="1">COUNTIF('Group Stages'!O7:O102,BW287)</f>
        <v>0</v>
      </c>
      <c r="CD287" s="306">
        <f ca="1">COUNTIF('Group Stages'!P7:P102,BW287)</f>
        <v>0</v>
      </c>
      <c r="CE287" s="306">
        <f ca="1">COUNTIF('Group Stages'!Q7:Q102,BW287)</f>
        <v>0</v>
      </c>
      <c r="CF287" s="306">
        <f ca="1">COUNTIF('Knock Out Stages'!K7:K50,BW287)</f>
        <v>0</v>
      </c>
      <c r="CG287" s="306">
        <f ca="1">COUNTIF('Knock Out Stages'!L7:L50,BW287)</f>
        <v>0</v>
      </c>
      <c r="CH287" s="306">
        <f ca="1">COUNTIF('Knock Out Stages'!M7:M50,BW287)</f>
        <v>0</v>
      </c>
      <c r="CI287" s="306">
        <f ca="1">COUNTIF('Knock Out Stages'!N7:N50,BW287)</f>
        <v>0</v>
      </c>
      <c r="CJ287" s="306">
        <f ca="1">COUNTIF('Knock Out Stages'!O7:O50,BW287)</f>
        <v>0</v>
      </c>
      <c r="CK287" s="306">
        <f ca="1">COUNTIF('Knock Out Stages'!P7:P50,BW287)</f>
        <v>0</v>
      </c>
      <c r="CL287" s="306">
        <f ca="1">COUNTIF('Knock Out Stages'!Q7:Q50,BW287)</f>
        <v>0</v>
      </c>
      <c r="CM287" s="306">
        <f ca="1">COUNTIF('Knock Out Stages'!R7:R50,BW287)</f>
        <v>0</v>
      </c>
      <c r="CN287" s="306">
        <f ca="1">IF(RIGHT('Group Stages'!$B$105,5)="T.com",SUM(BX287:CM287),0)</f>
        <v>0</v>
      </c>
      <c r="CO287" s="306">
        <f ca="1">RANK(CN287,CN3:CN834)+COUNTIF(CN3:CN287,CN287)-1</f>
        <v>285</v>
      </c>
      <c r="CP287" s="306" t="str">
        <f t="shared" ca="1" si="189"/>
        <v>Rogelio Funes Mori (Mexico)</v>
      </c>
    </row>
    <row r="288" spans="72:94" x14ac:dyDescent="0.3">
      <c r="BT288" s="306" t="str">
        <f t="shared" ca="1" si="186"/>
        <v>Mexico</v>
      </c>
      <c r="BU288" s="306">
        <f t="shared" si="187"/>
        <v>25</v>
      </c>
      <c r="BV288" s="306">
        <f t="shared" si="188"/>
        <v>9</v>
      </c>
      <c r="BW288" s="306" t="str">
        <f ca="1">OFFSET(C3,BU288,BV288)</f>
        <v>Uriel Antuna</v>
      </c>
      <c r="BX288" s="306">
        <f ca="1">COUNTIF('Group Stages'!J7:J102,BW288)</f>
        <v>0</v>
      </c>
      <c r="BY288" s="306">
        <f ca="1">COUNTIF('Group Stages'!K7:K102,BW288)</f>
        <v>0</v>
      </c>
      <c r="BZ288" s="306">
        <f ca="1">COUNTIF('Group Stages'!L7:L102,BW288)</f>
        <v>0</v>
      </c>
      <c r="CA288" s="306">
        <f ca="1">COUNTIF('Group Stages'!M7:M102,BW288)</f>
        <v>0</v>
      </c>
      <c r="CB288" s="306">
        <f ca="1">COUNTIF('Group Stages'!N7:N102,BW288)</f>
        <v>0</v>
      </c>
      <c r="CC288" s="306">
        <f ca="1">COUNTIF('Group Stages'!O7:O102,BW288)</f>
        <v>0</v>
      </c>
      <c r="CD288" s="306">
        <f ca="1">COUNTIF('Group Stages'!P7:P102,BW288)</f>
        <v>0</v>
      </c>
      <c r="CE288" s="306">
        <f ca="1">COUNTIF('Group Stages'!Q7:Q102,BW288)</f>
        <v>0</v>
      </c>
      <c r="CF288" s="306">
        <f ca="1">COUNTIF('Knock Out Stages'!K7:K50,BW288)</f>
        <v>0</v>
      </c>
      <c r="CG288" s="306">
        <f ca="1">COUNTIF('Knock Out Stages'!L7:L50,BW288)</f>
        <v>0</v>
      </c>
      <c r="CH288" s="306">
        <f ca="1">COUNTIF('Knock Out Stages'!M7:M50,BW288)</f>
        <v>0</v>
      </c>
      <c r="CI288" s="306">
        <f ca="1">COUNTIF('Knock Out Stages'!N7:N50,BW288)</f>
        <v>0</v>
      </c>
      <c r="CJ288" s="306">
        <f ca="1">COUNTIF('Knock Out Stages'!O7:O50,BW288)</f>
        <v>0</v>
      </c>
      <c r="CK288" s="306">
        <f ca="1">COUNTIF('Knock Out Stages'!P7:P50,BW288)</f>
        <v>0</v>
      </c>
      <c r="CL288" s="306">
        <f ca="1">COUNTIF('Knock Out Stages'!Q7:Q50,BW288)</f>
        <v>0</v>
      </c>
      <c r="CM288" s="306">
        <f ca="1">COUNTIF('Knock Out Stages'!R7:R50,BW288)</f>
        <v>0</v>
      </c>
      <c r="CN288" s="306">
        <f ca="1">IF(RIGHT('Group Stages'!$B$105,5)="T.com",SUM(BX288:CM288),0)</f>
        <v>0</v>
      </c>
      <c r="CO288" s="306">
        <f ca="1">RANK(CN288,CN3:CN834)+COUNTIF(CN3:CN288,CN288)-1</f>
        <v>286</v>
      </c>
      <c r="CP288" s="306" t="str">
        <f t="shared" ca="1" si="189"/>
        <v>Uriel Antuna (Mexico)</v>
      </c>
    </row>
    <row r="289" spans="72:94" x14ac:dyDescent="0.3">
      <c r="BT289" s="306" t="str">
        <f ca="1">OFFSET(C2,BU289,BV289)</f>
        <v>Poland</v>
      </c>
      <c r="BU289" s="306">
        <f t="shared" si="187"/>
        <v>0</v>
      </c>
      <c r="BV289" s="306">
        <f t="shared" si="188"/>
        <v>10</v>
      </c>
      <c r="BW289" s="306" t="str">
        <f ca="1">OFFSET(C3,BU289,BV289)</f>
        <v>Arkadiusz Milik</v>
      </c>
      <c r="BX289" s="306">
        <f ca="1">COUNTIF('Group Stages'!J7:J102,BW289)</f>
        <v>0</v>
      </c>
      <c r="BY289" s="306">
        <f ca="1">COUNTIF('Group Stages'!K7:K102,BW289)</f>
        <v>0</v>
      </c>
      <c r="BZ289" s="306">
        <f ca="1">COUNTIF('Group Stages'!L7:L102,BW289)</f>
        <v>0</v>
      </c>
      <c r="CA289" s="306">
        <f ca="1">COUNTIF('Group Stages'!M7:M102,BW289)</f>
        <v>0</v>
      </c>
      <c r="CB289" s="306">
        <f ca="1">COUNTIF('Group Stages'!N7:N102,BW289)</f>
        <v>0</v>
      </c>
      <c r="CC289" s="306">
        <f ca="1">COUNTIF('Group Stages'!O7:O102,BW289)</f>
        <v>0</v>
      </c>
      <c r="CD289" s="306">
        <f ca="1">COUNTIF('Group Stages'!P7:P102,BW289)</f>
        <v>0</v>
      </c>
      <c r="CE289" s="306">
        <f ca="1">COUNTIF('Group Stages'!Q7:Q102,BW289)</f>
        <v>0</v>
      </c>
      <c r="CF289" s="306">
        <f ca="1">COUNTIF('Knock Out Stages'!K7:K50,BW289)</f>
        <v>0</v>
      </c>
      <c r="CG289" s="306">
        <f ca="1">COUNTIF('Knock Out Stages'!L7:L50,BW289)</f>
        <v>0</v>
      </c>
      <c r="CH289" s="306">
        <f ca="1">COUNTIF('Knock Out Stages'!M7:M50,BW289)</f>
        <v>0</v>
      </c>
      <c r="CI289" s="306">
        <f ca="1">COUNTIF('Knock Out Stages'!N7:N50,BW289)</f>
        <v>0</v>
      </c>
      <c r="CJ289" s="306">
        <f ca="1">COUNTIF('Knock Out Stages'!O7:O50,BW289)</f>
        <v>0</v>
      </c>
      <c r="CK289" s="306">
        <f ca="1">COUNTIF('Knock Out Stages'!P7:P50,BW289)</f>
        <v>0</v>
      </c>
      <c r="CL289" s="306">
        <f ca="1">COUNTIF('Knock Out Stages'!Q7:Q50,BW289)</f>
        <v>0</v>
      </c>
      <c r="CM289" s="306">
        <f ca="1">COUNTIF('Knock Out Stages'!R7:R50,BW289)</f>
        <v>0</v>
      </c>
      <c r="CN289" s="306">
        <f ca="1">IF(RIGHT('Group Stages'!$B$105,5)="T.com",SUM(BX289:CM289),0)</f>
        <v>0</v>
      </c>
      <c r="CO289" s="306">
        <f ca="1">RANK(CN289,CN3:CN834)+COUNTIF(CN3:CN289,CN289)-1</f>
        <v>287</v>
      </c>
      <c r="CP289" s="306" t="str">
        <f t="shared" ca="1" si="189"/>
        <v>Arkadiusz Milik (Poland)</v>
      </c>
    </row>
    <row r="290" spans="72:94" x14ac:dyDescent="0.3">
      <c r="BT290" s="306" t="str">
        <f t="shared" ref="BT290" ca="1" si="191">BT289</f>
        <v>Poland</v>
      </c>
      <c r="BU290" s="306">
        <f t="shared" si="187"/>
        <v>1</v>
      </c>
      <c r="BV290" s="306">
        <f t="shared" si="188"/>
        <v>10</v>
      </c>
      <c r="BW290" s="306" t="str">
        <f ca="1">OFFSET(C3,BU290,BV290)</f>
        <v>Artur Jędrzejczyk</v>
      </c>
      <c r="BX290" s="306">
        <f ca="1">COUNTIF('Group Stages'!J7:J102,BW290)</f>
        <v>0</v>
      </c>
      <c r="BY290" s="306">
        <f ca="1">COUNTIF('Group Stages'!K7:K102,BW290)</f>
        <v>0</v>
      </c>
      <c r="BZ290" s="306">
        <f ca="1">COUNTIF('Group Stages'!L7:L102,BW290)</f>
        <v>0</v>
      </c>
      <c r="CA290" s="306">
        <f ca="1">COUNTIF('Group Stages'!M7:M102,BW290)</f>
        <v>0</v>
      </c>
      <c r="CB290" s="306">
        <f ca="1">COUNTIF('Group Stages'!N7:N102,BW290)</f>
        <v>0</v>
      </c>
      <c r="CC290" s="306">
        <f ca="1">COUNTIF('Group Stages'!O7:O102,BW290)</f>
        <v>0</v>
      </c>
      <c r="CD290" s="306">
        <f ca="1">COUNTIF('Group Stages'!P7:P102,BW290)</f>
        <v>0</v>
      </c>
      <c r="CE290" s="306">
        <f ca="1">COUNTIF('Group Stages'!Q7:Q102,BW290)</f>
        <v>0</v>
      </c>
      <c r="CF290" s="306">
        <f ca="1">COUNTIF('Knock Out Stages'!K7:K50,BW290)</f>
        <v>0</v>
      </c>
      <c r="CG290" s="306">
        <f ca="1">COUNTIF('Knock Out Stages'!L7:L50,BW290)</f>
        <v>0</v>
      </c>
      <c r="CH290" s="306">
        <f ca="1">COUNTIF('Knock Out Stages'!M7:M50,BW290)</f>
        <v>0</v>
      </c>
      <c r="CI290" s="306">
        <f ca="1">COUNTIF('Knock Out Stages'!N7:N50,BW290)</f>
        <v>0</v>
      </c>
      <c r="CJ290" s="306">
        <f ca="1">COUNTIF('Knock Out Stages'!O7:O50,BW290)</f>
        <v>0</v>
      </c>
      <c r="CK290" s="306">
        <f ca="1">COUNTIF('Knock Out Stages'!P7:P50,BW290)</f>
        <v>0</v>
      </c>
      <c r="CL290" s="306">
        <f ca="1">COUNTIF('Knock Out Stages'!Q7:Q50,BW290)</f>
        <v>0</v>
      </c>
      <c r="CM290" s="306">
        <f ca="1">COUNTIF('Knock Out Stages'!R7:R50,BW290)</f>
        <v>0</v>
      </c>
      <c r="CN290" s="306">
        <f ca="1">IF(RIGHT('Group Stages'!$B$105,5)="T.com",SUM(BX290:CM290),0)</f>
        <v>0</v>
      </c>
      <c r="CO290" s="306">
        <f ca="1">RANK(CN290,CN3:CN834)+COUNTIF(CN3:CN290,CN290)-1</f>
        <v>288</v>
      </c>
      <c r="CP290" s="306" t="str">
        <f t="shared" ca="1" si="189"/>
        <v>Artur Jędrzejczyk (Poland)</v>
      </c>
    </row>
    <row r="291" spans="72:94" x14ac:dyDescent="0.3">
      <c r="BT291" s="306" t="str">
        <f t="shared" ca="1" si="186"/>
        <v>Poland</v>
      </c>
      <c r="BU291" s="306">
        <f t="shared" si="187"/>
        <v>2</v>
      </c>
      <c r="BV291" s="306">
        <f t="shared" si="188"/>
        <v>10</v>
      </c>
      <c r="BW291" s="306" t="str">
        <f ca="1">OFFSET(C3,BU291,BV291)</f>
        <v>Bartłomiej Drągowski</v>
      </c>
      <c r="BX291" s="306">
        <f ca="1">COUNTIF('Group Stages'!J7:J102,BW291)</f>
        <v>0</v>
      </c>
      <c r="BY291" s="306">
        <f ca="1">COUNTIF('Group Stages'!K7:K102,BW291)</f>
        <v>0</v>
      </c>
      <c r="BZ291" s="306">
        <f ca="1">COUNTIF('Group Stages'!L7:L102,BW291)</f>
        <v>0</v>
      </c>
      <c r="CA291" s="306">
        <f ca="1">COUNTIF('Group Stages'!M7:M102,BW291)</f>
        <v>0</v>
      </c>
      <c r="CB291" s="306">
        <f ca="1">COUNTIF('Group Stages'!N7:N102,BW291)</f>
        <v>0</v>
      </c>
      <c r="CC291" s="306">
        <f ca="1">COUNTIF('Group Stages'!O7:O102,BW291)</f>
        <v>0</v>
      </c>
      <c r="CD291" s="306">
        <f ca="1">COUNTIF('Group Stages'!P7:P102,BW291)</f>
        <v>0</v>
      </c>
      <c r="CE291" s="306">
        <f ca="1">COUNTIF('Group Stages'!Q7:Q102,BW291)</f>
        <v>0</v>
      </c>
      <c r="CF291" s="306">
        <f ca="1">COUNTIF('Knock Out Stages'!K7:K50,BW291)</f>
        <v>0</v>
      </c>
      <c r="CG291" s="306">
        <f ca="1">COUNTIF('Knock Out Stages'!L7:L50,BW291)</f>
        <v>0</v>
      </c>
      <c r="CH291" s="306">
        <f ca="1">COUNTIF('Knock Out Stages'!M7:M50,BW291)</f>
        <v>0</v>
      </c>
      <c r="CI291" s="306">
        <f ca="1">COUNTIF('Knock Out Stages'!N7:N50,BW291)</f>
        <v>0</v>
      </c>
      <c r="CJ291" s="306">
        <f ca="1">COUNTIF('Knock Out Stages'!O7:O50,BW291)</f>
        <v>0</v>
      </c>
      <c r="CK291" s="306">
        <f ca="1">COUNTIF('Knock Out Stages'!P7:P50,BW291)</f>
        <v>0</v>
      </c>
      <c r="CL291" s="306">
        <f ca="1">COUNTIF('Knock Out Stages'!Q7:Q50,BW291)</f>
        <v>0</v>
      </c>
      <c r="CM291" s="306">
        <f ca="1">COUNTIF('Knock Out Stages'!R7:R50,BW291)</f>
        <v>0</v>
      </c>
      <c r="CN291" s="306">
        <f ca="1">IF(RIGHT('Group Stages'!$B$105,5)="T.com",SUM(BX291:CM291),0)</f>
        <v>0</v>
      </c>
      <c r="CO291" s="306">
        <f ca="1">RANK(CN291,CN3:CN834)+COUNTIF(CN3:CN291,CN291)-1</f>
        <v>289</v>
      </c>
      <c r="CP291" s="306" t="str">
        <f t="shared" ca="1" si="189"/>
        <v>Bartłomiej Drągowski (Poland)</v>
      </c>
    </row>
    <row r="292" spans="72:94" x14ac:dyDescent="0.3">
      <c r="BT292" s="306" t="str">
        <f t="shared" ca="1" si="186"/>
        <v>Poland</v>
      </c>
      <c r="BU292" s="306">
        <f t="shared" si="187"/>
        <v>3</v>
      </c>
      <c r="BV292" s="306">
        <f t="shared" si="188"/>
        <v>10</v>
      </c>
      <c r="BW292" s="306" t="str">
        <f ca="1">OFFSET(C3,BU292,BV292)</f>
        <v>Bartosz Bereszyński</v>
      </c>
      <c r="BX292" s="306">
        <f ca="1">COUNTIF('Group Stages'!J7:J102,BW292)</f>
        <v>0</v>
      </c>
      <c r="BY292" s="306">
        <f ca="1">COUNTIF('Group Stages'!K7:K102,BW292)</f>
        <v>0</v>
      </c>
      <c r="BZ292" s="306">
        <f ca="1">COUNTIF('Group Stages'!L7:L102,BW292)</f>
        <v>0</v>
      </c>
      <c r="CA292" s="306">
        <f ca="1">COUNTIF('Group Stages'!M7:M102,BW292)</f>
        <v>0</v>
      </c>
      <c r="CB292" s="306">
        <f ca="1">COUNTIF('Group Stages'!N7:N102,BW292)</f>
        <v>0</v>
      </c>
      <c r="CC292" s="306">
        <f ca="1">COUNTIF('Group Stages'!O7:O102,BW292)</f>
        <v>0</v>
      </c>
      <c r="CD292" s="306">
        <f ca="1">COUNTIF('Group Stages'!P7:P102,BW292)</f>
        <v>0</v>
      </c>
      <c r="CE292" s="306">
        <f ca="1">COUNTIF('Group Stages'!Q7:Q102,BW292)</f>
        <v>0</v>
      </c>
      <c r="CF292" s="306">
        <f ca="1">COUNTIF('Knock Out Stages'!K7:K50,BW292)</f>
        <v>0</v>
      </c>
      <c r="CG292" s="306">
        <f ca="1">COUNTIF('Knock Out Stages'!L7:L50,BW292)</f>
        <v>0</v>
      </c>
      <c r="CH292" s="306">
        <f ca="1">COUNTIF('Knock Out Stages'!M7:M50,BW292)</f>
        <v>0</v>
      </c>
      <c r="CI292" s="306">
        <f ca="1">COUNTIF('Knock Out Stages'!N7:N50,BW292)</f>
        <v>0</v>
      </c>
      <c r="CJ292" s="306">
        <f ca="1">COUNTIF('Knock Out Stages'!O7:O50,BW292)</f>
        <v>0</v>
      </c>
      <c r="CK292" s="306">
        <f ca="1">COUNTIF('Knock Out Stages'!P7:P50,BW292)</f>
        <v>0</v>
      </c>
      <c r="CL292" s="306">
        <f ca="1">COUNTIF('Knock Out Stages'!Q7:Q50,BW292)</f>
        <v>0</v>
      </c>
      <c r="CM292" s="306">
        <f ca="1">COUNTIF('Knock Out Stages'!R7:R50,BW292)</f>
        <v>0</v>
      </c>
      <c r="CN292" s="306">
        <f ca="1">IF(RIGHT('Group Stages'!$B$105,5)="T.com",SUM(BX292:CM292),0)</f>
        <v>0</v>
      </c>
      <c r="CO292" s="306">
        <f ca="1">RANK(CN292,CN3:CN834)+COUNTIF(CN3:CN292,CN292)-1</f>
        <v>290</v>
      </c>
      <c r="CP292" s="306" t="str">
        <f t="shared" ca="1" si="189"/>
        <v>Bartosz Bereszyński (Poland)</v>
      </c>
    </row>
    <row r="293" spans="72:94" x14ac:dyDescent="0.3">
      <c r="BT293" s="306" t="str">
        <f t="shared" ca="1" si="186"/>
        <v>Poland</v>
      </c>
      <c r="BU293" s="306">
        <f t="shared" si="187"/>
        <v>4</v>
      </c>
      <c r="BV293" s="306">
        <f t="shared" si="188"/>
        <v>10</v>
      </c>
      <c r="BW293" s="306" t="str">
        <f ca="1">OFFSET(C3,BU293,BV293)</f>
        <v>Damian Szymański</v>
      </c>
      <c r="BX293" s="306">
        <f ca="1">COUNTIF('Group Stages'!J7:J102,BW293)</f>
        <v>0</v>
      </c>
      <c r="BY293" s="306">
        <f ca="1">COUNTIF('Group Stages'!K7:K102,BW293)</f>
        <v>0</v>
      </c>
      <c r="BZ293" s="306">
        <f ca="1">COUNTIF('Group Stages'!L7:L102,BW293)</f>
        <v>0</v>
      </c>
      <c r="CA293" s="306">
        <f ca="1">COUNTIF('Group Stages'!M7:M102,BW293)</f>
        <v>0</v>
      </c>
      <c r="CB293" s="306">
        <f ca="1">COUNTIF('Group Stages'!N7:N102,BW293)</f>
        <v>0</v>
      </c>
      <c r="CC293" s="306">
        <f ca="1">COUNTIF('Group Stages'!O7:O102,BW293)</f>
        <v>0</v>
      </c>
      <c r="CD293" s="306">
        <f ca="1">COUNTIF('Group Stages'!P7:P102,BW293)</f>
        <v>0</v>
      </c>
      <c r="CE293" s="306">
        <f ca="1">COUNTIF('Group Stages'!Q7:Q102,BW293)</f>
        <v>0</v>
      </c>
      <c r="CF293" s="306">
        <f ca="1">COUNTIF('Knock Out Stages'!K7:K50,BW293)</f>
        <v>0</v>
      </c>
      <c r="CG293" s="306">
        <f ca="1">COUNTIF('Knock Out Stages'!L7:L50,BW293)</f>
        <v>0</v>
      </c>
      <c r="CH293" s="306">
        <f ca="1">COUNTIF('Knock Out Stages'!M7:M50,BW293)</f>
        <v>0</v>
      </c>
      <c r="CI293" s="306">
        <f ca="1">COUNTIF('Knock Out Stages'!N7:N50,BW293)</f>
        <v>0</v>
      </c>
      <c r="CJ293" s="306">
        <f ca="1">COUNTIF('Knock Out Stages'!O7:O50,BW293)</f>
        <v>0</v>
      </c>
      <c r="CK293" s="306">
        <f ca="1">COUNTIF('Knock Out Stages'!P7:P50,BW293)</f>
        <v>0</v>
      </c>
      <c r="CL293" s="306">
        <f ca="1">COUNTIF('Knock Out Stages'!Q7:Q50,BW293)</f>
        <v>0</v>
      </c>
      <c r="CM293" s="306">
        <f ca="1">COUNTIF('Knock Out Stages'!R7:R50,BW293)</f>
        <v>0</v>
      </c>
      <c r="CN293" s="306">
        <f ca="1">IF(RIGHT('Group Stages'!$B$105,5)="T.com",SUM(BX293:CM293),0)</f>
        <v>0</v>
      </c>
      <c r="CO293" s="306">
        <f ca="1">RANK(CN293,CN3:CN834)+COUNTIF(CN3:CN293,CN293)-1</f>
        <v>291</v>
      </c>
      <c r="CP293" s="306" t="str">
        <f t="shared" ca="1" si="189"/>
        <v>Damian Szymański (Poland)</v>
      </c>
    </row>
    <row r="294" spans="72:94" x14ac:dyDescent="0.3">
      <c r="BT294" s="306" t="str">
        <f t="shared" ca="1" si="186"/>
        <v>Poland</v>
      </c>
      <c r="BU294" s="306">
        <f t="shared" si="187"/>
        <v>5</v>
      </c>
      <c r="BV294" s="306">
        <f t="shared" si="188"/>
        <v>10</v>
      </c>
      <c r="BW294" s="306" t="str">
        <f ca="1">OFFSET(C3,BU294,BV294)</f>
        <v>Grzegorz Krychowiak</v>
      </c>
      <c r="BX294" s="306">
        <f ca="1">COUNTIF('Group Stages'!J7:J102,BW294)</f>
        <v>0</v>
      </c>
      <c r="BY294" s="306">
        <f ca="1">COUNTIF('Group Stages'!K7:K102,BW294)</f>
        <v>0</v>
      </c>
      <c r="BZ294" s="306">
        <f ca="1">COUNTIF('Group Stages'!L7:L102,BW294)</f>
        <v>0</v>
      </c>
      <c r="CA294" s="306">
        <f ca="1">COUNTIF('Group Stages'!M7:M102,BW294)</f>
        <v>0</v>
      </c>
      <c r="CB294" s="306">
        <f ca="1">COUNTIF('Group Stages'!N7:N102,BW294)</f>
        <v>0</v>
      </c>
      <c r="CC294" s="306">
        <f ca="1">COUNTIF('Group Stages'!O7:O102,BW294)</f>
        <v>0</v>
      </c>
      <c r="CD294" s="306">
        <f ca="1">COUNTIF('Group Stages'!P7:P102,BW294)</f>
        <v>0</v>
      </c>
      <c r="CE294" s="306">
        <f ca="1">COUNTIF('Group Stages'!Q7:Q102,BW294)</f>
        <v>0</v>
      </c>
      <c r="CF294" s="306">
        <f ca="1">COUNTIF('Knock Out Stages'!K7:K50,BW294)</f>
        <v>0</v>
      </c>
      <c r="CG294" s="306">
        <f ca="1">COUNTIF('Knock Out Stages'!L7:L50,BW294)</f>
        <v>0</v>
      </c>
      <c r="CH294" s="306">
        <f ca="1">COUNTIF('Knock Out Stages'!M7:M50,BW294)</f>
        <v>0</v>
      </c>
      <c r="CI294" s="306">
        <f ca="1">COUNTIF('Knock Out Stages'!N7:N50,BW294)</f>
        <v>0</v>
      </c>
      <c r="CJ294" s="306">
        <f ca="1">COUNTIF('Knock Out Stages'!O7:O50,BW294)</f>
        <v>0</v>
      </c>
      <c r="CK294" s="306">
        <f ca="1">COUNTIF('Knock Out Stages'!P7:P50,BW294)</f>
        <v>0</v>
      </c>
      <c r="CL294" s="306">
        <f ca="1">COUNTIF('Knock Out Stages'!Q7:Q50,BW294)</f>
        <v>0</v>
      </c>
      <c r="CM294" s="306">
        <f ca="1">COUNTIF('Knock Out Stages'!R7:R50,BW294)</f>
        <v>0</v>
      </c>
      <c r="CN294" s="306">
        <f ca="1">IF(RIGHT('Group Stages'!$B$105,5)="T.com",SUM(BX294:CM294),0)</f>
        <v>0</v>
      </c>
      <c r="CO294" s="306">
        <f ca="1">RANK(CN294,CN3:CN834)+COUNTIF(CN3:CN294,CN294)-1</f>
        <v>292</v>
      </c>
      <c r="CP294" s="306" t="str">
        <f t="shared" ca="1" si="189"/>
        <v>Grzegorz Krychowiak (Poland)</v>
      </c>
    </row>
    <row r="295" spans="72:94" x14ac:dyDescent="0.3">
      <c r="BT295" s="306" t="str">
        <f t="shared" ca="1" si="186"/>
        <v>Poland</v>
      </c>
      <c r="BU295" s="306">
        <f t="shared" si="187"/>
        <v>6</v>
      </c>
      <c r="BV295" s="306">
        <f t="shared" si="188"/>
        <v>10</v>
      </c>
      <c r="BW295" s="306" t="str">
        <f ca="1">OFFSET(C3,BU295,BV295)</f>
        <v>Jakub Kamiński</v>
      </c>
      <c r="BX295" s="306">
        <f ca="1">COUNTIF('Group Stages'!J7:J102,BW295)</f>
        <v>0</v>
      </c>
      <c r="BY295" s="306">
        <f ca="1">COUNTIF('Group Stages'!K7:K102,BW295)</f>
        <v>0</v>
      </c>
      <c r="BZ295" s="306">
        <f ca="1">COUNTIF('Group Stages'!L7:L102,BW295)</f>
        <v>0</v>
      </c>
      <c r="CA295" s="306">
        <f ca="1">COUNTIF('Group Stages'!M7:M102,BW295)</f>
        <v>0</v>
      </c>
      <c r="CB295" s="306">
        <f ca="1">COUNTIF('Group Stages'!N7:N102,BW295)</f>
        <v>0</v>
      </c>
      <c r="CC295" s="306">
        <f ca="1">COUNTIF('Group Stages'!O7:O102,BW295)</f>
        <v>0</v>
      </c>
      <c r="CD295" s="306">
        <f ca="1">COUNTIF('Group Stages'!P7:P102,BW295)</f>
        <v>0</v>
      </c>
      <c r="CE295" s="306">
        <f ca="1">COUNTIF('Group Stages'!Q7:Q102,BW295)</f>
        <v>0</v>
      </c>
      <c r="CF295" s="306">
        <f ca="1">COUNTIF('Knock Out Stages'!K7:K50,BW295)</f>
        <v>0</v>
      </c>
      <c r="CG295" s="306">
        <f ca="1">COUNTIF('Knock Out Stages'!L7:L50,BW295)</f>
        <v>0</v>
      </c>
      <c r="CH295" s="306">
        <f ca="1">COUNTIF('Knock Out Stages'!M7:M50,BW295)</f>
        <v>0</v>
      </c>
      <c r="CI295" s="306">
        <f ca="1">COUNTIF('Knock Out Stages'!N7:N50,BW295)</f>
        <v>0</v>
      </c>
      <c r="CJ295" s="306">
        <f ca="1">COUNTIF('Knock Out Stages'!O7:O50,BW295)</f>
        <v>0</v>
      </c>
      <c r="CK295" s="306">
        <f ca="1">COUNTIF('Knock Out Stages'!P7:P50,BW295)</f>
        <v>0</v>
      </c>
      <c r="CL295" s="306">
        <f ca="1">COUNTIF('Knock Out Stages'!Q7:Q50,BW295)</f>
        <v>0</v>
      </c>
      <c r="CM295" s="306">
        <f ca="1">COUNTIF('Knock Out Stages'!R7:R50,BW295)</f>
        <v>0</v>
      </c>
      <c r="CN295" s="306">
        <f ca="1">IF(RIGHT('Group Stages'!$B$105,5)="T.com",SUM(BX295:CM295),0)</f>
        <v>0</v>
      </c>
      <c r="CO295" s="306">
        <f ca="1">RANK(CN295,CN3:CN834)+COUNTIF(CN3:CN295,CN295)-1</f>
        <v>293</v>
      </c>
      <c r="CP295" s="306" t="str">
        <f t="shared" ca="1" si="189"/>
        <v>Jakub Kamiński (Poland)</v>
      </c>
    </row>
    <row r="296" spans="72:94" x14ac:dyDescent="0.3">
      <c r="BT296" s="306" t="str">
        <f t="shared" ca="1" si="186"/>
        <v>Poland</v>
      </c>
      <c r="BU296" s="306">
        <f t="shared" si="187"/>
        <v>7</v>
      </c>
      <c r="BV296" s="306">
        <f t="shared" si="188"/>
        <v>10</v>
      </c>
      <c r="BW296" s="306" t="str">
        <f ca="1">OFFSET(C3,BU296,BV296)</f>
        <v>Jakub Kiwior</v>
      </c>
      <c r="BX296" s="306">
        <f ca="1">COUNTIF('Group Stages'!J7:J102,BW296)</f>
        <v>0</v>
      </c>
      <c r="BY296" s="306">
        <f ca="1">COUNTIF('Group Stages'!K7:K102,BW296)</f>
        <v>0</v>
      </c>
      <c r="BZ296" s="306">
        <f ca="1">COUNTIF('Group Stages'!L7:L102,BW296)</f>
        <v>0</v>
      </c>
      <c r="CA296" s="306">
        <f ca="1">COUNTIF('Group Stages'!M7:M102,BW296)</f>
        <v>0</v>
      </c>
      <c r="CB296" s="306">
        <f ca="1">COUNTIF('Group Stages'!N7:N102,BW296)</f>
        <v>0</v>
      </c>
      <c r="CC296" s="306">
        <f ca="1">COUNTIF('Group Stages'!O7:O102,BW296)</f>
        <v>0</v>
      </c>
      <c r="CD296" s="306">
        <f ca="1">COUNTIF('Group Stages'!P7:P102,BW296)</f>
        <v>0</v>
      </c>
      <c r="CE296" s="306">
        <f ca="1">COUNTIF('Group Stages'!Q7:Q102,BW296)</f>
        <v>0</v>
      </c>
      <c r="CF296" s="306">
        <f ca="1">COUNTIF('Knock Out Stages'!K7:K50,BW296)</f>
        <v>0</v>
      </c>
      <c r="CG296" s="306">
        <f ca="1">COUNTIF('Knock Out Stages'!L7:L50,BW296)</f>
        <v>0</v>
      </c>
      <c r="CH296" s="306">
        <f ca="1">COUNTIF('Knock Out Stages'!M7:M50,BW296)</f>
        <v>0</v>
      </c>
      <c r="CI296" s="306">
        <f ca="1">COUNTIF('Knock Out Stages'!N7:N50,BW296)</f>
        <v>0</v>
      </c>
      <c r="CJ296" s="306">
        <f ca="1">COUNTIF('Knock Out Stages'!O7:O50,BW296)</f>
        <v>0</v>
      </c>
      <c r="CK296" s="306">
        <f ca="1">COUNTIF('Knock Out Stages'!P7:P50,BW296)</f>
        <v>0</v>
      </c>
      <c r="CL296" s="306">
        <f ca="1">COUNTIF('Knock Out Stages'!Q7:Q50,BW296)</f>
        <v>0</v>
      </c>
      <c r="CM296" s="306">
        <f ca="1">COUNTIF('Knock Out Stages'!R7:R50,BW296)</f>
        <v>0</v>
      </c>
      <c r="CN296" s="306">
        <f ca="1">IF(RIGHT('Group Stages'!$B$105,5)="T.com",SUM(BX296:CM296),0)</f>
        <v>0</v>
      </c>
      <c r="CO296" s="306">
        <f ca="1">RANK(CN296,CN3:CN834)+COUNTIF(CN3:CN296,CN296)-1</f>
        <v>294</v>
      </c>
      <c r="CP296" s="306" t="str">
        <f t="shared" ca="1" si="189"/>
        <v>Jakub Kiwior (Poland)</v>
      </c>
    </row>
    <row r="297" spans="72:94" x14ac:dyDescent="0.3">
      <c r="BT297" s="306" t="str">
        <f t="shared" ca="1" si="186"/>
        <v>Poland</v>
      </c>
      <c r="BU297" s="306">
        <f t="shared" si="187"/>
        <v>8</v>
      </c>
      <c r="BV297" s="306">
        <f t="shared" si="188"/>
        <v>10</v>
      </c>
      <c r="BW297" s="306" t="str">
        <f ca="1">OFFSET(C3,BU297,BV297)</f>
        <v>Jan Bednarek</v>
      </c>
      <c r="BX297" s="306">
        <f ca="1">COUNTIF('Group Stages'!J7:J102,BW297)</f>
        <v>0</v>
      </c>
      <c r="BY297" s="306">
        <f ca="1">COUNTIF('Group Stages'!K7:K102,BW297)</f>
        <v>0</v>
      </c>
      <c r="BZ297" s="306">
        <f ca="1">COUNTIF('Group Stages'!L7:L102,BW297)</f>
        <v>0</v>
      </c>
      <c r="CA297" s="306">
        <f ca="1">COUNTIF('Group Stages'!M7:M102,BW297)</f>
        <v>0</v>
      </c>
      <c r="CB297" s="306">
        <f ca="1">COUNTIF('Group Stages'!N7:N102,BW297)</f>
        <v>0</v>
      </c>
      <c r="CC297" s="306">
        <f ca="1">COUNTIF('Group Stages'!O7:O102,BW297)</f>
        <v>0</v>
      </c>
      <c r="CD297" s="306">
        <f ca="1">COUNTIF('Group Stages'!P7:P102,BW297)</f>
        <v>0</v>
      </c>
      <c r="CE297" s="306">
        <f ca="1">COUNTIF('Group Stages'!Q7:Q102,BW297)</f>
        <v>0</v>
      </c>
      <c r="CF297" s="306">
        <f ca="1">COUNTIF('Knock Out Stages'!K7:K50,BW297)</f>
        <v>0</v>
      </c>
      <c r="CG297" s="306">
        <f ca="1">COUNTIF('Knock Out Stages'!L7:L50,BW297)</f>
        <v>0</v>
      </c>
      <c r="CH297" s="306">
        <f ca="1">COUNTIF('Knock Out Stages'!M7:M50,BW297)</f>
        <v>0</v>
      </c>
      <c r="CI297" s="306">
        <f ca="1">COUNTIF('Knock Out Stages'!N7:N50,BW297)</f>
        <v>0</v>
      </c>
      <c r="CJ297" s="306">
        <f ca="1">COUNTIF('Knock Out Stages'!O7:O50,BW297)</f>
        <v>0</v>
      </c>
      <c r="CK297" s="306">
        <f ca="1">COUNTIF('Knock Out Stages'!P7:P50,BW297)</f>
        <v>0</v>
      </c>
      <c r="CL297" s="306">
        <f ca="1">COUNTIF('Knock Out Stages'!Q7:Q50,BW297)</f>
        <v>0</v>
      </c>
      <c r="CM297" s="306">
        <f ca="1">COUNTIF('Knock Out Stages'!R7:R50,BW297)</f>
        <v>0</v>
      </c>
      <c r="CN297" s="306">
        <f ca="1">IF(RIGHT('Group Stages'!$B$105,5)="T.com",SUM(BX297:CM297),0)</f>
        <v>0</v>
      </c>
      <c r="CO297" s="306">
        <f ca="1">RANK(CN297,CN3:CN834)+COUNTIF(CN3:CN297,CN297)-1</f>
        <v>295</v>
      </c>
      <c r="CP297" s="306" t="str">
        <f t="shared" ca="1" si="189"/>
        <v>Jan Bednarek (Poland)</v>
      </c>
    </row>
    <row r="298" spans="72:94" x14ac:dyDescent="0.3">
      <c r="BT298" s="306" t="str">
        <f t="shared" ca="1" si="186"/>
        <v>Poland</v>
      </c>
      <c r="BU298" s="306">
        <f t="shared" si="187"/>
        <v>9</v>
      </c>
      <c r="BV298" s="306">
        <f t="shared" si="188"/>
        <v>10</v>
      </c>
      <c r="BW298" s="306" t="str">
        <f ca="1">OFFSET(C3,BU298,BV298)</f>
        <v>Kamil Glik</v>
      </c>
      <c r="BX298" s="306">
        <f ca="1">COUNTIF('Group Stages'!J7:J102,BW298)</f>
        <v>0</v>
      </c>
      <c r="BY298" s="306">
        <f ca="1">COUNTIF('Group Stages'!K7:K102,BW298)</f>
        <v>0</v>
      </c>
      <c r="BZ298" s="306">
        <f ca="1">COUNTIF('Group Stages'!L7:L102,BW298)</f>
        <v>0</v>
      </c>
      <c r="CA298" s="306">
        <f ca="1">COUNTIF('Group Stages'!M7:M102,BW298)</f>
        <v>0</v>
      </c>
      <c r="CB298" s="306">
        <f ca="1">COUNTIF('Group Stages'!N7:N102,BW298)</f>
        <v>0</v>
      </c>
      <c r="CC298" s="306">
        <f ca="1">COUNTIF('Group Stages'!O7:O102,BW298)</f>
        <v>0</v>
      </c>
      <c r="CD298" s="306">
        <f ca="1">COUNTIF('Group Stages'!P7:P102,BW298)</f>
        <v>0</v>
      </c>
      <c r="CE298" s="306">
        <f ca="1">COUNTIF('Group Stages'!Q7:Q102,BW298)</f>
        <v>0</v>
      </c>
      <c r="CF298" s="306">
        <f ca="1">COUNTIF('Knock Out Stages'!K7:K50,BW298)</f>
        <v>0</v>
      </c>
      <c r="CG298" s="306">
        <f ca="1">COUNTIF('Knock Out Stages'!L7:L50,BW298)</f>
        <v>0</v>
      </c>
      <c r="CH298" s="306">
        <f ca="1">COUNTIF('Knock Out Stages'!M7:M50,BW298)</f>
        <v>0</v>
      </c>
      <c r="CI298" s="306">
        <f ca="1">COUNTIF('Knock Out Stages'!N7:N50,BW298)</f>
        <v>0</v>
      </c>
      <c r="CJ298" s="306">
        <f ca="1">COUNTIF('Knock Out Stages'!O7:O50,BW298)</f>
        <v>0</v>
      </c>
      <c r="CK298" s="306">
        <f ca="1">COUNTIF('Knock Out Stages'!P7:P50,BW298)</f>
        <v>0</v>
      </c>
      <c r="CL298" s="306">
        <f ca="1">COUNTIF('Knock Out Stages'!Q7:Q50,BW298)</f>
        <v>0</v>
      </c>
      <c r="CM298" s="306">
        <f ca="1">COUNTIF('Knock Out Stages'!R7:R50,BW298)</f>
        <v>0</v>
      </c>
      <c r="CN298" s="306">
        <f ca="1">IF(RIGHT('Group Stages'!$B$105,5)="T.com",SUM(BX298:CM298),0)</f>
        <v>0</v>
      </c>
      <c r="CO298" s="306">
        <f ca="1">RANK(CN298,CN3:CN834)+COUNTIF(CN3:CN298,CN298)-1</f>
        <v>296</v>
      </c>
      <c r="CP298" s="306" t="str">
        <f t="shared" ca="1" si="189"/>
        <v>Kamil Glik (Poland)</v>
      </c>
    </row>
    <row r="299" spans="72:94" x14ac:dyDescent="0.3">
      <c r="BT299" s="306" t="str">
        <f t="shared" ca="1" si="186"/>
        <v>Poland</v>
      </c>
      <c r="BU299" s="306">
        <f t="shared" si="187"/>
        <v>10</v>
      </c>
      <c r="BV299" s="306">
        <f t="shared" si="188"/>
        <v>10</v>
      </c>
      <c r="BW299" s="306" t="str">
        <f ca="1">OFFSET(C3,BU299,BV299)</f>
        <v>Kamil Grosicki</v>
      </c>
      <c r="BX299" s="306">
        <f ca="1">COUNTIF('Group Stages'!J7:J102,BW299)</f>
        <v>0</v>
      </c>
      <c r="BY299" s="306">
        <f ca="1">COUNTIF('Group Stages'!K7:K102,BW299)</f>
        <v>0</v>
      </c>
      <c r="BZ299" s="306">
        <f ca="1">COUNTIF('Group Stages'!L7:L102,BW299)</f>
        <v>0</v>
      </c>
      <c r="CA299" s="306">
        <f ca="1">COUNTIF('Group Stages'!M7:M102,BW299)</f>
        <v>0</v>
      </c>
      <c r="CB299" s="306">
        <f ca="1">COUNTIF('Group Stages'!N7:N102,BW299)</f>
        <v>0</v>
      </c>
      <c r="CC299" s="306">
        <f ca="1">COUNTIF('Group Stages'!O7:O102,BW299)</f>
        <v>0</v>
      </c>
      <c r="CD299" s="306">
        <f ca="1">COUNTIF('Group Stages'!P7:P102,BW299)</f>
        <v>0</v>
      </c>
      <c r="CE299" s="306">
        <f ca="1">COUNTIF('Group Stages'!Q7:Q102,BW299)</f>
        <v>0</v>
      </c>
      <c r="CF299" s="306">
        <f ca="1">COUNTIF('Knock Out Stages'!K7:K50,BW299)</f>
        <v>0</v>
      </c>
      <c r="CG299" s="306">
        <f ca="1">COUNTIF('Knock Out Stages'!L7:L50,BW299)</f>
        <v>0</v>
      </c>
      <c r="CH299" s="306">
        <f ca="1">COUNTIF('Knock Out Stages'!M7:M50,BW299)</f>
        <v>0</v>
      </c>
      <c r="CI299" s="306">
        <f ca="1">COUNTIF('Knock Out Stages'!N7:N50,BW299)</f>
        <v>0</v>
      </c>
      <c r="CJ299" s="306">
        <f ca="1">COUNTIF('Knock Out Stages'!O7:O50,BW299)</f>
        <v>0</v>
      </c>
      <c r="CK299" s="306">
        <f ca="1">COUNTIF('Knock Out Stages'!P7:P50,BW299)</f>
        <v>0</v>
      </c>
      <c r="CL299" s="306">
        <f ca="1">COUNTIF('Knock Out Stages'!Q7:Q50,BW299)</f>
        <v>0</v>
      </c>
      <c r="CM299" s="306">
        <f ca="1">COUNTIF('Knock Out Stages'!R7:R50,BW299)</f>
        <v>0</v>
      </c>
      <c r="CN299" s="306">
        <f ca="1">IF(RIGHT('Group Stages'!$B$105,5)="T.com",SUM(BX299:CM299),0)</f>
        <v>0</v>
      </c>
      <c r="CO299" s="306">
        <f ca="1">RANK(CN299,CN3:CN834)+COUNTIF(CN3:CN299,CN299)-1</f>
        <v>297</v>
      </c>
      <c r="CP299" s="306" t="str">
        <f t="shared" ca="1" si="189"/>
        <v>Kamil Grosicki (Poland)</v>
      </c>
    </row>
    <row r="300" spans="72:94" x14ac:dyDescent="0.3">
      <c r="BT300" s="306" t="str">
        <f t="shared" ca="1" si="186"/>
        <v>Poland</v>
      </c>
      <c r="BU300" s="306">
        <f t="shared" si="187"/>
        <v>11</v>
      </c>
      <c r="BV300" s="306">
        <f t="shared" si="188"/>
        <v>10</v>
      </c>
      <c r="BW300" s="306" t="str">
        <f ca="1">OFFSET(C3,BU300,BV300)</f>
        <v>Karol Świderski</v>
      </c>
      <c r="BX300" s="306">
        <f ca="1">COUNTIF('Group Stages'!J7:J102,BW300)</f>
        <v>0</v>
      </c>
      <c r="BY300" s="306">
        <f ca="1">COUNTIF('Group Stages'!K7:K102,BW300)</f>
        <v>0</v>
      </c>
      <c r="BZ300" s="306">
        <f ca="1">COUNTIF('Group Stages'!L7:L102,BW300)</f>
        <v>0</v>
      </c>
      <c r="CA300" s="306">
        <f ca="1">COUNTIF('Group Stages'!M7:M102,BW300)</f>
        <v>0</v>
      </c>
      <c r="CB300" s="306">
        <f ca="1">COUNTIF('Group Stages'!N7:N102,BW300)</f>
        <v>0</v>
      </c>
      <c r="CC300" s="306">
        <f ca="1">COUNTIF('Group Stages'!O7:O102,BW300)</f>
        <v>0</v>
      </c>
      <c r="CD300" s="306">
        <f ca="1">COUNTIF('Group Stages'!P7:P102,BW300)</f>
        <v>0</v>
      </c>
      <c r="CE300" s="306">
        <f ca="1">COUNTIF('Group Stages'!Q7:Q102,BW300)</f>
        <v>0</v>
      </c>
      <c r="CF300" s="306">
        <f ca="1">COUNTIF('Knock Out Stages'!K7:K50,BW300)</f>
        <v>0</v>
      </c>
      <c r="CG300" s="306">
        <f ca="1">COUNTIF('Knock Out Stages'!L7:L50,BW300)</f>
        <v>0</v>
      </c>
      <c r="CH300" s="306">
        <f ca="1">COUNTIF('Knock Out Stages'!M7:M50,BW300)</f>
        <v>0</v>
      </c>
      <c r="CI300" s="306">
        <f ca="1">COUNTIF('Knock Out Stages'!N7:N50,BW300)</f>
        <v>0</v>
      </c>
      <c r="CJ300" s="306">
        <f ca="1">COUNTIF('Knock Out Stages'!O7:O50,BW300)</f>
        <v>0</v>
      </c>
      <c r="CK300" s="306">
        <f ca="1">COUNTIF('Knock Out Stages'!P7:P50,BW300)</f>
        <v>0</v>
      </c>
      <c r="CL300" s="306">
        <f ca="1">COUNTIF('Knock Out Stages'!Q7:Q50,BW300)</f>
        <v>0</v>
      </c>
      <c r="CM300" s="306">
        <f ca="1">COUNTIF('Knock Out Stages'!R7:R50,BW300)</f>
        <v>0</v>
      </c>
      <c r="CN300" s="306">
        <f ca="1">IF(RIGHT('Group Stages'!$B$105,5)="T.com",SUM(BX300:CM300),0)</f>
        <v>0</v>
      </c>
      <c r="CO300" s="306">
        <f ca="1">RANK(CN300,CN3:CN834)+COUNTIF(CN3:CN300,CN300)-1</f>
        <v>298</v>
      </c>
      <c r="CP300" s="306" t="str">
        <f t="shared" ca="1" si="189"/>
        <v>Karol Świderski (Poland)</v>
      </c>
    </row>
    <row r="301" spans="72:94" x14ac:dyDescent="0.3">
      <c r="BT301" s="306" t="str">
        <f t="shared" ca="1" si="186"/>
        <v>Poland</v>
      </c>
      <c r="BU301" s="306">
        <f t="shared" si="187"/>
        <v>12</v>
      </c>
      <c r="BV301" s="306">
        <f t="shared" si="188"/>
        <v>10</v>
      </c>
      <c r="BW301" s="306" t="str">
        <f ca="1">OFFSET(C3,BU301,BV301)</f>
        <v>Krystian Bielik</v>
      </c>
      <c r="BX301" s="306">
        <f ca="1">COUNTIF('Group Stages'!J7:J102,BW301)</f>
        <v>0</v>
      </c>
      <c r="BY301" s="306">
        <f ca="1">COUNTIF('Group Stages'!K7:K102,BW301)</f>
        <v>0</v>
      </c>
      <c r="BZ301" s="306">
        <f ca="1">COUNTIF('Group Stages'!L7:L102,BW301)</f>
        <v>0</v>
      </c>
      <c r="CA301" s="306">
        <f ca="1">COUNTIF('Group Stages'!M7:M102,BW301)</f>
        <v>0</v>
      </c>
      <c r="CB301" s="306">
        <f ca="1">COUNTIF('Group Stages'!N7:N102,BW301)</f>
        <v>0</v>
      </c>
      <c r="CC301" s="306">
        <f ca="1">COUNTIF('Group Stages'!O7:O102,BW301)</f>
        <v>0</v>
      </c>
      <c r="CD301" s="306">
        <f ca="1">COUNTIF('Group Stages'!P7:P102,BW301)</f>
        <v>0</v>
      </c>
      <c r="CE301" s="306">
        <f ca="1">COUNTIF('Group Stages'!Q7:Q102,BW301)</f>
        <v>0</v>
      </c>
      <c r="CF301" s="306">
        <f ca="1">COUNTIF('Knock Out Stages'!K7:K50,BW301)</f>
        <v>0</v>
      </c>
      <c r="CG301" s="306">
        <f ca="1">COUNTIF('Knock Out Stages'!L7:L50,BW301)</f>
        <v>0</v>
      </c>
      <c r="CH301" s="306">
        <f ca="1">COUNTIF('Knock Out Stages'!M7:M50,BW301)</f>
        <v>0</v>
      </c>
      <c r="CI301" s="306">
        <f ca="1">COUNTIF('Knock Out Stages'!N7:N50,BW301)</f>
        <v>0</v>
      </c>
      <c r="CJ301" s="306">
        <f ca="1">COUNTIF('Knock Out Stages'!O7:O50,BW301)</f>
        <v>0</v>
      </c>
      <c r="CK301" s="306">
        <f ca="1">COUNTIF('Knock Out Stages'!P7:P50,BW301)</f>
        <v>0</v>
      </c>
      <c r="CL301" s="306">
        <f ca="1">COUNTIF('Knock Out Stages'!Q7:Q50,BW301)</f>
        <v>0</v>
      </c>
      <c r="CM301" s="306">
        <f ca="1">COUNTIF('Knock Out Stages'!R7:R50,BW301)</f>
        <v>0</v>
      </c>
      <c r="CN301" s="306">
        <f ca="1">IF(RIGHT('Group Stages'!$B$105,5)="T.com",SUM(BX301:CM301),0)</f>
        <v>0</v>
      </c>
      <c r="CO301" s="306">
        <f ca="1">RANK(CN301,CN3:CN834)+COUNTIF(CN3:CN301,CN301)-1</f>
        <v>299</v>
      </c>
      <c r="CP301" s="306" t="str">
        <f t="shared" ca="1" si="189"/>
        <v>Krystian Bielik (Poland)</v>
      </c>
    </row>
    <row r="302" spans="72:94" x14ac:dyDescent="0.3">
      <c r="BT302" s="306" t="str">
        <f t="shared" ca="1" si="186"/>
        <v>Poland</v>
      </c>
      <c r="BU302" s="306">
        <f t="shared" si="187"/>
        <v>13</v>
      </c>
      <c r="BV302" s="306">
        <f t="shared" si="188"/>
        <v>10</v>
      </c>
      <c r="BW302" s="306" t="str">
        <f ca="1">OFFSET(C3,BU302,BV302)</f>
        <v>Krzysztof Piątek</v>
      </c>
      <c r="BX302" s="306">
        <f ca="1">COUNTIF('Group Stages'!J7:J102,BW302)</f>
        <v>0</v>
      </c>
      <c r="BY302" s="306">
        <f ca="1">COUNTIF('Group Stages'!K7:K102,BW302)</f>
        <v>0</v>
      </c>
      <c r="BZ302" s="306">
        <f ca="1">COUNTIF('Group Stages'!L7:L102,BW302)</f>
        <v>0</v>
      </c>
      <c r="CA302" s="306">
        <f ca="1">COUNTIF('Group Stages'!M7:M102,BW302)</f>
        <v>0</v>
      </c>
      <c r="CB302" s="306">
        <f ca="1">COUNTIF('Group Stages'!N7:N102,BW302)</f>
        <v>0</v>
      </c>
      <c r="CC302" s="306">
        <f ca="1">COUNTIF('Group Stages'!O7:O102,BW302)</f>
        <v>0</v>
      </c>
      <c r="CD302" s="306">
        <f ca="1">COUNTIF('Group Stages'!P7:P102,BW302)</f>
        <v>0</v>
      </c>
      <c r="CE302" s="306">
        <f ca="1">COUNTIF('Group Stages'!Q7:Q102,BW302)</f>
        <v>0</v>
      </c>
      <c r="CF302" s="306">
        <f ca="1">COUNTIF('Knock Out Stages'!K7:K50,BW302)</f>
        <v>0</v>
      </c>
      <c r="CG302" s="306">
        <f ca="1">COUNTIF('Knock Out Stages'!L7:L50,BW302)</f>
        <v>0</v>
      </c>
      <c r="CH302" s="306">
        <f ca="1">COUNTIF('Knock Out Stages'!M7:M50,BW302)</f>
        <v>0</v>
      </c>
      <c r="CI302" s="306">
        <f ca="1">COUNTIF('Knock Out Stages'!N7:N50,BW302)</f>
        <v>0</v>
      </c>
      <c r="CJ302" s="306">
        <f ca="1">COUNTIF('Knock Out Stages'!O7:O50,BW302)</f>
        <v>0</v>
      </c>
      <c r="CK302" s="306">
        <f ca="1">COUNTIF('Knock Out Stages'!P7:P50,BW302)</f>
        <v>0</v>
      </c>
      <c r="CL302" s="306">
        <f ca="1">COUNTIF('Knock Out Stages'!Q7:Q50,BW302)</f>
        <v>0</v>
      </c>
      <c r="CM302" s="306">
        <f ca="1">COUNTIF('Knock Out Stages'!R7:R50,BW302)</f>
        <v>0</v>
      </c>
      <c r="CN302" s="306">
        <f ca="1">IF(RIGHT('Group Stages'!$B$105,5)="T.com",SUM(BX302:CM302),0)</f>
        <v>0</v>
      </c>
      <c r="CO302" s="306">
        <f ca="1">RANK(CN302,CN3:CN834)+COUNTIF(CN3:CN302,CN302)-1</f>
        <v>300</v>
      </c>
      <c r="CP302" s="306" t="str">
        <f t="shared" ca="1" si="189"/>
        <v>Krzysztof Piątek (Poland)</v>
      </c>
    </row>
    <row r="303" spans="72:94" x14ac:dyDescent="0.3">
      <c r="BT303" s="306" t="str">
        <f t="shared" ca="1" si="186"/>
        <v>Poland</v>
      </c>
      <c r="BU303" s="306">
        <f t="shared" si="187"/>
        <v>14</v>
      </c>
      <c r="BV303" s="306">
        <f t="shared" si="188"/>
        <v>10</v>
      </c>
      <c r="BW303" s="306" t="str">
        <f ca="1">OFFSET(C3,BU303,BV303)</f>
        <v>Łukasz Skorupski</v>
      </c>
      <c r="BX303" s="306">
        <f ca="1">COUNTIF('Group Stages'!J7:J102,BW303)</f>
        <v>0</v>
      </c>
      <c r="BY303" s="306">
        <f ca="1">COUNTIF('Group Stages'!K7:K102,BW303)</f>
        <v>0</v>
      </c>
      <c r="BZ303" s="306">
        <f ca="1">COUNTIF('Group Stages'!L7:L102,BW303)</f>
        <v>0</v>
      </c>
      <c r="CA303" s="306">
        <f ca="1">COUNTIF('Group Stages'!M7:M102,BW303)</f>
        <v>0</v>
      </c>
      <c r="CB303" s="306">
        <f ca="1">COUNTIF('Group Stages'!N7:N102,BW303)</f>
        <v>0</v>
      </c>
      <c r="CC303" s="306">
        <f ca="1">COUNTIF('Group Stages'!O7:O102,BW303)</f>
        <v>0</v>
      </c>
      <c r="CD303" s="306">
        <f ca="1">COUNTIF('Group Stages'!P7:P102,BW303)</f>
        <v>0</v>
      </c>
      <c r="CE303" s="306">
        <f ca="1">COUNTIF('Group Stages'!Q7:Q102,BW303)</f>
        <v>0</v>
      </c>
      <c r="CF303" s="306">
        <f ca="1">COUNTIF('Knock Out Stages'!K7:K50,BW303)</f>
        <v>0</v>
      </c>
      <c r="CG303" s="306">
        <f ca="1">COUNTIF('Knock Out Stages'!L7:L50,BW303)</f>
        <v>0</v>
      </c>
      <c r="CH303" s="306">
        <f ca="1">COUNTIF('Knock Out Stages'!M7:M50,BW303)</f>
        <v>0</v>
      </c>
      <c r="CI303" s="306">
        <f ca="1">COUNTIF('Knock Out Stages'!N7:N50,BW303)</f>
        <v>0</v>
      </c>
      <c r="CJ303" s="306">
        <f ca="1">COUNTIF('Knock Out Stages'!O7:O50,BW303)</f>
        <v>0</v>
      </c>
      <c r="CK303" s="306">
        <f ca="1">COUNTIF('Knock Out Stages'!P7:P50,BW303)</f>
        <v>0</v>
      </c>
      <c r="CL303" s="306">
        <f ca="1">COUNTIF('Knock Out Stages'!Q7:Q50,BW303)</f>
        <v>0</v>
      </c>
      <c r="CM303" s="306">
        <f ca="1">COUNTIF('Knock Out Stages'!R7:R50,BW303)</f>
        <v>0</v>
      </c>
      <c r="CN303" s="306">
        <f ca="1">IF(RIGHT('Group Stages'!$B$105,5)="T.com",SUM(BX303:CM303),0)</f>
        <v>0</v>
      </c>
      <c r="CO303" s="306">
        <f ca="1">RANK(CN303,CN3:CN834)+COUNTIF(CN3:CN303,CN303)-1</f>
        <v>301</v>
      </c>
      <c r="CP303" s="306" t="str">
        <f t="shared" ca="1" si="189"/>
        <v>Łukasz Skorupski (Poland)</v>
      </c>
    </row>
    <row r="304" spans="72:94" x14ac:dyDescent="0.3">
      <c r="BT304" s="306" t="str">
        <f t="shared" ca="1" si="186"/>
        <v>Poland</v>
      </c>
      <c r="BU304" s="306">
        <f t="shared" si="187"/>
        <v>15</v>
      </c>
      <c r="BV304" s="306">
        <f t="shared" si="188"/>
        <v>10</v>
      </c>
      <c r="BW304" s="306" t="str">
        <f ca="1">OFFSET(C3,BU304,BV304)</f>
        <v>Mateusz Wieteska</v>
      </c>
      <c r="BX304" s="306">
        <f ca="1">COUNTIF('Group Stages'!J7:J102,BW304)</f>
        <v>0</v>
      </c>
      <c r="BY304" s="306">
        <f ca="1">COUNTIF('Group Stages'!K7:K102,BW304)</f>
        <v>0</v>
      </c>
      <c r="BZ304" s="306">
        <f ca="1">COUNTIF('Group Stages'!L7:L102,BW304)</f>
        <v>0</v>
      </c>
      <c r="CA304" s="306">
        <f ca="1">COUNTIF('Group Stages'!M7:M102,BW304)</f>
        <v>0</v>
      </c>
      <c r="CB304" s="306">
        <f ca="1">COUNTIF('Group Stages'!N7:N102,BW304)</f>
        <v>0</v>
      </c>
      <c r="CC304" s="306">
        <f ca="1">COUNTIF('Group Stages'!O7:O102,BW304)</f>
        <v>0</v>
      </c>
      <c r="CD304" s="306">
        <f ca="1">COUNTIF('Group Stages'!P7:P102,BW304)</f>
        <v>0</v>
      </c>
      <c r="CE304" s="306">
        <f ca="1">COUNTIF('Group Stages'!Q7:Q102,BW304)</f>
        <v>0</v>
      </c>
      <c r="CF304" s="306">
        <f ca="1">COUNTIF('Knock Out Stages'!K7:K50,BW304)</f>
        <v>0</v>
      </c>
      <c r="CG304" s="306">
        <f ca="1">COUNTIF('Knock Out Stages'!L7:L50,BW304)</f>
        <v>0</v>
      </c>
      <c r="CH304" s="306">
        <f ca="1">COUNTIF('Knock Out Stages'!M7:M50,BW304)</f>
        <v>0</v>
      </c>
      <c r="CI304" s="306">
        <f ca="1">COUNTIF('Knock Out Stages'!N7:N50,BW304)</f>
        <v>0</v>
      </c>
      <c r="CJ304" s="306">
        <f ca="1">COUNTIF('Knock Out Stages'!O7:O50,BW304)</f>
        <v>0</v>
      </c>
      <c r="CK304" s="306">
        <f ca="1">COUNTIF('Knock Out Stages'!P7:P50,BW304)</f>
        <v>0</v>
      </c>
      <c r="CL304" s="306">
        <f ca="1">COUNTIF('Knock Out Stages'!Q7:Q50,BW304)</f>
        <v>0</v>
      </c>
      <c r="CM304" s="306">
        <f ca="1">COUNTIF('Knock Out Stages'!R7:R50,BW304)</f>
        <v>0</v>
      </c>
      <c r="CN304" s="306">
        <f ca="1">IF(RIGHT('Group Stages'!$B$105,5)="T.com",SUM(BX304:CM304),0)</f>
        <v>0</v>
      </c>
      <c r="CO304" s="306">
        <f ca="1">RANK(CN304,CN3:CN834)+COUNTIF(CN3:CN304,CN304)-1</f>
        <v>302</v>
      </c>
      <c r="CP304" s="306" t="str">
        <f t="shared" ca="1" si="189"/>
        <v>Mateusz Wieteska (Poland)</v>
      </c>
    </row>
    <row r="305" spans="72:94" x14ac:dyDescent="0.3">
      <c r="BT305" s="306" t="str">
        <f t="shared" ca="1" si="186"/>
        <v>Poland</v>
      </c>
      <c r="BU305" s="306">
        <f t="shared" si="187"/>
        <v>16</v>
      </c>
      <c r="BV305" s="306">
        <f t="shared" si="188"/>
        <v>10</v>
      </c>
      <c r="BW305" s="306" t="str">
        <f ca="1">OFFSET(C3,BU305,BV305)</f>
        <v>Matty Cash</v>
      </c>
      <c r="BX305" s="306">
        <f ca="1">COUNTIF('Group Stages'!J7:J102,BW305)</f>
        <v>0</v>
      </c>
      <c r="BY305" s="306">
        <f ca="1">COUNTIF('Group Stages'!K7:K102,BW305)</f>
        <v>0</v>
      </c>
      <c r="BZ305" s="306">
        <f ca="1">COUNTIF('Group Stages'!L7:L102,BW305)</f>
        <v>0</v>
      </c>
      <c r="CA305" s="306">
        <f ca="1">COUNTIF('Group Stages'!M7:M102,BW305)</f>
        <v>0</v>
      </c>
      <c r="CB305" s="306">
        <f ca="1">COUNTIF('Group Stages'!N7:N102,BW305)</f>
        <v>0</v>
      </c>
      <c r="CC305" s="306">
        <f ca="1">COUNTIF('Group Stages'!O7:O102,BW305)</f>
        <v>0</v>
      </c>
      <c r="CD305" s="306">
        <f ca="1">COUNTIF('Group Stages'!P7:P102,BW305)</f>
        <v>0</v>
      </c>
      <c r="CE305" s="306">
        <f ca="1">COUNTIF('Group Stages'!Q7:Q102,BW305)</f>
        <v>0</v>
      </c>
      <c r="CF305" s="306">
        <f ca="1">COUNTIF('Knock Out Stages'!K7:K50,BW305)</f>
        <v>0</v>
      </c>
      <c r="CG305" s="306">
        <f ca="1">COUNTIF('Knock Out Stages'!L7:L50,BW305)</f>
        <v>0</v>
      </c>
      <c r="CH305" s="306">
        <f ca="1">COUNTIF('Knock Out Stages'!M7:M50,BW305)</f>
        <v>0</v>
      </c>
      <c r="CI305" s="306">
        <f ca="1">COUNTIF('Knock Out Stages'!N7:N50,BW305)</f>
        <v>0</v>
      </c>
      <c r="CJ305" s="306">
        <f ca="1">COUNTIF('Knock Out Stages'!O7:O50,BW305)</f>
        <v>0</v>
      </c>
      <c r="CK305" s="306">
        <f ca="1">COUNTIF('Knock Out Stages'!P7:P50,BW305)</f>
        <v>0</v>
      </c>
      <c r="CL305" s="306">
        <f ca="1">COUNTIF('Knock Out Stages'!Q7:Q50,BW305)</f>
        <v>0</v>
      </c>
      <c r="CM305" s="306">
        <f ca="1">COUNTIF('Knock Out Stages'!R7:R50,BW305)</f>
        <v>0</v>
      </c>
      <c r="CN305" s="306">
        <f ca="1">IF(RIGHT('Group Stages'!$B$105,5)="T.com",SUM(BX305:CM305),0)</f>
        <v>0</v>
      </c>
      <c r="CO305" s="306">
        <f ca="1">RANK(CN305,CN3:CN834)+COUNTIF(CN3:CN305,CN305)-1</f>
        <v>303</v>
      </c>
      <c r="CP305" s="306" t="str">
        <f t="shared" ca="1" si="189"/>
        <v>Matty Cash (Poland)</v>
      </c>
    </row>
    <row r="306" spans="72:94" x14ac:dyDescent="0.3">
      <c r="BT306" s="306" t="str">
        <f t="shared" ca="1" si="186"/>
        <v>Poland</v>
      </c>
      <c r="BU306" s="306">
        <f t="shared" si="187"/>
        <v>17</v>
      </c>
      <c r="BV306" s="306">
        <f t="shared" si="188"/>
        <v>10</v>
      </c>
      <c r="BW306" s="306" t="str">
        <f ca="1">OFFSET(C3,BU306,BV306)</f>
        <v>Michał Skóraś</v>
      </c>
      <c r="BX306" s="306">
        <f ca="1">COUNTIF('Group Stages'!J7:J102,BW306)</f>
        <v>0</v>
      </c>
      <c r="BY306" s="306">
        <f ca="1">COUNTIF('Group Stages'!K7:K102,BW306)</f>
        <v>0</v>
      </c>
      <c r="BZ306" s="306">
        <f ca="1">COUNTIF('Group Stages'!L7:L102,BW306)</f>
        <v>0</v>
      </c>
      <c r="CA306" s="306">
        <f ca="1">COUNTIF('Group Stages'!M7:M102,BW306)</f>
        <v>0</v>
      </c>
      <c r="CB306" s="306">
        <f ca="1">COUNTIF('Group Stages'!N7:N102,BW306)</f>
        <v>0</v>
      </c>
      <c r="CC306" s="306">
        <f ca="1">COUNTIF('Group Stages'!O7:O102,BW306)</f>
        <v>0</v>
      </c>
      <c r="CD306" s="306">
        <f ca="1">COUNTIF('Group Stages'!P7:P102,BW306)</f>
        <v>0</v>
      </c>
      <c r="CE306" s="306">
        <f ca="1">COUNTIF('Group Stages'!Q7:Q102,BW306)</f>
        <v>0</v>
      </c>
      <c r="CF306" s="306">
        <f ca="1">COUNTIF('Knock Out Stages'!K7:K50,BW306)</f>
        <v>0</v>
      </c>
      <c r="CG306" s="306">
        <f ca="1">COUNTIF('Knock Out Stages'!L7:L50,BW306)</f>
        <v>0</v>
      </c>
      <c r="CH306" s="306">
        <f ca="1">COUNTIF('Knock Out Stages'!M7:M50,BW306)</f>
        <v>0</v>
      </c>
      <c r="CI306" s="306">
        <f ca="1">COUNTIF('Knock Out Stages'!N7:N50,BW306)</f>
        <v>0</v>
      </c>
      <c r="CJ306" s="306">
        <f ca="1">COUNTIF('Knock Out Stages'!O7:O50,BW306)</f>
        <v>0</v>
      </c>
      <c r="CK306" s="306">
        <f ca="1">COUNTIF('Knock Out Stages'!P7:P50,BW306)</f>
        <v>0</v>
      </c>
      <c r="CL306" s="306">
        <f ca="1">COUNTIF('Knock Out Stages'!Q7:Q50,BW306)</f>
        <v>0</v>
      </c>
      <c r="CM306" s="306">
        <f ca="1">COUNTIF('Knock Out Stages'!R7:R50,BW306)</f>
        <v>0</v>
      </c>
      <c r="CN306" s="306">
        <f ca="1">IF(RIGHT('Group Stages'!$B$105,5)="T.com",SUM(BX306:CM306),0)</f>
        <v>0</v>
      </c>
      <c r="CO306" s="306">
        <f ca="1">RANK(CN306,CN3:CN834)+COUNTIF(CN3:CN306,CN306)-1</f>
        <v>304</v>
      </c>
      <c r="CP306" s="306" t="str">
        <f t="shared" ca="1" si="189"/>
        <v>Michał Skóraś (Poland)</v>
      </c>
    </row>
    <row r="307" spans="72:94" x14ac:dyDescent="0.3">
      <c r="BT307" s="306" t="str">
        <f t="shared" ca="1" si="186"/>
        <v>Poland</v>
      </c>
      <c r="BU307" s="306">
        <f t="shared" si="187"/>
        <v>18</v>
      </c>
      <c r="BV307" s="306">
        <f t="shared" si="188"/>
        <v>10</v>
      </c>
      <c r="BW307" s="306" t="str">
        <f ca="1">OFFSET(C3,BU307,BV307)</f>
        <v>Nicola Zalewski</v>
      </c>
      <c r="BX307" s="306">
        <f ca="1">COUNTIF('Group Stages'!J7:J102,BW307)</f>
        <v>0</v>
      </c>
      <c r="BY307" s="306">
        <f ca="1">COUNTIF('Group Stages'!K7:K102,BW307)</f>
        <v>0</v>
      </c>
      <c r="BZ307" s="306">
        <f ca="1">COUNTIF('Group Stages'!L7:L102,BW307)</f>
        <v>0</v>
      </c>
      <c r="CA307" s="306">
        <f ca="1">COUNTIF('Group Stages'!M7:M102,BW307)</f>
        <v>0</v>
      </c>
      <c r="CB307" s="306">
        <f ca="1">COUNTIF('Group Stages'!N7:N102,BW307)</f>
        <v>0</v>
      </c>
      <c r="CC307" s="306">
        <f ca="1">COUNTIF('Group Stages'!O7:O102,BW307)</f>
        <v>0</v>
      </c>
      <c r="CD307" s="306">
        <f ca="1">COUNTIF('Group Stages'!P7:P102,BW307)</f>
        <v>0</v>
      </c>
      <c r="CE307" s="306">
        <f ca="1">COUNTIF('Group Stages'!Q7:Q102,BW307)</f>
        <v>0</v>
      </c>
      <c r="CF307" s="306">
        <f ca="1">COUNTIF('Knock Out Stages'!K7:K50,BW307)</f>
        <v>0</v>
      </c>
      <c r="CG307" s="306">
        <f ca="1">COUNTIF('Knock Out Stages'!L7:L50,BW307)</f>
        <v>0</v>
      </c>
      <c r="CH307" s="306">
        <f ca="1">COUNTIF('Knock Out Stages'!M7:M50,BW307)</f>
        <v>0</v>
      </c>
      <c r="CI307" s="306">
        <f ca="1">COUNTIF('Knock Out Stages'!N7:N50,BW307)</f>
        <v>0</v>
      </c>
      <c r="CJ307" s="306">
        <f ca="1">COUNTIF('Knock Out Stages'!O7:O50,BW307)</f>
        <v>0</v>
      </c>
      <c r="CK307" s="306">
        <f ca="1">COUNTIF('Knock Out Stages'!P7:P50,BW307)</f>
        <v>0</v>
      </c>
      <c r="CL307" s="306">
        <f ca="1">COUNTIF('Knock Out Stages'!Q7:Q50,BW307)</f>
        <v>0</v>
      </c>
      <c r="CM307" s="306">
        <f ca="1">COUNTIF('Knock Out Stages'!R7:R50,BW307)</f>
        <v>0</v>
      </c>
      <c r="CN307" s="306">
        <f ca="1">IF(RIGHT('Group Stages'!$B$105,5)="T.com",SUM(BX307:CM307),0)</f>
        <v>0</v>
      </c>
      <c r="CO307" s="306">
        <f ca="1">RANK(CN307,CN3:CN834)+COUNTIF(CN3:CN307,CN307)-1</f>
        <v>305</v>
      </c>
      <c r="CP307" s="306" t="str">
        <f t="shared" ca="1" si="189"/>
        <v>Nicola Zalewski (Poland)</v>
      </c>
    </row>
    <row r="308" spans="72:94" x14ac:dyDescent="0.3">
      <c r="BT308" s="306" t="str">
        <f t="shared" ca="1" si="186"/>
        <v>Poland</v>
      </c>
      <c r="BU308" s="306">
        <f t="shared" si="187"/>
        <v>19</v>
      </c>
      <c r="BV308" s="306">
        <f t="shared" si="188"/>
        <v>10</v>
      </c>
      <c r="BW308" s="306" t="str">
        <f ca="1">OFFSET(C3,BU308,BV308)</f>
        <v>Piotr Zieliński</v>
      </c>
      <c r="BX308" s="306">
        <f ca="1">COUNTIF('Group Stages'!J7:J102,BW308)</f>
        <v>0</v>
      </c>
      <c r="BY308" s="306">
        <f ca="1">COUNTIF('Group Stages'!K7:K102,BW308)</f>
        <v>0</v>
      </c>
      <c r="BZ308" s="306">
        <f ca="1">COUNTIF('Group Stages'!L7:L102,BW308)</f>
        <v>0</v>
      </c>
      <c r="CA308" s="306">
        <f ca="1">COUNTIF('Group Stages'!M7:M102,BW308)</f>
        <v>0</v>
      </c>
      <c r="CB308" s="306">
        <f ca="1">COUNTIF('Group Stages'!N7:N102,BW308)</f>
        <v>0</v>
      </c>
      <c r="CC308" s="306">
        <f ca="1">COUNTIF('Group Stages'!O7:O102,BW308)</f>
        <v>0</v>
      </c>
      <c r="CD308" s="306">
        <f ca="1">COUNTIF('Group Stages'!P7:P102,BW308)</f>
        <v>0</v>
      </c>
      <c r="CE308" s="306">
        <f ca="1">COUNTIF('Group Stages'!Q7:Q102,BW308)</f>
        <v>0</v>
      </c>
      <c r="CF308" s="306">
        <f ca="1">COUNTIF('Knock Out Stages'!K7:K50,BW308)</f>
        <v>0</v>
      </c>
      <c r="CG308" s="306">
        <f ca="1">COUNTIF('Knock Out Stages'!L7:L50,BW308)</f>
        <v>0</v>
      </c>
      <c r="CH308" s="306">
        <f ca="1">COUNTIF('Knock Out Stages'!M7:M50,BW308)</f>
        <v>0</v>
      </c>
      <c r="CI308" s="306">
        <f ca="1">COUNTIF('Knock Out Stages'!N7:N50,BW308)</f>
        <v>0</v>
      </c>
      <c r="CJ308" s="306">
        <f ca="1">COUNTIF('Knock Out Stages'!O7:O50,BW308)</f>
        <v>0</v>
      </c>
      <c r="CK308" s="306">
        <f ca="1">COUNTIF('Knock Out Stages'!P7:P50,BW308)</f>
        <v>0</v>
      </c>
      <c r="CL308" s="306">
        <f ca="1">COUNTIF('Knock Out Stages'!Q7:Q50,BW308)</f>
        <v>0</v>
      </c>
      <c r="CM308" s="306">
        <f ca="1">COUNTIF('Knock Out Stages'!R7:R50,BW308)</f>
        <v>0</v>
      </c>
      <c r="CN308" s="306">
        <f ca="1">IF(RIGHT('Group Stages'!$B$105,5)="T.com",SUM(BX308:CM308),0)</f>
        <v>0</v>
      </c>
      <c r="CO308" s="306">
        <f ca="1">RANK(CN308,CN3:CN834)+COUNTIF(CN3:CN308,CN308)-1</f>
        <v>306</v>
      </c>
      <c r="CP308" s="306" t="str">
        <f t="shared" ca="1" si="189"/>
        <v>Piotr Zieliński (Poland)</v>
      </c>
    </row>
    <row r="309" spans="72:94" x14ac:dyDescent="0.3">
      <c r="BT309" s="306" t="str">
        <f t="shared" ca="1" si="186"/>
        <v>Poland</v>
      </c>
      <c r="BU309" s="306">
        <f t="shared" si="187"/>
        <v>20</v>
      </c>
      <c r="BV309" s="306">
        <f t="shared" si="188"/>
        <v>10</v>
      </c>
      <c r="BW309" s="306" t="str">
        <f ca="1">OFFSET(C3,BU309,BV309)</f>
        <v>Przemysław Frankowski</v>
      </c>
      <c r="BX309" s="306">
        <f ca="1">COUNTIF('Group Stages'!J7:J102,BW309)</f>
        <v>0</v>
      </c>
      <c r="BY309" s="306">
        <f ca="1">COUNTIF('Group Stages'!K7:K102,BW309)</f>
        <v>0</v>
      </c>
      <c r="BZ309" s="306">
        <f ca="1">COUNTIF('Group Stages'!L7:L102,BW309)</f>
        <v>0</v>
      </c>
      <c r="CA309" s="306">
        <f ca="1">COUNTIF('Group Stages'!M7:M102,BW309)</f>
        <v>0</v>
      </c>
      <c r="CB309" s="306">
        <f ca="1">COUNTIF('Group Stages'!N7:N102,BW309)</f>
        <v>0</v>
      </c>
      <c r="CC309" s="306">
        <f ca="1">COUNTIF('Group Stages'!O7:O102,BW309)</f>
        <v>0</v>
      </c>
      <c r="CD309" s="306">
        <f ca="1">COUNTIF('Group Stages'!P7:P102,BW309)</f>
        <v>0</v>
      </c>
      <c r="CE309" s="306">
        <f ca="1">COUNTIF('Group Stages'!Q7:Q102,BW309)</f>
        <v>0</v>
      </c>
      <c r="CF309" s="306">
        <f ca="1">COUNTIF('Knock Out Stages'!K7:K50,BW309)</f>
        <v>0</v>
      </c>
      <c r="CG309" s="306">
        <f ca="1">COUNTIF('Knock Out Stages'!L7:L50,BW309)</f>
        <v>0</v>
      </c>
      <c r="CH309" s="306">
        <f ca="1">COUNTIF('Knock Out Stages'!M7:M50,BW309)</f>
        <v>0</v>
      </c>
      <c r="CI309" s="306">
        <f ca="1">COUNTIF('Knock Out Stages'!N7:N50,BW309)</f>
        <v>0</v>
      </c>
      <c r="CJ309" s="306">
        <f ca="1">COUNTIF('Knock Out Stages'!O7:O50,BW309)</f>
        <v>0</v>
      </c>
      <c r="CK309" s="306">
        <f ca="1">COUNTIF('Knock Out Stages'!P7:P50,BW309)</f>
        <v>0</v>
      </c>
      <c r="CL309" s="306">
        <f ca="1">COUNTIF('Knock Out Stages'!Q7:Q50,BW309)</f>
        <v>0</v>
      </c>
      <c r="CM309" s="306">
        <f ca="1">COUNTIF('Knock Out Stages'!R7:R50,BW309)</f>
        <v>0</v>
      </c>
      <c r="CN309" s="306">
        <f ca="1">IF(RIGHT('Group Stages'!$B$105,5)="T.com",SUM(BX309:CM309),0)</f>
        <v>0</v>
      </c>
      <c r="CO309" s="306">
        <f ca="1">RANK(CN309,CN3:CN834)+COUNTIF(CN3:CN309,CN309)-1</f>
        <v>307</v>
      </c>
      <c r="CP309" s="306" t="str">
        <f t="shared" ca="1" si="189"/>
        <v>Przemysław Frankowski (Poland)</v>
      </c>
    </row>
    <row r="310" spans="72:94" x14ac:dyDescent="0.3">
      <c r="BT310" s="306" t="str">
        <f t="shared" ca="1" si="186"/>
        <v>Poland</v>
      </c>
      <c r="BU310" s="306">
        <f t="shared" si="187"/>
        <v>21</v>
      </c>
      <c r="BV310" s="306">
        <f t="shared" si="188"/>
        <v>10</v>
      </c>
      <c r="BW310" s="306" t="str">
        <f ca="1">OFFSET(C3,BU310,BV310)</f>
        <v>Robert Gumny</v>
      </c>
      <c r="BX310" s="306">
        <f ca="1">COUNTIF('Group Stages'!J7:J102,BW310)</f>
        <v>0</v>
      </c>
      <c r="BY310" s="306">
        <f ca="1">COUNTIF('Group Stages'!K7:K102,BW310)</f>
        <v>0</v>
      </c>
      <c r="BZ310" s="306">
        <f ca="1">COUNTIF('Group Stages'!L7:L102,BW310)</f>
        <v>0</v>
      </c>
      <c r="CA310" s="306">
        <f ca="1">COUNTIF('Group Stages'!M7:M102,BW310)</f>
        <v>0</v>
      </c>
      <c r="CB310" s="306">
        <f ca="1">COUNTIF('Group Stages'!N7:N102,BW310)</f>
        <v>0</v>
      </c>
      <c r="CC310" s="306">
        <f ca="1">COUNTIF('Group Stages'!O7:O102,BW310)</f>
        <v>0</v>
      </c>
      <c r="CD310" s="306">
        <f ca="1">COUNTIF('Group Stages'!P7:P102,BW310)</f>
        <v>0</v>
      </c>
      <c r="CE310" s="306">
        <f ca="1">COUNTIF('Group Stages'!Q7:Q102,BW310)</f>
        <v>0</v>
      </c>
      <c r="CF310" s="306">
        <f ca="1">COUNTIF('Knock Out Stages'!K7:K50,BW310)</f>
        <v>0</v>
      </c>
      <c r="CG310" s="306">
        <f ca="1">COUNTIF('Knock Out Stages'!L7:L50,BW310)</f>
        <v>0</v>
      </c>
      <c r="CH310" s="306">
        <f ca="1">COUNTIF('Knock Out Stages'!M7:M50,BW310)</f>
        <v>0</v>
      </c>
      <c r="CI310" s="306">
        <f ca="1">COUNTIF('Knock Out Stages'!N7:N50,BW310)</f>
        <v>0</v>
      </c>
      <c r="CJ310" s="306">
        <f ca="1">COUNTIF('Knock Out Stages'!O7:O50,BW310)</f>
        <v>0</v>
      </c>
      <c r="CK310" s="306">
        <f ca="1">COUNTIF('Knock Out Stages'!P7:P50,BW310)</f>
        <v>0</v>
      </c>
      <c r="CL310" s="306">
        <f ca="1">COUNTIF('Knock Out Stages'!Q7:Q50,BW310)</f>
        <v>0</v>
      </c>
      <c r="CM310" s="306">
        <f ca="1">COUNTIF('Knock Out Stages'!R7:R50,BW310)</f>
        <v>0</v>
      </c>
      <c r="CN310" s="306">
        <f ca="1">IF(RIGHT('Group Stages'!$B$105,5)="T.com",SUM(BX310:CM310),0)</f>
        <v>0</v>
      </c>
      <c r="CO310" s="306">
        <f ca="1">RANK(CN310,CN3:CN834)+COUNTIF(CN3:CN310,CN310)-1</f>
        <v>308</v>
      </c>
      <c r="CP310" s="306" t="str">
        <f t="shared" ca="1" si="189"/>
        <v>Robert Gumny (Poland)</v>
      </c>
    </row>
    <row r="311" spans="72:94" x14ac:dyDescent="0.3">
      <c r="BT311" s="306" t="str">
        <f t="shared" ca="1" si="186"/>
        <v>Poland</v>
      </c>
      <c r="BU311" s="306">
        <f t="shared" si="187"/>
        <v>22</v>
      </c>
      <c r="BV311" s="306">
        <f t="shared" si="188"/>
        <v>10</v>
      </c>
      <c r="BW311" s="306" t="str">
        <f ca="1">OFFSET(C3,BU311,BV311)</f>
        <v>Robert Lewandowski</v>
      </c>
      <c r="BX311" s="306">
        <f ca="1">COUNTIF('Group Stages'!J7:J102,BW311)</f>
        <v>0</v>
      </c>
      <c r="BY311" s="306">
        <f ca="1">COUNTIF('Group Stages'!K7:K102,BW311)</f>
        <v>0</v>
      </c>
      <c r="BZ311" s="306">
        <f ca="1">COUNTIF('Group Stages'!L7:L102,BW311)</f>
        <v>0</v>
      </c>
      <c r="CA311" s="306">
        <f ca="1">COUNTIF('Group Stages'!M7:M102,BW311)</f>
        <v>0</v>
      </c>
      <c r="CB311" s="306">
        <f ca="1">COUNTIF('Group Stages'!N7:N102,BW311)</f>
        <v>0</v>
      </c>
      <c r="CC311" s="306">
        <f ca="1">COUNTIF('Group Stages'!O7:O102,BW311)</f>
        <v>0</v>
      </c>
      <c r="CD311" s="306">
        <f ca="1">COUNTIF('Group Stages'!P7:P102,BW311)</f>
        <v>0</v>
      </c>
      <c r="CE311" s="306">
        <f ca="1">COUNTIF('Group Stages'!Q7:Q102,BW311)</f>
        <v>0</v>
      </c>
      <c r="CF311" s="306">
        <f ca="1">COUNTIF('Knock Out Stages'!K7:K50,BW311)</f>
        <v>0</v>
      </c>
      <c r="CG311" s="306">
        <f ca="1">COUNTIF('Knock Out Stages'!L7:L50,BW311)</f>
        <v>0</v>
      </c>
      <c r="CH311" s="306">
        <f ca="1">COUNTIF('Knock Out Stages'!M7:M50,BW311)</f>
        <v>0</v>
      </c>
      <c r="CI311" s="306">
        <f ca="1">COUNTIF('Knock Out Stages'!N7:N50,BW311)</f>
        <v>0</v>
      </c>
      <c r="CJ311" s="306">
        <f ca="1">COUNTIF('Knock Out Stages'!O7:O50,BW311)</f>
        <v>0</v>
      </c>
      <c r="CK311" s="306">
        <f ca="1">COUNTIF('Knock Out Stages'!P7:P50,BW311)</f>
        <v>0</v>
      </c>
      <c r="CL311" s="306">
        <f ca="1">COUNTIF('Knock Out Stages'!Q7:Q50,BW311)</f>
        <v>0</v>
      </c>
      <c r="CM311" s="306">
        <f ca="1">COUNTIF('Knock Out Stages'!R7:R50,BW311)</f>
        <v>0</v>
      </c>
      <c r="CN311" s="306">
        <f ca="1">IF(RIGHT('Group Stages'!$B$105,5)="T.com",SUM(BX311:CM311),0)</f>
        <v>0</v>
      </c>
      <c r="CO311" s="306">
        <f ca="1">RANK(CN311,CN3:CN834)+COUNTIF(CN3:CN311,CN311)-1</f>
        <v>309</v>
      </c>
      <c r="CP311" s="306" t="str">
        <f t="shared" ca="1" si="189"/>
        <v>Robert Lewandowski (Poland)</v>
      </c>
    </row>
    <row r="312" spans="72:94" x14ac:dyDescent="0.3">
      <c r="BT312" s="306" t="str">
        <f t="shared" ref="BT312:BT375" ca="1" si="192">BT311</f>
        <v>Poland</v>
      </c>
      <c r="BU312" s="306">
        <f t="shared" ref="BU312:BU375" si="193">BU286</f>
        <v>23</v>
      </c>
      <c r="BV312" s="306">
        <f t="shared" ref="BV312:BV375" si="194">BV286+1</f>
        <v>10</v>
      </c>
      <c r="BW312" s="306" t="str">
        <f ca="1">OFFSET(C3,BU312,BV312)</f>
        <v>Sebastian Szymański</v>
      </c>
      <c r="BX312" s="306">
        <f ca="1">COUNTIF('Group Stages'!J7:J102,BW312)</f>
        <v>0</v>
      </c>
      <c r="BY312" s="306">
        <f ca="1">COUNTIF('Group Stages'!K7:K102,BW312)</f>
        <v>0</v>
      </c>
      <c r="BZ312" s="306">
        <f ca="1">COUNTIF('Group Stages'!L7:L102,BW312)</f>
        <v>0</v>
      </c>
      <c r="CA312" s="306">
        <f ca="1">COUNTIF('Group Stages'!M7:M102,BW312)</f>
        <v>0</v>
      </c>
      <c r="CB312" s="306">
        <f ca="1">COUNTIF('Group Stages'!N7:N102,BW312)</f>
        <v>0</v>
      </c>
      <c r="CC312" s="306">
        <f ca="1">COUNTIF('Group Stages'!O7:O102,BW312)</f>
        <v>0</v>
      </c>
      <c r="CD312" s="306">
        <f ca="1">COUNTIF('Group Stages'!P7:P102,BW312)</f>
        <v>0</v>
      </c>
      <c r="CE312" s="306">
        <f ca="1">COUNTIF('Group Stages'!Q7:Q102,BW312)</f>
        <v>0</v>
      </c>
      <c r="CF312" s="306">
        <f ca="1">COUNTIF('Knock Out Stages'!K7:K50,BW312)</f>
        <v>0</v>
      </c>
      <c r="CG312" s="306">
        <f ca="1">COUNTIF('Knock Out Stages'!L7:L50,BW312)</f>
        <v>0</v>
      </c>
      <c r="CH312" s="306">
        <f ca="1">COUNTIF('Knock Out Stages'!M7:M50,BW312)</f>
        <v>0</v>
      </c>
      <c r="CI312" s="306">
        <f ca="1">COUNTIF('Knock Out Stages'!N7:N50,BW312)</f>
        <v>0</v>
      </c>
      <c r="CJ312" s="306">
        <f ca="1">COUNTIF('Knock Out Stages'!O7:O50,BW312)</f>
        <v>0</v>
      </c>
      <c r="CK312" s="306">
        <f ca="1">COUNTIF('Knock Out Stages'!P7:P50,BW312)</f>
        <v>0</v>
      </c>
      <c r="CL312" s="306">
        <f ca="1">COUNTIF('Knock Out Stages'!Q7:Q50,BW312)</f>
        <v>0</v>
      </c>
      <c r="CM312" s="306">
        <f ca="1">COUNTIF('Knock Out Stages'!R7:R50,BW312)</f>
        <v>0</v>
      </c>
      <c r="CN312" s="306">
        <f ca="1">IF(RIGHT('Group Stages'!$B$105,5)="T.com",SUM(BX312:CM312),0)</f>
        <v>0</v>
      </c>
      <c r="CO312" s="306">
        <f ca="1">RANK(CN312,CN3:CN834)+COUNTIF(CN3:CN312,CN312)-1</f>
        <v>310</v>
      </c>
      <c r="CP312" s="306" t="str">
        <f t="shared" ca="1" si="189"/>
        <v>Sebastian Szymański (Poland)</v>
      </c>
    </row>
    <row r="313" spans="72:94" x14ac:dyDescent="0.3">
      <c r="BT313" s="306" t="str">
        <f t="shared" ca="1" si="192"/>
        <v>Poland</v>
      </c>
      <c r="BU313" s="306">
        <f t="shared" si="193"/>
        <v>24</v>
      </c>
      <c r="BV313" s="306">
        <f t="shared" si="194"/>
        <v>10</v>
      </c>
      <c r="BW313" s="306" t="str">
        <f ca="1">OFFSET(C3,BU313,BV313)</f>
        <v>Szymon Żurkowski</v>
      </c>
      <c r="BX313" s="306">
        <f ca="1">COUNTIF('Group Stages'!J7:J102,BW313)</f>
        <v>0</v>
      </c>
      <c r="BY313" s="306">
        <f ca="1">COUNTIF('Group Stages'!K7:K102,BW313)</f>
        <v>0</v>
      </c>
      <c r="BZ313" s="306">
        <f ca="1">COUNTIF('Group Stages'!L7:L102,BW313)</f>
        <v>0</v>
      </c>
      <c r="CA313" s="306">
        <f ca="1">COUNTIF('Group Stages'!M7:M102,BW313)</f>
        <v>0</v>
      </c>
      <c r="CB313" s="306">
        <f ca="1">COUNTIF('Group Stages'!N7:N102,BW313)</f>
        <v>0</v>
      </c>
      <c r="CC313" s="306">
        <f ca="1">COUNTIF('Group Stages'!O7:O102,BW313)</f>
        <v>0</v>
      </c>
      <c r="CD313" s="306">
        <f ca="1">COUNTIF('Group Stages'!P7:P102,BW313)</f>
        <v>0</v>
      </c>
      <c r="CE313" s="306">
        <f ca="1">COUNTIF('Group Stages'!Q7:Q102,BW313)</f>
        <v>0</v>
      </c>
      <c r="CF313" s="306">
        <f ca="1">COUNTIF('Knock Out Stages'!K7:K50,BW313)</f>
        <v>0</v>
      </c>
      <c r="CG313" s="306">
        <f ca="1">COUNTIF('Knock Out Stages'!L7:L50,BW313)</f>
        <v>0</v>
      </c>
      <c r="CH313" s="306">
        <f ca="1">COUNTIF('Knock Out Stages'!M7:M50,BW313)</f>
        <v>0</v>
      </c>
      <c r="CI313" s="306">
        <f ca="1">COUNTIF('Knock Out Stages'!N7:N50,BW313)</f>
        <v>0</v>
      </c>
      <c r="CJ313" s="306">
        <f ca="1">COUNTIF('Knock Out Stages'!O7:O50,BW313)</f>
        <v>0</v>
      </c>
      <c r="CK313" s="306">
        <f ca="1">COUNTIF('Knock Out Stages'!P7:P50,BW313)</f>
        <v>0</v>
      </c>
      <c r="CL313" s="306">
        <f ca="1">COUNTIF('Knock Out Stages'!Q7:Q50,BW313)</f>
        <v>0</v>
      </c>
      <c r="CM313" s="306">
        <f ca="1">COUNTIF('Knock Out Stages'!R7:R50,BW313)</f>
        <v>0</v>
      </c>
      <c r="CN313" s="306">
        <f ca="1">IF(RIGHT('Group Stages'!$B$105,5)="T.com",SUM(BX313:CM313),0)</f>
        <v>0</v>
      </c>
      <c r="CO313" s="306">
        <f ca="1">RANK(CN313,CN3:CN834)+COUNTIF(CN3:CN313,CN313)-1</f>
        <v>311</v>
      </c>
      <c r="CP313" s="306" t="str">
        <f t="shared" ca="1" si="189"/>
        <v>Szymon Żurkowski (Poland)</v>
      </c>
    </row>
    <row r="314" spans="72:94" x14ac:dyDescent="0.3">
      <c r="BT314" s="306" t="str">
        <f t="shared" ca="1" si="192"/>
        <v>Poland</v>
      </c>
      <c r="BU314" s="306">
        <f t="shared" si="193"/>
        <v>25</v>
      </c>
      <c r="BV314" s="306">
        <f t="shared" si="194"/>
        <v>10</v>
      </c>
      <c r="BW314" s="306" t="str">
        <f ca="1">OFFSET(C3,BU314,BV314)</f>
        <v>Wojciech Szczęsny</v>
      </c>
      <c r="BX314" s="306">
        <f ca="1">COUNTIF('Group Stages'!J7:J102,BW314)</f>
        <v>0</v>
      </c>
      <c r="BY314" s="306">
        <f ca="1">COUNTIF('Group Stages'!K7:K102,BW314)</f>
        <v>0</v>
      </c>
      <c r="BZ314" s="306">
        <f ca="1">COUNTIF('Group Stages'!L7:L102,BW314)</f>
        <v>0</v>
      </c>
      <c r="CA314" s="306">
        <f ca="1">COUNTIF('Group Stages'!M7:M102,BW314)</f>
        <v>0</v>
      </c>
      <c r="CB314" s="306">
        <f ca="1">COUNTIF('Group Stages'!N7:N102,BW314)</f>
        <v>0</v>
      </c>
      <c r="CC314" s="306">
        <f ca="1">COUNTIF('Group Stages'!O7:O102,BW314)</f>
        <v>0</v>
      </c>
      <c r="CD314" s="306">
        <f ca="1">COUNTIF('Group Stages'!P7:P102,BW314)</f>
        <v>0</v>
      </c>
      <c r="CE314" s="306">
        <f ca="1">COUNTIF('Group Stages'!Q7:Q102,BW314)</f>
        <v>0</v>
      </c>
      <c r="CF314" s="306">
        <f ca="1">COUNTIF('Knock Out Stages'!K7:K50,BW314)</f>
        <v>0</v>
      </c>
      <c r="CG314" s="306">
        <f ca="1">COUNTIF('Knock Out Stages'!L7:L50,BW314)</f>
        <v>0</v>
      </c>
      <c r="CH314" s="306">
        <f ca="1">COUNTIF('Knock Out Stages'!M7:M50,BW314)</f>
        <v>0</v>
      </c>
      <c r="CI314" s="306">
        <f ca="1">COUNTIF('Knock Out Stages'!N7:N50,BW314)</f>
        <v>0</v>
      </c>
      <c r="CJ314" s="306">
        <f ca="1">COUNTIF('Knock Out Stages'!O7:O50,BW314)</f>
        <v>0</v>
      </c>
      <c r="CK314" s="306">
        <f ca="1">COUNTIF('Knock Out Stages'!P7:P50,BW314)</f>
        <v>0</v>
      </c>
      <c r="CL314" s="306">
        <f ca="1">COUNTIF('Knock Out Stages'!Q7:Q50,BW314)</f>
        <v>0</v>
      </c>
      <c r="CM314" s="306">
        <f ca="1">COUNTIF('Knock Out Stages'!R7:R50,BW314)</f>
        <v>0</v>
      </c>
      <c r="CN314" s="306">
        <f ca="1">IF(RIGHT('Group Stages'!$B$105,5)="T.com",SUM(BX314:CM314),0)</f>
        <v>0</v>
      </c>
      <c r="CO314" s="306">
        <f ca="1">RANK(CN314,CN3:CN834)+COUNTIF(CN3:CN314,CN314)-1</f>
        <v>312</v>
      </c>
      <c r="CP314" s="306" t="str">
        <f t="shared" ca="1" si="189"/>
        <v>Wojciech Szczęsny (Poland)</v>
      </c>
    </row>
    <row r="315" spans="72:94" x14ac:dyDescent="0.3">
      <c r="BT315" s="306" t="str">
        <f ca="1">OFFSET(C2,BU315,BV315)</f>
        <v>Denmark</v>
      </c>
      <c r="BU315" s="306">
        <f t="shared" si="193"/>
        <v>0</v>
      </c>
      <c r="BV315" s="306">
        <f t="shared" si="194"/>
        <v>11</v>
      </c>
      <c r="BW315" s="306" t="str">
        <f ca="1">OFFSET(C3,BU315,BV315)</f>
        <v>Alexander Bah</v>
      </c>
      <c r="BX315" s="306">
        <f ca="1">COUNTIF('Group Stages'!J7:J102,BW315)</f>
        <v>0</v>
      </c>
      <c r="BY315" s="306">
        <f ca="1">COUNTIF('Group Stages'!K7:K102,BW315)</f>
        <v>0</v>
      </c>
      <c r="BZ315" s="306">
        <f ca="1">COUNTIF('Group Stages'!L7:L102,BW315)</f>
        <v>0</v>
      </c>
      <c r="CA315" s="306">
        <f ca="1">COUNTIF('Group Stages'!M7:M102,BW315)</f>
        <v>0</v>
      </c>
      <c r="CB315" s="306">
        <f ca="1">COUNTIF('Group Stages'!N7:N102,BW315)</f>
        <v>0</v>
      </c>
      <c r="CC315" s="306">
        <f ca="1">COUNTIF('Group Stages'!O7:O102,BW315)</f>
        <v>0</v>
      </c>
      <c r="CD315" s="306">
        <f ca="1">COUNTIF('Group Stages'!P7:P102,BW315)</f>
        <v>0</v>
      </c>
      <c r="CE315" s="306">
        <f ca="1">COUNTIF('Group Stages'!Q7:Q102,BW315)</f>
        <v>0</v>
      </c>
      <c r="CF315" s="306">
        <f ca="1">COUNTIF('Knock Out Stages'!K7:K50,BW315)</f>
        <v>0</v>
      </c>
      <c r="CG315" s="306">
        <f ca="1">COUNTIF('Knock Out Stages'!L7:L50,BW315)</f>
        <v>0</v>
      </c>
      <c r="CH315" s="306">
        <f ca="1">COUNTIF('Knock Out Stages'!M7:M50,BW315)</f>
        <v>0</v>
      </c>
      <c r="CI315" s="306">
        <f ca="1">COUNTIF('Knock Out Stages'!N7:N50,BW315)</f>
        <v>0</v>
      </c>
      <c r="CJ315" s="306">
        <f ca="1">COUNTIF('Knock Out Stages'!O7:O50,BW315)</f>
        <v>0</v>
      </c>
      <c r="CK315" s="306">
        <f ca="1">COUNTIF('Knock Out Stages'!P7:P50,BW315)</f>
        <v>0</v>
      </c>
      <c r="CL315" s="306">
        <f ca="1">COUNTIF('Knock Out Stages'!Q7:Q50,BW315)</f>
        <v>0</v>
      </c>
      <c r="CM315" s="306">
        <f ca="1">COUNTIF('Knock Out Stages'!R7:R50,BW315)</f>
        <v>0</v>
      </c>
      <c r="CN315" s="306">
        <f ca="1">IF(RIGHT('Group Stages'!$B$105,5)="T.com",SUM(BX315:CM315),0)</f>
        <v>0</v>
      </c>
      <c r="CO315" s="306">
        <f ca="1">RANK(CN315,CN3:CN834)+COUNTIF(CN3:CN315,CN315)-1</f>
        <v>313</v>
      </c>
      <c r="CP315" s="306" t="str">
        <f t="shared" ca="1" si="189"/>
        <v>Alexander Bah (Denmark)</v>
      </c>
    </row>
    <row r="316" spans="72:94" x14ac:dyDescent="0.3">
      <c r="BT316" s="306" t="str">
        <f t="shared" ref="BT316" ca="1" si="195">BT315</f>
        <v>Denmark</v>
      </c>
      <c r="BU316" s="306">
        <f t="shared" si="193"/>
        <v>1</v>
      </c>
      <c r="BV316" s="306">
        <f t="shared" si="194"/>
        <v>11</v>
      </c>
      <c r="BW316" s="306" t="str">
        <f ca="1">OFFSET(C3,BU316,BV316)</f>
        <v>Andreas Christensen</v>
      </c>
      <c r="BX316" s="306">
        <f ca="1">COUNTIF('Group Stages'!J7:J102,BW316)</f>
        <v>0</v>
      </c>
      <c r="BY316" s="306">
        <f ca="1">COUNTIF('Group Stages'!K7:K102,BW316)</f>
        <v>0</v>
      </c>
      <c r="BZ316" s="306">
        <f ca="1">COUNTIF('Group Stages'!L7:L102,BW316)</f>
        <v>0</v>
      </c>
      <c r="CA316" s="306">
        <f ca="1">COUNTIF('Group Stages'!M7:M102,BW316)</f>
        <v>0</v>
      </c>
      <c r="CB316" s="306">
        <f ca="1">COUNTIF('Group Stages'!N7:N102,BW316)</f>
        <v>0</v>
      </c>
      <c r="CC316" s="306">
        <f ca="1">COUNTIF('Group Stages'!O7:O102,BW316)</f>
        <v>0</v>
      </c>
      <c r="CD316" s="306">
        <f ca="1">COUNTIF('Group Stages'!P7:P102,BW316)</f>
        <v>0</v>
      </c>
      <c r="CE316" s="306">
        <f ca="1">COUNTIF('Group Stages'!Q7:Q102,BW316)</f>
        <v>0</v>
      </c>
      <c r="CF316" s="306">
        <f ca="1">COUNTIF('Knock Out Stages'!K7:K50,BW316)</f>
        <v>0</v>
      </c>
      <c r="CG316" s="306">
        <f ca="1">COUNTIF('Knock Out Stages'!L7:L50,BW316)</f>
        <v>0</v>
      </c>
      <c r="CH316" s="306">
        <f ca="1">COUNTIF('Knock Out Stages'!M7:M50,BW316)</f>
        <v>0</v>
      </c>
      <c r="CI316" s="306">
        <f ca="1">COUNTIF('Knock Out Stages'!N7:N50,BW316)</f>
        <v>0</v>
      </c>
      <c r="CJ316" s="306">
        <f ca="1">COUNTIF('Knock Out Stages'!O7:O50,BW316)</f>
        <v>0</v>
      </c>
      <c r="CK316" s="306">
        <f ca="1">COUNTIF('Knock Out Stages'!P7:P50,BW316)</f>
        <v>0</v>
      </c>
      <c r="CL316" s="306">
        <f ca="1">COUNTIF('Knock Out Stages'!Q7:Q50,BW316)</f>
        <v>0</v>
      </c>
      <c r="CM316" s="306">
        <f ca="1">COUNTIF('Knock Out Stages'!R7:R50,BW316)</f>
        <v>0</v>
      </c>
      <c r="CN316" s="306">
        <f ca="1">IF(RIGHT('Group Stages'!$B$105,5)="T.com",SUM(BX316:CM316),0)</f>
        <v>0</v>
      </c>
      <c r="CO316" s="306">
        <f ca="1">RANK(CN316,CN3:CN834)+COUNTIF(CN3:CN316,CN316)-1</f>
        <v>314</v>
      </c>
      <c r="CP316" s="306" t="str">
        <f t="shared" ca="1" si="189"/>
        <v>Andreas Christensen (Denmark)</v>
      </c>
    </row>
    <row r="317" spans="72:94" x14ac:dyDescent="0.3">
      <c r="BT317" s="306" t="str">
        <f t="shared" ca="1" si="192"/>
        <v>Denmark</v>
      </c>
      <c r="BU317" s="306">
        <f t="shared" si="193"/>
        <v>2</v>
      </c>
      <c r="BV317" s="306">
        <f t="shared" si="194"/>
        <v>11</v>
      </c>
      <c r="BW317" s="306" t="str">
        <f ca="1">OFFSET(C3,BU317,BV317)</f>
        <v>Andreas Cornelius</v>
      </c>
      <c r="BX317" s="306">
        <f ca="1">COUNTIF('Group Stages'!J7:J102,BW317)</f>
        <v>0</v>
      </c>
      <c r="BY317" s="306">
        <f ca="1">COUNTIF('Group Stages'!K7:K102,BW317)</f>
        <v>0</v>
      </c>
      <c r="BZ317" s="306">
        <f ca="1">COUNTIF('Group Stages'!L7:L102,BW317)</f>
        <v>0</v>
      </c>
      <c r="CA317" s="306">
        <f ca="1">COUNTIF('Group Stages'!M7:M102,BW317)</f>
        <v>0</v>
      </c>
      <c r="CB317" s="306">
        <f ca="1">COUNTIF('Group Stages'!N7:N102,BW317)</f>
        <v>0</v>
      </c>
      <c r="CC317" s="306">
        <f ca="1">COUNTIF('Group Stages'!O7:O102,BW317)</f>
        <v>0</v>
      </c>
      <c r="CD317" s="306">
        <f ca="1">COUNTIF('Group Stages'!P7:P102,BW317)</f>
        <v>0</v>
      </c>
      <c r="CE317" s="306">
        <f ca="1">COUNTIF('Group Stages'!Q7:Q102,BW317)</f>
        <v>0</v>
      </c>
      <c r="CF317" s="306">
        <f ca="1">COUNTIF('Knock Out Stages'!K7:K50,BW317)</f>
        <v>0</v>
      </c>
      <c r="CG317" s="306">
        <f ca="1">COUNTIF('Knock Out Stages'!L7:L50,BW317)</f>
        <v>0</v>
      </c>
      <c r="CH317" s="306">
        <f ca="1">COUNTIF('Knock Out Stages'!M7:M50,BW317)</f>
        <v>0</v>
      </c>
      <c r="CI317" s="306">
        <f ca="1">COUNTIF('Knock Out Stages'!N7:N50,BW317)</f>
        <v>0</v>
      </c>
      <c r="CJ317" s="306">
        <f ca="1">COUNTIF('Knock Out Stages'!O7:O50,BW317)</f>
        <v>0</v>
      </c>
      <c r="CK317" s="306">
        <f ca="1">COUNTIF('Knock Out Stages'!P7:P50,BW317)</f>
        <v>0</v>
      </c>
      <c r="CL317" s="306">
        <f ca="1">COUNTIF('Knock Out Stages'!Q7:Q50,BW317)</f>
        <v>0</v>
      </c>
      <c r="CM317" s="306">
        <f ca="1">COUNTIF('Knock Out Stages'!R7:R50,BW317)</f>
        <v>0</v>
      </c>
      <c r="CN317" s="306">
        <f ca="1">IF(RIGHT('Group Stages'!$B$105,5)="T.com",SUM(BX317:CM317),0)</f>
        <v>0</v>
      </c>
      <c r="CO317" s="306">
        <f ca="1">RANK(CN317,CN3:CN834)+COUNTIF(CN3:CN317,CN317)-1</f>
        <v>315</v>
      </c>
      <c r="CP317" s="306" t="str">
        <f t="shared" ca="1" si="189"/>
        <v>Andreas Cornelius (Denmark)</v>
      </c>
    </row>
    <row r="318" spans="72:94" x14ac:dyDescent="0.3">
      <c r="BT318" s="306" t="str">
        <f t="shared" ca="1" si="192"/>
        <v>Denmark</v>
      </c>
      <c r="BU318" s="306">
        <f t="shared" si="193"/>
        <v>3</v>
      </c>
      <c r="BV318" s="306">
        <f t="shared" si="194"/>
        <v>11</v>
      </c>
      <c r="BW318" s="306" t="str">
        <f ca="1">OFFSET(C3,BU318,BV318)</f>
        <v>Andreas Skov Olsen</v>
      </c>
      <c r="BX318" s="306">
        <f ca="1">COUNTIF('Group Stages'!J7:J102,BW318)</f>
        <v>0</v>
      </c>
      <c r="BY318" s="306">
        <f ca="1">COUNTIF('Group Stages'!K7:K102,BW318)</f>
        <v>0</v>
      </c>
      <c r="BZ318" s="306">
        <f ca="1">COUNTIF('Group Stages'!L7:L102,BW318)</f>
        <v>0</v>
      </c>
      <c r="CA318" s="306">
        <f ca="1">COUNTIF('Group Stages'!M7:M102,BW318)</f>
        <v>0</v>
      </c>
      <c r="CB318" s="306">
        <f ca="1">COUNTIF('Group Stages'!N7:N102,BW318)</f>
        <v>0</v>
      </c>
      <c r="CC318" s="306">
        <f ca="1">COUNTIF('Group Stages'!O7:O102,BW318)</f>
        <v>0</v>
      </c>
      <c r="CD318" s="306">
        <f ca="1">COUNTIF('Group Stages'!P7:P102,BW318)</f>
        <v>0</v>
      </c>
      <c r="CE318" s="306">
        <f ca="1">COUNTIF('Group Stages'!Q7:Q102,BW318)</f>
        <v>0</v>
      </c>
      <c r="CF318" s="306">
        <f ca="1">COUNTIF('Knock Out Stages'!K7:K50,BW318)</f>
        <v>0</v>
      </c>
      <c r="CG318" s="306">
        <f ca="1">COUNTIF('Knock Out Stages'!L7:L50,BW318)</f>
        <v>0</v>
      </c>
      <c r="CH318" s="306">
        <f ca="1">COUNTIF('Knock Out Stages'!M7:M50,BW318)</f>
        <v>0</v>
      </c>
      <c r="CI318" s="306">
        <f ca="1">COUNTIF('Knock Out Stages'!N7:N50,BW318)</f>
        <v>0</v>
      </c>
      <c r="CJ318" s="306">
        <f ca="1">COUNTIF('Knock Out Stages'!O7:O50,BW318)</f>
        <v>0</v>
      </c>
      <c r="CK318" s="306">
        <f ca="1">COUNTIF('Knock Out Stages'!P7:P50,BW318)</f>
        <v>0</v>
      </c>
      <c r="CL318" s="306">
        <f ca="1">COUNTIF('Knock Out Stages'!Q7:Q50,BW318)</f>
        <v>0</v>
      </c>
      <c r="CM318" s="306">
        <f ca="1">COUNTIF('Knock Out Stages'!R7:R50,BW318)</f>
        <v>0</v>
      </c>
      <c r="CN318" s="306">
        <f ca="1">IF(RIGHT('Group Stages'!$B$105,5)="T.com",SUM(BX318:CM318),0)</f>
        <v>0</v>
      </c>
      <c r="CO318" s="306">
        <f ca="1">RANK(CN318,CN3:CN834)+COUNTIF(CN3:CN318,CN318)-1</f>
        <v>316</v>
      </c>
      <c r="CP318" s="306" t="str">
        <f t="shared" ca="1" si="189"/>
        <v>Andreas Skov Olsen (Denmark)</v>
      </c>
    </row>
    <row r="319" spans="72:94" x14ac:dyDescent="0.3">
      <c r="BT319" s="306" t="str">
        <f t="shared" ca="1" si="192"/>
        <v>Denmark</v>
      </c>
      <c r="BU319" s="306">
        <f t="shared" si="193"/>
        <v>4</v>
      </c>
      <c r="BV319" s="306">
        <f t="shared" si="194"/>
        <v>11</v>
      </c>
      <c r="BW319" s="306" t="str">
        <f ca="1">OFFSET(C3,BU319,BV319)</f>
        <v>Christian Eriksen</v>
      </c>
      <c r="BX319" s="306">
        <f ca="1">COUNTIF('Group Stages'!J7:J102,BW319)</f>
        <v>0</v>
      </c>
      <c r="BY319" s="306">
        <f ca="1">COUNTIF('Group Stages'!K7:K102,BW319)</f>
        <v>0</v>
      </c>
      <c r="BZ319" s="306">
        <f ca="1">COUNTIF('Group Stages'!L7:L102,BW319)</f>
        <v>0</v>
      </c>
      <c r="CA319" s="306">
        <f ca="1">COUNTIF('Group Stages'!M7:M102,BW319)</f>
        <v>0</v>
      </c>
      <c r="CB319" s="306">
        <f ca="1">COUNTIF('Group Stages'!N7:N102,BW319)</f>
        <v>0</v>
      </c>
      <c r="CC319" s="306">
        <f ca="1">COUNTIF('Group Stages'!O7:O102,BW319)</f>
        <v>0</v>
      </c>
      <c r="CD319" s="306">
        <f ca="1">COUNTIF('Group Stages'!P7:P102,BW319)</f>
        <v>0</v>
      </c>
      <c r="CE319" s="306">
        <f ca="1">COUNTIF('Group Stages'!Q7:Q102,BW319)</f>
        <v>0</v>
      </c>
      <c r="CF319" s="306">
        <f ca="1">COUNTIF('Knock Out Stages'!K7:K50,BW319)</f>
        <v>0</v>
      </c>
      <c r="CG319" s="306">
        <f ca="1">COUNTIF('Knock Out Stages'!L7:L50,BW319)</f>
        <v>0</v>
      </c>
      <c r="CH319" s="306">
        <f ca="1">COUNTIF('Knock Out Stages'!M7:M50,BW319)</f>
        <v>0</v>
      </c>
      <c r="CI319" s="306">
        <f ca="1">COUNTIF('Knock Out Stages'!N7:N50,BW319)</f>
        <v>0</v>
      </c>
      <c r="CJ319" s="306">
        <f ca="1">COUNTIF('Knock Out Stages'!O7:O50,BW319)</f>
        <v>0</v>
      </c>
      <c r="CK319" s="306">
        <f ca="1">COUNTIF('Knock Out Stages'!P7:P50,BW319)</f>
        <v>0</v>
      </c>
      <c r="CL319" s="306">
        <f ca="1">COUNTIF('Knock Out Stages'!Q7:Q50,BW319)</f>
        <v>0</v>
      </c>
      <c r="CM319" s="306">
        <f ca="1">COUNTIF('Knock Out Stages'!R7:R50,BW319)</f>
        <v>0</v>
      </c>
      <c r="CN319" s="306">
        <f ca="1">IF(RIGHT('Group Stages'!$B$105,5)="T.com",SUM(BX319:CM319),0)</f>
        <v>0</v>
      </c>
      <c r="CO319" s="306">
        <f ca="1">RANK(CN319,CN3:CN834)+COUNTIF(CN3:CN319,CN319)-1</f>
        <v>317</v>
      </c>
      <c r="CP319" s="306" t="str">
        <f t="shared" ca="1" si="189"/>
        <v>Christian Eriksen (Denmark)</v>
      </c>
    </row>
    <row r="320" spans="72:94" x14ac:dyDescent="0.3">
      <c r="BT320" s="306" t="str">
        <f t="shared" ca="1" si="192"/>
        <v>Denmark</v>
      </c>
      <c r="BU320" s="306">
        <f t="shared" si="193"/>
        <v>5</v>
      </c>
      <c r="BV320" s="306">
        <f t="shared" si="194"/>
        <v>11</v>
      </c>
      <c r="BW320" s="306" t="str">
        <f ca="1">OFFSET(C3,BU320,BV320)</f>
        <v>Christian Nørgaard</v>
      </c>
      <c r="BX320" s="306">
        <f ca="1">COUNTIF('Group Stages'!J7:J102,BW320)</f>
        <v>0</v>
      </c>
      <c r="BY320" s="306">
        <f ca="1">COUNTIF('Group Stages'!K7:K102,BW320)</f>
        <v>0</v>
      </c>
      <c r="BZ320" s="306">
        <f ca="1">COUNTIF('Group Stages'!L7:L102,BW320)</f>
        <v>0</v>
      </c>
      <c r="CA320" s="306">
        <f ca="1">COUNTIF('Group Stages'!M7:M102,BW320)</f>
        <v>0</v>
      </c>
      <c r="CB320" s="306">
        <f ca="1">COUNTIF('Group Stages'!N7:N102,BW320)</f>
        <v>0</v>
      </c>
      <c r="CC320" s="306">
        <f ca="1">COUNTIF('Group Stages'!O7:O102,BW320)</f>
        <v>0</v>
      </c>
      <c r="CD320" s="306">
        <f ca="1">COUNTIF('Group Stages'!P7:P102,BW320)</f>
        <v>0</v>
      </c>
      <c r="CE320" s="306">
        <f ca="1">COUNTIF('Group Stages'!Q7:Q102,BW320)</f>
        <v>0</v>
      </c>
      <c r="CF320" s="306">
        <f ca="1">COUNTIF('Knock Out Stages'!K7:K50,BW320)</f>
        <v>0</v>
      </c>
      <c r="CG320" s="306">
        <f ca="1">COUNTIF('Knock Out Stages'!L7:L50,BW320)</f>
        <v>0</v>
      </c>
      <c r="CH320" s="306">
        <f ca="1">COUNTIF('Knock Out Stages'!M7:M50,BW320)</f>
        <v>0</v>
      </c>
      <c r="CI320" s="306">
        <f ca="1">COUNTIF('Knock Out Stages'!N7:N50,BW320)</f>
        <v>0</v>
      </c>
      <c r="CJ320" s="306">
        <f ca="1">COUNTIF('Knock Out Stages'!O7:O50,BW320)</f>
        <v>0</v>
      </c>
      <c r="CK320" s="306">
        <f ca="1">COUNTIF('Knock Out Stages'!P7:P50,BW320)</f>
        <v>0</v>
      </c>
      <c r="CL320" s="306">
        <f ca="1">COUNTIF('Knock Out Stages'!Q7:Q50,BW320)</f>
        <v>0</v>
      </c>
      <c r="CM320" s="306">
        <f ca="1">COUNTIF('Knock Out Stages'!R7:R50,BW320)</f>
        <v>0</v>
      </c>
      <c r="CN320" s="306">
        <f ca="1">IF(RIGHT('Group Stages'!$B$105,5)="T.com",SUM(BX320:CM320),0)</f>
        <v>0</v>
      </c>
      <c r="CO320" s="306">
        <f ca="1">RANK(CN320,CN3:CN834)+COUNTIF(CN3:CN320,CN320)-1</f>
        <v>318</v>
      </c>
      <c r="CP320" s="306" t="str">
        <f t="shared" ca="1" si="189"/>
        <v>Christian Nørgaard (Denmark)</v>
      </c>
    </row>
    <row r="321" spans="72:94" x14ac:dyDescent="0.3">
      <c r="BT321" s="306" t="str">
        <f t="shared" ca="1" si="192"/>
        <v>Denmark</v>
      </c>
      <c r="BU321" s="306">
        <f t="shared" si="193"/>
        <v>6</v>
      </c>
      <c r="BV321" s="306">
        <f t="shared" si="194"/>
        <v>11</v>
      </c>
      <c r="BW321" s="306" t="str">
        <f ca="1">OFFSET(C3,BU321,BV321)</f>
        <v>Daniel Wass</v>
      </c>
      <c r="BX321" s="306">
        <f ca="1">COUNTIF('Group Stages'!J7:J102,BW321)</f>
        <v>0</v>
      </c>
      <c r="BY321" s="306">
        <f ca="1">COUNTIF('Group Stages'!K7:K102,BW321)</f>
        <v>0</v>
      </c>
      <c r="BZ321" s="306">
        <f ca="1">COUNTIF('Group Stages'!L7:L102,BW321)</f>
        <v>0</v>
      </c>
      <c r="CA321" s="306">
        <f ca="1">COUNTIF('Group Stages'!M7:M102,BW321)</f>
        <v>0</v>
      </c>
      <c r="CB321" s="306">
        <f ca="1">COUNTIF('Group Stages'!N7:N102,BW321)</f>
        <v>0</v>
      </c>
      <c r="CC321" s="306">
        <f ca="1">COUNTIF('Group Stages'!O7:O102,BW321)</f>
        <v>0</v>
      </c>
      <c r="CD321" s="306">
        <f ca="1">COUNTIF('Group Stages'!P7:P102,BW321)</f>
        <v>0</v>
      </c>
      <c r="CE321" s="306">
        <f ca="1">COUNTIF('Group Stages'!Q7:Q102,BW321)</f>
        <v>0</v>
      </c>
      <c r="CF321" s="306">
        <f ca="1">COUNTIF('Knock Out Stages'!K7:K50,BW321)</f>
        <v>0</v>
      </c>
      <c r="CG321" s="306">
        <f ca="1">COUNTIF('Knock Out Stages'!L7:L50,BW321)</f>
        <v>0</v>
      </c>
      <c r="CH321" s="306">
        <f ca="1">COUNTIF('Knock Out Stages'!M7:M50,BW321)</f>
        <v>0</v>
      </c>
      <c r="CI321" s="306">
        <f ca="1">COUNTIF('Knock Out Stages'!N7:N50,BW321)</f>
        <v>0</v>
      </c>
      <c r="CJ321" s="306">
        <f ca="1">COUNTIF('Knock Out Stages'!O7:O50,BW321)</f>
        <v>0</v>
      </c>
      <c r="CK321" s="306">
        <f ca="1">COUNTIF('Knock Out Stages'!P7:P50,BW321)</f>
        <v>0</v>
      </c>
      <c r="CL321" s="306">
        <f ca="1">COUNTIF('Knock Out Stages'!Q7:Q50,BW321)</f>
        <v>0</v>
      </c>
      <c r="CM321" s="306">
        <f ca="1">COUNTIF('Knock Out Stages'!R7:R50,BW321)</f>
        <v>0</v>
      </c>
      <c r="CN321" s="306">
        <f ca="1">IF(RIGHT('Group Stages'!$B$105,5)="T.com",SUM(BX321:CM321),0)</f>
        <v>0</v>
      </c>
      <c r="CO321" s="306">
        <f ca="1">RANK(CN321,CN3:CN834)+COUNTIF(CN3:CN321,CN321)-1</f>
        <v>319</v>
      </c>
      <c r="CP321" s="306" t="str">
        <f t="shared" ca="1" si="189"/>
        <v>Daniel Wass (Denmark)</v>
      </c>
    </row>
    <row r="322" spans="72:94" x14ac:dyDescent="0.3">
      <c r="BT322" s="306" t="str">
        <f t="shared" ca="1" si="192"/>
        <v>Denmark</v>
      </c>
      <c r="BU322" s="306">
        <f t="shared" si="193"/>
        <v>7</v>
      </c>
      <c r="BV322" s="306">
        <f t="shared" si="194"/>
        <v>11</v>
      </c>
      <c r="BW322" s="306" t="str">
        <f ca="1">OFFSET(C3,BU322,BV322)</f>
        <v>Frederik Rønnow</v>
      </c>
      <c r="BX322" s="306">
        <f ca="1">COUNTIF('Group Stages'!J7:J102,BW322)</f>
        <v>0</v>
      </c>
      <c r="BY322" s="306">
        <f ca="1">COUNTIF('Group Stages'!K7:K102,BW322)</f>
        <v>0</v>
      </c>
      <c r="BZ322" s="306">
        <f ca="1">COUNTIF('Group Stages'!L7:L102,BW322)</f>
        <v>0</v>
      </c>
      <c r="CA322" s="306">
        <f ca="1">COUNTIF('Group Stages'!M7:M102,BW322)</f>
        <v>0</v>
      </c>
      <c r="CB322" s="306">
        <f ca="1">COUNTIF('Group Stages'!N7:N102,BW322)</f>
        <v>0</v>
      </c>
      <c r="CC322" s="306">
        <f ca="1">COUNTIF('Group Stages'!O7:O102,BW322)</f>
        <v>0</v>
      </c>
      <c r="CD322" s="306">
        <f ca="1">COUNTIF('Group Stages'!P7:P102,BW322)</f>
        <v>0</v>
      </c>
      <c r="CE322" s="306">
        <f ca="1">COUNTIF('Group Stages'!Q7:Q102,BW322)</f>
        <v>0</v>
      </c>
      <c r="CF322" s="306">
        <f ca="1">COUNTIF('Knock Out Stages'!K7:K50,BW322)</f>
        <v>0</v>
      </c>
      <c r="CG322" s="306">
        <f ca="1">COUNTIF('Knock Out Stages'!L7:L50,BW322)</f>
        <v>0</v>
      </c>
      <c r="CH322" s="306">
        <f ca="1">COUNTIF('Knock Out Stages'!M7:M50,BW322)</f>
        <v>0</v>
      </c>
      <c r="CI322" s="306">
        <f ca="1">COUNTIF('Knock Out Stages'!N7:N50,BW322)</f>
        <v>0</v>
      </c>
      <c r="CJ322" s="306">
        <f ca="1">COUNTIF('Knock Out Stages'!O7:O50,BW322)</f>
        <v>0</v>
      </c>
      <c r="CK322" s="306">
        <f ca="1">COUNTIF('Knock Out Stages'!P7:P50,BW322)</f>
        <v>0</v>
      </c>
      <c r="CL322" s="306">
        <f ca="1">COUNTIF('Knock Out Stages'!Q7:Q50,BW322)</f>
        <v>0</v>
      </c>
      <c r="CM322" s="306">
        <f ca="1">COUNTIF('Knock Out Stages'!R7:R50,BW322)</f>
        <v>0</v>
      </c>
      <c r="CN322" s="306">
        <f ca="1">IF(RIGHT('Group Stages'!$B$105,5)="T.com",SUM(BX322:CM322),0)</f>
        <v>0</v>
      </c>
      <c r="CO322" s="306">
        <f ca="1">RANK(CN322,CN3:CN834)+COUNTIF(CN3:CN322,CN322)-1</f>
        <v>320</v>
      </c>
      <c r="CP322" s="306" t="str">
        <f t="shared" ca="1" si="189"/>
        <v>Frederik Rønnow (Denmark)</v>
      </c>
    </row>
    <row r="323" spans="72:94" x14ac:dyDescent="0.3">
      <c r="BT323" s="306" t="str">
        <f t="shared" ca="1" si="192"/>
        <v>Denmark</v>
      </c>
      <c r="BU323" s="306">
        <f t="shared" si="193"/>
        <v>8</v>
      </c>
      <c r="BV323" s="306">
        <f t="shared" si="194"/>
        <v>11</v>
      </c>
      <c r="BW323" s="306" t="str">
        <f ca="1">OFFSET(C3,BU323,BV323)</f>
        <v>Jens Stryger Larsen</v>
      </c>
      <c r="BX323" s="306">
        <f ca="1">COUNTIF('Group Stages'!J7:J102,BW323)</f>
        <v>0</v>
      </c>
      <c r="BY323" s="306">
        <f ca="1">COUNTIF('Group Stages'!K7:K102,BW323)</f>
        <v>0</v>
      </c>
      <c r="BZ323" s="306">
        <f ca="1">COUNTIF('Group Stages'!L7:L102,BW323)</f>
        <v>0</v>
      </c>
      <c r="CA323" s="306">
        <f ca="1">COUNTIF('Group Stages'!M7:M102,BW323)</f>
        <v>0</v>
      </c>
      <c r="CB323" s="306">
        <f ca="1">COUNTIF('Group Stages'!N7:N102,BW323)</f>
        <v>0</v>
      </c>
      <c r="CC323" s="306">
        <f ca="1">COUNTIF('Group Stages'!O7:O102,BW323)</f>
        <v>0</v>
      </c>
      <c r="CD323" s="306">
        <f ca="1">COUNTIF('Group Stages'!P7:P102,BW323)</f>
        <v>0</v>
      </c>
      <c r="CE323" s="306">
        <f ca="1">COUNTIF('Group Stages'!Q7:Q102,BW323)</f>
        <v>0</v>
      </c>
      <c r="CF323" s="306">
        <f ca="1">COUNTIF('Knock Out Stages'!K7:K50,BW323)</f>
        <v>0</v>
      </c>
      <c r="CG323" s="306">
        <f ca="1">COUNTIF('Knock Out Stages'!L7:L50,BW323)</f>
        <v>0</v>
      </c>
      <c r="CH323" s="306">
        <f ca="1">COUNTIF('Knock Out Stages'!M7:M50,BW323)</f>
        <v>0</v>
      </c>
      <c r="CI323" s="306">
        <f ca="1">COUNTIF('Knock Out Stages'!N7:N50,BW323)</f>
        <v>0</v>
      </c>
      <c r="CJ323" s="306">
        <f ca="1">COUNTIF('Knock Out Stages'!O7:O50,BW323)</f>
        <v>0</v>
      </c>
      <c r="CK323" s="306">
        <f ca="1">COUNTIF('Knock Out Stages'!P7:P50,BW323)</f>
        <v>0</v>
      </c>
      <c r="CL323" s="306">
        <f ca="1">COUNTIF('Knock Out Stages'!Q7:Q50,BW323)</f>
        <v>0</v>
      </c>
      <c r="CM323" s="306">
        <f ca="1">COUNTIF('Knock Out Stages'!R7:R50,BW323)</f>
        <v>0</v>
      </c>
      <c r="CN323" s="306">
        <f ca="1">IF(RIGHT('Group Stages'!$B$105,5)="T.com",SUM(BX323:CM323),0)</f>
        <v>0</v>
      </c>
      <c r="CO323" s="306">
        <f ca="1">RANK(CN323,CN3:CN834)+COUNTIF(CN3:CN323,CN323)-1</f>
        <v>321</v>
      </c>
      <c r="CP323" s="306" t="str">
        <f t="shared" ca="1" si="189"/>
        <v>Jens Stryger Larsen (Denmark)</v>
      </c>
    </row>
    <row r="324" spans="72:94" x14ac:dyDescent="0.3">
      <c r="BT324" s="306" t="str">
        <f t="shared" ca="1" si="192"/>
        <v>Denmark</v>
      </c>
      <c r="BU324" s="306">
        <f t="shared" si="193"/>
        <v>9</v>
      </c>
      <c r="BV324" s="306">
        <f t="shared" si="194"/>
        <v>11</v>
      </c>
      <c r="BW324" s="306" t="str">
        <f ca="1">OFFSET(C3,BU324,BV324)</f>
        <v>Jesper Lindstrøm</v>
      </c>
      <c r="BX324" s="306">
        <f ca="1">COUNTIF('Group Stages'!J7:J102,BW324)</f>
        <v>0</v>
      </c>
      <c r="BY324" s="306">
        <f ca="1">COUNTIF('Group Stages'!K7:K102,BW324)</f>
        <v>0</v>
      </c>
      <c r="BZ324" s="306">
        <f ca="1">COUNTIF('Group Stages'!L7:L102,BW324)</f>
        <v>0</v>
      </c>
      <c r="CA324" s="306">
        <f ca="1">COUNTIF('Group Stages'!M7:M102,BW324)</f>
        <v>0</v>
      </c>
      <c r="CB324" s="306">
        <f ca="1">COUNTIF('Group Stages'!N7:N102,BW324)</f>
        <v>0</v>
      </c>
      <c r="CC324" s="306">
        <f ca="1">COUNTIF('Group Stages'!O7:O102,BW324)</f>
        <v>0</v>
      </c>
      <c r="CD324" s="306">
        <f ca="1">COUNTIF('Group Stages'!P7:P102,BW324)</f>
        <v>0</v>
      </c>
      <c r="CE324" s="306">
        <f ca="1">COUNTIF('Group Stages'!Q7:Q102,BW324)</f>
        <v>0</v>
      </c>
      <c r="CF324" s="306">
        <f ca="1">COUNTIF('Knock Out Stages'!K7:K50,BW324)</f>
        <v>0</v>
      </c>
      <c r="CG324" s="306">
        <f ca="1">COUNTIF('Knock Out Stages'!L7:L50,BW324)</f>
        <v>0</v>
      </c>
      <c r="CH324" s="306">
        <f ca="1">COUNTIF('Knock Out Stages'!M7:M50,BW324)</f>
        <v>0</v>
      </c>
      <c r="CI324" s="306">
        <f ca="1">COUNTIF('Knock Out Stages'!N7:N50,BW324)</f>
        <v>0</v>
      </c>
      <c r="CJ324" s="306">
        <f ca="1">COUNTIF('Knock Out Stages'!O7:O50,BW324)</f>
        <v>0</v>
      </c>
      <c r="CK324" s="306">
        <f ca="1">COUNTIF('Knock Out Stages'!P7:P50,BW324)</f>
        <v>0</v>
      </c>
      <c r="CL324" s="306">
        <f ca="1">COUNTIF('Knock Out Stages'!Q7:Q50,BW324)</f>
        <v>0</v>
      </c>
      <c r="CM324" s="306">
        <f ca="1">COUNTIF('Knock Out Stages'!R7:R50,BW324)</f>
        <v>0</v>
      </c>
      <c r="CN324" s="306">
        <f ca="1">IF(RIGHT('Group Stages'!$B$105,5)="T.com",SUM(BX324:CM324),0)</f>
        <v>0</v>
      </c>
      <c r="CO324" s="306">
        <f ca="1">RANK(CN324,CN3:CN834)+COUNTIF(CN3:CN324,CN324)-1</f>
        <v>322</v>
      </c>
      <c r="CP324" s="306" t="str">
        <f t="shared" ref="CP324:CP387" ca="1" si="196">BW324&amp;" ("&amp;BT324&amp;")"</f>
        <v>Jesper Lindstrøm (Denmark)</v>
      </c>
    </row>
    <row r="325" spans="72:94" x14ac:dyDescent="0.3">
      <c r="BT325" s="306" t="str">
        <f t="shared" ca="1" si="192"/>
        <v>Denmark</v>
      </c>
      <c r="BU325" s="306">
        <f t="shared" si="193"/>
        <v>10</v>
      </c>
      <c r="BV325" s="306">
        <f t="shared" si="194"/>
        <v>11</v>
      </c>
      <c r="BW325" s="306" t="str">
        <f ca="1">OFFSET(C3,BU325,BV325)</f>
        <v>Joachim Andersen</v>
      </c>
      <c r="BX325" s="306">
        <f ca="1">COUNTIF('Group Stages'!J7:J102,BW325)</f>
        <v>0</v>
      </c>
      <c r="BY325" s="306">
        <f ca="1">COUNTIF('Group Stages'!K7:K102,BW325)</f>
        <v>0</v>
      </c>
      <c r="BZ325" s="306">
        <f ca="1">COUNTIF('Group Stages'!L7:L102,BW325)</f>
        <v>0</v>
      </c>
      <c r="CA325" s="306">
        <f ca="1">COUNTIF('Group Stages'!M7:M102,BW325)</f>
        <v>0</v>
      </c>
      <c r="CB325" s="306">
        <f ca="1">COUNTIF('Group Stages'!N7:N102,BW325)</f>
        <v>0</v>
      </c>
      <c r="CC325" s="306">
        <f ca="1">COUNTIF('Group Stages'!O7:O102,BW325)</f>
        <v>0</v>
      </c>
      <c r="CD325" s="306">
        <f ca="1">COUNTIF('Group Stages'!P7:P102,BW325)</f>
        <v>0</v>
      </c>
      <c r="CE325" s="306">
        <f ca="1">COUNTIF('Group Stages'!Q7:Q102,BW325)</f>
        <v>0</v>
      </c>
      <c r="CF325" s="306">
        <f ca="1">COUNTIF('Knock Out Stages'!K7:K50,BW325)</f>
        <v>0</v>
      </c>
      <c r="CG325" s="306">
        <f ca="1">COUNTIF('Knock Out Stages'!L7:L50,BW325)</f>
        <v>0</v>
      </c>
      <c r="CH325" s="306">
        <f ca="1">COUNTIF('Knock Out Stages'!M7:M50,BW325)</f>
        <v>0</v>
      </c>
      <c r="CI325" s="306">
        <f ca="1">COUNTIF('Knock Out Stages'!N7:N50,BW325)</f>
        <v>0</v>
      </c>
      <c r="CJ325" s="306">
        <f ca="1">COUNTIF('Knock Out Stages'!O7:O50,BW325)</f>
        <v>0</v>
      </c>
      <c r="CK325" s="306">
        <f ca="1">COUNTIF('Knock Out Stages'!P7:P50,BW325)</f>
        <v>0</v>
      </c>
      <c r="CL325" s="306">
        <f ca="1">COUNTIF('Knock Out Stages'!Q7:Q50,BW325)</f>
        <v>0</v>
      </c>
      <c r="CM325" s="306">
        <f ca="1">COUNTIF('Knock Out Stages'!R7:R50,BW325)</f>
        <v>0</v>
      </c>
      <c r="CN325" s="306">
        <f ca="1">IF(RIGHT('Group Stages'!$B$105,5)="T.com",SUM(BX325:CM325),0)</f>
        <v>0</v>
      </c>
      <c r="CO325" s="306">
        <f ca="1">RANK(CN325,CN3:CN834)+COUNTIF(CN3:CN325,CN325)-1</f>
        <v>323</v>
      </c>
      <c r="CP325" s="306" t="str">
        <f t="shared" ca="1" si="196"/>
        <v>Joachim Andersen (Denmark)</v>
      </c>
    </row>
    <row r="326" spans="72:94" x14ac:dyDescent="0.3">
      <c r="BT326" s="306" t="str">
        <f t="shared" ca="1" si="192"/>
        <v>Denmark</v>
      </c>
      <c r="BU326" s="306">
        <f t="shared" si="193"/>
        <v>11</v>
      </c>
      <c r="BV326" s="306">
        <f t="shared" si="194"/>
        <v>11</v>
      </c>
      <c r="BW326" s="306" t="str">
        <f ca="1">OFFSET(C3,BU326,BV326)</f>
        <v>Joakim Mæhle</v>
      </c>
      <c r="BX326" s="306">
        <f ca="1">COUNTIF('Group Stages'!J7:J102,BW326)</f>
        <v>0</v>
      </c>
      <c r="BY326" s="306">
        <f ca="1">COUNTIF('Group Stages'!K7:K102,BW326)</f>
        <v>0</v>
      </c>
      <c r="BZ326" s="306">
        <f ca="1">COUNTIF('Group Stages'!L7:L102,BW326)</f>
        <v>0</v>
      </c>
      <c r="CA326" s="306">
        <f ca="1">COUNTIF('Group Stages'!M7:M102,BW326)</f>
        <v>0</v>
      </c>
      <c r="CB326" s="306">
        <f ca="1">COUNTIF('Group Stages'!N7:N102,BW326)</f>
        <v>0</v>
      </c>
      <c r="CC326" s="306">
        <f ca="1">COUNTIF('Group Stages'!O7:O102,BW326)</f>
        <v>0</v>
      </c>
      <c r="CD326" s="306">
        <f ca="1">COUNTIF('Group Stages'!P7:P102,BW326)</f>
        <v>0</v>
      </c>
      <c r="CE326" s="306">
        <f ca="1">COUNTIF('Group Stages'!Q7:Q102,BW326)</f>
        <v>0</v>
      </c>
      <c r="CF326" s="306">
        <f ca="1">COUNTIF('Knock Out Stages'!K7:K50,BW326)</f>
        <v>0</v>
      </c>
      <c r="CG326" s="306">
        <f ca="1">COUNTIF('Knock Out Stages'!L7:L50,BW326)</f>
        <v>0</v>
      </c>
      <c r="CH326" s="306">
        <f ca="1">COUNTIF('Knock Out Stages'!M7:M50,BW326)</f>
        <v>0</v>
      </c>
      <c r="CI326" s="306">
        <f ca="1">COUNTIF('Knock Out Stages'!N7:N50,BW326)</f>
        <v>0</v>
      </c>
      <c r="CJ326" s="306">
        <f ca="1">COUNTIF('Knock Out Stages'!O7:O50,BW326)</f>
        <v>0</v>
      </c>
      <c r="CK326" s="306">
        <f ca="1">COUNTIF('Knock Out Stages'!P7:P50,BW326)</f>
        <v>0</v>
      </c>
      <c r="CL326" s="306">
        <f ca="1">COUNTIF('Knock Out Stages'!Q7:Q50,BW326)</f>
        <v>0</v>
      </c>
      <c r="CM326" s="306">
        <f ca="1">COUNTIF('Knock Out Stages'!R7:R50,BW326)</f>
        <v>0</v>
      </c>
      <c r="CN326" s="306">
        <f ca="1">IF(RIGHT('Group Stages'!$B$105,5)="T.com",SUM(BX326:CM326),0)</f>
        <v>0</v>
      </c>
      <c r="CO326" s="306">
        <f ca="1">RANK(CN326,CN3:CN834)+COUNTIF(CN3:CN326,CN326)-1</f>
        <v>324</v>
      </c>
      <c r="CP326" s="306" t="str">
        <f t="shared" ca="1" si="196"/>
        <v>Joakim Mæhle (Denmark)</v>
      </c>
    </row>
    <row r="327" spans="72:94" x14ac:dyDescent="0.3">
      <c r="BT327" s="306" t="str">
        <f t="shared" ca="1" si="192"/>
        <v>Denmark</v>
      </c>
      <c r="BU327" s="306">
        <f t="shared" si="193"/>
        <v>12</v>
      </c>
      <c r="BV327" s="306">
        <f t="shared" si="194"/>
        <v>11</v>
      </c>
      <c r="BW327" s="306" t="str">
        <f ca="1">OFFSET(C3,BU327,BV327)</f>
        <v>Jonas Wind</v>
      </c>
      <c r="BX327" s="306">
        <f ca="1">COUNTIF('Group Stages'!J7:J102,BW327)</f>
        <v>0</v>
      </c>
      <c r="BY327" s="306">
        <f ca="1">COUNTIF('Group Stages'!K7:K102,BW327)</f>
        <v>0</v>
      </c>
      <c r="BZ327" s="306">
        <f ca="1">COUNTIF('Group Stages'!L7:L102,BW327)</f>
        <v>0</v>
      </c>
      <c r="CA327" s="306">
        <f ca="1">COUNTIF('Group Stages'!M7:M102,BW327)</f>
        <v>0</v>
      </c>
      <c r="CB327" s="306">
        <f ca="1">COUNTIF('Group Stages'!N7:N102,BW327)</f>
        <v>0</v>
      </c>
      <c r="CC327" s="306">
        <f ca="1">COUNTIF('Group Stages'!O7:O102,BW327)</f>
        <v>0</v>
      </c>
      <c r="CD327" s="306">
        <f ca="1">COUNTIF('Group Stages'!P7:P102,BW327)</f>
        <v>0</v>
      </c>
      <c r="CE327" s="306">
        <f ca="1">COUNTIF('Group Stages'!Q7:Q102,BW327)</f>
        <v>0</v>
      </c>
      <c r="CF327" s="306">
        <f ca="1">COUNTIF('Knock Out Stages'!K7:K50,BW327)</f>
        <v>0</v>
      </c>
      <c r="CG327" s="306">
        <f ca="1">COUNTIF('Knock Out Stages'!L7:L50,BW327)</f>
        <v>0</v>
      </c>
      <c r="CH327" s="306">
        <f ca="1">COUNTIF('Knock Out Stages'!M7:M50,BW327)</f>
        <v>0</v>
      </c>
      <c r="CI327" s="306">
        <f ca="1">COUNTIF('Knock Out Stages'!N7:N50,BW327)</f>
        <v>0</v>
      </c>
      <c r="CJ327" s="306">
        <f ca="1">COUNTIF('Knock Out Stages'!O7:O50,BW327)</f>
        <v>0</v>
      </c>
      <c r="CK327" s="306">
        <f ca="1">COUNTIF('Knock Out Stages'!P7:P50,BW327)</f>
        <v>0</v>
      </c>
      <c r="CL327" s="306">
        <f ca="1">COUNTIF('Knock Out Stages'!Q7:Q50,BW327)</f>
        <v>0</v>
      </c>
      <c r="CM327" s="306">
        <f ca="1">COUNTIF('Knock Out Stages'!R7:R50,BW327)</f>
        <v>0</v>
      </c>
      <c r="CN327" s="306">
        <f ca="1">IF(RIGHT('Group Stages'!$B$105,5)="T.com",SUM(BX327:CM327),0)</f>
        <v>0</v>
      </c>
      <c r="CO327" s="306">
        <f ca="1">RANK(CN327,CN3:CN834)+COUNTIF(CN3:CN327,CN327)-1</f>
        <v>325</v>
      </c>
      <c r="CP327" s="306" t="str">
        <f t="shared" ca="1" si="196"/>
        <v>Jonas Wind (Denmark)</v>
      </c>
    </row>
    <row r="328" spans="72:94" x14ac:dyDescent="0.3">
      <c r="BT328" s="306" t="str">
        <f t="shared" ca="1" si="192"/>
        <v>Denmark</v>
      </c>
      <c r="BU328" s="306">
        <f t="shared" si="193"/>
        <v>13</v>
      </c>
      <c r="BV328" s="306">
        <f t="shared" si="194"/>
        <v>11</v>
      </c>
      <c r="BW328" s="306" t="str">
        <f ca="1">OFFSET(C3,BU328,BV328)</f>
        <v>Kasper Dolberg</v>
      </c>
      <c r="BX328" s="306">
        <f ca="1">COUNTIF('Group Stages'!J7:J102,BW328)</f>
        <v>0</v>
      </c>
      <c r="BY328" s="306">
        <f ca="1">COUNTIF('Group Stages'!K7:K102,BW328)</f>
        <v>0</v>
      </c>
      <c r="BZ328" s="306">
        <f ca="1">COUNTIF('Group Stages'!L7:L102,BW328)</f>
        <v>0</v>
      </c>
      <c r="CA328" s="306">
        <f ca="1">COUNTIF('Group Stages'!M7:M102,BW328)</f>
        <v>0</v>
      </c>
      <c r="CB328" s="306">
        <f ca="1">COUNTIF('Group Stages'!N7:N102,BW328)</f>
        <v>0</v>
      </c>
      <c r="CC328" s="306">
        <f ca="1">COUNTIF('Group Stages'!O7:O102,BW328)</f>
        <v>0</v>
      </c>
      <c r="CD328" s="306">
        <f ca="1">COUNTIF('Group Stages'!P7:P102,BW328)</f>
        <v>0</v>
      </c>
      <c r="CE328" s="306">
        <f ca="1">COUNTIF('Group Stages'!Q7:Q102,BW328)</f>
        <v>0</v>
      </c>
      <c r="CF328" s="306">
        <f ca="1">COUNTIF('Knock Out Stages'!K7:K50,BW328)</f>
        <v>0</v>
      </c>
      <c r="CG328" s="306">
        <f ca="1">COUNTIF('Knock Out Stages'!L7:L50,BW328)</f>
        <v>0</v>
      </c>
      <c r="CH328" s="306">
        <f ca="1">COUNTIF('Knock Out Stages'!M7:M50,BW328)</f>
        <v>0</v>
      </c>
      <c r="CI328" s="306">
        <f ca="1">COUNTIF('Knock Out Stages'!N7:N50,BW328)</f>
        <v>0</v>
      </c>
      <c r="CJ328" s="306">
        <f ca="1">COUNTIF('Knock Out Stages'!O7:O50,BW328)</f>
        <v>0</v>
      </c>
      <c r="CK328" s="306">
        <f ca="1">COUNTIF('Knock Out Stages'!P7:P50,BW328)</f>
        <v>0</v>
      </c>
      <c r="CL328" s="306">
        <f ca="1">COUNTIF('Knock Out Stages'!Q7:Q50,BW328)</f>
        <v>0</v>
      </c>
      <c r="CM328" s="306">
        <f ca="1">COUNTIF('Knock Out Stages'!R7:R50,BW328)</f>
        <v>0</v>
      </c>
      <c r="CN328" s="306">
        <f ca="1">IF(RIGHT('Group Stages'!$B$105,5)="T.com",SUM(BX328:CM328),0)</f>
        <v>0</v>
      </c>
      <c r="CO328" s="306">
        <f ca="1">RANK(CN328,CN3:CN834)+COUNTIF(CN3:CN328,CN328)-1</f>
        <v>326</v>
      </c>
      <c r="CP328" s="306" t="str">
        <f t="shared" ca="1" si="196"/>
        <v>Kasper Dolberg (Denmark)</v>
      </c>
    </row>
    <row r="329" spans="72:94" x14ac:dyDescent="0.3">
      <c r="BT329" s="306" t="str">
        <f t="shared" ca="1" si="192"/>
        <v>Denmark</v>
      </c>
      <c r="BU329" s="306">
        <f t="shared" si="193"/>
        <v>14</v>
      </c>
      <c r="BV329" s="306">
        <f t="shared" si="194"/>
        <v>11</v>
      </c>
      <c r="BW329" s="306" t="str">
        <f ca="1">OFFSET(C3,BU329,BV329)</f>
        <v>Kasper Schmeichel</v>
      </c>
      <c r="BX329" s="306">
        <f ca="1">COUNTIF('Group Stages'!J7:J102,BW329)</f>
        <v>0</v>
      </c>
      <c r="BY329" s="306">
        <f ca="1">COUNTIF('Group Stages'!K7:K102,BW329)</f>
        <v>0</v>
      </c>
      <c r="BZ329" s="306">
        <f ca="1">COUNTIF('Group Stages'!L7:L102,BW329)</f>
        <v>0</v>
      </c>
      <c r="CA329" s="306">
        <f ca="1">COUNTIF('Group Stages'!M7:M102,BW329)</f>
        <v>0</v>
      </c>
      <c r="CB329" s="306">
        <f ca="1">COUNTIF('Group Stages'!N7:N102,BW329)</f>
        <v>0</v>
      </c>
      <c r="CC329" s="306">
        <f ca="1">COUNTIF('Group Stages'!O7:O102,BW329)</f>
        <v>0</v>
      </c>
      <c r="CD329" s="306">
        <f ca="1">COUNTIF('Group Stages'!P7:P102,BW329)</f>
        <v>0</v>
      </c>
      <c r="CE329" s="306">
        <f ca="1">COUNTIF('Group Stages'!Q7:Q102,BW329)</f>
        <v>0</v>
      </c>
      <c r="CF329" s="306">
        <f ca="1">COUNTIF('Knock Out Stages'!K7:K50,BW329)</f>
        <v>0</v>
      </c>
      <c r="CG329" s="306">
        <f ca="1">COUNTIF('Knock Out Stages'!L7:L50,BW329)</f>
        <v>0</v>
      </c>
      <c r="CH329" s="306">
        <f ca="1">COUNTIF('Knock Out Stages'!M7:M50,BW329)</f>
        <v>0</v>
      </c>
      <c r="CI329" s="306">
        <f ca="1">COUNTIF('Knock Out Stages'!N7:N50,BW329)</f>
        <v>0</v>
      </c>
      <c r="CJ329" s="306">
        <f ca="1">COUNTIF('Knock Out Stages'!O7:O50,BW329)</f>
        <v>0</v>
      </c>
      <c r="CK329" s="306">
        <f ca="1">COUNTIF('Knock Out Stages'!P7:P50,BW329)</f>
        <v>0</v>
      </c>
      <c r="CL329" s="306">
        <f ca="1">COUNTIF('Knock Out Stages'!Q7:Q50,BW329)</f>
        <v>0</v>
      </c>
      <c r="CM329" s="306">
        <f ca="1">COUNTIF('Knock Out Stages'!R7:R50,BW329)</f>
        <v>0</v>
      </c>
      <c r="CN329" s="306">
        <f ca="1">IF(RIGHT('Group Stages'!$B$105,5)="T.com",SUM(BX329:CM329),0)</f>
        <v>0</v>
      </c>
      <c r="CO329" s="306">
        <f ca="1">RANK(CN329,CN3:CN834)+COUNTIF(CN3:CN329,CN329)-1</f>
        <v>327</v>
      </c>
      <c r="CP329" s="306" t="str">
        <f t="shared" ca="1" si="196"/>
        <v>Kasper Schmeichel (Denmark)</v>
      </c>
    </row>
    <row r="330" spans="72:94" x14ac:dyDescent="0.3">
      <c r="BT330" s="306" t="str">
        <f t="shared" ca="1" si="192"/>
        <v>Denmark</v>
      </c>
      <c r="BU330" s="306">
        <f t="shared" si="193"/>
        <v>15</v>
      </c>
      <c r="BV330" s="306">
        <f t="shared" si="194"/>
        <v>11</v>
      </c>
      <c r="BW330" s="306" t="str">
        <f ca="1">OFFSET(C3,BU330,BV330)</f>
        <v>Martin Braithwaite</v>
      </c>
      <c r="BX330" s="306">
        <f ca="1">COUNTIF('Group Stages'!J7:J102,BW330)</f>
        <v>0</v>
      </c>
      <c r="BY330" s="306">
        <f ca="1">COUNTIF('Group Stages'!K7:K102,BW330)</f>
        <v>0</v>
      </c>
      <c r="BZ330" s="306">
        <f ca="1">COUNTIF('Group Stages'!L7:L102,BW330)</f>
        <v>0</v>
      </c>
      <c r="CA330" s="306">
        <f ca="1">COUNTIF('Group Stages'!M7:M102,BW330)</f>
        <v>0</v>
      </c>
      <c r="CB330" s="306">
        <f ca="1">COUNTIF('Group Stages'!N7:N102,BW330)</f>
        <v>0</v>
      </c>
      <c r="CC330" s="306">
        <f ca="1">COUNTIF('Group Stages'!O7:O102,BW330)</f>
        <v>0</v>
      </c>
      <c r="CD330" s="306">
        <f ca="1">COUNTIF('Group Stages'!P7:P102,BW330)</f>
        <v>0</v>
      </c>
      <c r="CE330" s="306">
        <f ca="1">COUNTIF('Group Stages'!Q7:Q102,BW330)</f>
        <v>0</v>
      </c>
      <c r="CF330" s="306">
        <f ca="1">COUNTIF('Knock Out Stages'!K7:K50,BW330)</f>
        <v>0</v>
      </c>
      <c r="CG330" s="306">
        <f ca="1">COUNTIF('Knock Out Stages'!L7:L50,BW330)</f>
        <v>0</v>
      </c>
      <c r="CH330" s="306">
        <f ca="1">COUNTIF('Knock Out Stages'!M7:M50,BW330)</f>
        <v>0</v>
      </c>
      <c r="CI330" s="306">
        <f ca="1">COUNTIF('Knock Out Stages'!N7:N50,BW330)</f>
        <v>0</v>
      </c>
      <c r="CJ330" s="306">
        <f ca="1">COUNTIF('Knock Out Stages'!O7:O50,BW330)</f>
        <v>0</v>
      </c>
      <c r="CK330" s="306">
        <f ca="1">COUNTIF('Knock Out Stages'!P7:P50,BW330)</f>
        <v>0</v>
      </c>
      <c r="CL330" s="306">
        <f ca="1">COUNTIF('Knock Out Stages'!Q7:Q50,BW330)</f>
        <v>0</v>
      </c>
      <c r="CM330" s="306">
        <f ca="1">COUNTIF('Knock Out Stages'!R7:R50,BW330)</f>
        <v>0</v>
      </c>
      <c r="CN330" s="306">
        <f ca="1">IF(RIGHT('Group Stages'!$B$105,5)="T.com",SUM(BX330:CM330),0)</f>
        <v>0</v>
      </c>
      <c r="CO330" s="306">
        <f ca="1">RANK(CN330,CN3:CN834)+COUNTIF(CN3:CN330,CN330)-1</f>
        <v>328</v>
      </c>
      <c r="CP330" s="306" t="str">
        <f t="shared" ca="1" si="196"/>
        <v>Martin Braithwaite (Denmark)</v>
      </c>
    </row>
    <row r="331" spans="72:94" x14ac:dyDescent="0.3">
      <c r="BT331" s="306" t="str">
        <f t="shared" ca="1" si="192"/>
        <v>Denmark</v>
      </c>
      <c r="BU331" s="306">
        <f t="shared" si="193"/>
        <v>16</v>
      </c>
      <c r="BV331" s="306">
        <f t="shared" si="194"/>
        <v>11</v>
      </c>
      <c r="BW331" s="306" t="str">
        <f ca="1">OFFSET(C3,BU331,BV331)</f>
        <v>Mathias Jensen</v>
      </c>
      <c r="BX331" s="306">
        <f ca="1">COUNTIF('Group Stages'!J7:J102,BW331)</f>
        <v>0</v>
      </c>
      <c r="BY331" s="306">
        <f ca="1">COUNTIF('Group Stages'!K7:K102,BW331)</f>
        <v>0</v>
      </c>
      <c r="BZ331" s="306">
        <f ca="1">COUNTIF('Group Stages'!L7:L102,BW331)</f>
        <v>0</v>
      </c>
      <c r="CA331" s="306">
        <f ca="1">COUNTIF('Group Stages'!M7:M102,BW331)</f>
        <v>0</v>
      </c>
      <c r="CB331" s="306">
        <f ca="1">COUNTIF('Group Stages'!N7:N102,BW331)</f>
        <v>0</v>
      </c>
      <c r="CC331" s="306">
        <f ca="1">COUNTIF('Group Stages'!O7:O102,BW331)</f>
        <v>0</v>
      </c>
      <c r="CD331" s="306">
        <f ca="1">COUNTIF('Group Stages'!P7:P102,BW331)</f>
        <v>0</v>
      </c>
      <c r="CE331" s="306">
        <f ca="1">COUNTIF('Group Stages'!Q7:Q102,BW331)</f>
        <v>0</v>
      </c>
      <c r="CF331" s="306">
        <f ca="1">COUNTIF('Knock Out Stages'!K7:K50,BW331)</f>
        <v>0</v>
      </c>
      <c r="CG331" s="306">
        <f ca="1">COUNTIF('Knock Out Stages'!L7:L50,BW331)</f>
        <v>0</v>
      </c>
      <c r="CH331" s="306">
        <f ca="1">COUNTIF('Knock Out Stages'!M7:M50,BW331)</f>
        <v>0</v>
      </c>
      <c r="CI331" s="306">
        <f ca="1">COUNTIF('Knock Out Stages'!N7:N50,BW331)</f>
        <v>0</v>
      </c>
      <c r="CJ331" s="306">
        <f ca="1">COUNTIF('Knock Out Stages'!O7:O50,BW331)</f>
        <v>0</v>
      </c>
      <c r="CK331" s="306">
        <f ca="1">COUNTIF('Knock Out Stages'!P7:P50,BW331)</f>
        <v>0</v>
      </c>
      <c r="CL331" s="306">
        <f ca="1">COUNTIF('Knock Out Stages'!Q7:Q50,BW331)</f>
        <v>0</v>
      </c>
      <c r="CM331" s="306">
        <f ca="1">COUNTIF('Knock Out Stages'!R7:R50,BW331)</f>
        <v>0</v>
      </c>
      <c r="CN331" s="306">
        <f ca="1">IF(RIGHT('Group Stages'!$B$105,5)="T.com",SUM(BX331:CM331),0)</f>
        <v>0</v>
      </c>
      <c r="CO331" s="306">
        <f ca="1">RANK(CN331,CN3:CN834)+COUNTIF(CN3:CN331,CN331)-1</f>
        <v>329</v>
      </c>
      <c r="CP331" s="306" t="str">
        <f t="shared" ca="1" si="196"/>
        <v>Mathias Jensen (Denmark)</v>
      </c>
    </row>
    <row r="332" spans="72:94" x14ac:dyDescent="0.3">
      <c r="BT332" s="306" t="str">
        <f t="shared" ca="1" si="192"/>
        <v>Denmark</v>
      </c>
      <c r="BU332" s="306">
        <f t="shared" si="193"/>
        <v>17</v>
      </c>
      <c r="BV332" s="306">
        <f t="shared" si="194"/>
        <v>11</v>
      </c>
      <c r="BW332" s="306" t="str">
        <f ca="1">OFFSET(C3,BU332,BV332)</f>
        <v>Mikkel Damsgaard</v>
      </c>
      <c r="BX332" s="306">
        <f ca="1">COUNTIF('Group Stages'!J7:J102,BW332)</f>
        <v>0</v>
      </c>
      <c r="BY332" s="306">
        <f ca="1">COUNTIF('Group Stages'!K7:K102,BW332)</f>
        <v>0</v>
      </c>
      <c r="BZ332" s="306">
        <f ca="1">COUNTIF('Group Stages'!L7:L102,BW332)</f>
        <v>0</v>
      </c>
      <c r="CA332" s="306">
        <f ca="1">COUNTIF('Group Stages'!M7:M102,BW332)</f>
        <v>0</v>
      </c>
      <c r="CB332" s="306">
        <f ca="1">COUNTIF('Group Stages'!N7:N102,BW332)</f>
        <v>0</v>
      </c>
      <c r="CC332" s="306">
        <f ca="1">COUNTIF('Group Stages'!O7:O102,BW332)</f>
        <v>0</v>
      </c>
      <c r="CD332" s="306">
        <f ca="1">COUNTIF('Group Stages'!P7:P102,BW332)</f>
        <v>0</v>
      </c>
      <c r="CE332" s="306">
        <f ca="1">COUNTIF('Group Stages'!Q7:Q102,BW332)</f>
        <v>0</v>
      </c>
      <c r="CF332" s="306">
        <f ca="1">COUNTIF('Knock Out Stages'!K7:K50,BW332)</f>
        <v>0</v>
      </c>
      <c r="CG332" s="306">
        <f ca="1">COUNTIF('Knock Out Stages'!L7:L50,BW332)</f>
        <v>0</v>
      </c>
      <c r="CH332" s="306">
        <f ca="1">COUNTIF('Knock Out Stages'!M7:M50,BW332)</f>
        <v>0</v>
      </c>
      <c r="CI332" s="306">
        <f ca="1">COUNTIF('Knock Out Stages'!N7:N50,BW332)</f>
        <v>0</v>
      </c>
      <c r="CJ332" s="306">
        <f ca="1">COUNTIF('Knock Out Stages'!O7:O50,BW332)</f>
        <v>0</v>
      </c>
      <c r="CK332" s="306">
        <f ca="1">COUNTIF('Knock Out Stages'!P7:P50,BW332)</f>
        <v>0</v>
      </c>
      <c r="CL332" s="306">
        <f ca="1">COUNTIF('Knock Out Stages'!Q7:Q50,BW332)</f>
        <v>0</v>
      </c>
      <c r="CM332" s="306">
        <f ca="1">COUNTIF('Knock Out Stages'!R7:R50,BW332)</f>
        <v>0</v>
      </c>
      <c r="CN332" s="306">
        <f ca="1">IF(RIGHT('Group Stages'!$B$105,5)="T.com",SUM(BX332:CM332),0)</f>
        <v>0</v>
      </c>
      <c r="CO332" s="306">
        <f ca="1">RANK(CN332,CN3:CN834)+COUNTIF(CN3:CN332,CN332)-1</f>
        <v>330</v>
      </c>
      <c r="CP332" s="306" t="str">
        <f t="shared" ca="1" si="196"/>
        <v>Mikkel Damsgaard (Denmark)</v>
      </c>
    </row>
    <row r="333" spans="72:94" x14ac:dyDescent="0.3">
      <c r="BT333" s="306" t="str">
        <f t="shared" ca="1" si="192"/>
        <v>Denmark</v>
      </c>
      <c r="BU333" s="306">
        <f t="shared" si="193"/>
        <v>18</v>
      </c>
      <c r="BV333" s="306">
        <f t="shared" si="194"/>
        <v>11</v>
      </c>
      <c r="BW333" s="306" t="str">
        <f ca="1">OFFSET(C3,BU333,BV333)</f>
        <v>Oliver Christensen</v>
      </c>
      <c r="BX333" s="306">
        <f ca="1">COUNTIF('Group Stages'!J7:J102,BW333)</f>
        <v>0</v>
      </c>
      <c r="BY333" s="306">
        <f ca="1">COUNTIF('Group Stages'!K7:K102,BW333)</f>
        <v>0</v>
      </c>
      <c r="BZ333" s="306">
        <f ca="1">COUNTIF('Group Stages'!L7:L102,BW333)</f>
        <v>0</v>
      </c>
      <c r="CA333" s="306">
        <f ca="1">COUNTIF('Group Stages'!M7:M102,BW333)</f>
        <v>0</v>
      </c>
      <c r="CB333" s="306">
        <f ca="1">COUNTIF('Group Stages'!N7:N102,BW333)</f>
        <v>0</v>
      </c>
      <c r="CC333" s="306">
        <f ca="1">COUNTIF('Group Stages'!O7:O102,BW333)</f>
        <v>0</v>
      </c>
      <c r="CD333" s="306">
        <f ca="1">COUNTIF('Group Stages'!P7:P102,BW333)</f>
        <v>0</v>
      </c>
      <c r="CE333" s="306">
        <f ca="1">COUNTIF('Group Stages'!Q7:Q102,BW333)</f>
        <v>0</v>
      </c>
      <c r="CF333" s="306">
        <f ca="1">COUNTIF('Knock Out Stages'!K7:K50,BW333)</f>
        <v>0</v>
      </c>
      <c r="CG333" s="306">
        <f ca="1">COUNTIF('Knock Out Stages'!L7:L50,BW333)</f>
        <v>0</v>
      </c>
      <c r="CH333" s="306">
        <f ca="1">COUNTIF('Knock Out Stages'!M7:M50,BW333)</f>
        <v>0</v>
      </c>
      <c r="CI333" s="306">
        <f ca="1">COUNTIF('Knock Out Stages'!N7:N50,BW333)</f>
        <v>0</v>
      </c>
      <c r="CJ333" s="306">
        <f ca="1">COUNTIF('Knock Out Stages'!O7:O50,BW333)</f>
        <v>0</v>
      </c>
      <c r="CK333" s="306">
        <f ca="1">COUNTIF('Knock Out Stages'!P7:P50,BW333)</f>
        <v>0</v>
      </c>
      <c r="CL333" s="306">
        <f ca="1">COUNTIF('Knock Out Stages'!Q7:Q50,BW333)</f>
        <v>0</v>
      </c>
      <c r="CM333" s="306">
        <f ca="1">COUNTIF('Knock Out Stages'!R7:R50,BW333)</f>
        <v>0</v>
      </c>
      <c r="CN333" s="306">
        <f ca="1">IF(RIGHT('Group Stages'!$B$105,5)="T.com",SUM(BX333:CM333),0)</f>
        <v>0</v>
      </c>
      <c r="CO333" s="306">
        <f ca="1">RANK(CN333,CN3:CN834)+COUNTIF(CN3:CN333,CN333)-1</f>
        <v>331</v>
      </c>
      <c r="CP333" s="306" t="str">
        <f t="shared" ca="1" si="196"/>
        <v>Oliver Christensen (Denmark)</v>
      </c>
    </row>
    <row r="334" spans="72:94" x14ac:dyDescent="0.3">
      <c r="BT334" s="306" t="str">
        <f t="shared" ca="1" si="192"/>
        <v>Denmark</v>
      </c>
      <c r="BU334" s="306">
        <f t="shared" si="193"/>
        <v>19</v>
      </c>
      <c r="BV334" s="306">
        <f t="shared" si="194"/>
        <v>11</v>
      </c>
      <c r="BW334" s="306" t="str">
        <f ca="1">OFFSET(C3,BU334,BV334)</f>
        <v>Pierre-Emile Højbjerg</v>
      </c>
      <c r="BX334" s="306">
        <f ca="1">COUNTIF('Group Stages'!J7:J102,BW334)</f>
        <v>0</v>
      </c>
      <c r="BY334" s="306">
        <f ca="1">COUNTIF('Group Stages'!K7:K102,BW334)</f>
        <v>0</v>
      </c>
      <c r="BZ334" s="306">
        <f ca="1">COUNTIF('Group Stages'!L7:L102,BW334)</f>
        <v>0</v>
      </c>
      <c r="CA334" s="306">
        <f ca="1">COUNTIF('Group Stages'!M7:M102,BW334)</f>
        <v>0</v>
      </c>
      <c r="CB334" s="306">
        <f ca="1">COUNTIF('Group Stages'!N7:N102,BW334)</f>
        <v>0</v>
      </c>
      <c r="CC334" s="306">
        <f ca="1">COUNTIF('Group Stages'!O7:O102,BW334)</f>
        <v>0</v>
      </c>
      <c r="CD334" s="306">
        <f ca="1">COUNTIF('Group Stages'!P7:P102,BW334)</f>
        <v>0</v>
      </c>
      <c r="CE334" s="306">
        <f ca="1">COUNTIF('Group Stages'!Q7:Q102,BW334)</f>
        <v>0</v>
      </c>
      <c r="CF334" s="306">
        <f ca="1">COUNTIF('Knock Out Stages'!K7:K50,BW334)</f>
        <v>0</v>
      </c>
      <c r="CG334" s="306">
        <f ca="1">COUNTIF('Knock Out Stages'!L7:L50,BW334)</f>
        <v>0</v>
      </c>
      <c r="CH334" s="306">
        <f ca="1">COUNTIF('Knock Out Stages'!M7:M50,BW334)</f>
        <v>0</v>
      </c>
      <c r="CI334" s="306">
        <f ca="1">COUNTIF('Knock Out Stages'!N7:N50,BW334)</f>
        <v>0</v>
      </c>
      <c r="CJ334" s="306">
        <f ca="1">COUNTIF('Knock Out Stages'!O7:O50,BW334)</f>
        <v>0</v>
      </c>
      <c r="CK334" s="306">
        <f ca="1">COUNTIF('Knock Out Stages'!P7:P50,BW334)</f>
        <v>0</v>
      </c>
      <c r="CL334" s="306">
        <f ca="1">COUNTIF('Knock Out Stages'!Q7:Q50,BW334)</f>
        <v>0</v>
      </c>
      <c r="CM334" s="306">
        <f ca="1">COUNTIF('Knock Out Stages'!R7:R50,BW334)</f>
        <v>0</v>
      </c>
      <c r="CN334" s="306">
        <f ca="1">IF(RIGHT('Group Stages'!$B$105,5)="T.com",SUM(BX334:CM334),0)</f>
        <v>0</v>
      </c>
      <c r="CO334" s="306">
        <f ca="1">RANK(CN334,CN3:CN834)+COUNTIF(CN3:CN334,CN334)-1</f>
        <v>332</v>
      </c>
      <c r="CP334" s="306" t="str">
        <f t="shared" ca="1" si="196"/>
        <v>Pierre-Emile Højbjerg (Denmark)</v>
      </c>
    </row>
    <row r="335" spans="72:94" x14ac:dyDescent="0.3">
      <c r="BT335" s="306" t="str">
        <f t="shared" ca="1" si="192"/>
        <v>Denmark</v>
      </c>
      <c r="BU335" s="306">
        <f t="shared" si="193"/>
        <v>20</v>
      </c>
      <c r="BV335" s="306">
        <f t="shared" si="194"/>
        <v>11</v>
      </c>
      <c r="BW335" s="306" t="str">
        <f ca="1">OFFSET(C3,BU335,BV335)</f>
        <v>Rasmus Kristensen</v>
      </c>
      <c r="BX335" s="306">
        <f ca="1">COUNTIF('Group Stages'!J7:J102,BW335)</f>
        <v>0</v>
      </c>
      <c r="BY335" s="306">
        <f ca="1">COUNTIF('Group Stages'!K7:K102,BW335)</f>
        <v>0</v>
      </c>
      <c r="BZ335" s="306">
        <f ca="1">COUNTIF('Group Stages'!L7:L102,BW335)</f>
        <v>0</v>
      </c>
      <c r="CA335" s="306">
        <f ca="1">COUNTIF('Group Stages'!M7:M102,BW335)</f>
        <v>0</v>
      </c>
      <c r="CB335" s="306">
        <f ca="1">COUNTIF('Group Stages'!N7:N102,BW335)</f>
        <v>0</v>
      </c>
      <c r="CC335" s="306">
        <f ca="1">COUNTIF('Group Stages'!O7:O102,BW335)</f>
        <v>0</v>
      </c>
      <c r="CD335" s="306">
        <f ca="1">COUNTIF('Group Stages'!P7:P102,BW335)</f>
        <v>0</v>
      </c>
      <c r="CE335" s="306">
        <f ca="1">COUNTIF('Group Stages'!Q7:Q102,BW335)</f>
        <v>0</v>
      </c>
      <c r="CF335" s="306">
        <f ca="1">COUNTIF('Knock Out Stages'!K7:K50,BW335)</f>
        <v>0</v>
      </c>
      <c r="CG335" s="306">
        <f ca="1">COUNTIF('Knock Out Stages'!L7:L50,BW335)</f>
        <v>0</v>
      </c>
      <c r="CH335" s="306">
        <f ca="1">COUNTIF('Knock Out Stages'!M7:M50,BW335)</f>
        <v>0</v>
      </c>
      <c r="CI335" s="306">
        <f ca="1">COUNTIF('Knock Out Stages'!N7:N50,BW335)</f>
        <v>0</v>
      </c>
      <c r="CJ335" s="306">
        <f ca="1">COUNTIF('Knock Out Stages'!O7:O50,BW335)</f>
        <v>0</v>
      </c>
      <c r="CK335" s="306">
        <f ca="1">COUNTIF('Knock Out Stages'!P7:P50,BW335)</f>
        <v>0</v>
      </c>
      <c r="CL335" s="306">
        <f ca="1">COUNTIF('Knock Out Stages'!Q7:Q50,BW335)</f>
        <v>0</v>
      </c>
      <c r="CM335" s="306">
        <f ca="1">COUNTIF('Knock Out Stages'!R7:R50,BW335)</f>
        <v>0</v>
      </c>
      <c r="CN335" s="306">
        <f ca="1">IF(RIGHT('Group Stages'!$B$105,5)="T.com",SUM(BX335:CM335),0)</f>
        <v>0</v>
      </c>
      <c r="CO335" s="306">
        <f ca="1">RANK(CN335,CN3:CN834)+COUNTIF(CN3:CN335,CN335)-1</f>
        <v>333</v>
      </c>
      <c r="CP335" s="306" t="str">
        <f t="shared" ca="1" si="196"/>
        <v>Rasmus Kristensen (Denmark)</v>
      </c>
    </row>
    <row r="336" spans="72:94" x14ac:dyDescent="0.3">
      <c r="BT336" s="306" t="str">
        <f t="shared" ca="1" si="192"/>
        <v>Denmark</v>
      </c>
      <c r="BU336" s="306">
        <f t="shared" si="193"/>
        <v>21</v>
      </c>
      <c r="BV336" s="306">
        <f t="shared" si="194"/>
        <v>11</v>
      </c>
      <c r="BW336" s="306" t="str">
        <f ca="1">OFFSET(C3,BU336,BV336)</f>
        <v>Robert Skov</v>
      </c>
      <c r="BX336" s="306">
        <f ca="1">COUNTIF('Group Stages'!J7:J102,BW336)</f>
        <v>0</v>
      </c>
      <c r="BY336" s="306">
        <f ca="1">COUNTIF('Group Stages'!K7:K102,BW336)</f>
        <v>0</v>
      </c>
      <c r="BZ336" s="306">
        <f ca="1">COUNTIF('Group Stages'!L7:L102,BW336)</f>
        <v>0</v>
      </c>
      <c r="CA336" s="306">
        <f ca="1">COUNTIF('Group Stages'!M7:M102,BW336)</f>
        <v>0</v>
      </c>
      <c r="CB336" s="306">
        <f ca="1">COUNTIF('Group Stages'!N7:N102,BW336)</f>
        <v>0</v>
      </c>
      <c r="CC336" s="306">
        <f ca="1">COUNTIF('Group Stages'!O7:O102,BW336)</f>
        <v>0</v>
      </c>
      <c r="CD336" s="306">
        <f ca="1">COUNTIF('Group Stages'!P7:P102,BW336)</f>
        <v>0</v>
      </c>
      <c r="CE336" s="306">
        <f ca="1">COUNTIF('Group Stages'!Q7:Q102,BW336)</f>
        <v>0</v>
      </c>
      <c r="CF336" s="306">
        <f ca="1">COUNTIF('Knock Out Stages'!K7:K50,BW336)</f>
        <v>0</v>
      </c>
      <c r="CG336" s="306">
        <f ca="1">COUNTIF('Knock Out Stages'!L7:L50,BW336)</f>
        <v>0</v>
      </c>
      <c r="CH336" s="306">
        <f ca="1">COUNTIF('Knock Out Stages'!M7:M50,BW336)</f>
        <v>0</v>
      </c>
      <c r="CI336" s="306">
        <f ca="1">COUNTIF('Knock Out Stages'!N7:N50,BW336)</f>
        <v>0</v>
      </c>
      <c r="CJ336" s="306">
        <f ca="1">COUNTIF('Knock Out Stages'!O7:O50,BW336)</f>
        <v>0</v>
      </c>
      <c r="CK336" s="306">
        <f ca="1">COUNTIF('Knock Out Stages'!P7:P50,BW336)</f>
        <v>0</v>
      </c>
      <c r="CL336" s="306">
        <f ca="1">COUNTIF('Knock Out Stages'!Q7:Q50,BW336)</f>
        <v>0</v>
      </c>
      <c r="CM336" s="306">
        <f ca="1">COUNTIF('Knock Out Stages'!R7:R50,BW336)</f>
        <v>0</v>
      </c>
      <c r="CN336" s="306">
        <f ca="1">IF(RIGHT('Group Stages'!$B$105,5)="T.com",SUM(BX336:CM336),0)</f>
        <v>0</v>
      </c>
      <c r="CO336" s="306">
        <f ca="1">RANK(CN336,CN3:CN834)+COUNTIF(CN3:CN336,CN336)-1</f>
        <v>334</v>
      </c>
      <c r="CP336" s="306" t="str">
        <f t="shared" ca="1" si="196"/>
        <v>Robert Skov (Denmark)</v>
      </c>
    </row>
    <row r="337" spans="72:94" x14ac:dyDescent="0.3">
      <c r="BT337" s="306" t="str">
        <f t="shared" ca="1" si="192"/>
        <v>Denmark</v>
      </c>
      <c r="BU337" s="306">
        <f t="shared" si="193"/>
        <v>22</v>
      </c>
      <c r="BV337" s="306">
        <f t="shared" si="194"/>
        <v>11</v>
      </c>
      <c r="BW337" s="306" t="str">
        <f ca="1">OFFSET(C3,BU337,BV337)</f>
        <v>Simon Kjær</v>
      </c>
      <c r="BX337" s="306">
        <f ca="1">COUNTIF('Group Stages'!J7:J102,BW337)</f>
        <v>0</v>
      </c>
      <c r="BY337" s="306">
        <f ca="1">COUNTIF('Group Stages'!K7:K102,BW337)</f>
        <v>0</v>
      </c>
      <c r="BZ337" s="306">
        <f ca="1">COUNTIF('Group Stages'!L7:L102,BW337)</f>
        <v>0</v>
      </c>
      <c r="CA337" s="306">
        <f ca="1">COUNTIF('Group Stages'!M7:M102,BW337)</f>
        <v>0</v>
      </c>
      <c r="CB337" s="306">
        <f ca="1">COUNTIF('Group Stages'!N7:N102,BW337)</f>
        <v>0</v>
      </c>
      <c r="CC337" s="306">
        <f ca="1">COUNTIF('Group Stages'!O7:O102,BW337)</f>
        <v>0</v>
      </c>
      <c r="CD337" s="306">
        <f ca="1">COUNTIF('Group Stages'!P7:P102,BW337)</f>
        <v>0</v>
      </c>
      <c r="CE337" s="306">
        <f ca="1">COUNTIF('Group Stages'!Q7:Q102,BW337)</f>
        <v>0</v>
      </c>
      <c r="CF337" s="306">
        <f ca="1">COUNTIF('Knock Out Stages'!K7:K50,BW337)</f>
        <v>0</v>
      </c>
      <c r="CG337" s="306">
        <f ca="1">COUNTIF('Knock Out Stages'!L7:L50,BW337)</f>
        <v>0</v>
      </c>
      <c r="CH337" s="306">
        <f ca="1">COUNTIF('Knock Out Stages'!M7:M50,BW337)</f>
        <v>0</v>
      </c>
      <c r="CI337" s="306">
        <f ca="1">COUNTIF('Knock Out Stages'!N7:N50,BW337)</f>
        <v>0</v>
      </c>
      <c r="CJ337" s="306">
        <f ca="1">COUNTIF('Knock Out Stages'!O7:O50,BW337)</f>
        <v>0</v>
      </c>
      <c r="CK337" s="306">
        <f ca="1">COUNTIF('Knock Out Stages'!P7:P50,BW337)</f>
        <v>0</v>
      </c>
      <c r="CL337" s="306">
        <f ca="1">COUNTIF('Knock Out Stages'!Q7:Q50,BW337)</f>
        <v>0</v>
      </c>
      <c r="CM337" s="306">
        <f ca="1">COUNTIF('Knock Out Stages'!R7:R50,BW337)</f>
        <v>0</v>
      </c>
      <c r="CN337" s="306">
        <f ca="1">IF(RIGHT('Group Stages'!$B$105,5)="T.com",SUM(BX337:CM337),0)</f>
        <v>0</v>
      </c>
      <c r="CO337" s="306">
        <f ca="1">RANK(CN337,CN3:CN834)+COUNTIF(CN3:CN337,CN337)-1</f>
        <v>335</v>
      </c>
      <c r="CP337" s="306" t="str">
        <f t="shared" ca="1" si="196"/>
        <v>Simon Kjær (Denmark)</v>
      </c>
    </row>
    <row r="338" spans="72:94" x14ac:dyDescent="0.3">
      <c r="BT338" s="306" t="str">
        <f t="shared" ca="1" si="192"/>
        <v>Denmark</v>
      </c>
      <c r="BU338" s="306">
        <f t="shared" si="193"/>
        <v>23</v>
      </c>
      <c r="BV338" s="306">
        <f t="shared" si="194"/>
        <v>11</v>
      </c>
      <c r="BW338" s="306" t="str">
        <f ca="1">OFFSET(C3,BU338,BV338)</f>
        <v>Thomas Delaney</v>
      </c>
      <c r="BX338" s="306">
        <f ca="1">COUNTIF('Group Stages'!J7:J102,BW338)</f>
        <v>0</v>
      </c>
      <c r="BY338" s="306">
        <f ca="1">COUNTIF('Group Stages'!K7:K102,BW338)</f>
        <v>0</v>
      </c>
      <c r="BZ338" s="306">
        <f ca="1">COUNTIF('Group Stages'!L7:L102,BW338)</f>
        <v>0</v>
      </c>
      <c r="CA338" s="306">
        <f ca="1">COUNTIF('Group Stages'!M7:M102,BW338)</f>
        <v>0</v>
      </c>
      <c r="CB338" s="306">
        <f ca="1">COUNTIF('Group Stages'!N7:N102,BW338)</f>
        <v>0</v>
      </c>
      <c r="CC338" s="306">
        <f ca="1">COUNTIF('Group Stages'!O7:O102,BW338)</f>
        <v>0</v>
      </c>
      <c r="CD338" s="306">
        <f ca="1">COUNTIF('Group Stages'!P7:P102,BW338)</f>
        <v>0</v>
      </c>
      <c r="CE338" s="306">
        <f ca="1">COUNTIF('Group Stages'!Q7:Q102,BW338)</f>
        <v>0</v>
      </c>
      <c r="CF338" s="306">
        <f ca="1">COUNTIF('Knock Out Stages'!K7:K50,BW338)</f>
        <v>0</v>
      </c>
      <c r="CG338" s="306">
        <f ca="1">COUNTIF('Knock Out Stages'!L7:L50,BW338)</f>
        <v>0</v>
      </c>
      <c r="CH338" s="306">
        <f ca="1">COUNTIF('Knock Out Stages'!M7:M50,BW338)</f>
        <v>0</v>
      </c>
      <c r="CI338" s="306">
        <f ca="1">COUNTIF('Knock Out Stages'!N7:N50,BW338)</f>
        <v>0</v>
      </c>
      <c r="CJ338" s="306">
        <f ca="1">COUNTIF('Knock Out Stages'!O7:O50,BW338)</f>
        <v>0</v>
      </c>
      <c r="CK338" s="306">
        <f ca="1">COUNTIF('Knock Out Stages'!P7:P50,BW338)</f>
        <v>0</v>
      </c>
      <c r="CL338" s="306">
        <f ca="1">COUNTIF('Knock Out Stages'!Q7:Q50,BW338)</f>
        <v>0</v>
      </c>
      <c r="CM338" s="306">
        <f ca="1">COUNTIF('Knock Out Stages'!R7:R50,BW338)</f>
        <v>0</v>
      </c>
      <c r="CN338" s="306">
        <f ca="1">IF(RIGHT('Group Stages'!$B$105,5)="T.com",SUM(BX338:CM338),0)</f>
        <v>0</v>
      </c>
      <c r="CO338" s="306">
        <f ca="1">RANK(CN338,CN3:CN834)+COUNTIF(CN3:CN338,CN338)-1</f>
        <v>336</v>
      </c>
      <c r="CP338" s="306" t="str">
        <f t="shared" ca="1" si="196"/>
        <v>Thomas Delaney (Denmark)</v>
      </c>
    </row>
    <row r="339" spans="72:94" x14ac:dyDescent="0.3">
      <c r="BT339" s="306" t="str">
        <f t="shared" ca="1" si="192"/>
        <v>Denmark</v>
      </c>
      <c r="BU339" s="306">
        <f t="shared" si="193"/>
        <v>24</v>
      </c>
      <c r="BV339" s="306">
        <f t="shared" si="194"/>
        <v>11</v>
      </c>
      <c r="BW339" s="306" t="str">
        <f ca="1">OFFSET(C3,BU339,BV339)</f>
        <v>Victor Nelsson</v>
      </c>
      <c r="BX339" s="306">
        <f ca="1">COUNTIF('Group Stages'!J7:J102,BW339)</f>
        <v>0</v>
      </c>
      <c r="BY339" s="306">
        <f ca="1">COUNTIF('Group Stages'!K7:K102,BW339)</f>
        <v>0</v>
      </c>
      <c r="BZ339" s="306">
        <f ca="1">COUNTIF('Group Stages'!L7:L102,BW339)</f>
        <v>0</v>
      </c>
      <c r="CA339" s="306">
        <f ca="1">COUNTIF('Group Stages'!M7:M102,BW339)</f>
        <v>0</v>
      </c>
      <c r="CB339" s="306">
        <f ca="1">COUNTIF('Group Stages'!N7:N102,BW339)</f>
        <v>0</v>
      </c>
      <c r="CC339" s="306">
        <f ca="1">COUNTIF('Group Stages'!O7:O102,BW339)</f>
        <v>0</v>
      </c>
      <c r="CD339" s="306">
        <f ca="1">COUNTIF('Group Stages'!P7:P102,BW339)</f>
        <v>0</v>
      </c>
      <c r="CE339" s="306">
        <f ca="1">COUNTIF('Group Stages'!Q7:Q102,BW339)</f>
        <v>0</v>
      </c>
      <c r="CF339" s="306">
        <f ca="1">COUNTIF('Knock Out Stages'!K7:K50,BW339)</f>
        <v>0</v>
      </c>
      <c r="CG339" s="306">
        <f ca="1">COUNTIF('Knock Out Stages'!L7:L50,BW339)</f>
        <v>0</v>
      </c>
      <c r="CH339" s="306">
        <f ca="1">COUNTIF('Knock Out Stages'!M7:M50,BW339)</f>
        <v>0</v>
      </c>
      <c r="CI339" s="306">
        <f ca="1">COUNTIF('Knock Out Stages'!N7:N50,BW339)</f>
        <v>0</v>
      </c>
      <c r="CJ339" s="306">
        <f ca="1">COUNTIF('Knock Out Stages'!O7:O50,BW339)</f>
        <v>0</v>
      </c>
      <c r="CK339" s="306">
        <f ca="1">COUNTIF('Knock Out Stages'!P7:P50,BW339)</f>
        <v>0</v>
      </c>
      <c r="CL339" s="306">
        <f ca="1">COUNTIF('Knock Out Stages'!Q7:Q50,BW339)</f>
        <v>0</v>
      </c>
      <c r="CM339" s="306">
        <f ca="1">COUNTIF('Knock Out Stages'!R7:R50,BW339)</f>
        <v>0</v>
      </c>
      <c r="CN339" s="306">
        <f ca="1">IF(RIGHT('Group Stages'!$B$105,5)="T.com",SUM(BX339:CM339),0)</f>
        <v>0</v>
      </c>
      <c r="CO339" s="306">
        <f ca="1">RANK(CN339,CN3:CN834)+COUNTIF(CN3:CN339,CN339)-1</f>
        <v>337</v>
      </c>
      <c r="CP339" s="306" t="str">
        <f t="shared" ca="1" si="196"/>
        <v>Victor Nelsson (Denmark)</v>
      </c>
    </row>
    <row r="340" spans="72:94" x14ac:dyDescent="0.3">
      <c r="BT340" s="306" t="str">
        <f t="shared" ca="1" si="192"/>
        <v>Denmark</v>
      </c>
      <c r="BU340" s="306">
        <f t="shared" si="193"/>
        <v>25</v>
      </c>
      <c r="BV340" s="306">
        <f t="shared" si="194"/>
        <v>11</v>
      </c>
      <c r="BW340" s="306" t="str">
        <f ca="1">OFFSET(C3,BU340,BV340)</f>
        <v>Yussuf Poulsen</v>
      </c>
      <c r="BX340" s="306">
        <f ca="1">COUNTIF('Group Stages'!J7:J102,BW340)</f>
        <v>0</v>
      </c>
      <c r="BY340" s="306">
        <f ca="1">COUNTIF('Group Stages'!K7:K102,BW340)</f>
        <v>0</v>
      </c>
      <c r="BZ340" s="306">
        <f ca="1">COUNTIF('Group Stages'!L7:L102,BW340)</f>
        <v>0</v>
      </c>
      <c r="CA340" s="306">
        <f ca="1">COUNTIF('Group Stages'!M7:M102,BW340)</f>
        <v>0</v>
      </c>
      <c r="CB340" s="306">
        <f ca="1">COUNTIF('Group Stages'!N7:N102,BW340)</f>
        <v>0</v>
      </c>
      <c r="CC340" s="306">
        <f ca="1">COUNTIF('Group Stages'!O7:O102,BW340)</f>
        <v>0</v>
      </c>
      <c r="CD340" s="306">
        <f ca="1">COUNTIF('Group Stages'!P7:P102,BW340)</f>
        <v>0</v>
      </c>
      <c r="CE340" s="306">
        <f ca="1">COUNTIF('Group Stages'!Q7:Q102,BW340)</f>
        <v>0</v>
      </c>
      <c r="CF340" s="306">
        <f ca="1">COUNTIF('Knock Out Stages'!K7:K50,BW340)</f>
        <v>0</v>
      </c>
      <c r="CG340" s="306">
        <f ca="1">COUNTIF('Knock Out Stages'!L7:L50,BW340)</f>
        <v>0</v>
      </c>
      <c r="CH340" s="306">
        <f ca="1">COUNTIF('Knock Out Stages'!M7:M50,BW340)</f>
        <v>0</v>
      </c>
      <c r="CI340" s="306">
        <f ca="1">COUNTIF('Knock Out Stages'!N7:N50,BW340)</f>
        <v>0</v>
      </c>
      <c r="CJ340" s="306">
        <f ca="1">COUNTIF('Knock Out Stages'!O7:O50,BW340)</f>
        <v>0</v>
      </c>
      <c r="CK340" s="306">
        <f ca="1">COUNTIF('Knock Out Stages'!P7:P50,BW340)</f>
        <v>0</v>
      </c>
      <c r="CL340" s="306">
        <f ca="1">COUNTIF('Knock Out Stages'!Q7:Q50,BW340)</f>
        <v>0</v>
      </c>
      <c r="CM340" s="306">
        <f ca="1">COUNTIF('Knock Out Stages'!R7:R50,BW340)</f>
        <v>0</v>
      </c>
      <c r="CN340" s="306">
        <f ca="1">IF(RIGHT('Group Stages'!$B$105,5)="T.com",SUM(BX340:CM340),0)</f>
        <v>0</v>
      </c>
      <c r="CO340" s="306">
        <f ca="1">RANK(CN340,CN3:CN834)+COUNTIF(CN3:CN340,CN340)-1</f>
        <v>338</v>
      </c>
      <c r="CP340" s="306" t="str">
        <f t="shared" ca="1" si="196"/>
        <v>Yussuf Poulsen (Denmark)</v>
      </c>
    </row>
    <row r="341" spans="72:94" x14ac:dyDescent="0.3">
      <c r="BT341" s="306" t="str">
        <f ca="1">OFFSET(C2,BU341,BV341)</f>
        <v>Tunisia</v>
      </c>
      <c r="BU341" s="306">
        <f t="shared" si="193"/>
        <v>0</v>
      </c>
      <c r="BV341" s="306">
        <f t="shared" si="194"/>
        <v>12</v>
      </c>
      <c r="BW341" s="306" t="str">
        <f ca="1">OFFSET(C3,BU341,BV341)</f>
        <v>Aïssa Laïdouni</v>
      </c>
      <c r="BX341" s="306">
        <f ca="1">COUNTIF('Group Stages'!J7:J102,BW341)</f>
        <v>0</v>
      </c>
      <c r="BY341" s="306">
        <f ca="1">COUNTIF('Group Stages'!K7:K102,BW341)</f>
        <v>0</v>
      </c>
      <c r="BZ341" s="306">
        <f ca="1">COUNTIF('Group Stages'!L7:L102,BW341)</f>
        <v>0</v>
      </c>
      <c r="CA341" s="306">
        <f ca="1">COUNTIF('Group Stages'!M7:M102,BW341)</f>
        <v>0</v>
      </c>
      <c r="CB341" s="306">
        <f ca="1">COUNTIF('Group Stages'!N7:N102,BW341)</f>
        <v>0</v>
      </c>
      <c r="CC341" s="306">
        <f ca="1">COUNTIF('Group Stages'!O7:O102,BW341)</f>
        <v>0</v>
      </c>
      <c r="CD341" s="306">
        <f ca="1">COUNTIF('Group Stages'!P7:P102,BW341)</f>
        <v>0</v>
      </c>
      <c r="CE341" s="306">
        <f ca="1">COUNTIF('Group Stages'!Q7:Q102,BW341)</f>
        <v>0</v>
      </c>
      <c r="CF341" s="306">
        <f ca="1">COUNTIF('Knock Out Stages'!K7:K50,BW341)</f>
        <v>0</v>
      </c>
      <c r="CG341" s="306">
        <f ca="1">COUNTIF('Knock Out Stages'!L7:L50,BW341)</f>
        <v>0</v>
      </c>
      <c r="CH341" s="306">
        <f ca="1">COUNTIF('Knock Out Stages'!M7:M50,BW341)</f>
        <v>0</v>
      </c>
      <c r="CI341" s="306">
        <f ca="1">COUNTIF('Knock Out Stages'!N7:N50,BW341)</f>
        <v>0</v>
      </c>
      <c r="CJ341" s="306">
        <f ca="1">COUNTIF('Knock Out Stages'!O7:O50,BW341)</f>
        <v>0</v>
      </c>
      <c r="CK341" s="306">
        <f ca="1">COUNTIF('Knock Out Stages'!P7:P50,BW341)</f>
        <v>0</v>
      </c>
      <c r="CL341" s="306">
        <f ca="1">COUNTIF('Knock Out Stages'!Q7:Q50,BW341)</f>
        <v>0</v>
      </c>
      <c r="CM341" s="306">
        <f ca="1">COUNTIF('Knock Out Stages'!R7:R50,BW341)</f>
        <v>0</v>
      </c>
      <c r="CN341" s="306">
        <f ca="1">IF(RIGHT('Group Stages'!$B$105,5)="T.com",SUM(BX341:CM341),0)</f>
        <v>0</v>
      </c>
      <c r="CO341" s="306">
        <f ca="1">RANK(CN341,CN3:CN834)+COUNTIF(CN3:CN341,CN341)-1</f>
        <v>339</v>
      </c>
      <c r="CP341" s="306" t="str">
        <f t="shared" ca="1" si="196"/>
        <v>Aïssa Laïdouni (Tunisia)</v>
      </c>
    </row>
    <row r="342" spans="72:94" x14ac:dyDescent="0.3">
      <c r="BT342" s="306" t="str">
        <f t="shared" ref="BT342" ca="1" si="197">BT341</f>
        <v>Tunisia</v>
      </c>
      <c r="BU342" s="306">
        <f t="shared" si="193"/>
        <v>1</v>
      </c>
      <c r="BV342" s="306">
        <f t="shared" si="194"/>
        <v>12</v>
      </c>
      <c r="BW342" s="306" t="str">
        <f ca="1">OFFSET(C3,BU342,BV342)</f>
        <v>Ali Abdi</v>
      </c>
      <c r="BX342" s="306">
        <f ca="1">COUNTIF('Group Stages'!J7:J102,BW342)</f>
        <v>0</v>
      </c>
      <c r="BY342" s="306">
        <f ca="1">COUNTIF('Group Stages'!K7:K102,BW342)</f>
        <v>0</v>
      </c>
      <c r="BZ342" s="306">
        <f ca="1">COUNTIF('Group Stages'!L7:L102,BW342)</f>
        <v>0</v>
      </c>
      <c r="CA342" s="306">
        <f ca="1">COUNTIF('Group Stages'!M7:M102,BW342)</f>
        <v>0</v>
      </c>
      <c r="CB342" s="306">
        <f ca="1">COUNTIF('Group Stages'!N7:N102,BW342)</f>
        <v>0</v>
      </c>
      <c r="CC342" s="306">
        <f ca="1">COUNTIF('Group Stages'!O7:O102,BW342)</f>
        <v>0</v>
      </c>
      <c r="CD342" s="306">
        <f ca="1">COUNTIF('Group Stages'!P7:P102,BW342)</f>
        <v>0</v>
      </c>
      <c r="CE342" s="306">
        <f ca="1">COUNTIF('Group Stages'!Q7:Q102,BW342)</f>
        <v>0</v>
      </c>
      <c r="CF342" s="306">
        <f ca="1">COUNTIF('Knock Out Stages'!K7:K50,BW342)</f>
        <v>0</v>
      </c>
      <c r="CG342" s="306">
        <f ca="1">COUNTIF('Knock Out Stages'!L7:L50,BW342)</f>
        <v>0</v>
      </c>
      <c r="CH342" s="306">
        <f ca="1">COUNTIF('Knock Out Stages'!M7:M50,BW342)</f>
        <v>0</v>
      </c>
      <c r="CI342" s="306">
        <f ca="1">COUNTIF('Knock Out Stages'!N7:N50,BW342)</f>
        <v>0</v>
      </c>
      <c r="CJ342" s="306">
        <f ca="1">COUNTIF('Knock Out Stages'!O7:O50,BW342)</f>
        <v>0</v>
      </c>
      <c r="CK342" s="306">
        <f ca="1">COUNTIF('Knock Out Stages'!P7:P50,BW342)</f>
        <v>0</v>
      </c>
      <c r="CL342" s="306">
        <f ca="1">COUNTIF('Knock Out Stages'!Q7:Q50,BW342)</f>
        <v>0</v>
      </c>
      <c r="CM342" s="306">
        <f ca="1">COUNTIF('Knock Out Stages'!R7:R50,BW342)</f>
        <v>0</v>
      </c>
      <c r="CN342" s="306">
        <f ca="1">IF(RIGHT('Group Stages'!$B$105,5)="T.com",SUM(BX342:CM342),0)</f>
        <v>0</v>
      </c>
      <c r="CO342" s="306">
        <f ca="1">RANK(CN342,CN3:CN834)+COUNTIF(CN3:CN342,CN342)-1</f>
        <v>340</v>
      </c>
      <c r="CP342" s="306" t="str">
        <f t="shared" ca="1" si="196"/>
        <v>Ali Abdi (Tunisia)</v>
      </c>
    </row>
    <row r="343" spans="72:94" x14ac:dyDescent="0.3">
      <c r="BT343" s="306" t="str">
        <f t="shared" ca="1" si="192"/>
        <v>Tunisia</v>
      </c>
      <c r="BU343" s="306">
        <f t="shared" si="193"/>
        <v>2</v>
      </c>
      <c r="BV343" s="306">
        <f t="shared" si="194"/>
        <v>12</v>
      </c>
      <c r="BW343" s="306" t="str">
        <f ca="1">OFFSET(C3,BU343,BV343)</f>
        <v>Ali Maâloul</v>
      </c>
      <c r="BX343" s="306">
        <f ca="1">COUNTIF('Group Stages'!J7:J102,BW343)</f>
        <v>0</v>
      </c>
      <c r="BY343" s="306">
        <f ca="1">COUNTIF('Group Stages'!K7:K102,BW343)</f>
        <v>0</v>
      </c>
      <c r="BZ343" s="306">
        <f ca="1">COUNTIF('Group Stages'!L7:L102,BW343)</f>
        <v>0</v>
      </c>
      <c r="CA343" s="306">
        <f ca="1">COUNTIF('Group Stages'!M7:M102,BW343)</f>
        <v>0</v>
      </c>
      <c r="CB343" s="306">
        <f ca="1">COUNTIF('Group Stages'!N7:N102,BW343)</f>
        <v>0</v>
      </c>
      <c r="CC343" s="306">
        <f ca="1">COUNTIF('Group Stages'!O7:O102,BW343)</f>
        <v>0</v>
      </c>
      <c r="CD343" s="306">
        <f ca="1">COUNTIF('Group Stages'!P7:P102,BW343)</f>
        <v>0</v>
      </c>
      <c r="CE343" s="306">
        <f ca="1">COUNTIF('Group Stages'!Q7:Q102,BW343)</f>
        <v>0</v>
      </c>
      <c r="CF343" s="306">
        <f ca="1">COUNTIF('Knock Out Stages'!K7:K50,BW343)</f>
        <v>0</v>
      </c>
      <c r="CG343" s="306">
        <f ca="1">COUNTIF('Knock Out Stages'!L7:L50,BW343)</f>
        <v>0</v>
      </c>
      <c r="CH343" s="306">
        <f ca="1">COUNTIF('Knock Out Stages'!M7:M50,BW343)</f>
        <v>0</v>
      </c>
      <c r="CI343" s="306">
        <f ca="1">COUNTIF('Knock Out Stages'!N7:N50,BW343)</f>
        <v>0</v>
      </c>
      <c r="CJ343" s="306">
        <f ca="1">COUNTIF('Knock Out Stages'!O7:O50,BW343)</f>
        <v>0</v>
      </c>
      <c r="CK343" s="306">
        <f ca="1">COUNTIF('Knock Out Stages'!P7:P50,BW343)</f>
        <v>0</v>
      </c>
      <c r="CL343" s="306">
        <f ca="1">COUNTIF('Knock Out Stages'!Q7:Q50,BW343)</f>
        <v>0</v>
      </c>
      <c r="CM343" s="306">
        <f ca="1">COUNTIF('Knock Out Stages'!R7:R50,BW343)</f>
        <v>0</v>
      </c>
      <c r="CN343" s="306">
        <f ca="1">IF(RIGHT('Group Stages'!$B$105,5)="T.com",SUM(BX343:CM343),0)</f>
        <v>0</v>
      </c>
      <c r="CO343" s="306">
        <f ca="1">RANK(CN343,CN3:CN834)+COUNTIF(CN3:CN343,CN343)-1</f>
        <v>341</v>
      </c>
      <c r="CP343" s="306" t="str">
        <f t="shared" ca="1" si="196"/>
        <v>Ali Maâloul (Tunisia)</v>
      </c>
    </row>
    <row r="344" spans="72:94" x14ac:dyDescent="0.3">
      <c r="BT344" s="306" t="str">
        <f t="shared" ca="1" si="192"/>
        <v>Tunisia</v>
      </c>
      <c r="BU344" s="306">
        <f t="shared" si="193"/>
        <v>3</v>
      </c>
      <c r="BV344" s="306">
        <f t="shared" si="194"/>
        <v>12</v>
      </c>
      <c r="BW344" s="306" t="str">
        <f ca="1">OFFSET(C3,BU344,BV344)</f>
        <v>Anis Ben Slimane</v>
      </c>
      <c r="BX344" s="306">
        <f ca="1">COUNTIF('Group Stages'!J7:J102,BW344)</f>
        <v>0</v>
      </c>
      <c r="BY344" s="306">
        <f ca="1">COUNTIF('Group Stages'!K7:K102,BW344)</f>
        <v>0</v>
      </c>
      <c r="BZ344" s="306">
        <f ca="1">COUNTIF('Group Stages'!L7:L102,BW344)</f>
        <v>0</v>
      </c>
      <c r="CA344" s="306">
        <f ca="1">COUNTIF('Group Stages'!M7:M102,BW344)</f>
        <v>0</v>
      </c>
      <c r="CB344" s="306">
        <f ca="1">COUNTIF('Group Stages'!N7:N102,BW344)</f>
        <v>0</v>
      </c>
      <c r="CC344" s="306">
        <f ca="1">COUNTIF('Group Stages'!O7:O102,BW344)</f>
        <v>0</v>
      </c>
      <c r="CD344" s="306">
        <f ca="1">COUNTIF('Group Stages'!P7:P102,BW344)</f>
        <v>0</v>
      </c>
      <c r="CE344" s="306">
        <f ca="1">COUNTIF('Group Stages'!Q7:Q102,BW344)</f>
        <v>0</v>
      </c>
      <c r="CF344" s="306">
        <f ca="1">COUNTIF('Knock Out Stages'!K7:K50,BW344)</f>
        <v>0</v>
      </c>
      <c r="CG344" s="306">
        <f ca="1">COUNTIF('Knock Out Stages'!L7:L50,BW344)</f>
        <v>0</v>
      </c>
      <c r="CH344" s="306">
        <f ca="1">COUNTIF('Knock Out Stages'!M7:M50,BW344)</f>
        <v>0</v>
      </c>
      <c r="CI344" s="306">
        <f ca="1">COUNTIF('Knock Out Stages'!N7:N50,BW344)</f>
        <v>0</v>
      </c>
      <c r="CJ344" s="306">
        <f ca="1">COUNTIF('Knock Out Stages'!O7:O50,BW344)</f>
        <v>0</v>
      </c>
      <c r="CK344" s="306">
        <f ca="1">COUNTIF('Knock Out Stages'!P7:P50,BW344)</f>
        <v>0</v>
      </c>
      <c r="CL344" s="306">
        <f ca="1">COUNTIF('Knock Out Stages'!Q7:Q50,BW344)</f>
        <v>0</v>
      </c>
      <c r="CM344" s="306">
        <f ca="1">COUNTIF('Knock Out Stages'!R7:R50,BW344)</f>
        <v>0</v>
      </c>
      <c r="CN344" s="306">
        <f ca="1">IF(RIGHT('Group Stages'!$B$105,5)="T.com",SUM(BX344:CM344),0)</f>
        <v>0</v>
      </c>
      <c r="CO344" s="306">
        <f ca="1">RANK(CN344,CN3:CN834)+COUNTIF(CN3:CN344,CN344)-1</f>
        <v>342</v>
      </c>
      <c r="CP344" s="306" t="str">
        <f t="shared" ca="1" si="196"/>
        <v>Anis Ben Slimane (Tunisia)</v>
      </c>
    </row>
    <row r="345" spans="72:94" x14ac:dyDescent="0.3">
      <c r="BT345" s="306" t="str">
        <f t="shared" ca="1" si="192"/>
        <v>Tunisia</v>
      </c>
      <c r="BU345" s="306">
        <f t="shared" si="193"/>
        <v>4</v>
      </c>
      <c r="BV345" s="306">
        <f t="shared" si="194"/>
        <v>12</v>
      </c>
      <c r="BW345" s="306" t="str">
        <f ca="1">OFFSET(C3,BU345,BV345)</f>
        <v>Aymen Dahmen</v>
      </c>
      <c r="BX345" s="306">
        <f ca="1">COUNTIF('Group Stages'!J7:J102,BW345)</f>
        <v>0</v>
      </c>
      <c r="BY345" s="306">
        <f ca="1">COUNTIF('Group Stages'!K7:K102,BW345)</f>
        <v>0</v>
      </c>
      <c r="BZ345" s="306">
        <f ca="1">COUNTIF('Group Stages'!L7:L102,BW345)</f>
        <v>0</v>
      </c>
      <c r="CA345" s="306">
        <f ca="1">COUNTIF('Group Stages'!M7:M102,BW345)</f>
        <v>0</v>
      </c>
      <c r="CB345" s="306">
        <f ca="1">COUNTIF('Group Stages'!N7:N102,BW345)</f>
        <v>0</v>
      </c>
      <c r="CC345" s="306">
        <f ca="1">COUNTIF('Group Stages'!O7:O102,BW345)</f>
        <v>0</v>
      </c>
      <c r="CD345" s="306">
        <f ca="1">COUNTIF('Group Stages'!P7:P102,BW345)</f>
        <v>0</v>
      </c>
      <c r="CE345" s="306">
        <f ca="1">COUNTIF('Group Stages'!Q7:Q102,BW345)</f>
        <v>0</v>
      </c>
      <c r="CF345" s="306">
        <f ca="1">COUNTIF('Knock Out Stages'!K7:K50,BW345)</f>
        <v>0</v>
      </c>
      <c r="CG345" s="306">
        <f ca="1">COUNTIF('Knock Out Stages'!L7:L50,BW345)</f>
        <v>0</v>
      </c>
      <c r="CH345" s="306">
        <f ca="1">COUNTIF('Knock Out Stages'!M7:M50,BW345)</f>
        <v>0</v>
      </c>
      <c r="CI345" s="306">
        <f ca="1">COUNTIF('Knock Out Stages'!N7:N50,BW345)</f>
        <v>0</v>
      </c>
      <c r="CJ345" s="306">
        <f ca="1">COUNTIF('Knock Out Stages'!O7:O50,BW345)</f>
        <v>0</v>
      </c>
      <c r="CK345" s="306">
        <f ca="1">COUNTIF('Knock Out Stages'!P7:P50,BW345)</f>
        <v>0</v>
      </c>
      <c r="CL345" s="306">
        <f ca="1">COUNTIF('Knock Out Stages'!Q7:Q50,BW345)</f>
        <v>0</v>
      </c>
      <c r="CM345" s="306">
        <f ca="1">COUNTIF('Knock Out Stages'!R7:R50,BW345)</f>
        <v>0</v>
      </c>
      <c r="CN345" s="306">
        <f ca="1">IF(RIGHT('Group Stages'!$B$105,5)="T.com",SUM(BX345:CM345),0)</f>
        <v>0</v>
      </c>
      <c r="CO345" s="306">
        <f ca="1">RANK(CN345,CN3:CN834)+COUNTIF(CN3:CN345,CN345)-1</f>
        <v>343</v>
      </c>
      <c r="CP345" s="306" t="str">
        <f t="shared" ca="1" si="196"/>
        <v>Aymen Dahmen (Tunisia)</v>
      </c>
    </row>
    <row r="346" spans="72:94" x14ac:dyDescent="0.3">
      <c r="BT346" s="306" t="str">
        <f t="shared" ca="1" si="192"/>
        <v>Tunisia</v>
      </c>
      <c r="BU346" s="306">
        <f t="shared" si="193"/>
        <v>5</v>
      </c>
      <c r="BV346" s="306">
        <f t="shared" si="194"/>
        <v>12</v>
      </c>
      <c r="BW346" s="306" t="str">
        <f ca="1">OFFSET(C3,BU346,BV346)</f>
        <v>Aymen Mathlouthi</v>
      </c>
      <c r="BX346" s="306">
        <f ca="1">COUNTIF('Group Stages'!J7:J102,BW346)</f>
        <v>0</v>
      </c>
      <c r="BY346" s="306">
        <f ca="1">COUNTIF('Group Stages'!K7:K102,BW346)</f>
        <v>0</v>
      </c>
      <c r="BZ346" s="306">
        <f ca="1">COUNTIF('Group Stages'!L7:L102,BW346)</f>
        <v>0</v>
      </c>
      <c r="CA346" s="306">
        <f ca="1">COUNTIF('Group Stages'!M7:M102,BW346)</f>
        <v>0</v>
      </c>
      <c r="CB346" s="306">
        <f ca="1">COUNTIF('Group Stages'!N7:N102,BW346)</f>
        <v>0</v>
      </c>
      <c r="CC346" s="306">
        <f ca="1">COUNTIF('Group Stages'!O7:O102,BW346)</f>
        <v>0</v>
      </c>
      <c r="CD346" s="306">
        <f ca="1">COUNTIF('Group Stages'!P7:P102,BW346)</f>
        <v>0</v>
      </c>
      <c r="CE346" s="306">
        <f ca="1">COUNTIF('Group Stages'!Q7:Q102,BW346)</f>
        <v>0</v>
      </c>
      <c r="CF346" s="306">
        <f ca="1">COUNTIF('Knock Out Stages'!K7:K50,BW346)</f>
        <v>0</v>
      </c>
      <c r="CG346" s="306">
        <f ca="1">COUNTIF('Knock Out Stages'!L7:L50,BW346)</f>
        <v>0</v>
      </c>
      <c r="CH346" s="306">
        <f ca="1">COUNTIF('Knock Out Stages'!M7:M50,BW346)</f>
        <v>0</v>
      </c>
      <c r="CI346" s="306">
        <f ca="1">COUNTIF('Knock Out Stages'!N7:N50,BW346)</f>
        <v>0</v>
      </c>
      <c r="CJ346" s="306">
        <f ca="1">COUNTIF('Knock Out Stages'!O7:O50,BW346)</f>
        <v>0</v>
      </c>
      <c r="CK346" s="306">
        <f ca="1">COUNTIF('Knock Out Stages'!P7:P50,BW346)</f>
        <v>0</v>
      </c>
      <c r="CL346" s="306">
        <f ca="1">COUNTIF('Knock Out Stages'!Q7:Q50,BW346)</f>
        <v>0</v>
      </c>
      <c r="CM346" s="306">
        <f ca="1">COUNTIF('Knock Out Stages'!R7:R50,BW346)</f>
        <v>0</v>
      </c>
      <c r="CN346" s="306">
        <f ca="1">IF(RIGHT('Group Stages'!$B$105,5)="T.com",SUM(BX346:CM346),0)</f>
        <v>0</v>
      </c>
      <c r="CO346" s="306">
        <f ca="1">RANK(CN346,CN3:CN834)+COUNTIF(CN3:CN346,CN346)-1</f>
        <v>344</v>
      </c>
      <c r="CP346" s="306" t="str">
        <f t="shared" ca="1" si="196"/>
        <v>Aymen Mathlouthi (Tunisia)</v>
      </c>
    </row>
    <row r="347" spans="72:94" x14ac:dyDescent="0.3">
      <c r="BT347" s="306" t="str">
        <f t="shared" ca="1" si="192"/>
        <v>Tunisia</v>
      </c>
      <c r="BU347" s="306">
        <f t="shared" si="193"/>
        <v>6</v>
      </c>
      <c r="BV347" s="306">
        <f t="shared" si="194"/>
        <v>12</v>
      </c>
      <c r="BW347" s="306" t="str">
        <f ca="1">OFFSET(C3,BU347,BV347)</f>
        <v>Bechir Ben Saïd</v>
      </c>
      <c r="BX347" s="306">
        <f ca="1">COUNTIF('Group Stages'!J7:J102,BW347)</f>
        <v>0</v>
      </c>
      <c r="BY347" s="306">
        <f ca="1">COUNTIF('Group Stages'!K7:K102,BW347)</f>
        <v>0</v>
      </c>
      <c r="BZ347" s="306">
        <f ca="1">COUNTIF('Group Stages'!L7:L102,BW347)</f>
        <v>0</v>
      </c>
      <c r="CA347" s="306">
        <f ca="1">COUNTIF('Group Stages'!M7:M102,BW347)</f>
        <v>0</v>
      </c>
      <c r="CB347" s="306">
        <f ca="1">COUNTIF('Group Stages'!N7:N102,BW347)</f>
        <v>0</v>
      </c>
      <c r="CC347" s="306">
        <f ca="1">COUNTIF('Group Stages'!O7:O102,BW347)</f>
        <v>0</v>
      </c>
      <c r="CD347" s="306">
        <f ca="1">COUNTIF('Group Stages'!P7:P102,BW347)</f>
        <v>0</v>
      </c>
      <c r="CE347" s="306">
        <f ca="1">COUNTIF('Group Stages'!Q7:Q102,BW347)</f>
        <v>0</v>
      </c>
      <c r="CF347" s="306">
        <f ca="1">COUNTIF('Knock Out Stages'!K7:K50,BW347)</f>
        <v>0</v>
      </c>
      <c r="CG347" s="306">
        <f ca="1">COUNTIF('Knock Out Stages'!L7:L50,BW347)</f>
        <v>0</v>
      </c>
      <c r="CH347" s="306">
        <f ca="1">COUNTIF('Knock Out Stages'!M7:M50,BW347)</f>
        <v>0</v>
      </c>
      <c r="CI347" s="306">
        <f ca="1">COUNTIF('Knock Out Stages'!N7:N50,BW347)</f>
        <v>0</v>
      </c>
      <c r="CJ347" s="306">
        <f ca="1">COUNTIF('Knock Out Stages'!O7:O50,BW347)</f>
        <v>0</v>
      </c>
      <c r="CK347" s="306">
        <f ca="1">COUNTIF('Knock Out Stages'!P7:P50,BW347)</f>
        <v>0</v>
      </c>
      <c r="CL347" s="306">
        <f ca="1">COUNTIF('Knock Out Stages'!Q7:Q50,BW347)</f>
        <v>0</v>
      </c>
      <c r="CM347" s="306">
        <f ca="1">COUNTIF('Knock Out Stages'!R7:R50,BW347)</f>
        <v>0</v>
      </c>
      <c r="CN347" s="306">
        <f ca="1">IF(RIGHT('Group Stages'!$B$105,5)="T.com",SUM(BX347:CM347),0)</f>
        <v>0</v>
      </c>
      <c r="CO347" s="306">
        <f ca="1">RANK(CN347,CN3:CN834)+COUNTIF(CN3:CN347,CN347)-1</f>
        <v>345</v>
      </c>
      <c r="CP347" s="306" t="str">
        <f t="shared" ca="1" si="196"/>
        <v>Bechir Ben Saïd (Tunisia)</v>
      </c>
    </row>
    <row r="348" spans="72:94" x14ac:dyDescent="0.3">
      <c r="BT348" s="306" t="str">
        <f t="shared" ca="1" si="192"/>
        <v>Tunisia</v>
      </c>
      <c r="BU348" s="306">
        <f t="shared" si="193"/>
        <v>7</v>
      </c>
      <c r="BV348" s="306">
        <f t="shared" si="194"/>
        <v>12</v>
      </c>
      <c r="BW348" s="306" t="str">
        <f ca="1">OFFSET(C3,BU348,BV348)</f>
        <v>Bilel Ifa</v>
      </c>
      <c r="BX348" s="306">
        <f ca="1">COUNTIF('Group Stages'!J7:J102,BW348)</f>
        <v>0</v>
      </c>
      <c r="BY348" s="306">
        <f ca="1">COUNTIF('Group Stages'!K7:K102,BW348)</f>
        <v>0</v>
      </c>
      <c r="BZ348" s="306">
        <f ca="1">COUNTIF('Group Stages'!L7:L102,BW348)</f>
        <v>0</v>
      </c>
      <c r="CA348" s="306">
        <f ca="1">COUNTIF('Group Stages'!M7:M102,BW348)</f>
        <v>0</v>
      </c>
      <c r="CB348" s="306">
        <f ca="1">COUNTIF('Group Stages'!N7:N102,BW348)</f>
        <v>0</v>
      </c>
      <c r="CC348" s="306">
        <f ca="1">COUNTIF('Group Stages'!O7:O102,BW348)</f>
        <v>0</v>
      </c>
      <c r="CD348" s="306">
        <f ca="1">COUNTIF('Group Stages'!P7:P102,BW348)</f>
        <v>0</v>
      </c>
      <c r="CE348" s="306">
        <f ca="1">COUNTIF('Group Stages'!Q7:Q102,BW348)</f>
        <v>0</v>
      </c>
      <c r="CF348" s="306">
        <f ca="1">COUNTIF('Knock Out Stages'!K7:K50,BW348)</f>
        <v>0</v>
      </c>
      <c r="CG348" s="306">
        <f ca="1">COUNTIF('Knock Out Stages'!L7:L50,BW348)</f>
        <v>0</v>
      </c>
      <c r="CH348" s="306">
        <f ca="1">COUNTIF('Knock Out Stages'!M7:M50,BW348)</f>
        <v>0</v>
      </c>
      <c r="CI348" s="306">
        <f ca="1">COUNTIF('Knock Out Stages'!N7:N50,BW348)</f>
        <v>0</v>
      </c>
      <c r="CJ348" s="306">
        <f ca="1">COUNTIF('Knock Out Stages'!O7:O50,BW348)</f>
        <v>0</v>
      </c>
      <c r="CK348" s="306">
        <f ca="1">COUNTIF('Knock Out Stages'!P7:P50,BW348)</f>
        <v>0</v>
      </c>
      <c r="CL348" s="306">
        <f ca="1">COUNTIF('Knock Out Stages'!Q7:Q50,BW348)</f>
        <v>0</v>
      </c>
      <c r="CM348" s="306">
        <f ca="1">COUNTIF('Knock Out Stages'!R7:R50,BW348)</f>
        <v>0</v>
      </c>
      <c r="CN348" s="306">
        <f ca="1">IF(RIGHT('Group Stages'!$B$105,5)="T.com",SUM(BX348:CM348),0)</f>
        <v>0</v>
      </c>
      <c r="CO348" s="306">
        <f ca="1">RANK(CN348,CN3:CN834)+COUNTIF(CN3:CN348,CN348)-1</f>
        <v>346</v>
      </c>
      <c r="CP348" s="306" t="str">
        <f t="shared" ca="1" si="196"/>
        <v>Bilel Ifa (Tunisia)</v>
      </c>
    </row>
    <row r="349" spans="72:94" x14ac:dyDescent="0.3">
      <c r="BT349" s="306" t="str">
        <f t="shared" ca="1" si="192"/>
        <v>Tunisia</v>
      </c>
      <c r="BU349" s="306">
        <f t="shared" si="193"/>
        <v>8</v>
      </c>
      <c r="BV349" s="306">
        <f t="shared" si="194"/>
        <v>12</v>
      </c>
      <c r="BW349" s="306" t="str">
        <f ca="1">OFFSET(C3,BU349,BV349)</f>
        <v>Dylan Bronn</v>
      </c>
      <c r="BX349" s="306">
        <f ca="1">COUNTIF('Group Stages'!J7:J102,BW349)</f>
        <v>0</v>
      </c>
      <c r="BY349" s="306">
        <f ca="1">COUNTIF('Group Stages'!K7:K102,BW349)</f>
        <v>0</v>
      </c>
      <c r="BZ349" s="306">
        <f ca="1">COUNTIF('Group Stages'!L7:L102,BW349)</f>
        <v>0</v>
      </c>
      <c r="CA349" s="306">
        <f ca="1">COUNTIF('Group Stages'!M7:M102,BW349)</f>
        <v>0</v>
      </c>
      <c r="CB349" s="306">
        <f ca="1">COUNTIF('Group Stages'!N7:N102,BW349)</f>
        <v>0</v>
      </c>
      <c r="CC349" s="306">
        <f ca="1">COUNTIF('Group Stages'!O7:O102,BW349)</f>
        <v>0</v>
      </c>
      <c r="CD349" s="306">
        <f ca="1">COUNTIF('Group Stages'!P7:P102,BW349)</f>
        <v>0</v>
      </c>
      <c r="CE349" s="306">
        <f ca="1">COUNTIF('Group Stages'!Q7:Q102,BW349)</f>
        <v>0</v>
      </c>
      <c r="CF349" s="306">
        <f ca="1">COUNTIF('Knock Out Stages'!K7:K50,BW349)</f>
        <v>0</v>
      </c>
      <c r="CG349" s="306">
        <f ca="1">COUNTIF('Knock Out Stages'!L7:L50,BW349)</f>
        <v>0</v>
      </c>
      <c r="CH349" s="306">
        <f ca="1">COUNTIF('Knock Out Stages'!M7:M50,BW349)</f>
        <v>0</v>
      </c>
      <c r="CI349" s="306">
        <f ca="1">COUNTIF('Knock Out Stages'!N7:N50,BW349)</f>
        <v>0</v>
      </c>
      <c r="CJ349" s="306">
        <f ca="1">COUNTIF('Knock Out Stages'!O7:O50,BW349)</f>
        <v>0</v>
      </c>
      <c r="CK349" s="306">
        <f ca="1">COUNTIF('Knock Out Stages'!P7:P50,BW349)</f>
        <v>0</v>
      </c>
      <c r="CL349" s="306">
        <f ca="1">COUNTIF('Knock Out Stages'!Q7:Q50,BW349)</f>
        <v>0</v>
      </c>
      <c r="CM349" s="306">
        <f ca="1">COUNTIF('Knock Out Stages'!R7:R50,BW349)</f>
        <v>0</v>
      </c>
      <c r="CN349" s="306">
        <f ca="1">IF(RIGHT('Group Stages'!$B$105,5)="T.com",SUM(BX349:CM349),0)</f>
        <v>0</v>
      </c>
      <c r="CO349" s="306">
        <f ca="1">RANK(CN349,CN3:CN834)+COUNTIF(CN3:CN349,CN349)-1</f>
        <v>347</v>
      </c>
      <c r="CP349" s="306" t="str">
        <f t="shared" ca="1" si="196"/>
        <v>Dylan Bronn (Tunisia)</v>
      </c>
    </row>
    <row r="350" spans="72:94" x14ac:dyDescent="0.3">
      <c r="BT350" s="306" t="str">
        <f t="shared" ca="1" si="192"/>
        <v>Tunisia</v>
      </c>
      <c r="BU350" s="306">
        <f t="shared" si="193"/>
        <v>9</v>
      </c>
      <c r="BV350" s="306">
        <f t="shared" si="194"/>
        <v>12</v>
      </c>
      <c r="BW350" s="306" t="str">
        <f ca="1">OFFSET(C3,BU350,BV350)</f>
        <v>Ellyes Skhiri</v>
      </c>
      <c r="BX350" s="306">
        <f ca="1">COUNTIF('Group Stages'!J7:J102,BW350)</f>
        <v>0</v>
      </c>
      <c r="BY350" s="306">
        <f ca="1">COUNTIF('Group Stages'!K7:K102,BW350)</f>
        <v>0</v>
      </c>
      <c r="BZ350" s="306">
        <f ca="1">COUNTIF('Group Stages'!L7:L102,BW350)</f>
        <v>0</v>
      </c>
      <c r="CA350" s="306">
        <f ca="1">COUNTIF('Group Stages'!M7:M102,BW350)</f>
        <v>0</v>
      </c>
      <c r="CB350" s="306">
        <f ca="1">COUNTIF('Group Stages'!N7:N102,BW350)</f>
        <v>0</v>
      </c>
      <c r="CC350" s="306">
        <f ca="1">COUNTIF('Group Stages'!O7:O102,BW350)</f>
        <v>0</v>
      </c>
      <c r="CD350" s="306">
        <f ca="1">COUNTIF('Group Stages'!P7:P102,BW350)</f>
        <v>0</v>
      </c>
      <c r="CE350" s="306">
        <f ca="1">COUNTIF('Group Stages'!Q7:Q102,BW350)</f>
        <v>0</v>
      </c>
      <c r="CF350" s="306">
        <f ca="1">COUNTIF('Knock Out Stages'!K7:K50,BW350)</f>
        <v>0</v>
      </c>
      <c r="CG350" s="306">
        <f ca="1">COUNTIF('Knock Out Stages'!L7:L50,BW350)</f>
        <v>0</v>
      </c>
      <c r="CH350" s="306">
        <f ca="1">COUNTIF('Knock Out Stages'!M7:M50,BW350)</f>
        <v>0</v>
      </c>
      <c r="CI350" s="306">
        <f ca="1">COUNTIF('Knock Out Stages'!N7:N50,BW350)</f>
        <v>0</v>
      </c>
      <c r="CJ350" s="306">
        <f ca="1">COUNTIF('Knock Out Stages'!O7:O50,BW350)</f>
        <v>0</v>
      </c>
      <c r="CK350" s="306">
        <f ca="1">COUNTIF('Knock Out Stages'!P7:P50,BW350)</f>
        <v>0</v>
      </c>
      <c r="CL350" s="306">
        <f ca="1">COUNTIF('Knock Out Stages'!Q7:Q50,BW350)</f>
        <v>0</v>
      </c>
      <c r="CM350" s="306">
        <f ca="1">COUNTIF('Knock Out Stages'!R7:R50,BW350)</f>
        <v>0</v>
      </c>
      <c r="CN350" s="306">
        <f ca="1">IF(RIGHT('Group Stages'!$B$105,5)="T.com",SUM(BX350:CM350),0)</f>
        <v>0</v>
      </c>
      <c r="CO350" s="306">
        <f ca="1">RANK(CN350,CN3:CN834)+COUNTIF(CN3:CN350,CN350)-1</f>
        <v>348</v>
      </c>
      <c r="CP350" s="306" t="str">
        <f t="shared" ca="1" si="196"/>
        <v>Ellyes Skhiri (Tunisia)</v>
      </c>
    </row>
    <row r="351" spans="72:94" x14ac:dyDescent="0.3">
      <c r="BT351" s="306" t="str">
        <f t="shared" ca="1" si="192"/>
        <v>Tunisia</v>
      </c>
      <c r="BU351" s="306">
        <f t="shared" si="193"/>
        <v>10</v>
      </c>
      <c r="BV351" s="306">
        <f t="shared" si="194"/>
        <v>12</v>
      </c>
      <c r="BW351" s="306" t="str">
        <f ca="1">OFFSET(C3,BU351,BV351)</f>
        <v>Ferjani Sassi</v>
      </c>
      <c r="BX351" s="306">
        <f ca="1">COUNTIF('Group Stages'!J7:J102,BW351)</f>
        <v>0</v>
      </c>
      <c r="BY351" s="306">
        <f ca="1">COUNTIF('Group Stages'!K7:K102,BW351)</f>
        <v>0</v>
      </c>
      <c r="BZ351" s="306">
        <f ca="1">COUNTIF('Group Stages'!L7:L102,BW351)</f>
        <v>0</v>
      </c>
      <c r="CA351" s="306">
        <f ca="1">COUNTIF('Group Stages'!M7:M102,BW351)</f>
        <v>0</v>
      </c>
      <c r="CB351" s="306">
        <f ca="1">COUNTIF('Group Stages'!N7:N102,BW351)</f>
        <v>0</v>
      </c>
      <c r="CC351" s="306">
        <f ca="1">COUNTIF('Group Stages'!O7:O102,BW351)</f>
        <v>0</v>
      </c>
      <c r="CD351" s="306">
        <f ca="1">COUNTIF('Group Stages'!P7:P102,BW351)</f>
        <v>0</v>
      </c>
      <c r="CE351" s="306">
        <f ca="1">COUNTIF('Group Stages'!Q7:Q102,BW351)</f>
        <v>0</v>
      </c>
      <c r="CF351" s="306">
        <f ca="1">COUNTIF('Knock Out Stages'!K7:K50,BW351)</f>
        <v>0</v>
      </c>
      <c r="CG351" s="306">
        <f ca="1">COUNTIF('Knock Out Stages'!L7:L50,BW351)</f>
        <v>0</v>
      </c>
      <c r="CH351" s="306">
        <f ca="1">COUNTIF('Knock Out Stages'!M7:M50,BW351)</f>
        <v>0</v>
      </c>
      <c r="CI351" s="306">
        <f ca="1">COUNTIF('Knock Out Stages'!N7:N50,BW351)</f>
        <v>0</v>
      </c>
      <c r="CJ351" s="306">
        <f ca="1">COUNTIF('Knock Out Stages'!O7:O50,BW351)</f>
        <v>0</v>
      </c>
      <c r="CK351" s="306">
        <f ca="1">COUNTIF('Knock Out Stages'!P7:P50,BW351)</f>
        <v>0</v>
      </c>
      <c r="CL351" s="306">
        <f ca="1">COUNTIF('Knock Out Stages'!Q7:Q50,BW351)</f>
        <v>0</v>
      </c>
      <c r="CM351" s="306">
        <f ca="1">COUNTIF('Knock Out Stages'!R7:R50,BW351)</f>
        <v>0</v>
      </c>
      <c r="CN351" s="306">
        <f ca="1">IF(RIGHT('Group Stages'!$B$105,5)="T.com",SUM(BX351:CM351),0)</f>
        <v>0</v>
      </c>
      <c r="CO351" s="306">
        <f ca="1">RANK(CN351,CN3:CN834)+COUNTIF(CN3:CN351,CN351)-1</f>
        <v>349</v>
      </c>
      <c r="CP351" s="306" t="str">
        <f t="shared" ca="1" si="196"/>
        <v>Ferjani Sassi (Tunisia)</v>
      </c>
    </row>
    <row r="352" spans="72:94" x14ac:dyDescent="0.3">
      <c r="BT352" s="306" t="str">
        <f t="shared" ca="1" si="192"/>
        <v>Tunisia</v>
      </c>
      <c r="BU352" s="306">
        <f t="shared" si="193"/>
        <v>11</v>
      </c>
      <c r="BV352" s="306">
        <f t="shared" si="194"/>
        <v>12</v>
      </c>
      <c r="BW352" s="306" t="str">
        <f ca="1">OFFSET(C3,BU352,BV352)</f>
        <v>Ghailene Chaalali</v>
      </c>
      <c r="BX352" s="306">
        <f ca="1">COUNTIF('Group Stages'!J7:J102,BW352)</f>
        <v>0</v>
      </c>
      <c r="BY352" s="306">
        <f ca="1">COUNTIF('Group Stages'!K7:K102,BW352)</f>
        <v>0</v>
      </c>
      <c r="BZ352" s="306">
        <f ca="1">COUNTIF('Group Stages'!L7:L102,BW352)</f>
        <v>0</v>
      </c>
      <c r="CA352" s="306">
        <f ca="1">COUNTIF('Group Stages'!M7:M102,BW352)</f>
        <v>0</v>
      </c>
      <c r="CB352" s="306">
        <f ca="1">COUNTIF('Group Stages'!N7:N102,BW352)</f>
        <v>0</v>
      </c>
      <c r="CC352" s="306">
        <f ca="1">COUNTIF('Group Stages'!O7:O102,BW352)</f>
        <v>0</v>
      </c>
      <c r="CD352" s="306">
        <f ca="1">COUNTIF('Group Stages'!P7:P102,BW352)</f>
        <v>0</v>
      </c>
      <c r="CE352" s="306">
        <f ca="1">COUNTIF('Group Stages'!Q7:Q102,BW352)</f>
        <v>0</v>
      </c>
      <c r="CF352" s="306">
        <f ca="1">COUNTIF('Knock Out Stages'!K7:K50,BW352)</f>
        <v>0</v>
      </c>
      <c r="CG352" s="306">
        <f ca="1">COUNTIF('Knock Out Stages'!L7:L50,BW352)</f>
        <v>0</v>
      </c>
      <c r="CH352" s="306">
        <f ca="1">COUNTIF('Knock Out Stages'!M7:M50,BW352)</f>
        <v>0</v>
      </c>
      <c r="CI352" s="306">
        <f ca="1">COUNTIF('Knock Out Stages'!N7:N50,BW352)</f>
        <v>0</v>
      </c>
      <c r="CJ352" s="306">
        <f ca="1">COUNTIF('Knock Out Stages'!O7:O50,BW352)</f>
        <v>0</v>
      </c>
      <c r="CK352" s="306">
        <f ca="1">COUNTIF('Knock Out Stages'!P7:P50,BW352)</f>
        <v>0</v>
      </c>
      <c r="CL352" s="306">
        <f ca="1">COUNTIF('Knock Out Stages'!Q7:Q50,BW352)</f>
        <v>0</v>
      </c>
      <c r="CM352" s="306">
        <f ca="1">COUNTIF('Knock Out Stages'!R7:R50,BW352)</f>
        <v>0</v>
      </c>
      <c r="CN352" s="306">
        <f ca="1">IF(RIGHT('Group Stages'!$B$105,5)="T.com",SUM(BX352:CM352),0)</f>
        <v>0</v>
      </c>
      <c r="CO352" s="306">
        <f ca="1">RANK(CN352,CN3:CN834)+COUNTIF(CN3:CN352,CN352)-1</f>
        <v>350</v>
      </c>
      <c r="CP352" s="306" t="str">
        <f t="shared" ca="1" si="196"/>
        <v>Ghailene Chaalali (Tunisia)</v>
      </c>
    </row>
    <row r="353" spans="72:94" x14ac:dyDescent="0.3">
      <c r="BT353" s="306" t="str">
        <f t="shared" ca="1" si="192"/>
        <v>Tunisia</v>
      </c>
      <c r="BU353" s="306">
        <f t="shared" si="193"/>
        <v>12</v>
      </c>
      <c r="BV353" s="306">
        <f t="shared" si="194"/>
        <v>12</v>
      </c>
      <c r="BW353" s="306" t="str">
        <f ca="1">OFFSET(C3,BU353,BV353)</f>
        <v>Hannibal Mejbri</v>
      </c>
      <c r="BX353" s="306">
        <f ca="1">COUNTIF('Group Stages'!J7:J102,BW353)</f>
        <v>0</v>
      </c>
      <c r="BY353" s="306">
        <f ca="1">COUNTIF('Group Stages'!K7:K102,BW353)</f>
        <v>0</v>
      </c>
      <c r="BZ353" s="306">
        <f ca="1">COUNTIF('Group Stages'!L7:L102,BW353)</f>
        <v>0</v>
      </c>
      <c r="CA353" s="306">
        <f ca="1">COUNTIF('Group Stages'!M7:M102,BW353)</f>
        <v>0</v>
      </c>
      <c r="CB353" s="306">
        <f ca="1">COUNTIF('Group Stages'!N7:N102,BW353)</f>
        <v>0</v>
      </c>
      <c r="CC353" s="306">
        <f ca="1">COUNTIF('Group Stages'!O7:O102,BW353)</f>
        <v>0</v>
      </c>
      <c r="CD353" s="306">
        <f ca="1">COUNTIF('Group Stages'!P7:P102,BW353)</f>
        <v>0</v>
      </c>
      <c r="CE353" s="306">
        <f ca="1">COUNTIF('Group Stages'!Q7:Q102,BW353)</f>
        <v>0</v>
      </c>
      <c r="CF353" s="306">
        <f ca="1">COUNTIF('Knock Out Stages'!K7:K50,BW353)</f>
        <v>0</v>
      </c>
      <c r="CG353" s="306">
        <f ca="1">COUNTIF('Knock Out Stages'!L7:L50,BW353)</f>
        <v>0</v>
      </c>
      <c r="CH353" s="306">
        <f ca="1">COUNTIF('Knock Out Stages'!M7:M50,BW353)</f>
        <v>0</v>
      </c>
      <c r="CI353" s="306">
        <f ca="1">COUNTIF('Knock Out Stages'!N7:N50,BW353)</f>
        <v>0</v>
      </c>
      <c r="CJ353" s="306">
        <f ca="1">COUNTIF('Knock Out Stages'!O7:O50,BW353)</f>
        <v>0</v>
      </c>
      <c r="CK353" s="306">
        <f ca="1">COUNTIF('Knock Out Stages'!P7:P50,BW353)</f>
        <v>0</v>
      </c>
      <c r="CL353" s="306">
        <f ca="1">COUNTIF('Knock Out Stages'!Q7:Q50,BW353)</f>
        <v>0</v>
      </c>
      <c r="CM353" s="306">
        <f ca="1">COUNTIF('Knock Out Stages'!R7:R50,BW353)</f>
        <v>0</v>
      </c>
      <c r="CN353" s="306">
        <f ca="1">IF(RIGHT('Group Stages'!$B$105,5)="T.com",SUM(BX353:CM353),0)</f>
        <v>0</v>
      </c>
      <c r="CO353" s="306">
        <f ca="1">RANK(CN353,CN3:CN834)+COUNTIF(CN3:CN353,CN353)-1</f>
        <v>351</v>
      </c>
      <c r="CP353" s="306" t="str">
        <f t="shared" ca="1" si="196"/>
        <v>Hannibal Mejbri (Tunisia)</v>
      </c>
    </row>
    <row r="354" spans="72:94" x14ac:dyDescent="0.3">
      <c r="BT354" s="306" t="str">
        <f t="shared" ca="1" si="192"/>
        <v>Tunisia</v>
      </c>
      <c r="BU354" s="306">
        <f t="shared" si="193"/>
        <v>13</v>
      </c>
      <c r="BV354" s="306">
        <f t="shared" si="194"/>
        <v>12</v>
      </c>
      <c r="BW354" s="306" t="str">
        <f ca="1">OFFSET(C3,BU354,BV354)</f>
        <v>Issam Jebali</v>
      </c>
      <c r="BX354" s="306">
        <f ca="1">COUNTIF('Group Stages'!J7:J102,BW354)</f>
        <v>0</v>
      </c>
      <c r="BY354" s="306">
        <f ca="1">COUNTIF('Group Stages'!K7:K102,BW354)</f>
        <v>0</v>
      </c>
      <c r="BZ354" s="306">
        <f ca="1">COUNTIF('Group Stages'!L7:L102,BW354)</f>
        <v>0</v>
      </c>
      <c r="CA354" s="306">
        <f ca="1">COUNTIF('Group Stages'!M7:M102,BW354)</f>
        <v>0</v>
      </c>
      <c r="CB354" s="306">
        <f ca="1">COUNTIF('Group Stages'!N7:N102,BW354)</f>
        <v>0</v>
      </c>
      <c r="CC354" s="306">
        <f ca="1">COUNTIF('Group Stages'!O7:O102,BW354)</f>
        <v>0</v>
      </c>
      <c r="CD354" s="306">
        <f ca="1">COUNTIF('Group Stages'!P7:P102,BW354)</f>
        <v>0</v>
      </c>
      <c r="CE354" s="306">
        <f ca="1">COUNTIF('Group Stages'!Q7:Q102,BW354)</f>
        <v>0</v>
      </c>
      <c r="CF354" s="306">
        <f ca="1">COUNTIF('Knock Out Stages'!K7:K50,BW354)</f>
        <v>0</v>
      </c>
      <c r="CG354" s="306">
        <f ca="1">COUNTIF('Knock Out Stages'!L7:L50,BW354)</f>
        <v>0</v>
      </c>
      <c r="CH354" s="306">
        <f ca="1">COUNTIF('Knock Out Stages'!M7:M50,BW354)</f>
        <v>0</v>
      </c>
      <c r="CI354" s="306">
        <f ca="1">COUNTIF('Knock Out Stages'!N7:N50,BW354)</f>
        <v>0</v>
      </c>
      <c r="CJ354" s="306">
        <f ca="1">COUNTIF('Knock Out Stages'!O7:O50,BW354)</f>
        <v>0</v>
      </c>
      <c r="CK354" s="306">
        <f ca="1">COUNTIF('Knock Out Stages'!P7:P50,BW354)</f>
        <v>0</v>
      </c>
      <c r="CL354" s="306">
        <f ca="1">COUNTIF('Knock Out Stages'!Q7:Q50,BW354)</f>
        <v>0</v>
      </c>
      <c r="CM354" s="306">
        <f ca="1">COUNTIF('Knock Out Stages'!R7:R50,BW354)</f>
        <v>0</v>
      </c>
      <c r="CN354" s="306">
        <f ca="1">IF(RIGHT('Group Stages'!$B$105,5)="T.com",SUM(BX354:CM354),0)</f>
        <v>0</v>
      </c>
      <c r="CO354" s="306">
        <f ca="1">RANK(CN354,CN3:CN834)+COUNTIF(CN3:CN354,CN354)-1</f>
        <v>352</v>
      </c>
      <c r="CP354" s="306" t="str">
        <f t="shared" ca="1" si="196"/>
        <v>Issam Jebali (Tunisia)</v>
      </c>
    </row>
    <row r="355" spans="72:94" x14ac:dyDescent="0.3">
      <c r="BT355" s="306" t="str">
        <f t="shared" ca="1" si="192"/>
        <v>Tunisia</v>
      </c>
      <c r="BU355" s="306">
        <f t="shared" si="193"/>
        <v>14</v>
      </c>
      <c r="BV355" s="306">
        <f t="shared" si="194"/>
        <v>12</v>
      </c>
      <c r="BW355" s="306" t="str">
        <f ca="1">OFFSET(C3,BU355,BV355)</f>
        <v>Mohamed Ali Ben Romdhane</v>
      </c>
      <c r="BX355" s="306">
        <f ca="1">COUNTIF('Group Stages'!J7:J102,BW355)</f>
        <v>0</v>
      </c>
      <c r="BY355" s="306">
        <f ca="1">COUNTIF('Group Stages'!K7:K102,BW355)</f>
        <v>0</v>
      </c>
      <c r="BZ355" s="306">
        <f ca="1">COUNTIF('Group Stages'!L7:L102,BW355)</f>
        <v>0</v>
      </c>
      <c r="CA355" s="306">
        <f ca="1">COUNTIF('Group Stages'!M7:M102,BW355)</f>
        <v>0</v>
      </c>
      <c r="CB355" s="306">
        <f ca="1">COUNTIF('Group Stages'!N7:N102,BW355)</f>
        <v>0</v>
      </c>
      <c r="CC355" s="306">
        <f ca="1">COUNTIF('Group Stages'!O7:O102,BW355)</f>
        <v>0</v>
      </c>
      <c r="CD355" s="306">
        <f ca="1">COUNTIF('Group Stages'!P7:P102,BW355)</f>
        <v>0</v>
      </c>
      <c r="CE355" s="306">
        <f ca="1">COUNTIF('Group Stages'!Q7:Q102,BW355)</f>
        <v>0</v>
      </c>
      <c r="CF355" s="306">
        <f ca="1">COUNTIF('Knock Out Stages'!K7:K50,BW355)</f>
        <v>0</v>
      </c>
      <c r="CG355" s="306">
        <f ca="1">COUNTIF('Knock Out Stages'!L7:L50,BW355)</f>
        <v>0</v>
      </c>
      <c r="CH355" s="306">
        <f ca="1">COUNTIF('Knock Out Stages'!M7:M50,BW355)</f>
        <v>0</v>
      </c>
      <c r="CI355" s="306">
        <f ca="1">COUNTIF('Knock Out Stages'!N7:N50,BW355)</f>
        <v>0</v>
      </c>
      <c r="CJ355" s="306">
        <f ca="1">COUNTIF('Knock Out Stages'!O7:O50,BW355)</f>
        <v>0</v>
      </c>
      <c r="CK355" s="306">
        <f ca="1">COUNTIF('Knock Out Stages'!P7:P50,BW355)</f>
        <v>0</v>
      </c>
      <c r="CL355" s="306">
        <f ca="1">COUNTIF('Knock Out Stages'!Q7:Q50,BW355)</f>
        <v>0</v>
      </c>
      <c r="CM355" s="306">
        <f ca="1">COUNTIF('Knock Out Stages'!R7:R50,BW355)</f>
        <v>0</v>
      </c>
      <c r="CN355" s="306">
        <f ca="1">IF(RIGHT('Group Stages'!$B$105,5)="T.com",SUM(BX355:CM355),0)</f>
        <v>0</v>
      </c>
      <c r="CO355" s="306">
        <f ca="1">RANK(CN355,CN3:CN834)+COUNTIF(CN3:CN355,CN355)-1</f>
        <v>353</v>
      </c>
      <c r="CP355" s="306" t="str">
        <f t="shared" ca="1" si="196"/>
        <v>Mohamed Ali Ben Romdhane (Tunisia)</v>
      </c>
    </row>
    <row r="356" spans="72:94" x14ac:dyDescent="0.3">
      <c r="BT356" s="306" t="str">
        <f t="shared" ca="1" si="192"/>
        <v>Tunisia</v>
      </c>
      <c r="BU356" s="306">
        <f t="shared" si="193"/>
        <v>15</v>
      </c>
      <c r="BV356" s="306">
        <f t="shared" si="194"/>
        <v>12</v>
      </c>
      <c r="BW356" s="306" t="str">
        <f ca="1">OFFSET(C3,BU356,BV356)</f>
        <v>Mohamed Dräger</v>
      </c>
      <c r="BX356" s="306">
        <f ca="1">COUNTIF('Group Stages'!J7:J102,BW356)</f>
        <v>0</v>
      </c>
      <c r="BY356" s="306">
        <f ca="1">COUNTIF('Group Stages'!K7:K102,BW356)</f>
        <v>0</v>
      </c>
      <c r="BZ356" s="306">
        <f ca="1">COUNTIF('Group Stages'!L7:L102,BW356)</f>
        <v>0</v>
      </c>
      <c r="CA356" s="306">
        <f ca="1">COUNTIF('Group Stages'!M7:M102,BW356)</f>
        <v>0</v>
      </c>
      <c r="CB356" s="306">
        <f ca="1">COUNTIF('Group Stages'!N7:N102,BW356)</f>
        <v>0</v>
      </c>
      <c r="CC356" s="306">
        <f ca="1">COUNTIF('Group Stages'!O7:O102,BW356)</f>
        <v>0</v>
      </c>
      <c r="CD356" s="306">
        <f ca="1">COUNTIF('Group Stages'!P7:P102,BW356)</f>
        <v>0</v>
      </c>
      <c r="CE356" s="306">
        <f ca="1">COUNTIF('Group Stages'!Q7:Q102,BW356)</f>
        <v>0</v>
      </c>
      <c r="CF356" s="306">
        <f ca="1">COUNTIF('Knock Out Stages'!K7:K50,BW356)</f>
        <v>0</v>
      </c>
      <c r="CG356" s="306">
        <f ca="1">COUNTIF('Knock Out Stages'!L7:L50,BW356)</f>
        <v>0</v>
      </c>
      <c r="CH356" s="306">
        <f ca="1">COUNTIF('Knock Out Stages'!M7:M50,BW356)</f>
        <v>0</v>
      </c>
      <c r="CI356" s="306">
        <f ca="1">COUNTIF('Knock Out Stages'!N7:N50,BW356)</f>
        <v>0</v>
      </c>
      <c r="CJ356" s="306">
        <f ca="1">COUNTIF('Knock Out Stages'!O7:O50,BW356)</f>
        <v>0</v>
      </c>
      <c r="CK356" s="306">
        <f ca="1">COUNTIF('Knock Out Stages'!P7:P50,BW356)</f>
        <v>0</v>
      </c>
      <c r="CL356" s="306">
        <f ca="1">COUNTIF('Knock Out Stages'!Q7:Q50,BW356)</f>
        <v>0</v>
      </c>
      <c r="CM356" s="306">
        <f ca="1">COUNTIF('Knock Out Stages'!R7:R50,BW356)</f>
        <v>0</v>
      </c>
      <c r="CN356" s="306">
        <f ca="1">IF(RIGHT('Group Stages'!$B$105,5)="T.com",SUM(BX356:CM356),0)</f>
        <v>0</v>
      </c>
      <c r="CO356" s="306">
        <f ca="1">RANK(CN356,CN3:CN834)+COUNTIF(CN3:CN356,CN356)-1</f>
        <v>354</v>
      </c>
      <c r="CP356" s="306" t="str">
        <f t="shared" ca="1" si="196"/>
        <v>Mohamed Dräger (Tunisia)</v>
      </c>
    </row>
    <row r="357" spans="72:94" x14ac:dyDescent="0.3">
      <c r="BT357" s="306" t="str">
        <f t="shared" ca="1" si="192"/>
        <v>Tunisia</v>
      </c>
      <c r="BU357" s="306">
        <f t="shared" si="193"/>
        <v>16</v>
      </c>
      <c r="BV357" s="306">
        <f t="shared" si="194"/>
        <v>12</v>
      </c>
      <c r="BW357" s="306" t="str">
        <f ca="1">OFFSET(C3,BU357,BV357)</f>
        <v>Montassar Talbi</v>
      </c>
      <c r="BX357" s="306">
        <f ca="1">COUNTIF('Group Stages'!J7:J102,BW357)</f>
        <v>0</v>
      </c>
      <c r="BY357" s="306">
        <f ca="1">COUNTIF('Group Stages'!K7:K102,BW357)</f>
        <v>0</v>
      </c>
      <c r="BZ357" s="306">
        <f ca="1">COUNTIF('Group Stages'!L7:L102,BW357)</f>
        <v>0</v>
      </c>
      <c r="CA357" s="306">
        <f ca="1">COUNTIF('Group Stages'!M7:M102,BW357)</f>
        <v>0</v>
      </c>
      <c r="CB357" s="306">
        <f ca="1">COUNTIF('Group Stages'!N7:N102,BW357)</f>
        <v>0</v>
      </c>
      <c r="CC357" s="306">
        <f ca="1">COUNTIF('Group Stages'!O7:O102,BW357)</f>
        <v>0</v>
      </c>
      <c r="CD357" s="306">
        <f ca="1">COUNTIF('Group Stages'!P7:P102,BW357)</f>
        <v>0</v>
      </c>
      <c r="CE357" s="306">
        <f ca="1">COUNTIF('Group Stages'!Q7:Q102,BW357)</f>
        <v>0</v>
      </c>
      <c r="CF357" s="306">
        <f ca="1">COUNTIF('Knock Out Stages'!K7:K50,BW357)</f>
        <v>0</v>
      </c>
      <c r="CG357" s="306">
        <f ca="1">COUNTIF('Knock Out Stages'!L7:L50,BW357)</f>
        <v>0</v>
      </c>
      <c r="CH357" s="306">
        <f ca="1">COUNTIF('Knock Out Stages'!M7:M50,BW357)</f>
        <v>0</v>
      </c>
      <c r="CI357" s="306">
        <f ca="1">COUNTIF('Knock Out Stages'!N7:N50,BW357)</f>
        <v>0</v>
      </c>
      <c r="CJ357" s="306">
        <f ca="1">COUNTIF('Knock Out Stages'!O7:O50,BW357)</f>
        <v>0</v>
      </c>
      <c r="CK357" s="306">
        <f ca="1">COUNTIF('Knock Out Stages'!P7:P50,BW357)</f>
        <v>0</v>
      </c>
      <c r="CL357" s="306">
        <f ca="1">COUNTIF('Knock Out Stages'!Q7:Q50,BW357)</f>
        <v>0</v>
      </c>
      <c r="CM357" s="306">
        <f ca="1">COUNTIF('Knock Out Stages'!R7:R50,BW357)</f>
        <v>0</v>
      </c>
      <c r="CN357" s="306">
        <f ca="1">IF(RIGHT('Group Stages'!$B$105,5)="T.com",SUM(BX357:CM357),0)</f>
        <v>0</v>
      </c>
      <c r="CO357" s="306">
        <f ca="1">RANK(CN357,CN3:CN834)+COUNTIF(CN3:CN357,CN357)-1</f>
        <v>355</v>
      </c>
      <c r="CP357" s="306" t="str">
        <f t="shared" ca="1" si="196"/>
        <v>Montassar Talbi (Tunisia)</v>
      </c>
    </row>
    <row r="358" spans="72:94" x14ac:dyDescent="0.3">
      <c r="BT358" s="306" t="str">
        <f t="shared" ca="1" si="192"/>
        <v>Tunisia</v>
      </c>
      <c r="BU358" s="306">
        <f t="shared" si="193"/>
        <v>17</v>
      </c>
      <c r="BV358" s="306">
        <f t="shared" si="194"/>
        <v>12</v>
      </c>
      <c r="BW358" s="306" t="str">
        <f ca="1">OFFSET(C3,BU358,BV358)</f>
        <v>Mouez Hassen</v>
      </c>
      <c r="BX358" s="306">
        <f ca="1">COUNTIF('Group Stages'!J7:J102,BW358)</f>
        <v>0</v>
      </c>
      <c r="BY358" s="306">
        <f ca="1">COUNTIF('Group Stages'!K7:K102,BW358)</f>
        <v>0</v>
      </c>
      <c r="BZ358" s="306">
        <f ca="1">COUNTIF('Group Stages'!L7:L102,BW358)</f>
        <v>0</v>
      </c>
      <c r="CA358" s="306">
        <f ca="1">COUNTIF('Group Stages'!M7:M102,BW358)</f>
        <v>0</v>
      </c>
      <c r="CB358" s="306">
        <f ca="1">COUNTIF('Group Stages'!N7:N102,BW358)</f>
        <v>0</v>
      </c>
      <c r="CC358" s="306">
        <f ca="1">COUNTIF('Group Stages'!O7:O102,BW358)</f>
        <v>0</v>
      </c>
      <c r="CD358" s="306">
        <f ca="1">COUNTIF('Group Stages'!P7:P102,BW358)</f>
        <v>0</v>
      </c>
      <c r="CE358" s="306">
        <f ca="1">COUNTIF('Group Stages'!Q7:Q102,BW358)</f>
        <v>0</v>
      </c>
      <c r="CF358" s="306">
        <f ca="1">COUNTIF('Knock Out Stages'!K7:K50,BW358)</f>
        <v>0</v>
      </c>
      <c r="CG358" s="306">
        <f ca="1">COUNTIF('Knock Out Stages'!L7:L50,BW358)</f>
        <v>0</v>
      </c>
      <c r="CH358" s="306">
        <f ca="1">COUNTIF('Knock Out Stages'!M7:M50,BW358)</f>
        <v>0</v>
      </c>
      <c r="CI358" s="306">
        <f ca="1">COUNTIF('Knock Out Stages'!N7:N50,BW358)</f>
        <v>0</v>
      </c>
      <c r="CJ358" s="306">
        <f ca="1">COUNTIF('Knock Out Stages'!O7:O50,BW358)</f>
        <v>0</v>
      </c>
      <c r="CK358" s="306">
        <f ca="1">COUNTIF('Knock Out Stages'!P7:P50,BW358)</f>
        <v>0</v>
      </c>
      <c r="CL358" s="306">
        <f ca="1">COUNTIF('Knock Out Stages'!Q7:Q50,BW358)</f>
        <v>0</v>
      </c>
      <c r="CM358" s="306">
        <f ca="1">COUNTIF('Knock Out Stages'!R7:R50,BW358)</f>
        <v>0</v>
      </c>
      <c r="CN358" s="306">
        <f ca="1">IF(RIGHT('Group Stages'!$B$105,5)="T.com",SUM(BX358:CM358),0)</f>
        <v>0</v>
      </c>
      <c r="CO358" s="306">
        <f ca="1">RANK(CN358,CN3:CN834)+COUNTIF(CN3:CN358,CN358)-1</f>
        <v>356</v>
      </c>
      <c r="CP358" s="306" t="str">
        <f t="shared" ca="1" si="196"/>
        <v>Mouez Hassen (Tunisia)</v>
      </c>
    </row>
    <row r="359" spans="72:94" x14ac:dyDescent="0.3">
      <c r="BT359" s="306" t="str">
        <f t="shared" ca="1" si="192"/>
        <v>Tunisia</v>
      </c>
      <c r="BU359" s="306">
        <f t="shared" si="193"/>
        <v>18</v>
      </c>
      <c r="BV359" s="306">
        <f t="shared" si="194"/>
        <v>12</v>
      </c>
      <c r="BW359" s="306" t="str">
        <f ca="1">OFFSET(C3,BU359,BV359)</f>
        <v>Nader Ghandri</v>
      </c>
      <c r="BX359" s="306">
        <f ca="1">COUNTIF('Group Stages'!J7:J102,BW359)</f>
        <v>0</v>
      </c>
      <c r="BY359" s="306">
        <f ca="1">COUNTIF('Group Stages'!K7:K102,BW359)</f>
        <v>0</v>
      </c>
      <c r="BZ359" s="306">
        <f ca="1">COUNTIF('Group Stages'!L7:L102,BW359)</f>
        <v>0</v>
      </c>
      <c r="CA359" s="306">
        <f ca="1">COUNTIF('Group Stages'!M7:M102,BW359)</f>
        <v>0</v>
      </c>
      <c r="CB359" s="306">
        <f ca="1">COUNTIF('Group Stages'!N7:N102,BW359)</f>
        <v>0</v>
      </c>
      <c r="CC359" s="306">
        <f ca="1">COUNTIF('Group Stages'!O7:O102,BW359)</f>
        <v>0</v>
      </c>
      <c r="CD359" s="306">
        <f ca="1">COUNTIF('Group Stages'!P7:P102,BW359)</f>
        <v>0</v>
      </c>
      <c r="CE359" s="306">
        <f ca="1">COUNTIF('Group Stages'!Q7:Q102,BW359)</f>
        <v>0</v>
      </c>
      <c r="CF359" s="306">
        <f ca="1">COUNTIF('Knock Out Stages'!K7:K50,BW359)</f>
        <v>0</v>
      </c>
      <c r="CG359" s="306">
        <f ca="1">COUNTIF('Knock Out Stages'!L7:L50,BW359)</f>
        <v>0</v>
      </c>
      <c r="CH359" s="306">
        <f ca="1">COUNTIF('Knock Out Stages'!M7:M50,BW359)</f>
        <v>0</v>
      </c>
      <c r="CI359" s="306">
        <f ca="1">COUNTIF('Knock Out Stages'!N7:N50,BW359)</f>
        <v>0</v>
      </c>
      <c r="CJ359" s="306">
        <f ca="1">COUNTIF('Knock Out Stages'!O7:O50,BW359)</f>
        <v>0</v>
      </c>
      <c r="CK359" s="306">
        <f ca="1">COUNTIF('Knock Out Stages'!P7:P50,BW359)</f>
        <v>0</v>
      </c>
      <c r="CL359" s="306">
        <f ca="1">COUNTIF('Knock Out Stages'!Q7:Q50,BW359)</f>
        <v>0</v>
      </c>
      <c r="CM359" s="306">
        <f ca="1">COUNTIF('Knock Out Stages'!R7:R50,BW359)</f>
        <v>0</v>
      </c>
      <c r="CN359" s="306">
        <f ca="1">IF(RIGHT('Group Stages'!$B$105,5)="T.com",SUM(BX359:CM359),0)</f>
        <v>0</v>
      </c>
      <c r="CO359" s="306">
        <f ca="1">RANK(CN359,CN3:CN834)+COUNTIF(CN3:CN359,CN359)-1</f>
        <v>357</v>
      </c>
      <c r="CP359" s="306" t="str">
        <f t="shared" ca="1" si="196"/>
        <v>Nader Ghandri (Tunisia)</v>
      </c>
    </row>
    <row r="360" spans="72:94" x14ac:dyDescent="0.3">
      <c r="BT360" s="306" t="str">
        <f t="shared" ca="1" si="192"/>
        <v>Tunisia</v>
      </c>
      <c r="BU360" s="306">
        <f t="shared" si="193"/>
        <v>19</v>
      </c>
      <c r="BV360" s="306">
        <f t="shared" si="194"/>
        <v>12</v>
      </c>
      <c r="BW360" s="306" t="str">
        <f ca="1">OFFSET(C3,BU360,BV360)</f>
        <v>Naïm Sliti</v>
      </c>
      <c r="BX360" s="306">
        <f ca="1">COUNTIF('Group Stages'!J7:J102,BW360)</f>
        <v>0</v>
      </c>
      <c r="BY360" s="306">
        <f ca="1">COUNTIF('Group Stages'!K7:K102,BW360)</f>
        <v>0</v>
      </c>
      <c r="BZ360" s="306">
        <f ca="1">COUNTIF('Group Stages'!L7:L102,BW360)</f>
        <v>0</v>
      </c>
      <c r="CA360" s="306">
        <f ca="1">COUNTIF('Group Stages'!M7:M102,BW360)</f>
        <v>0</v>
      </c>
      <c r="CB360" s="306">
        <f ca="1">COUNTIF('Group Stages'!N7:N102,BW360)</f>
        <v>0</v>
      </c>
      <c r="CC360" s="306">
        <f ca="1">COUNTIF('Group Stages'!O7:O102,BW360)</f>
        <v>0</v>
      </c>
      <c r="CD360" s="306">
        <f ca="1">COUNTIF('Group Stages'!P7:P102,BW360)</f>
        <v>0</v>
      </c>
      <c r="CE360" s="306">
        <f ca="1">COUNTIF('Group Stages'!Q7:Q102,BW360)</f>
        <v>0</v>
      </c>
      <c r="CF360" s="306">
        <f ca="1">COUNTIF('Knock Out Stages'!K7:K50,BW360)</f>
        <v>0</v>
      </c>
      <c r="CG360" s="306">
        <f ca="1">COUNTIF('Knock Out Stages'!L7:L50,BW360)</f>
        <v>0</v>
      </c>
      <c r="CH360" s="306">
        <f ca="1">COUNTIF('Knock Out Stages'!M7:M50,BW360)</f>
        <v>0</v>
      </c>
      <c r="CI360" s="306">
        <f ca="1">COUNTIF('Knock Out Stages'!N7:N50,BW360)</f>
        <v>0</v>
      </c>
      <c r="CJ360" s="306">
        <f ca="1">COUNTIF('Knock Out Stages'!O7:O50,BW360)</f>
        <v>0</v>
      </c>
      <c r="CK360" s="306">
        <f ca="1">COUNTIF('Knock Out Stages'!P7:P50,BW360)</f>
        <v>0</v>
      </c>
      <c r="CL360" s="306">
        <f ca="1">COUNTIF('Knock Out Stages'!Q7:Q50,BW360)</f>
        <v>0</v>
      </c>
      <c r="CM360" s="306">
        <f ca="1">COUNTIF('Knock Out Stages'!R7:R50,BW360)</f>
        <v>0</v>
      </c>
      <c r="CN360" s="306">
        <f ca="1">IF(RIGHT('Group Stages'!$B$105,5)="T.com",SUM(BX360:CM360),0)</f>
        <v>0</v>
      </c>
      <c r="CO360" s="306">
        <f ca="1">RANK(CN360,CN3:CN834)+COUNTIF(CN3:CN360,CN360)-1</f>
        <v>358</v>
      </c>
      <c r="CP360" s="306" t="str">
        <f t="shared" ca="1" si="196"/>
        <v>Naïm Sliti (Tunisia)</v>
      </c>
    </row>
    <row r="361" spans="72:94" x14ac:dyDescent="0.3">
      <c r="BT361" s="306" t="str">
        <f t="shared" ca="1" si="192"/>
        <v>Tunisia</v>
      </c>
      <c r="BU361" s="306">
        <f t="shared" si="193"/>
        <v>20</v>
      </c>
      <c r="BV361" s="306">
        <f t="shared" si="194"/>
        <v>12</v>
      </c>
      <c r="BW361" s="306" t="str">
        <f ca="1">OFFSET(C3,BU361,BV361)</f>
        <v>Seifeddine Jaziri</v>
      </c>
      <c r="BX361" s="306">
        <f ca="1">COUNTIF('Group Stages'!J7:J102,BW361)</f>
        <v>0</v>
      </c>
      <c r="BY361" s="306">
        <f ca="1">COUNTIF('Group Stages'!K7:K102,BW361)</f>
        <v>0</v>
      </c>
      <c r="BZ361" s="306">
        <f ca="1">COUNTIF('Group Stages'!L7:L102,BW361)</f>
        <v>0</v>
      </c>
      <c r="CA361" s="306">
        <f ca="1">COUNTIF('Group Stages'!M7:M102,BW361)</f>
        <v>0</v>
      </c>
      <c r="CB361" s="306">
        <f ca="1">COUNTIF('Group Stages'!N7:N102,BW361)</f>
        <v>0</v>
      </c>
      <c r="CC361" s="306">
        <f ca="1">COUNTIF('Group Stages'!O7:O102,BW361)</f>
        <v>0</v>
      </c>
      <c r="CD361" s="306">
        <f ca="1">COUNTIF('Group Stages'!P7:P102,BW361)</f>
        <v>0</v>
      </c>
      <c r="CE361" s="306">
        <f ca="1">COUNTIF('Group Stages'!Q7:Q102,BW361)</f>
        <v>0</v>
      </c>
      <c r="CF361" s="306">
        <f ca="1">COUNTIF('Knock Out Stages'!K7:K50,BW361)</f>
        <v>0</v>
      </c>
      <c r="CG361" s="306">
        <f ca="1">COUNTIF('Knock Out Stages'!L7:L50,BW361)</f>
        <v>0</v>
      </c>
      <c r="CH361" s="306">
        <f ca="1">COUNTIF('Knock Out Stages'!M7:M50,BW361)</f>
        <v>0</v>
      </c>
      <c r="CI361" s="306">
        <f ca="1">COUNTIF('Knock Out Stages'!N7:N50,BW361)</f>
        <v>0</v>
      </c>
      <c r="CJ361" s="306">
        <f ca="1">COUNTIF('Knock Out Stages'!O7:O50,BW361)</f>
        <v>0</v>
      </c>
      <c r="CK361" s="306">
        <f ca="1">COUNTIF('Knock Out Stages'!P7:P50,BW361)</f>
        <v>0</v>
      </c>
      <c r="CL361" s="306">
        <f ca="1">COUNTIF('Knock Out Stages'!Q7:Q50,BW361)</f>
        <v>0</v>
      </c>
      <c r="CM361" s="306">
        <f ca="1">COUNTIF('Knock Out Stages'!R7:R50,BW361)</f>
        <v>0</v>
      </c>
      <c r="CN361" s="306">
        <f ca="1">IF(RIGHT('Group Stages'!$B$105,5)="T.com",SUM(BX361:CM361),0)</f>
        <v>0</v>
      </c>
      <c r="CO361" s="306">
        <f ca="1">RANK(CN361,CN3:CN834)+COUNTIF(CN3:CN361,CN361)-1</f>
        <v>359</v>
      </c>
      <c r="CP361" s="306" t="str">
        <f t="shared" ca="1" si="196"/>
        <v>Seifeddine Jaziri (Tunisia)</v>
      </c>
    </row>
    <row r="362" spans="72:94" x14ac:dyDescent="0.3">
      <c r="BT362" s="306" t="str">
        <f t="shared" ca="1" si="192"/>
        <v>Tunisia</v>
      </c>
      <c r="BU362" s="306">
        <f t="shared" si="193"/>
        <v>21</v>
      </c>
      <c r="BV362" s="306">
        <f t="shared" si="194"/>
        <v>12</v>
      </c>
      <c r="BW362" s="306" t="str">
        <f ca="1">OFFSET(C3,BU362,BV362)</f>
        <v>Taha Yassine Khenissi</v>
      </c>
      <c r="BX362" s="306">
        <f ca="1">COUNTIF('Group Stages'!J7:J102,BW362)</f>
        <v>0</v>
      </c>
      <c r="BY362" s="306">
        <f ca="1">COUNTIF('Group Stages'!K7:K102,BW362)</f>
        <v>0</v>
      </c>
      <c r="BZ362" s="306">
        <f ca="1">COUNTIF('Group Stages'!L7:L102,BW362)</f>
        <v>0</v>
      </c>
      <c r="CA362" s="306">
        <f ca="1">COUNTIF('Group Stages'!M7:M102,BW362)</f>
        <v>0</v>
      </c>
      <c r="CB362" s="306">
        <f ca="1">COUNTIF('Group Stages'!N7:N102,BW362)</f>
        <v>0</v>
      </c>
      <c r="CC362" s="306">
        <f ca="1">COUNTIF('Group Stages'!O7:O102,BW362)</f>
        <v>0</v>
      </c>
      <c r="CD362" s="306">
        <f ca="1">COUNTIF('Group Stages'!P7:P102,BW362)</f>
        <v>0</v>
      </c>
      <c r="CE362" s="306">
        <f ca="1">COUNTIF('Group Stages'!Q7:Q102,BW362)</f>
        <v>0</v>
      </c>
      <c r="CF362" s="306">
        <f ca="1">COUNTIF('Knock Out Stages'!K7:K50,BW362)</f>
        <v>0</v>
      </c>
      <c r="CG362" s="306">
        <f ca="1">COUNTIF('Knock Out Stages'!L7:L50,BW362)</f>
        <v>0</v>
      </c>
      <c r="CH362" s="306">
        <f ca="1">COUNTIF('Knock Out Stages'!M7:M50,BW362)</f>
        <v>0</v>
      </c>
      <c r="CI362" s="306">
        <f ca="1">COUNTIF('Knock Out Stages'!N7:N50,BW362)</f>
        <v>0</v>
      </c>
      <c r="CJ362" s="306">
        <f ca="1">COUNTIF('Knock Out Stages'!O7:O50,BW362)</f>
        <v>0</v>
      </c>
      <c r="CK362" s="306">
        <f ca="1">COUNTIF('Knock Out Stages'!P7:P50,BW362)</f>
        <v>0</v>
      </c>
      <c r="CL362" s="306">
        <f ca="1">COUNTIF('Knock Out Stages'!Q7:Q50,BW362)</f>
        <v>0</v>
      </c>
      <c r="CM362" s="306">
        <f ca="1">COUNTIF('Knock Out Stages'!R7:R50,BW362)</f>
        <v>0</v>
      </c>
      <c r="CN362" s="306">
        <f ca="1">IF(RIGHT('Group Stages'!$B$105,5)="T.com",SUM(BX362:CM362),0)</f>
        <v>0</v>
      </c>
      <c r="CO362" s="306">
        <f ca="1">RANK(CN362,CN3:CN834)+COUNTIF(CN3:CN362,CN362)-1</f>
        <v>360</v>
      </c>
      <c r="CP362" s="306" t="str">
        <f t="shared" ca="1" si="196"/>
        <v>Taha Yassine Khenissi (Tunisia)</v>
      </c>
    </row>
    <row r="363" spans="72:94" x14ac:dyDescent="0.3">
      <c r="BT363" s="306" t="str">
        <f t="shared" ca="1" si="192"/>
        <v>Tunisia</v>
      </c>
      <c r="BU363" s="306">
        <f t="shared" si="193"/>
        <v>22</v>
      </c>
      <c r="BV363" s="306">
        <f t="shared" si="194"/>
        <v>12</v>
      </c>
      <c r="BW363" s="306" t="str">
        <f ca="1">OFFSET(C3,BU363,BV363)</f>
        <v>Wahbi Khazri</v>
      </c>
      <c r="BX363" s="306">
        <f ca="1">COUNTIF('Group Stages'!J7:J102,BW363)</f>
        <v>0</v>
      </c>
      <c r="BY363" s="306">
        <f ca="1">COUNTIF('Group Stages'!K7:K102,BW363)</f>
        <v>0</v>
      </c>
      <c r="BZ363" s="306">
        <f ca="1">COUNTIF('Group Stages'!L7:L102,BW363)</f>
        <v>0</v>
      </c>
      <c r="CA363" s="306">
        <f ca="1">COUNTIF('Group Stages'!M7:M102,BW363)</f>
        <v>0</v>
      </c>
      <c r="CB363" s="306">
        <f ca="1">COUNTIF('Group Stages'!N7:N102,BW363)</f>
        <v>0</v>
      </c>
      <c r="CC363" s="306">
        <f ca="1">COUNTIF('Group Stages'!O7:O102,BW363)</f>
        <v>0</v>
      </c>
      <c r="CD363" s="306">
        <f ca="1">COUNTIF('Group Stages'!P7:P102,BW363)</f>
        <v>0</v>
      </c>
      <c r="CE363" s="306">
        <f ca="1">COUNTIF('Group Stages'!Q7:Q102,BW363)</f>
        <v>0</v>
      </c>
      <c r="CF363" s="306">
        <f ca="1">COUNTIF('Knock Out Stages'!K7:K50,BW363)</f>
        <v>0</v>
      </c>
      <c r="CG363" s="306">
        <f ca="1">COUNTIF('Knock Out Stages'!L7:L50,BW363)</f>
        <v>0</v>
      </c>
      <c r="CH363" s="306">
        <f ca="1">COUNTIF('Knock Out Stages'!M7:M50,BW363)</f>
        <v>0</v>
      </c>
      <c r="CI363" s="306">
        <f ca="1">COUNTIF('Knock Out Stages'!N7:N50,BW363)</f>
        <v>0</v>
      </c>
      <c r="CJ363" s="306">
        <f ca="1">COUNTIF('Knock Out Stages'!O7:O50,BW363)</f>
        <v>0</v>
      </c>
      <c r="CK363" s="306">
        <f ca="1">COUNTIF('Knock Out Stages'!P7:P50,BW363)</f>
        <v>0</v>
      </c>
      <c r="CL363" s="306">
        <f ca="1">COUNTIF('Knock Out Stages'!Q7:Q50,BW363)</f>
        <v>0</v>
      </c>
      <c r="CM363" s="306">
        <f ca="1">COUNTIF('Knock Out Stages'!R7:R50,BW363)</f>
        <v>0</v>
      </c>
      <c r="CN363" s="306">
        <f ca="1">IF(RIGHT('Group Stages'!$B$105,5)="T.com",SUM(BX363:CM363),0)</f>
        <v>0</v>
      </c>
      <c r="CO363" s="306">
        <f ca="1">RANK(CN363,CN3:CN834)+COUNTIF(CN3:CN363,CN363)-1</f>
        <v>361</v>
      </c>
      <c r="CP363" s="306" t="str">
        <f t="shared" ca="1" si="196"/>
        <v>Wahbi Khazri (Tunisia)</v>
      </c>
    </row>
    <row r="364" spans="72:94" x14ac:dyDescent="0.3">
      <c r="BT364" s="306" t="str">
        <f t="shared" ca="1" si="192"/>
        <v>Tunisia</v>
      </c>
      <c r="BU364" s="306">
        <f t="shared" si="193"/>
        <v>23</v>
      </c>
      <c r="BV364" s="306">
        <f t="shared" si="194"/>
        <v>12</v>
      </c>
      <c r="BW364" s="306" t="str">
        <f ca="1">OFFSET(C3,BU364,BV364)</f>
        <v>Wajdi Kechrida</v>
      </c>
      <c r="BX364" s="306">
        <f ca="1">COUNTIF('Group Stages'!J7:J102,BW364)</f>
        <v>0</v>
      </c>
      <c r="BY364" s="306">
        <f ca="1">COUNTIF('Group Stages'!K7:K102,BW364)</f>
        <v>0</v>
      </c>
      <c r="BZ364" s="306">
        <f ca="1">COUNTIF('Group Stages'!L7:L102,BW364)</f>
        <v>0</v>
      </c>
      <c r="CA364" s="306">
        <f ca="1">COUNTIF('Group Stages'!M7:M102,BW364)</f>
        <v>0</v>
      </c>
      <c r="CB364" s="306">
        <f ca="1">COUNTIF('Group Stages'!N7:N102,BW364)</f>
        <v>0</v>
      </c>
      <c r="CC364" s="306">
        <f ca="1">COUNTIF('Group Stages'!O7:O102,BW364)</f>
        <v>0</v>
      </c>
      <c r="CD364" s="306">
        <f ca="1">COUNTIF('Group Stages'!P7:P102,BW364)</f>
        <v>0</v>
      </c>
      <c r="CE364" s="306">
        <f ca="1">COUNTIF('Group Stages'!Q7:Q102,BW364)</f>
        <v>0</v>
      </c>
      <c r="CF364" s="306">
        <f ca="1">COUNTIF('Knock Out Stages'!K7:K50,BW364)</f>
        <v>0</v>
      </c>
      <c r="CG364" s="306">
        <f ca="1">COUNTIF('Knock Out Stages'!L7:L50,BW364)</f>
        <v>0</v>
      </c>
      <c r="CH364" s="306">
        <f ca="1">COUNTIF('Knock Out Stages'!M7:M50,BW364)</f>
        <v>0</v>
      </c>
      <c r="CI364" s="306">
        <f ca="1">COUNTIF('Knock Out Stages'!N7:N50,BW364)</f>
        <v>0</v>
      </c>
      <c r="CJ364" s="306">
        <f ca="1">COUNTIF('Knock Out Stages'!O7:O50,BW364)</f>
        <v>0</v>
      </c>
      <c r="CK364" s="306">
        <f ca="1">COUNTIF('Knock Out Stages'!P7:P50,BW364)</f>
        <v>0</v>
      </c>
      <c r="CL364" s="306">
        <f ca="1">COUNTIF('Knock Out Stages'!Q7:Q50,BW364)</f>
        <v>0</v>
      </c>
      <c r="CM364" s="306">
        <f ca="1">COUNTIF('Knock Out Stages'!R7:R50,BW364)</f>
        <v>0</v>
      </c>
      <c r="CN364" s="306">
        <f ca="1">IF(RIGHT('Group Stages'!$B$105,5)="T.com",SUM(BX364:CM364),0)</f>
        <v>0</v>
      </c>
      <c r="CO364" s="306">
        <f ca="1">RANK(CN364,CN3:CN834)+COUNTIF(CN3:CN364,CN364)-1</f>
        <v>362</v>
      </c>
      <c r="CP364" s="306" t="str">
        <f t="shared" ca="1" si="196"/>
        <v>Wajdi Kechrida (Tunisia)</v>
      </c>
    </row>
    <row r="365" spans="72:94" x14ac:dyDescent="0.3">
      <c r="BT365" s="306" t="str">
        <f t="shared" ca="1" si="192"/>
        <v>Tunisia</v>
      </c>
      <c r="BU365" s="306">
        <f t="shared" si="193"/>
        <v>24</v>
      </c>
      <c r="BV365" s="306">
        <f t="shared" si="194"/>
        <v>12</v>
      </c>
      <c r="BW365" s="306" t="str">
        <f ca="1">OFFSET(C3,BU365,BV365)</f>
        <v>Yassine Meriah</v>
      </c>
      <c r="BX365" s="306">
        <f ca="1">COUNTIF('Group Stages'!J7:J102,BW365)</f>
        <v>0</v>
      </c>
      <c r="BY365" s="306">
        <f ca="1">COUNTIF('Group Stages'!K7:K102,BW365)</f>
        <v>0</v>
      </c>
      <c r="BZ365" s="306">
        <f ca="1">COUNTIF('Group Stages'!L7:L102,BW365)</f>
        <v>0</v>
      </c>
      <c r="CA365" s="306">
        <f ca="1">COUNTIF('Group Stages'!M7:M102,BW365)</f>
        <v>0</v>
      </c>
      <c r="CB365" s="306">
        <f ca="1">COUNTIF('Group Stages'!N7:N102,BW365)</f>
        <v>0</v>
      </c>
      <c r="CC365" s="306">
        <f ca="1">COUNTIF('Group Stages'!O7:O102,BW365)</f>
        <v>0</v>
      </c>
      <c r="CD365" s="306">
        <f ca="1">COUNTIF('Group Stages'!P7:P102,BW365)</f>
        <v>0</v>
      </c>
      <c r="CE365" s="306">
        <f ca="1">COUNTIF('Group Stages'!Q7:Q102,BW365)</f>
        <v>0</v>
      </c>
      <c r="CF365" s="306">
        <f ca="1">COUNTIF('Knock Out Stages'!K7:K50,BW365)</f>
        <v>0</v>
      </c>
      <c r="CG365" s="306">
        <f ca="1">COUNTIF('Knock Out Stages'!L7:L50,BW365)</f>
        <v>0</v>
      </c>
      <c r="CH365" s="306">
        <f ca="1">COUNTIF('Knock Out Stages'!M7:M50,BW365)</f>
        <v>0</v>
      </c>
      <c r="CI365" s="306">
        <f ca="1">COUNTIF('Knock Out Stages'!N7:N50,BW365)</f>
        <v>0</v>
      </c>
      <c r="CJ365" s="306">
        <f ca="1">COUNTIF('Knock Out Stages'!O7:O50,BW365)</f>
        <v>0</v>
      </c>
      <c r="CK365" s="306">
        <f ca="1">COUNTIF('Knock Out Stages'!P7:P50,BW365)</f>
        <v>0</v>
      </c>
      <c r="CL365" s="306">
        <f ca="1">COUNTIF('Knock Out Stages'!Q7:Q50,BW365)</f>
        <v>0</v>
      </c>
      <c r="CM365" s="306">
        <f ca="1">COUNTIF('Knock Out Stages'!R7:R50,BW365)</f>
        <v>0</v>
      </c>
      <c r="CN365" s="306">
        <f ca="1">IF(RIGHT('Group Stages'!$B$105,5)="T.com",SUM(BX365:CM365),0)</f>
        <v>0</v>
      </c>
      <c r="CO365" s="306">
        <f ca="1">RANK(CN365,CN3:CN834)+COUNTIF(CN3:CN365,CN365)-1</f>
        <v>363</v>
      </c>
      <c r="CP365" s="306" t="str">
        <f t="shared" ca="1" si="196"/>
        <v>Yassine Meriah (Tunisia)</v>
      </c>
    </row>
    <row r="366" spans="72:94" x14ac:dyDescent="0.3">
      <c r="BT366" s="306" t="str">
        <f t="shared" ca="1" si="192"/>
        <v>Tunisia</v>
      </c>
      <c r="BU366" s="306">
        <f t="shared" si="193"/>
        <v>25</v>
      </c>
      <c r="BV366" s="306">
        <f t="shared" si="194"/>
        <v>12</v>
      </c>
      <c r="BW366" s="306" t="str">
        <f ca="1">OFFSET(C3,BU366,BV366)</f>
        <v>Youssef Msakni</v>
      </c>
      <c r="BX366" s="306">
        <f ca="1">COUNTIF('Group Stages'!J7:J102,BW366)</f>
        <v>0</v>
      </c>
      <c r="BY366" s="306">
        <f ca="1">COUNTIF('Group Stages'!K7:K102,BW366)</f>
        <v>0</v>
      </c>
      <c r="BZ366" s="306">
        <f ca="1">COUNTIF('Group Stages'!L7:L102,BW366)</f>
        <v>0</v>
      </c>
      <c r="CA366" s="306">
        <f ca="1">COUNTIF('Group Stages'!M7:M102,BW366)</f>
        <v>0</v>
      </c>
      <c r="CB366" s="306">
        <f ca="1">COUNTIF('Group Stages'!N7:N102,BW366)</f>
        <v>0</v>
      </c>
      <c r="CC366" s="306">
        <f ca="1">COUNTIF('Group Stages'!O7:O102,BW366)</f>
        <v>0</v>
      </c>
      <c r="CD366" s="306">
        <f ca="1">COUNTIF('Group Stages'!P7:P102,BW366)</f>
        <v>0</v>
      </c>
      <c r="CE366" s="306">
        <f ca="1">COUNTIF('Group Stages'!Q7:Q102,BW366)</f>
        <v>0</v>
      </c>
      <c r="CF366" s="306">
        <f ca="1">COUNTIF('Knock Out Stages'!K7:K50,BW366)</f>
        <v>0</v>
      </c>
      <c r="CG366" s="306">
        <f ca="1">COUNTIF('Knock Out Stages'!L7:L50,BW366)</f>
        <v>0</v>
      </c>
      <c r="CH366" s="306">
        <f ca="1">COUNTIF('Knock Out Stages'!M7:M50,BW366)</f>
        <v>0</v>
      </c>
      <c r="CI366" s="306">
        <f ca="1">COUNTIF('Knock Out Stages'!N7:N50,BW366)</f>
        <v>0</v>
      </c>
      <c r="CJ366" s="306">
        <f ca="1">COUNTIF('Knock Out Stages'!O7:O50,BW366)</f>
        <v>0</v>
      </c>
      <c r="CK366" s="306">
        <f ca="1">COUNTIF('Knock Out Stages'!P7:P50,BW366)</f>
        <v>0</v>
      </c>
      <c r="CL366" s="306">
        <f ca="1">COUNTIF('Knock Out Stages'!Q7:Q50,BW366)</f>
        <v>0</v>
      </c>
      <c r="CM366" s="306">
        <f ca="1">COUNTIF('Knock Out Stages'!R7:R50,BW366)</f>
        <v>0</v>
      </c>
      <c r="CN366" s="306">
        <f ca="1">IF(RIGHT('Group Stages'!$B$105,5)="T.com",SUM(BX366:CM366),0)</f>
        <v>0</v>
      </c>
      <c r="CO366" s="306">
        <f ca="1">RANK(CN366,CN3:CN834)+COUNTIF(CN3:CN366,CN366)-1</f>
        <v>364</v>
      </c>
      <c r="CP366" s="306" t="str">
        <f t="shared" ca="1" si="196"/>
        <v>Youssef Msakni (Tunisia)</v>
      </c>
    </row>
    <row r="367" spans="72:94" x14ac:dyDescent="0.3">
      <c r="BT367" s="306" t="str">
        <f ca="1">OFFSET(C2,BU367,BV367)</f>
        <v>France</v>
      </c>
      <c r="BU367" s="306">
        <f t="shared" si="193"/>
        <v>0</v>
      </c>
      <c r="BV367" s="306">
        <f t="shared" si="194"/>
        <v>13</v>
      </c>
      <c r="BW367" s="306" t="str">
        <f ca="1">OFFSET(C3,BU367,BV367)</f>
        <v>Adrien Rabiot</v>
      </c>
      <c r="BX367" s="306">
        <f ca="1">COUNTIF('Group Stages'!J7:J102,BW367)</f>
        <v>0</v>
      </c>
      <c r="BY367" s="306">
        <f ca="1">COUNTIF('Group Stages'!K7:K102,BW367)</f>
        <v>0</v>
      </c>
      <c r="BZ367" s="306">
        <f ca="1">COUNTIF('Group Stages'!L7:L102,BW367)</f>
        <v>0</v>
      </c>
      <c r="CA367" s="306">
        <f ca="1">COUNTIF('Group Stages'!M7:M102,BW367)</f>
        <v>0</v>
      </c>
      <c r="CB367" s="306">
        <f ca="1">COUNTIF('Group Stages'!N7:N102,BW367)</f>
        <v>0</v>
      </c>
      <c r="CC367" s="306">
        <f ca="1">COUNTIF('Group Stages'!O7:O102,BW367)</f>
        <v>0</v>
      </c>
      <c r="CD367" s="306">
        <f ca="1">COUNTIF('Group Stages'!P7:P102,BW367)</f>
        <v>0</v>
      </c>
      <c r="CE367" s="306">
        <f ca="1">COUNTIF('Group Stages'!Q7:Q102,BW367)</f>
        <v>0</v>
      </c>
      <c r="CF367" s="306">
        <f ca="1">COUNTIF('Knock Out Stages'!K7:K50,BW367)</f>
        <v>0</v>
      </c>
      <c r="CG367" s="306">
        <f ca="1">COUNTIF('Knock Out Stages'!L7:L50,BW367)</f>
        <v>0</v>
      </c>
      <c r="CH367" s="306">
        <f ca="1">COUNTIF('Knock Out Stages'!M7:M50,BW367)</f>
        <v>0</v>
      </c>
      <c r="CI367" s="306">
        <f ca="1">COUNTIF('Knock Out Stages'!N7:N50,BW367)</f>
        <v>0</v>
      </c>
      <c r="CJ367" s="306">
        <f ca="1">COUNTIF('Knock Out Stages'!O7:O50,BW367)</f>
        <v>0</v>
      </c>
      <c r="CK367" s="306">
        <f ca="1">COUNTIF('Knock Out Stages'!P7:P50,BW367)</f>
        <v>0</v>
      </c>
      <c r="CL367" s="306">
        <f ca="1">COUNTIF('Knock Out Stages'!Q7:Q50,BW367)</f>
        <v>0</v>
      </c>
      <c r="CM367" s="306">
        <f ca="1">COUNTIF('Knock Out Stages'!R7:R50,BW367)</f>
        <v>0</v>
      </c>
      <c r="CN367" s="306">
        <f ca="1">IF(RIGHT('Group Stages'!$B$105,5)="T.com",SUM(BX367:CM367),0)</f>
        <v>0</v>
      </c>
      <c r="CO367" s="306">
        <f ca="1">RANK(CN367,CN3:CN834)+COUNTIF(CN3:CN367,CN367)-1</f>
        <v>365</v>
      </c>
      <c r="CP367" s="306" t="str">
        <f t="shared" ca="1" si="196"/>
        <v>Adrien Rabiot (France)</v>
      </c>
    </row>
    <row r="368" spans="72:94" x14ac:dyDescent="0.3">
      <c r="BT368" s="306" t="str">
        <f t="shared" ref="BT368" ca="1" si="198">BT367</f>
        <v>France</v>
      </c>
      <c r="BU368" s="306">
        <f t="shared" si="193"/>
        <v>1</v>
      </c>
      <c r="BV368" s="306">
        <f t="shared" si="194"/>
        <v>13</v>
      </c>
      <c r="BW368" s="306" t="str">
        <f ca="1">OFFSET(C3,BU368,BV368)</f>
        <v>Alphonse Areola</v>
      </c>
      <c r="BX368" s="306">
        <f ca="1">COUNTIF('Group Stages'!J7:J102,BW368)</f>
        <v>0</v>
      </c>
      <c r="BY368" s="306">
        <f ca="1">COUNTIF('Group Stages'!K7:K102,BW368)</f>
        <v>0</v>
      </c>
      <c r="BZ368" s="306">
        <f ca="1">COUNTIF('Group Stages'!L7:L102,BW368)</f>
        <v>0</v>
      </c>
      <c r="CA368" s="306">
        <f ca="1">COUNTIF('Group Stages'!M7:M102,BW368)</f>
        <v>0</v>
      </c>
      <c r="CB368" s="306">
        <f ca="1">COUNTIF('Group Stages'!N7:N102,BW368)</f>
        <v>0</v>
      </c>
      <c r="CC368" s="306">
        <f ca="1">COUNTIF('Group Stages'!O7:O102,BW368)</f>
        <v>0</v>
      </c>
      <c r="CD368" s="306">
        <f ca="1">COUNTIF('Group Stages'!P7:P102,BW368)</f>
        <v>0</v>
      </c>
      <c r="CE368" s="306">
        <f ca="1">COUNTIF('Group Stages'!Q7:Q102,BW368)</f>
        <v>0</v>
      </c>
      <c r="CF368" s="306">
        <f ca="1">COUNTIF('Knock Out Stages'!K7:K50,BW368)</f>
        <v>0</v>
      </c>
      <c r="CG368" s="306">
        <f ca="1">COUNTIF('Knock Out Stages'!L7:L50,BW368)</f>
        <v>0</v>
      </c>
      <c r="CH368" s="306">
        <f ca="1">COUNTIF('Knock Out Stages'!M7:M50,BW368)</f>
        <v>0</v>
      </c>
      <c r="CI368" s="306">
        <f ca="1">COUNTIF('Knock Out Stages'!N7:N50,BW368)</f>
        <v>0</v>
      </c>
      <c r="CJ368" s="306">
        <f ca="1">COUNTIF('Knock Out Stages'!O7:O50,BW368)</f>
        <v>0</v>
      </c>
      <c r="CK368" s="306">
        <f ca="1">COUNTIF('Knock Out Stages'!P7:P50,BW368)</f>
        <v>0</v>
      </c>
      <c r="CL368" s="306">
        <f ca="1">COUNTIF('Knock Out Stages'!Q7:Q50,BW368)</f>
        <v>0</v>
      </c>
      <c r="CM368" s="306">
        <f ca="1">COUNTIF('Knock Out Stages'!R7:R50,BW368)</f>
        <v>0</v>
      </c>
      <c r="CN368" s="306">
        <f ca="1">IF(RIGHT('Group Stages'!$B$105,5)="T.com",SUM(BX368:CM368),0)</f>
        <v>0</v>
      </c>
      <c r="CO368" s="306">
        <f ca="1">RANK(CN368,CN3:CN834)+COUNTIF(CN3:CN368,CN368)-1</f>
        <v>366</v>
      </c>
      <c r="CP368" s="306" t="str">
        <f t="shared" ca="1" si="196"/>
        <v>Alphonse Areola (France)</v>
      </c>
    </row>
    <row r="369" spans="72:94" x14ac:dyDescent="0.3">
      <c r="BT369" s="306" t="str">
        <f t="shared" ca="1" si="192"/>
        <v>France</v>
      </c>
      <c r="BU369" s="306">
        <f t="shared" si="193"/>
        <v>2</v>
      </c>
      <c r="BV369" s="306">
        <f t="shared" si="194"/>
        <v>13</v>
      </c>
      <c r="BW369" s="306" t="str">
        <f ca="1">OFFSET(C3,BU369,BV369)</f>
        <v>Antoine Griezmann</v>
      </c>
      <c r="BX369" s="306">
        <f ca="1">COUNTIF('Group Stages'!J7:J102,BW369)</f>
        <v>0</v>
      </c>
      <c r="BY369" s="306">
        <f ca="1">COUNTIF('Group Stages'!K7:K102,BW369)</f>
        <v>0</v>
      </c>
      <c r="BZ369" s="306">
        <f ca="1">COUNTIF('Group Stages'!L7:L102,BW369)</f>
        <v>0</v>
      </c>
      <c r="CA369" s="306">
        <f ca="1">COUNTIF('Group Stages'!M7:M102,BW369)</f>
        <v>0</v>
      </c>
      <c r="CB369" s="306">
        <f ca="1">COUNTIF('Group Stages'!N7:N102,BW369)</f>
        <v>0</v>
      </c>
      <c r="CC369" s="306">
        <f ca="1">COUNTIF('Group Stages'!O7:O102,BW369)</f>
        <v>0</v>
      </c>
      <c r="CD369" s="306">
        <f ca="1">COUNTIF('Group Stages'!P7:P102,BW369)</f>
        <v>0</v>
      </c>
      <c r="CE369" s="306">
        <f ca="1">COUNTIF('Group Stages'!Q7:Q102,BW369)</f>
        <v>0</v>
      </c>
      <c r="CF369" s="306">
        <f ca="1">COUNTIF('Knock Out Stages'!K7:K50,BW369)</f>
        <v>0</v>
      </c>
      <c r="CG369" s="306">
        <f ca="1">COUNTIF('Knock Out Stages'!L7:L50,BW369)</f>
        <v>0</v>
      </c>
      <c r="CH369" s="306">
        <f ca="1">COUNTIF('Knock Out Stages'!M7:M50,BW369)</f>
        <v>0</v>
      </c>
      <c r="CI369" s="306">
        <f ca="1">COUNTIF('Knock Out Stages'!N7:N50,BW369)</f>
        <v>0</v>
      </c>
      <c r="CJ369" s="306">
        <f ca="1">COUNTIF('Knock Out Stages'!O7:O50,BW369)</f>
        <v>0</v>
      </c>
      <c r="CK369" s="306">
        <f ca="1">COUNTIF('Knock Out Stages'!P7:P50,BW369)</f>
        <v>0</v>
      </c>
      <c r="CL369" s="306">
        <f ca="1">COUNTIF('Knock Out Stages'!Q7:Q50,BW369)</f>
        <v>0</v>
      </c>
      <c r="CM369" s="306">
        <f ca="1">COUNTIF('Knock Out Stages'!R7:R50,BW369)</f>
        <v>0</v>
      </c>
      <c r="CN369" s="306">
        <f ca="1">IF(RIGHT('Group Stages'!$B$105,5)="T.com",SUM(BX369:CM369),0)</f>
        <v>0</v>
      </c>
      <c r="CO369" s="306">
        <f ca="1">RANK(CN369,CN3:CN834)+COUNTIF(CN3:CN369,CN369)-1</f>
        <v>367</v>
      </c>
      <c r="CP369" s="306" t="str">
        <f t="shared" ca="1" si="196"/>
        <v>Antoine Griezmann (France)</v>
      </c>
    </row>
    <row r="370" spans="72:94" x14ac:dyDescent="0.3">
      <c r="BT370" s="306" t="str">
        <f t="shared" ca="1" si="192"/>
        <v>France</v>
      </c>
      <c r="BU370" s="306">
        <f t="shared" si="193"/>
        <v>3</v>
      </c>
      <c r="BV370" s="306">
        <f t="shared" si="194"/>
        <v>13</v>
      </c>
      <c r="BW370" s="306" t="str">
        <f ca="1">OFFSET(C3,BU370,BV370)</f>
        <v>Aurélien Tchouaméni</v>
      </c>
      <c r="BX370" s="306">
        <f ca="1">COUNTIF('Group Stages'!J7:J102,BW370)</f>
        <v>0</v>
      </c>
      <c r="BY370" s="306">
        <f ca="1">COUNTIF('Group Stages'!K7:K102,BW370)</f>
        <v>0</v>
      </c>
      <c r="BZ370" s="306">
        <f ca="1">COUNTIF('Group Stages'!L7:L102,BW370)</f>
        <v>0</v>
      </c>
      <c r="CA370" s="306">
        <f ca="1">COUNTIF('Group Stages'!M7:M102,BW370)</f>
        <v>0</v>
      </c>
      <c r="CB370" s="306">
        <f ca="1">COUNTIF('Group Stages'!N7:N102,BW370)</f>
        <v>0</v>
      </c>
      <c r="CC370" s="306">
        <f ca="1">COUNTIF('Group Stages'!O7:O102,BW370)</f>
        <v>0</v>
      </c>
      <c r="CD370" s="306">
        <f ca="1">COUNTIF('Group Stages'!P7:P102,BW370)</f>
        <v>0</v>
      </c>
      <c r="CE370" s="306">
        <f ca="1">COUNTIF('Group Stages'!Q7:Q102,BW370)</f>
        <v>0</v>
      </c>
      <c r="CF370" s="306">
        <f ca="1">COUNTIF('Knock Out Stages'!K7:K50,BW370)</f>
        <v>0</v>
      </c>
      <c r="CG370" s="306">
        <f ca="1">COUNTIF('Knock Out Stages'!L7:L50,BW370)</f>
        <v>0</v>
      </c>
      <c r="CH370" s="306">
        <f ca="1">COUNTIF('Knock Out Stages'!M7:M50,BW370)</f>
        <v>0</v>
      </c>
      <c r="CI370" s="306">
        <f ca="1">COUNTIF('Knock Out Stages'!N7:N50,BW370)</f>
        <v>0</v>
      </c>
      <c r="CJ370" s="306">
        <f ca="1">COUNTIF('Knock Out Stages'!O7:O50,BW370)</f>
        <v>0</v>
      </c>
      <c r="CK370" s="306">
        <f ca="1">COUNTIF('Knock Out Stages'!P7:P50,BW370)</f>
        <v>0</v>
      </c>
      <c r="CL370" s="306">
        <f ca="1">COUNTIF('Knock Out Stages'!Q7:Q50,BW370)</f>
        <v>0</v>
      </c>
      <c r="CM370" s="306">
        <f ca="1">COUNTIF('Knock Out Stages'!R7:R50,BW370)</f>
        <v>0</v>
      </c>
      <c r="CN370" s="306">
        <f ca="1">IF(RIGHT('Group Stages'!$B$105,5)="T.com",SUM(BX370:CM370),0)</f>
        <v>0</v>
      </c>
      <c r="CO370" s="306">
        <f ca="1">RANK(CN370,CN3:CN834)+COUNTIF(CN3:CN370,CN370)-1</f>
        <v>368</v>
      </c>
      <c r="CP370" s="306" t="str">
        <f t="shared" ca="1" si="196"/>
        <v>Aurélien Tchouaméni (France)</v>
      </c>
    </row>
    <row r="371" spans="72:94" x14ac:dyDescent="0.3">
      <c r="BT371" s="306" t="str">
        <f t="shared" ca="1" si="192"/>
        <v>France</v>
      </c>
      <c r="BU371" s="306">
        <f t="shared" si="193"/>
        <v>4</v>
      </c>
      <c r="BV371" s="306">
        <f t="shared" si="194"/>
        <v>13</v>
      </c>
      <c r="BW371" s="306" t="str">
        <f ca="1">OFFSET(C3,BU371,BV371)</f>
        <v>Benjamin Pavard</v>
      </c>
      <c r="BX371" s="306">
        <f ca="1">COUNTIF('Group Stages'!J7:J102,BW371)</f>
        <v>0</v>
      </c>
      <c r="BY371" s="306">
        <f ca="1">COUNTIF('Group Stages'!K7:K102,BW371)</f>
        <v>0</v>
      </c>
      <c r="BZ371" s="306">
        <f ca="1">COUNTIF('Group Stages'!L7:L102,BW371)</f>
        <v>0</v>
      </c>
      <c r="CA371" s="306">
        <f ca="1">COUNTIF('Group Stages'!M7:M102,BW371)</f>
        <v>0</v>
      </c>
      <c r="CB371" s="306">
        <f ca="1">COUNTIF('Group Stages'!N7:N102,BW371)</f>
        <v>0</v>
      </c>
      <c r="CC371" s="306">
        <f ca="1">COUNTIF('Group Stages'!O7:O102,BW371)</f>
        <v>0</v>
      </c>
      <c r="CD371" s="306">
        <f ca="1">COUNTIF('Group Stages'!P7:P102,BW371)</f>
        <v>0</v>
      </c>
      <c r="CE371" s="306">
        <f ca="1">COUNTIF('Group Stages'!Q7:Q102,BW371)</f>
        <v>0</v>
      </c>
      <c r="CF371" s="306">
        <f ca="1">COUNTIF('Knock Out Stages'!K7:K50,BW371)</f>
        <v>0</v>
      </c>
      <c r="CG371" s="306">
        <f ca="1">COUNTIF('Knock Out Stages'!L7:L50,BW371)</f>
        <v>0</v>
      </c>
      <c r="CH371" s="306">
        <f ca="1">COUNTIF('Knock Out Stages'!M7:M50,BW371)</f>
        <v>0</v>
      </c>
      <c r="CI371" s="306">
        <f ca="1">COUNTIF('Knock Out Stages'!N7:N50,BW371)</f>
        <v>0</v>
      </c>
      <c r="CJ371" s="306">
        <f ca="1">COUNTIF('Knock Out Stages'!O7:O50,BW371)</f>
        <v>0</v>
      </c>
      <c r="CK371" s="306">
        <f ca="1">COUNTIF('Knock Out Stages'!P7:P50,BW371)</f>
        <v>0</v>
      </c>
      <c r="CL371" s="306">
        <f ca="1">COUNTIF('Knock Out Stages'!Q7:Q50,BW371)</f>
        <v>0</v>
      </c>
      <c r="CM371" s="306">
        <f ca="1">COUNTIF('Knock Out Stages'!R7:R50,BW371)</f>
        <v>0</v>
      </c>
      <c r="CN371" s="306">
        <f ca="1">IF(RIGHT('Group Stages'!$B$105,5)="T.com",SUM(BX371:CM371),0)</f>
        <v>0</v>
      </c>
      <c r="CO371" s="306">
        <f ca="1">RANK(CN371,CN3:CN834)+COUNTIF(CN3:CN371,CN371)-1</f>
        <v>369</v>
      </c>
      <c r="CP371" s="306" t="str">
        <f t="shared" ca="1" si="196"/>
        <v>Benjamin Pavard (France)</v>
      </c>
    </row>
    <row r="372" spans="72:94" x14ac:dyDescent="0.3">
      <c r="BT372" s="306" t="str">
        <f t="shared" ca="1" si="192"/>
        <v>France</v>
      </c>
      <c r="BU372" s="306">
        <f t="shared" si="193"/>
        <v>5</v>
      </c>
      <c r="BV372" s="306">
        <f t="shared" si="194"/>
        <v>13</v>
      </c>
      <c r="BW372" s="306" t="str">
        <f ca="1">OFFSET(C3,BU372,BV372)</f>
        <v>Benoit Badiashile</v>
      </c>
      <c r="BX372" s="306">
        <f ca="1">COUNTIF('Group Stages'!J7:J102,BW372)</f>
        <v>0</v>
      </c>
      <c r="BY372" s="306">
        <f ca="1">COUNTIF('Group Stages'!K7:K102,BW372)</f>
        <v>0</v>
      </c>
      <c r="BZ372" s="306">
        <f ca="1">COUNTIF('Group Stages'!L7:L102,BW372)</f>
        <v>0</v>
      </c>
      <c r="CA372" s="306">
        <f ca="1">COUNTIF('Group Stages'!M7:M102,BW372)</f>
        <v>0</v>
      </c>
      <c r="CB372" s="306">
        <f ca="1">COUNTIF('Group Stages'!N7:N102,BW372)</f>
        <v>0</v>
      </c>
      <c r="CC372" s="306">
        <f ca="1">COUNTIF('Group Stages'!O7:O102,BW372)</f>
        <v>0</v>
      </c>
      <c r="CD372" s="306">
        <f ca="1">COUNTIF('Group Stages'!P7:P102,BW372)</f>
        <v>0</v>
      </c>
      <c r="CE372" s="306">
        <f ca="1">COUNTIF('Group Stages'!Q7:Q102,BW372)</f>
        <v>0</v>
      </c>
      <c r="CF372" s="306">
        <f ca="1">COUNTIF('Knock Out Stages'!K7:K50,BW372)</f>
        <v>0</v>
      </c>
      <c r="CG372" s="306">
        <f ca="1">COUNTIF('Knock Out Stages'!L7:L50,BW372)</f>
        <v>0</v>
      </c>
      <c r="CH372" s="306">
        <f ca="1">COUNTIF('Knock Out Stages'!M7:M50,BW372)</f>
        <v>0</v>
      </c>
      <c r="CI372" s="306">
        <f ca="1">COUNTIF('Knock Out Stages'!N7:N50,BW372)</f>
        <v>0</v>
      </c>
      <c r="CJ372" s="306">
        <f ca="1">COUNTIF('Knock Out Stages'!O7:O50,BW372)</f>
        <v>0</v>
      </c>
      <c r="CK372" s="306">
        <f ca="1">COUNTIF('Knock Out Stages'!P7:P50,BW372)</f>
        <v>0</v>
      </c>
      <c r="CL372" s="306">
        <f ca="1">COUNTIF('Knock Out Stages'!Q7:Q50,BW372)</f>
        <v>0</v>
      </c>
      <c r="CM372" s="306">
        <f ca="1">COUNTIF('Knock Out Stages'!R7:R50,BW372)</f>
        <v>0</v>
      </c>
      <c r="CN372" s="306">
        <f ca="1">IF(RIGHT('Group Stages'!$B$105,5)="T.com",SUM(BX372:CM372),0)</f>
        <v>0</v>
      </c>
      <c r="CO372" s="306">
        <f ca="1">RANK(CN372,CN3:CN834)+COUNTIF(CN3:CN372,CN372)-1</f>
        <v>370</v>
      </c>
      <c r="CP372" s="306" t="str">
        <f t="shared" ca="1" si="196"/>
        <v>Benoit Badiashile (France)</v>
      </c>
    </row>
    <row r="373" spans="72:94" x14ac:dyDescent="0.3">
      <c r="BT373" s="306" t="str">
        <f t="shared" ca="1" si="192"/>
        <v>France</v>
      </c>
      <c r="BU373" s="306">
        <f t="shared" si="193"/>
        <v>6</v>
      </c>
      <c r="BV373" s="306">
        <f t="shared" si="194"/>
        <v>13</v>
      </c>
      <c r="BW373" s="306" t="str">
        <f ca="1">OFFSET(C3,BU373,BV373)</f>
        <v>Christopher Nkunku</v>
      </c>
      <c r="BX373" s="306">
        <f ca="1">COUNTIF('Group Stages'!J7:J102,BW373)</f>
        <v>0</v>
      </c>
      <c r="BY373" s="306">
        <f ca="1">COUNTIF('Group Stages'!K7:K102,BW373)</f>
        <v>0</v>
      </c>
      <c r="BZ373" s="306">
        <f ca="1">COUNTIF('Group Stages'!L7:L102,BW373)</f>
        <v>0</v>
      </c>
      <c r="CA373" s="306">
        <f ca="1">COUNTIF('Group Stages'!M7:M102,BW373)</f>
        <v>0</v>
      </c>
      <c r="CB373" s="306">
        <f ca="1">COUNTIF('Group Stages'!N7:N102,BW373)</f>
        <v>0</v>
      </c>
      <c r="CC373" s="306">
        <f ca="1">COUNTIF('Group Stages'!O7:O102,BW373)</f>
        <v>0</v>
      </c>
      <c r="CD373" s="306">
        <f ca="1">COUNTIF('Group Stages'!P7:P102,BW373)</f>
        <v>0</v>
      </c>
      <c r="CE373" s="306">
        <f ca="1">COUNTIF('Group Stages'!Q7:Q102,BW373)</f>
        <v>0</v>
      </c>
      <c r="CF373" s="306">
        <f ca="1">COUNTIF('Knock Out Stages'!K7:K50,BW373)</f>
        <v>0</v>
      </c>
      <c r="CG373" s="306">
        <f ca="1">COUNTIF('Knock Out Stages'!L7:L50,BW373)</f>
        <v>0</v>
      </c>
      <c r="CH373" s="306">
        <f ca="1">COUNTIF('Knock Out Stages'!M7:M50,BW373)</f>
        <v>0</v>
      </c>
      <c r="CI373" s="306">
        <f ca="1">COUNTIF('Knock Out Stages'!N7:N50,BW373)</f>
        <v>0</v>
      </c>
      <c r="CJ373" s="306">
        <f ca="1">COUNTIF('Knock Out Stages'!O7:O50,BW373)</f>
        <v>0</v>
      </c>
      <c r="CK373" s="306">
        <f ca="1">COUNTIF('Knock Out Stages'!P7:P50,BW373)</f>
        <v>0</v>
      </c>
      <c r="CL373" s="306">
        <f ca="1">COUNTIF('Knock Out Stages'!Q7:Q50,BW373)</f>
        <v>0</v>
      </c>
      <c r="CM373" s="306">
        <f ca="1">COUNTIF('Knock Out Stages'!R7:R50,BW373)</f>
        <v>0</v>
      </c>
      <c r="CN373" s="306">
        <f ca="1">IF(RIGHT('Group Stages'!$B$105,5)="T.com",SUM(BX373:CM373),0)</f>
        <v>0</v>
      </c>
      <c r="CO373" s="306">
        <f ca="1">RANK(CN373,CN3:CN834)+COUNTIF(CN3:CN373,CN373)-1</f>
        <v>371</v>
      </c>
      <c r="CP373" s="306" t="str">
        <f t="shared" ca="1" si="196"/>
        <v>Christopher Nkunku (France)</v>
      </c>
    </row>
    <row r="374" spans="72:94" x14ac:dyDescent="0.3">
      <c r="BT374" s="306" t="str">
        <f t="shared" ca="1" si="192"/>
        <v>France</v>
      </c>
      <c r="BU374" s="306">
        <f t="shared" si="193"/>
        <v>7</v>
      </c>
      <c r="BV374" s="306">
        <f t="shared" si="194"/>
        <v>13</v>
      </c>
      <c r="BW374" s="306" t="str">
        <f ca="1">OFFSET(C3,BU374,BV374)</f>
        <v>Dayot Upamecano</v>
      </c>
      <c r="BX374" s="306">
        <f ca="1">COUNTIF('Group Stages'!J7:J102,BW374)</f>
        <v>0</v>
      </c>
      <c r="BY374" s="306">
        <f ca="1">COUNTIF('Group Stages'!K7:K102,BW374)</f>
        <v>0</v>
      </c>
      <c r="BZ374" s="306">
        <f ca="1">COUNTIF('Group Stages'!L7:L102,BW374)</f>
        <v>0</v>
      </c>
      <c r="CA374" s="306">
        <f ca="1">COUNTIF('Group Stages'!M7:M102,BW374)</f>
        <v>0</v>
      </c>
      <c r="CB374" s="306">
        <f ca="1">COUNTIF('Group Stages'!N7:N102,BW374)</f>
        <v>0</v>
      </c>
      <c r="CC374" s="306">
        <f ca="1">COUNTIF('Group Stages'!O7:O102,BW374)</f>
        <v>0</v>
      </c>
      <c r="CD374" s="306">
        <f ca="1">COUNTIF('Group Stages'!P7:P102,BW374)</f>
        <v>0</v>
      </c>
      <c r="CE374" s="306">
        <f ca="1">COUNTIF('Group Stages'!Q7:Q102,BW374)</f>
        <v>0</v>
      </c>
      <c r="CF374" s="306">
        <f ca="1">COUNTIF('Knock Out Stages'!K7:K50,BW374)</f>
        <v>0</v>
      </c>
      <c r="CG374" s="306">
        <f ca="1">COUNTIF('Knock Out Stages'!L7:L50,BW374)</f>
        <v>0</v>
      </c>
      <c r="CH374" s="306">
        <f ca="1">COUNTIF('Knock Out Stages'!M7:M50,BW374)</f>
        <v>0</v>
      </c>
      <c r="CI374" s="306">
        <f ca="1">COUNTIF('Knock Out Stages'!N7:N50,BW374)</f>
        <v>0</v>
      </c>
      <c r="CJ374" s="306">
        <f ca="1">COUNTIF('Knock Out Stages'!O7:O50,BW374)</f>
        <v>0</v>
      </c>
      <c r="CK374" s="306">
        <f ca="1">COUNTIF('Knock Out Stages'!P7:P50,BW374)</f>
        <v>0</v>
      </c>
      <c r="CL374" s="306">
        <f ca="1">COUNTIF('Knock Out Stages'!Q7:Q50,BW374)</f>
        <v>0</v>
      </c>
      <c r="CM374" s="306">
        <f ca="1">COUNTIF('Knock Out Stages'!R7:R50,BW374)</f>
        <v>0</v>
      </c>
      <c r="CN374" s="306">
        <f ca="1">IF(RIGHT('Group Stages'!$B$105,5)="T.com",SUM(BX374:CM374),0)</f>
        <v>0</v>
      </c>
      <c r="CO374" s="306">
        <f ca="1">RANK(CN374,CN3:CN834)+COUNTIF(CN3:CN374,CN374)-1</f>
        <v>372</v>
      </c>
      <c r="CP374" s="306" t="str">
        <f t="shared" ca="1" si="196"/>
        <v>Dayot Upamecano (France)</v>
      </c>
    </row>
    <row r="375" spans="72:94" x14ac:dyDescent="0.3">
      <c r="BT375" s="306" t="str">
        <f t="shared" ca="1" si="192"/>
        <v>France</v>
      </c>
      <c r="BU375" s="306">
        <f t="shared" si="193"/>
        <v>8</v>
      </c>
      <c r="BV375" s="306">
        <f t="shared" si="194"/>
        <v>13</v>
      </c>
      <c r="BW375" s="306" t="str">
        <f ca="1">OFFSET(C3,BU375,BV375)</f>
        <v>Eduardo Camavinga</v>
      </c>
      <c r="BX375" s="306">
        <f ca="1">COUNTIF('Group Stages'!J7:J102,BW375)</f>
        <v>0</v>
      </c>
      <c r="BY375" s="306">
        <f ca="1">COUNTIF('Group Stages'!K7:K102,BW375)</f>
        <v>0</v>
      </c>
      <c r="BZ375" s="306">
        <f ca="1">COUNTIF('Group Stages'!L7:L102,BW375)</f>
        <v>0</v>
      </c>
      <c r="CA375" s="306">
        <f ca="1">COUNTIF('Group Stages'!M7:M102,BW375)</f>
        <v>0</v>
      </c>
      <c r="CB375" s="306">
        <f ca="1">COUNTIF('Group Stages'!N7:N102,BW375)</f>
        <v>0</v>
      </c>
      <c r="CC375" s="306">
        <f ca="1">COUNTIF('Group Stages'!O7:O102,BW375)</f>
        <v>0</v>
      </c>
      <c r="CD375" s="306">
        <f ca="1">COUNTIF('Group Stages'!P7:P102,BW375)</f>
        <v>0</v>
      </c>
      <c r="CE375" s="306">
        <f ca="1">COUNTIF('Group Stages'!Q7:Q102,BW375)</f>
        <v>0</v>
      </c>
      <c r="CF375" s="306">
        <f ca="1">COUNTIF('Knock Out Stages'!K7:K50,BW375)</f>
        <v>0</v>
      </c>
      <c r="CG375" s="306">
        <f ca="1">COUNTIF('Knock Out Stages'!L7:L50,BW375)</f>
        <v>0</v>
      </c>
      <c r="CH375" s="306">
        <f ca="1">COUNTIF('Knock Out Stages'!M7:M50,BW375)</f>
        <v>0</v>
      </c>
      <c r="CI375" s="306">
        <f ca="1">COUNTIF('Knock Out Stages'!N7:N50,BW375)</f>
        <v>0</v>
      </c>
      <c r="CJ375" s="306">
        <f ca="1">COUNTIF('Knock Out Stages'!O7:O50,BW375)</f>
        <v>0</v>
      </c>
      <c r="CK375" s="306">
        <f ca="1">COUNTIF('Knock Out Stages'!P7:P50,BW375)</f>
        <v>0</v>
      </c>
      <c r="CL375" s="306">
        <f ca="1">COUNTIF('Knock Out Stages'!Q7:Q50,BW375)</f>
        <v>0</v>
      </c>
      <c r="CM375" s="306">
        <f ca="1">COUNTIF('Knock Out Stages'!R7:R50,BW375)</f>
        <v>0</v>
      </c>
      <c r="CN375" s="306">
        <f ca="1">IF(RIGHT('Group Stages'!$B$105,5)="T.com",SUM(BX375:CM375),0)</f>
        <v>0</v>
      </c>
      <c r="CO375" s="306">
        <f ca="1">RANK(CN375,CN3:CN834)+COUNTIF(CN3:CN375,CN375)-1</f>
        <v>373</v>
      </c>
      <c r="CP375" s="306" t="str">
        <f t="shared" ca="1" si="196"/>
        <v>Eduardo Camavinga (France)</v>
      </c>
    </row>
    <row r="376" spans="72:94" x14ac:dyDescent="0.3">
      <c r="BT376" s="306" t="str">
        <f t="shared" ref="BT376:BT439" ca="1" si="199">BT375</f>
        <v>France</v>
      </c>
      <c r="BU376" s="306">
        <f t="shared" ref="BU376:BU439" si="200">BU350</f>
        <v>9</v>
      </c>
      <c r="BV376" s="306">
        <f t="shared" ref="BV376:BV439" si="201">BV350+1</f>
        <v>13</v>
      </c>
      <c r="BW376" s="306" t="str">
        <f ca="1">OFFSET(C3,BU376,BV376)</f>
        <v>Hugo Lloris</v>
      </c>
      <c r="BX376" s="306">
        <f ca="1">COUNTIF('Group Stages'!J7:J102,BW376)</f>
        <v>0</v>
      </c>
      <c r="BY376" s="306">
        <f ca="1">COUNTIF('Group Stages'!K7:K102,BW376)</f>
        <v>0</v>
      </c>
      <c r="BZ376" s="306">
        <f ca="1">COUNTIF('Group Stages'!L7:L102,BW376)</f>
        <v>0</v>
      </c>
      <c r="CA376" s="306">
        <f ca="1">COUNTIF('Group Stages'!M7:M102,BW376)</f>
        <v>0</v>
      </c>
      <c r="CB376" s="306">
        <f ca="1">COUNTIF('Group Stages'!N7:N102,BW376)</f>
        <v>0</v>
      </c>
      <c r="CC376" s="306">
        <f ca="1">COUNTIF('Group Stages'!O7:O102,BW376)</f>
        <v>0</v>
      </c>
      <c r="CD376" s="306">
        <f ca="1">COUNTIF('Group Stages'!P7:P102,BW376)</f>
        <v>0</v>
      </c>
      <c r="CE376" s="306">
        <f ca="1">COUNTIF('Group Stages'!Q7:Q102,BW376)</f>
        <v>0</v>
      </c>
      <c r="CF376" s="306">
        <f ca="1">COUNTIF('Knock Out Stages'!K7:K50,BW376)</f>
        <v>0</v>
      </c>
      <c r="CG376" s="306">
        <f ca="1">COUNTIF('Knock Out Stages'!L7:L50,BW376)</f>
        <v>0</v>
      </c>
      <c r="CH376" s="306">
        <f ca="1">COUNTIF('Knock Out Stages'!M7:M50,BW376)</f>
        <v>0</v>
      </c>
      <c r="CI376" s="306">
        <f ca="1">COUNTIF('Knock Out Stages'!N7:N50,BW376)</f>
        <v>0</v>
      </c>
      <c r="CJ376" s="306">
        <f ca="1">COUNTIF('Knock Out Stages'!O7:O50,BW376)</f>
        <v>0</v>
      </c>
      <c r="CK376" s="306">
        <f ca="1">COUNTIF('Knock Out Stages'!P7:P50,BW376)</f>
        <v>0</v>
      </c>
      <c r="CL376" s="306">
        <f ca="1">COUNTIF('Knock Out Stages'!Q7:Q50,BW376)</f>
        <v>0</v>
      </c>
      <c r="CM376" s="306">
        <f ca="1">COUNTIF('Knock Out Stages'!R7:R50,BW376)</f>
        <v>0</v>
      </c>
      <c r="CN376" s="306">
        <f ca="1">IF(RIGHT('Group Stages'!$B$105,5)="T.com",SUM(BX376:CM376),0)</f>
        <v>0</v>
      </c>
      <c r="CO376" s="306">
        <f ca="1">RANK(CN376,CN3:CN834)+COUNTIF(CN3:CN376,CN376)-1</f>
        <v>374</v>
      </c>
      <c r="CP376" s="306" t="str">
        <f t="shared" ca="1" si="196"/>
        <v>Hugo Lloris (France)</v>
      </c>
    </row>
    <row r="377" spans="72:94" x14ac:dyDescent="0.3">
      <c r="BT377" s="306" t="str">
        <f t="shared" ca="1" si="199"/>
        <v>France</v>
      </c>
      <c r="BU377" s="306">
        <f t="shared" si="200"/>
        <v>10</v>
      </c>
      <c r="BV377" s="306">
        <f t="shared" si="201"/>
        <v>13</v>
      </c>
      <c r="BW377" s="306" t="str">
        <f ca="1">OFFSET(C3,BU377,BV377)</f>
        <v>Ibrahima Konaté</v>
      </c>
      <c r="BX377" s="306">
        <f ca="1">COUNTIF('Group Stages'!J7:J102,BW377)</f>
        <v>0</v>
      </c>
      <c r="BY377" s="306">
        <f ca="1">COUNTIF('Group Stages'!K7:K102,BW377)</f>
        <v>0</v>
      </c>
      <c r="BZ377" s="306">
        <f ca="1">COUNTIF('Group Stages'!L7:L102,BW377)</f>
        <v>0</v>
      </c>
      <c r="CA377" s="306">
        <f ca="1">COUNTIF('Group Stages'!M7:M102,BW377)</f>
        <v>0</v>
      </c>
      <c r="CB377" s="306">
        <f ca="1">COUNTIF('Group Stages'!N7:N102,BW377)</f>
        <v>0</v>
      </c>
      <c r="CC377" s="306">
        <f ca="1">COUNTIF('Group Stages'!O7:O102,BW377)</f>
        <v>0</v>
      </c>
      <c r="CD377" s="306">
        <f ca="1">COUNTIF('Group Stages'!P7:P102,BW377)</f>
        <v>0</v>
      </c>
      <c r="CE377" s="306">
        <f ca="1">COUNTIF('Group Stages'!Q7:Q102,BW377)</f>
        <v>0</v>
      </c>
      <c r="CF377" s="306">
        <f ca="1">COUNTIF('Knock Out Stages'!K7:K50,BW377)</f>
        <v>0</v>
      </c>
      <c r="CG377" s="306">
        <f ca="1">COUNTIF('Knock Out Stages'!L7:L50,BW377)</f>
        <v>0</v>
      </c>
      <c r="CH377" s="306">
        <f ca="1">COUNTIF('Knock Out Stages'!M7:M50,BW377)</f>
        <v>0</v>
      </c>
      <c r="CI377" s="306">
        <f ca="1">COUNTIF('Knock Out Stages'!N7:N50,BW377)</f>
        <v>0</v>
      </c>
      <c r="CJ377" s="306">
        <f ca="1">COUNTIF('Knock Out Stages'!O7:O50,BW377)</f>
        <v>0</v>
      </c>
      <c r="CK377" s="306">
        <f ca="1">COUNTIF('Knock Out Stages'!P7:P50,BW377)</f>
        <v>0</v>
      </c>
      <c r="CL377" s="306">
        <f ca="1">COUNTIF('Knock Out Stages'!Q7:Q50,BW377)</f>
        <v>0</v>
      </c>
      <c r="CM377" s="306">
        <f ca="1">COUNTIF('Knock Out Stages'!R7:R50,BW377)</f>
        <v>0</v>
      </c>
      <c r="CN377" s="306">
        <f ca="1">IF(RIGHT('Group Stages'!$B$105,5)="T.com",SUM(BX377:CM377),0)</f>
        <v>0</v>
      </c>
      <c r="CO377" s="306">
        <f ca="1">RANK(CN377,CN3:CN834)+COUNTIF(CN3:CN377,CN377)-1</f>
        <v>375</v>
      </c>
      <c r="CP377" s="306" t="str">
        <f t="shared" ca="1" si="196"/>
        <v>Ibrahima Konaté (France)</v>
      </c>
    </row>
    <row r="378" spans="72:94" x14ac:dyDescent="0.3">
      <c r="BT378" s="306" t="str">
        <f t="shared" ca="1" si="199"/>
        <v>France</v>
      </c>
      <c r="BU378" s="306">
        <f t="shared" si="200"/>
        <v>11</v>
      </c>
      <c r="BV378" s="306">
        <f t="shared" si="201"/>
        <v>13</v>
      </c>
      <c r="BW378" s="306" t="str">
        <f ca="1">OFFSET(C3,BU378,BV378)</f>
        <v>Jordan Veretout</v>
      </c>
      <c r="BX378" s="306">
        <f ca="1">COUNTIF('Group Stages'!J7:J102,BW378)</f>
        <v>0</v>
      </c>
      <c r="BY378" s="306">
        <f ca="1">COUNTIF('Group Stages'!K7:K102,BW378)</f>
        <v>0</v>
      </c>
      <c r="BZ378" s="306">
        <f ca="1">COUNTIF('Group Stages'!L7:L102,BW378)</f>
        <v>0</v>
      </c>
      <c r="CA378" s="306">
        <f ca="1">COUNTIF('Group Stages'!M7:M102,BW378)</f>
        <v>0</v>
      </c>
      <c r="CB378" s="306">
        <f ca="1">COUNTIF('Group Stages'!N7:N102,BW378)</f>
        <v>0</v>
      </c>
      <c r="CC378" s="306">
        <f ca="1">COUNTIF('Group Stages'!O7:O102,BW378)</f>
        <v>0</v>
      </c>
      <c r="CD378" s="306">
        <f ca="1">COUNTIF('Group Stages'!P7:P102,BW378)</f>
        <v>0</v>
      </c>
      <c r="CE378" s="306">
        <f ca="1">COUNTIF('Group Stages'!Q7:Q102,BW378)</f>
        <v>0</v>
      </c>
      <c r="CF378" s="306">
        <f ca="1">COUNTIF('Knock Out Stages'!K7:K50,BW378)</f>
        <v>0</v>
      </c>
      <c r="CG378" s="306">
        <f ca="1">COUNTIF('Knock Out Stages'!L7:L50,BW378)</f>
        <v>0</v>
      </c>
      <c r="CH378" s="306">
        <f ca="1">COUNTIF('Knock Out Stages'!M7:M50,BW378)</f>
        <v>0</v>
      </c>
      <c r="CI378" s="306">
        <f ca="1">COUNTIF('Knock Out Stages'!N7:N50,BW378)</f>
        <v>0</v>
      </c>
      <c r="CJ378" s="306">
        <f ca="1">COUNTIF('Knock Out Stages'!O7:O50,BW378)</f>
        <v>0</v>
      </c>
      <c r="CK378" s="306">
        <f ca="1">COUNTIF('Knock Out Stages'!P7:P50,BW378)</f>
        <v>0</v>
      </c>
      <c r="CL378" s="306">
        <f ca="1">COUNTIF('Knock Out Stages'!Q7:Q50,BW378)</f>
        <v>0</v>
      </c>
      <c r="CM378" s="306">
        <f ca="1">COUNTIF('Knock Out Stages'!R7:R50,BW378)</f>
        <v>0</v>
      </c>
      <c r="CN378" s="306">
        <f ca="1">IF(RIGHT('Group Stages'!$B$105,5)="T.com",SUM(BX378:CM378),0)</f>
        <v>0</v>
      </c>
      <c r="CO378" s="306">
        <f ca="1">RANK(CN378,CN3:CN834)+COUNTIF(CN3:CN378,CN378)-1</f>
        <v>376</v>
      </c>
      <c r="CP378" s="306" t="str">
        <f t="shared" ca="1" si="196"/>
        <v>Jordan Veretout (France)</v>
      </c>
    </row>
    <row r="379" spans="72:94" x14ac:dyDescent="0.3">
      <c r="BT379" s="306" t="str">
        <f t="shared" ca="1" si="199"/>
        <v>France</v>
      </c>
      <c r="BU379" s="306">
        <f t="shared" si="200"/>
        <v>12</v>
      </c>
      <c r="BV379" s="306">
        <f t="shared" si="201"/>
        <v>13</v>
      </c>
      <c r="BW379" s="306" t="str">
        <f ca="1">OFFSET(C3,BU379,BV379)</f>
        <v>Jules Koundé</v>
      </c>
      <c r="BX379" s="306">
        <f ca="1">COUNTIF('Group Stages'!J7:J102,BW379)</f>
        <v>0</v>
      </c>
      <c r="BY379" s="306">
        <f ca="1">COUNTIF('Group Stages'!K7:K102,BW379)</f>
        <v>0</v>
      </c>
      <c r="BZ379" s="306">
        <f ca="1">COUNTIF('Group Stages'!L7:L102,BW379)</f>
        <v>0</v>
      </c>
      <c r="CA379" s="306">
        <f ca="1">COUNTIF('Group Stages'!M7:M102,BW379)</f>
        <v>0</v>
      </c>
      <c r="CB379" s="306">
        <f ca="1">COUNTIF('Group Stages'!N7:N102,BW379)</f>
        <v>0</v>
      </c>
      <c r="CC379" s="306">
        <f ca="1">COUNTIF('Group Stages'!O7:O102,BW379)</f>
        <v>0</v>
      </c>
      <c r="CD379" s="306">
        <f ca="1">COUNTIF('Group Stages'!P7:P102,BW379)</f>
        <v>0</v>
      </c>
      <c r="CE379" s="306">
        <f ca="1">COUNTIF('Group Stages'!Q7:Q102,BW379)</f>
        <v>0</v>
      </c>
      <c r="CF379" s="306">
        <f ca="1">COUNTIF('Knock Out Stages'!K7:K50,BW379)</f>
        <v>0</v>
      </c>
      <c r="CG379" s="306">
        <f ca="1">COUNTIF('Knock Out Stages'!L7:L50,BW379)</f>
        <v>0</v>
      </c>
      <c r="CH379" s="306">
        <f ca="1">COUNTIF('Knock Out Stages'!M7:M50,BW379)</f>
        <v>0</v>
      </c>
      <c r="CI379" s="306">
        <f ca="1">COUNTIF('Knock Out Stages'!N7:N50,BW379)</f>
        <v>0</v>
      </c>
      <c r="CJ379" s="306">
        <f ca="1">COUNTIF('Knock Out Stages'!O7:O50,BW379)</f>
        <v>0</v>
      </c>
      <c r="CK379" s="306">
        <f ca="1">COUNTIF('Knock Out Stages'!P7:P50,BW379)</f>
        <v>0</v>
      </c>
      <c r="CL379" s="306">
        <f ca="1">COUNTIF('Knock Out Stages'!Q7:Q50,BW379)</f>
        <v>0</v>
      </c>
      <c r="CM379" s="306">
        <f ca="1">COUNTIF('Knock Out Stages'!R7:R50,BW379)</f>
        <v>0</v>
      </c>
      <c r="CN379" s="306">
        <f ca="1">IF(RIGHT('Group Stages'!$B$105,5)="T.com",SUM(BX379:CM379),0)</f>
        <v>0</v>
      </c>
      <c r="CO379" s="306">
        <f ca="1">RANK(CN379,CN3:CN834)+COUNTIF(CN3:CN379,CN379)-1</f>
        <v>377</v>
      </c>
      <c r="CP379" s="306" t="str">
        <f t="shared" ca="1" si="196"/>
        <v>Jules Koundé (France)</v>
      </c>
    </row>
    <row r="380" spans="72:94" x14ac:dyDescent="0.3">
      <c r="BT380" s="306" t="str">
        <f t="shared" ca="1" si="199"/>
        <v>France</v>
      </c>
      <c r="BU380" s="306">
        <f t="shared" si="200"/>
        <v>13</v>
      </c>
      <c r="BV380" s="306">
        <f t="shared" si="201"/>
        <v>13</v>
      </c>
      <c r="BW380" s="306" t="str">
        <f ca="1">OFFSET(C3,BU380,BV380)</f>
        <v>Karim Benzema</v>
      </c>
      <c r="BX380" s="306">
        <f ca="1">COUNTIF('Group Stages'!J7:J102,BW380)</f>
        <v>0</v>
      </c>
      <c r="BY380" s="306">
        <f ca="1">COUNTIF('Group Stages'!K7:K102,BW380)</f>
        <v>0</v>
      </c>
      <c r="BZ380" s="306">
        <f ca="1">COUNTIF('Group Stages'!L7:L102,BW380)</f>
        <v>0</v>
      </c>
      <c r="CA380" s="306">
        <f ca="1">COUNTIF('Group Stages'!M7:M102,BW380)</f>
        <v>0</v>
      </c>
      <c r="CB380" s="306">
        <f ca="1">COUNTIF('Group Stages'!N7:N102,BW380)</f>
        <v>0</v>
      </c>
      <c r="CC380" s="306">
        <f ca="1">COUNTIF('Group Stages'!O7:O102,BW380)</f>
        <v>0</v>
      </c>
      <c r="CD380" s="306">
        <f ca="1">COUNTIF('Group Stages'!P7:P102,BW380)</f>
        <v>0</v>
      </c>
      <c r="CE380" s="306">
        <f ca="1">COUNTIF('Group Stages'!Q7:Q102,BW380)</f>
        <v>0</v>
      </c>
      <c r="CF380" s="306">
        <f ca="1">COUNTIF('Knock Out Stages'!K7:K50,BW380)</f>
        <v>0</v>
      </c>
      <c r="CG380" s="306">
        <f ca="1">COUNTIF('Knock Out Stages'!L7:L50,BW380)</f>
        <v>0</v>
      </c>
      <c r="CH380" s="306">
        <f ca="1">COUNTIF('Knock Out Stages'!M7:M50,BW380)</f>
        <v>0</v>
      </c>
      <c r="CI380" s="306">
        <f ca="1">COUNTIF('Knock Out Stages'!N7:N50,BW380)</f>
        <v>0</v>
      </c>
      <c r="CJ380" s="306">
        <f ca="1">COUNTIF('Knock Out Stages'!O7:O50,BW380)</f>
        <v>0</v>
      </c>
      <c r="CK380" s="306">
        <f ca="1">COUNTIF('Knock Out Stages'!P7:P50,BW380)</f>
        <v>0</v>
      </c>
      <c r="CL380" s="306">
        <f ca="1">COUNTIF('Knock Out Stages'!Q7:Q50,BW380)</f>
        <v>0</v>
      </c>
      <c r="CM380" s="306">
        <f ca="1">COUNTIF('Knock Out Stages'!R7:R50,BW380)</f>
        <v>0</v>
      </c>
      <c r="CN380" s="306">
        <f ca="1">IF(RIGHT('Group Stages'!$B$105,5)="T.com",SUM(BX380:CM380),0)</f>
        <v>0</v>
      </c>
      <c r="CO380" s="306">
        <f ca="1">RANK(CN380,CN3:CN834)+COUNTIF(CN3:CN380,CN380)-1</f>
        <v>378</v>
      </c>
      <c r="CP380" s="306" t="str">
        <f t="shared" ca="1" si="196"/>
        <v>Karim Benzema (France)</v>
      </c>
    </row>
    <row r="381" spans="72:94" x14ac:dyDescent="0.3">
      <c r="BT381" s="306" t="str">
        <f t="shared" ca="1" si="199"/>
        <v>France</v>
      </c>
      <c r="BU381" s="306">
        <f t="shared" si="200"/>
        <v>14</v>
      </c>
      <c r="BV381" s="306">
        <f t="shared" si="201"/>
        <v>13</v>
      </c>
      <c r="BW381" s="306" t="str">
        <f ca="1">OFFSET(C3,BU381,BV381)</f>
        <v>Kingsley Coman</v>
      </c>
      <c r="BX381" s="306">
        <f ca="1">COUNTIF('Group Stages'!J7:J102,BW381)</f>
        <v>0</v>
      </c>
      <c r="BY381" s="306">
        <f ca="1">COUNTIF('Group Stages'!K7:K102,BW381)</f>
        <v>0</v>
      </c>
      <c r="BZ381" s="306">
        <f ca="1">COUNTIF('Group Stages'!L7:L102,BW381)</f>
        <v>0</v>
      </c>
      <c r="CA381" s="306">
        <f ca="1">COUNTIF('Group Stages'!M7:M102,BW381)</f>
        <v>0</v>
      </c>
      <c r="CB381" s="306">
        <f ca="1">COUNTIF('Group Stages'!N7:N102,BW381)</f>
        <v>0</v>
      </c>
      <c r="CC381" s="306">
        <f ca="1">COUNTIF('Group Stages'!O7:O102,BW381)</f>
        <v>0</v>
      </c>
      <c r="CD381" s="306">
        <f ca="1">COUNTIF('Group Stages'!P7:P102,BW381)</f>
        <v>0</v>
      </c>
      <c r="CE381" s="306">
        <f ca="1">COUNTIF('Group Stages'!Q7:Q102,BW381)</f>
        <v>0</v>
      </c>
      <c r="CF381" s="306">
        <f ca="1">COUNTIF('Knock Out Stages'!K7:K50,BW381)</f>
        <v>0</v>
      </c>
      <c r="CG381" s="306">
        <f ca="1">COUNTIF('Knock Out Stages'!L7:L50,BW381)</f>
        <v>0</v>
      </c>
      <c r="CH381" s="306">
        <f ca="1">COUNTIF('Knock Out Stages'!M7:M50,BW381)</f>
        <v>0</v>
      </c>
      <c r="CI381" s="306">
        <f ca="1">COUNTIF('Knock Out Stages'!N7:N50,BW381)</f>
        <v>0</v>
      </c>
      <c r="CJ381" s="306">
        <f ca="1">COUNTIF('Knock Out Stages'!O7:O50,BW381)</f>
        <v>0</v>
      </c>
      <c r="CK381" s="306">
        <f ca="1">COUNTIF('Knock Out Stages'!P7:P50,BW381)</f>
        <v>0</v>
      </c>
      <c r="CL381" s="306">
        <f ca="1">COUNTIF('Knock Out Stages'!Q7:Q50,BW381)</f>
        <v>0</v>
      </c>
      <c r="CM381" s="306">
        <f ca="1">COUNTIF('Knock Out Stages'!R7:R50,BW381)</f>
        <v>0</v>
      </c>
      <c r="CN381" s="306">
        <f ca="1">IF(RIGHT('Group Stages'!$B$105,5)="T.com",SUM(BX381:CM381),0)</f>
        <v>0</v>
      </c>
      <c r="CO381" s="306">
        <f ca="1">RANK(CN381,CN3:CN834)+COUNTIF(CN3:CN381,CN381)-1</f>
        <v>379</v>
      </c>
      <c r="CP381" s="306" t="str">
        <f t="shared" ca="1" si="196"/>
        <v>Kingsley Coman (France)</v>
      </c>
    </row>
    <row r="382" spans="72:94" x14ac:dyDescent="0.3">
      <c r="BT382" s="306" t="str">
        <f t="shared" ca="1" si="199"/>
        <v>France</v>
      </c>
      <c r="BU382" s="306">
        <f t="shared" si="200"/>
        <v>15</v>
      </c>
      <c r="BV382" s="306">
        <f t="shared" si="201"/>
        <v>13</v>
      </c>
      <c r="BW382" s="306" t="str">
        <f ca="1">OFFSET(C3,BU382,BV382)</f>
        <v>Kylian Mbappé</v>
      </c>
      <c r="BX382" s="306">
        <f ca="1">COUNTIF('Group Stages'!J7:J102,BW382)</f>
        <v>0</v>
      </c>
      <c r="BY382" s="306">
        <f ca="1">COUNTIF('Group Stages'!K7:K102,BW382)</f>
        <v>0</v>
      </c>
      <c r="BZ382" s="306">
        <f ca="1">COUNTIF('Group Stages'!L7:L102,BW382)</f>
        <v>0</v>
      </c>
      <c r="CA382" s="306">
        <f ca="1">COUNTIF('Group Stages'!M7:M102,BW382)</f>
        <v>0</v>
      </c>
      <c r="CB382" s="306">
        <f ca="1">COUNTIF('Group Stages'!N7:N102,BW382)</f>
        <v>0</v>
      </c>
      <c r="CC382" s="306">
        <f ca="1">COUNTIF('Group Stages'!O7:O102,BW382)</f>
        <v>0</v>
      </c>
      <c r="CD382" s="306">
        <f ca="1">COUNTIF('Group Stages'!P7:P102,BW382)</f>
        <v>0</v>
      </c>
      <c r="CE382" s="306">
        <f ca="1">COUNTIF('Group Stages'!Q7:Q102,BW382)</f>
        <v>0</v>
      </c>
      <c r="CF382" s="306">
        <f ca="1">COUNTIF('Knock Out Stages'!K7:K50,BW382)</f>
        <v>0</v>
      </c>
      <c r="CG382" s="306">
        <f ca="1">COUNTIF('Knock Out Stages'!L7:L50,BW382)</f>
        <v>0</v>
      </c>
      <c r="CH382" s="306">
        <f ca="1">COUNTIF('Knock Out Stages'!M7:M50,BW382)</f>
        <v>0</v>
      </c>
      <c r="CI382" s="306">
        <f ca="1">COUNTIF('Knock Out Stages'!N7:N50,BW382)</f>
        <v>0</v>
      </c>
      <c r="CJ382" s="306">
        <f ca="1">COUNTIF('Knock Out Stages'!O7:O50,BW382)</f>
        <v>0</v>
      </c>
      <c r="CK382" s="306">
        <f ca="1">COUNTIF('Knock Out Stages'!P7:P50,BW382)</f>
        <v>0</v>
      </c>
      <c r="CL382" s="306">
        <f ca="1">COUNTIF('Knock Out Stages'!Q7:Q50,BW382)</f>
        <v>0</v>
      </c>
      <c r="CM382" s="306">
        <f ca="1">COUNTIF('Knock Out Stages'!R7:R50,BW382)</f>
        <v>0</v>
      </c>
      <c r="CN382" s="306">
        <f ca="1">IF(RIGHT('Group Stages'!$B$105,5)="T.com",SUM(BX382:CM382),0)</f>
        <v>0</v>
      </c>
      <c r="CO382" s="306">
        <f ca="1">RANK(CN382,CN3:CN834)+COUNTIF(CN3:CN382,CN382)-1</f>
        <v>380</v>
      </c>
      <c r="CP382" s="306" t="str">
        <f t="shared" ca="1" si="196"/>
        <v>Kylian Mbappé (France)</v>
      </c>
    </row>
    <row r="383" spans="72:94" x14ac:dyDescent="0.3">
      <c r="BT383" s="306" t="str">
        <f t="shared" ca="1" si="199"/>
        <v>France</v>
      </c>
      <c r="BU383" s="306">
        <f t="shared" si="200"/>
        <v>16</v>
      </c>
      <c r="BV383" s="306">
        <f t="shared" si="201"/>
        <v>13</v>
      </c>
      <c r="BW383" s="306" t="str">
        <f ca="1">OFFSET(C3,BU383,BV383)</f>
        <v>Lucas Hernandez</v>
      </c>
      <c r="BX383" s="306">
        <f ca="1">COUNTIF('Group Stages'!J7:J102,BW383)</f>
        <v>0</v>
      </c>
      <c r="BY383" s="306">
        <f ca="1">COUNTIF('Group Stages'!K7:K102,BW383)</f>
        <v>0</v>
      </c>
      <c r="BZ383" s="306">
        <f ca="1">COUNTIF('Group Stages'!L7:L102,BW383)</f>
        <v>0</v>
      </c>
      <c r="CA383" s="306">
        <f ca="1">COUNTIF('Group Stages'!M7:M102,BW383)</f>
        <v>0</v>
      </c>
      <c r="CB383" s="306">
        <f ca="1">COUNTIF('Group Stages'!N7:N102,BW383)</f>
        <v>0</v>
      </c>
      <c r="CC383" s="306">
        <f ca="1">COUNTIF('Group Stages'!O7:O102,BW383)</f>
        <v>0</v>
      </c>
      <c r="CD383" s="306">
        <f ca="1">COUNTIF('Group Stages'!P7:P102,BW383)</f>
        <v>0</v>
      </c>
      <c r="CE383" s="306">
        <f ca="1">COUNTIF('Group Stages'!Q7:Q102,BW383)</f>
        <v>0</v>
      </c>
      <c r="CF383" s="306">
        <f ca="1">COUNTIF('Knock Out Stages'!K7:K50,BW383)</f>
        <v>0</v>
      </c>
      <c r="CG383" s="306">
        <f ca="1">COUNTIF('Knock Out Stages'!L7:L50,BW383)</f>
        <v>0</v>
      </c>
      <c r="CH383" s="306">
        <f ca="1">COUNTIF('Knock Out Stages'!M7:M50,BW383)</f>
        <v>0</v>
      </c>
      <c r="CI383" s="306">
        <f ca="1">COUNTIF('Knock Out Stages'!N7:N50,BW383)</f>
        <v>0</v>
      </c>
      <c r="CJ383" s="306">
        <f ca="1">COUNTIF('Knock Out Stages'!O7:O50,BW383)</f>
        <v>0</v>
      </c>
      <c r="CK383" s="306">
        <f ca="1">COUNTIF('Knock Out Stages'!P7:P50,BW383)</f>
        <v>0</v>
      </c>
      <c r="CL383" s="306">
        <f ca="1">COUNTIF('Knock Out Stages'!Q7:Q50,BW383)</f>
        <v>0</v>
      </c>
      <c r="CM383" s="306">
        <f ca="1">COUNTIF('Knock Out Stages'!R7:R50,BW383)</f>
        <v>0</v>
      </c>
      <c r="CN383" s="306">
        <f ca="1">IF(RIGHT('Group Stages'!$B$105,5)="T.com",SUM(BX383:CM383),0)</f>
        <v>0</v>
      </c>
      <c r="CO383" s="306">
        <f ca="1">RANK(CN383,CN3:CN834)+COUNTIF(CN3:CN383,CN383)-1</f>
        <v>381</v>
      </c>
      <c r="CP383" s="306" t="str">
        <f t="shared" ca="1" si="196"/>
        <v>Lucas Hernandez (France)</v>
      </c>
    </row>
    <row r="384" spans="72:94" x14ac:dyDescent="0.3">
      <c r="BT384" s="306" t="str">
        <f t="shared" ca="1" si="199"/>
        <v>France</v>
      </c>
      <c r="BU384" s="306">
        <f t="shared" si="200"/>
        <v>17</v>
      </c>
      <c r="BV384" s="306">
        <f t="shared" si="201"/>
        <v>13</v>
      </c>
      <c r="BW384" s="306" t="str">
        <f ca="1">OFFSET(C3,BU384,BV384)</f>
        <v>Matteo Guendouzi</v>
      </c>
      <c r="BX384" s="306">
        <f ca="1">COUNTIF('Group Stages'!J7:J102,BW384)</f>
        <v>0</v>
      </c>
      <c r="BY384" s="306">
        <f ca="1">COUNTIF('Group Stages'!K7:K102,BW384)</f>
        <v>0</v>
      </c>
      <c r="BZ384" s="306">
        <f ca="1">COUNTIF('Group Stages'!L7:L102,BW384)</f>
        <v>0</v>
      </c>
      <c r="CA384" s="306">
        <f ca="1">COUNTIF('Group Stages'!M7:M102,BW384)</f>
        <v>0</v>
      </c>
      <c r="CB384" s="306">
        <f ca="1">COUNTIF('Group Stages'!N7:N102,BW384)</f>
        <v>0</v>
      </c>
      <c r="CC384" s="306">
        <f ca="1">COUNTIF('Group Stages'!O7:O102,BW384)</f>
        <v>0</v>
      </c>
      <c r="CD384" s="306">
        <f ca="1">COUNTIF('Group Stages'!P7:P102,BW384)</f>
        <v>0</v>
      </c>
      <c r="CE384" s="306">
        <f ca="1">COUNTIF('Group Stages'!Q7:Q102,BW384)</f>
        <v>0</v>
      </c>
      <c r="CF384" s="306">
        <f ca="1">COUNTIF('Knock Out Stages'!K7:K50,BW384)</f>
        <v>0</v>
      </c>
      <c r="CG384" s="306">
        <f ca="1">COUNTIF('Knock Out Stages'!L7:L50,BW384)</f>
        <v>0</v>
      </c>
      <c r="CH384" s="306">
        <f ca="1">COUNTIF('Knock Out Stages'!M7:M50,BW384)</f>
        <v>0</v>
      </c>
      <c r="CI384" s="306">
        <f ca="1">COUNTIF('Knock Out Stages'!N7:N50,BW384)</f>
        <v>0</v>
      </c>
      <c r="CJ384" s="306">
        <f ca="1">COUNTIF('Knock Out Stages'!O7:O50,BW384)</f>
        <v>0</v>
      </c>
      <c r="CK384" s="306">
        <f ca="1">COUNTIF('Knock Out Stages'!P7:P50,BW384)</f>
        <v>0</v>
      </c>
      <c r="CL384" s="306">
        <f ca="1">COUNTIF('Knock Out Stages'!Q7:Q50,BW384)</f>
        <v>0</v>
      </c>
      <c r="CM384" s="306">
        <f ca="1">COUNTIF('Knock Out Stages'!R7:R50,BW384)</f>
        <v>0</v>
      </c>
      <c r="CN384" s="306">
        <f ca="1">IF(RIGHT('Group Stages'!$B$105,5)="T.com",SUM(BX384:CM384),0)</f>
        <v>0</v>
      </c>
      <c r="CO384" s="306">
        <f ca="1">RANK(CN384,CN3:CN834)+COUNTIF(CN3:CN384,CN384)-1</f>
        <v>382</v>
      </c>
      <c r="CP384" s="306" t="str">
        <f t="shared" ca="1" si="196"/>
        <v>Matteo Guendouzi (France)</v>
      </c>
    </row>
    <row r="385" spans="72:94" x14ac:dyDescent="0.3">
      <c r="BT385" s="306" t="str">
        <f t="shared" ca="1" si="199"/>
        <v>France</v>
      </c>
      <c r="BU385" s="306">
        <f t="shared" si="200"/>
        <v>18</v>
      </c>
      <c r="BV385" s="306">
        <f t="shared" si="201"/>
        <v>13</v>
      </c>
      <c r="BW385" s="306" t="str">
        <f ca="1">OFFSET(C3,BU385,BV385)</f>
        <v>Olivier Giroud</v>
      </c>
      <c r="BX385" s="306">
        <f ca="1">COUNTIF('Group Stages'!J7:J102,BW385)</f>
        <v>0</v>
      </c>
      <c r="BY385" s="306">
        <f ca="1">COUNTIF('Group Stages'!K7:K102,BW385)</f>
        <v>0</v>
      </c>
      <c r="BZ385" s="306">
        <f ca="1">COUNTIF('Group Stages'!L7:L102,BW385)</f>
        <v>0</v>
      </c>
      <c r="CA385" s="306">
        <f ca="1">COUNTIF('Group Stages'!M7:M102,BW385)</f>
        <v>0</v>
      </c>
      <c r="CB385" s="306">
        <f ca="1">COUNTIF('Group Stages'!N7:N102,BW385)</f>
        <v>0</v>
      </c>
      <c r="CC385" s="306">
        <f ca="1">COUNTIF('Group Stages'!O7:O102,BW385)</f>
        <v>0</v>
      </c>
      <c r="CD385" s="306">
        <f ca="1">COUNTIF('Group Stages'!P7:P102,BW385)</f>
        <v>0</v>
      </c>
      <c r="CE385" s="306">
        <f ca="1">COUNTIF('Group Stages'!Q7:Q102,BW385)</f>
        <v>0</v>
      </c>
      <c r="CF385" s="306">
        <f ca="1">COUNTIF('Knock Out Stages'!K7:K50,BW385)</f>
        <v>0</v>
      </c>
      <c r="CG385" s="306">
        <f ca="1">COUNTIF('Knock Out Stages'!L7:L50,BW385)</f>
        <v>0</v>
      </c>
      <c r="CH385" s="306">
        <f ca="1">COUNTIF('Knock Out Stages'!M7:M50,BW385)</f>
        <v>0</v>
      </c>
      <c r="CI385" s="306">
        <f ca="1">COUNTIF('Knock Out Stages'!N7:N50,BW385)</f>
        <v>0</v>
      </c>
      <c r="CJ385" s="306">
        <f ca="1">COUNTIF('Knock Out Stages'!O7:O50,BW385)</f>
        <v>0</v>
      </c>
      <c r="CK385" s="306">
        <f ca="1">COUNTIF('Knock Out Stages'!P7:P50,BW385)</f>
        <v>0</v>
      </c>
      <c r="CL385" s="306">
        <f ca="1">COUNTIF('Knock Out Stages'!Q7:Q50,BW385)</f>
        <v>0</v>
      </c>
      <c r="CM385" s="306">
        <f ca="1">COUNTIF('Knock Out Stages'!R7:R50,BW385)</f>
        <v>0</v>
      </c>
      <c r="CN385" s="306">
        <f ca="1">IF(RIGHT('Group Stages'!$B$105,5)="T.com",SUM(BX385:CM385),0)</f>
        <v>0</v>
      </c>
      <c r="CO385" s="306">
        <f ca="1">RANK(CN385,CN3:CN834)+COUNTIF(CN3:CN385,CN385)-1</f>
        <v>383</v>
      </c>
      <c r="CP385" s="306" t="str">
        <f t="shared" ca="1" si="196"/>
        <v>Olivier Giroud (France)</v>
      </c>
    </row>
    <row r="386" spans="72:94" x14ac:dyDescent="0.3">
      <c r="BT386" s="306" t="str">
        <f t="shared" ca="1" si="199"/>
        <v>France</v>
      </c>
      <c r="BU386" s="306">
        <f t="shared" si="200"/>
        <v>19</v>
      </c>
      <c r="BV386" s="306">
        <f t="shared" si="201"/>
        <v>13</v>
      </c>
      <c r="BW386" s="306" t="str">
        <f ca="1">OFFSET(C3,BU386,BV386)</f>
        <v>Ousmane Dembélé</v>
      </c>
      <c r="BX386" s="306">
        <f ca="1">COUNTIF('Group Stages'!J7:J102,BW386)</f>
        <v>0</v>
      </c>
      <c r="BY386" s="306">
        <f ca="1">COUNTIF('Group Stages'!K7:K102,BW386)</f>
        <v>0</v>
      </c>
      <c r="BZ386" s="306">
        <f ca="1">COUNTIF('Group Stages'!L7:L102,BW386)</f>
        <v>0</v>
      </c>
      <c r="CA386" s="306">
        <f ca="1">COUNTIF('Group Stages'!M7:M102,BW386)</f>
        <v>0</v>
      </c>
      <c r="CB386" s="306">
        <f ca="1">COUNTIF('Group Stages'!N7:N102,BW386)</f>
        <v>0</v>
      </c>
      <c r="CC386" s="306">
        <f ca="1">COUNTIF('Group Stages'!O7:O102,BW386)</f>
        <v>0</v>
      </c>
      <c r="CD386" s="306">
        <f ca="1">COUNTIF('Group Stages'!P7:P102,BW386)</f>
        <v>0</v>
      </c>
      <c r="CE386" s="306">
        <f ca="1">COUNTIF('Group Stages'!Q7:Q102,BW386)</f>
        <v>0</v>
      </c>
      <c r="CF386" s="306">
        <f ca="1">COUNTIF('Knock Out Stages'!K7:K50,BW386)</f>
        <v>0</v>
      </c>
      <c r="CG386" s="306">
        <f ca="1">COUNTIF('Knock Out Stages'!L7:L50,BW386)</f>
        <v>0</v>
      </c>
      <c r="CH386" s="306">
        <f ca="1">COUNTIF('Knock Out Stages'!M7:M50,BW386)</f>
        <v>0</v>
      </c>
      <c r="CI386" s="306">
        <f ca="1">COUNTIF('Knock Out Stages'!N7:N50,BW386)</f>
        <v>0</v>
      </c>
      <c r="CJ386" s="306">
        <f ca="1">COUNTIF('Knock Out Stages'!O7:O50,BW386)</f>
        <v>0</v>
      </c>
      <c r="CK386" s="306">
        <f ca="1">COUNTIF('Knock Out Stages'!P7:P50,BW386)</f>
        <v>0</v>
      </c>
      <c r="CL386" s="306">
        <f ca="1">COUNTIF('Knock Out Stages'!Q7:Q50,BW386)</f>
        <v>0</v>
      </c>
      <c r="CM386" s="306">
        <f ca="1">COUNTIF('Knock Out Stages'!R7:R50,BW386)</f>
        <v>0</v>
      </c>
      <c r="CN386" s="306">
        <f ca="1">IF(RIGHT('Group Stages'!$B$105,5)="T.com",SUM(BX386:CM386),0)</f>
        <v>0</v>
      </c>
      <c r="CO386" s="306">
        <f ca="1">RANK(CN386,CN3:CN834)+COUNTIF(CN3:CN386,CN386)-1</f>
        <v>384</v>
      </c>
      <c r="CP386" s="306" t="str">
        <f t="shared" ca="1" si="196"/>
        <v>Ousmane Dembélé (France)</v>
      </c>
    </row>
    <row r="387" spans="72:94" x14ac:dyDescent="0.3">
      <c r="BT387" s="306" t="str">
        <f t="shared" ca="1" si="199"/>
        <v>France</v>
      </c>
      <c r="BU387" s="306">
        <f t="shared" si="200"/>
        <v>20</v>
      </c>
      <c r="BV387" s="306">
        <f t="shared" si="201"/>
        <v>13</v>
      </c>
      <c r="BW387" s="306" t="str">
        <f ca="1">OFFSET(C3,BU387,BV387)</f>
        <v>Presnel Kimpembe</v>
      </c>
      <c r="BX387" s="306">
        <f ca="1">COUNTIF('Group Stages'!J7:J102,BW387)</f>
        <v>0</v>
      </c>
      <c r="BY387" s="306">
        <f ca="1">COUNTIF('Group Stages'!K7:K102,BW387)</f>
        <v>0</v>
      </c>
      <c r="BZ387" s="306">
        <f ca="1">COUNTIF('Group Stages'!L7:L102,BW387)</f>
        <v>0</v>
      </c>
      <c r="CA387" s="306">
        <f ca="1">COUNTIF('Group Stages'!M7:M102,BW387)</f>
        <v>0</v>
      </c>
      <c r="CB387" s="306">
        <f ca="1">COUNTIF('Group Stages'!N7:N102,BW387)</f>
        <v>0</v>
      </c>
      <c r="CC387" s="306">
        <f ca="1">COUNTIF('Group Stages'!O7:O102,BW387)</f>
        <v>0</v>
      </c>
      <c r="CD387" s="306">
        <f ca="1">COUNTIF('Group Stages'!P7:P102,BW387)</f>
        <v>0</v>
      </c>
      <c r="CE387" s="306">
        <f ca="1">COUNTIF('Group Stages'!Q7:Q102,BW387)</f>
        <v>0</v>
      </c>
      <c r="CF387" s="306">
        <f ca="1">COUNTIF('Knock Out Stages'!K7:K50,BW387)</f>
        <v>0</v>
      </c>
      <c r="CG387" s="306">
        <f ca="1">COUNTIF('Knock Out Stages'!L7:L50,BW387)</f>
        <v>0</v>
      </c>
      <c r="CH387" s="306">
        <f ca="1">COUNTIF('Knock Out Stages'!M7:M50,BW387)</f>
        <v>0</v>
      </c>
      <c r="CI387" s="306">
        <f ca="1">COUNTIF('Knock Out Stages'!N7:N50,BW387)</f>
        <v>0</v>
      </c>
      <c r="CJ387" s="306">
        <f ca="1">COUNTIF('Knock Out Stages'!O7:O50,BW387)</f>
        <v>0</v>
      </c>
      <c r="CK387" s="306">
        <f ca="1">COUNTIF('Knock Out Stages'!P7:P50,BW387)</f>
        <v>0</v>
      </c>
      <c r="CL387" s="306">
        <f ca="1">COUNTIF('Knock Out Stages'!Q7:Q50,BW387)</f>
        <v>0</v>
      </c>
      <c r="CM387" s="306">
        <f ca="1">COUNTIF('Knock Out Stages'!R7:R50,BW387)</f>
        <v>0</v>
      </c>
      <c r="CN387" s="306">
        <f ca="1">IF(RIGHT('Group Stages'!$B$105,5)="T.com",SUM(BX387:CM387),0)</f>
        <v>0</v>
      </c>
      <c r="CO387" s="306">
        <f ca="1">RANK(CN387,CN3:CN834)+COUNTIF(CN3:CN387,CN387)-1</f>
        <v>385</v>
      </c>
      <c r="CP387" s="306" t="str">
        <f t="shared" ca="1" si="196"/>
        <v>Presnel Kimpembe (France)</v>
      </c>
    </row>
    <row r="388" spans="72:94" x14ac:dyDescent="0.3">
      <c r="BT388" s="306" t="str">
        <f t="shared" ca="1" si="199"/>
        <v>France</v>
      </c>
      <c r="BU388" s="306">
        <f t="shared" si="200"/>
        <v>21</v>
      </c>
      <c r="BV388" s="306">
        <f t="shared" si="201"/>
        <v>13</v>
      </c>
      <c r="BW388" s="306" t="str">
        <f ca="1">OFFSET(C3,BU388,BV388)</f>
        <v>Raphaël Varane</v>
      </c>
      <c r="BX388" s="306">
        <f ca="1">COUNTIF('Group Stages'!J7:J102,BW388)</f>
        <v>0</v>
      </c>
      <c r="BY388" s="306">
        <f ca="1">COUNTIF('Group Stages'!K7:K102,BW388)</f>
        <v>0</v>
      </c>
      <c r="BZ388" s="306">
        <f ca="1">COUNTIF('Group Stages'!L7:L102,BW388)</f>
        <v>0</v>
      </c>
      <c r="CA388" s="306">
        <f ca="1">COUNTIF('Group Stages'!M7:M102,BW388)</f>
        <v>0</v>
      </c>
      <c r="CB388" s="306">
        <f ca="1">COUNTIF('Group Stages'!N7:N102,BW388)</f>
        <v>0</v>
      </c>
      <c r="CC388" s="306">
        <f ca="1">COUNTIF('Group Stages'!O7:O102,BW388)</f>
        <v>0</v>
      </c>
      <c r="CD388" s="306">
        <f ca="1">COUNTIF('Group Stages'!P7:P102,BW388)</f>
        <v>0</v>
      </c>
      <c r="CE388" s="306">
        <f ca="1">COUNTIF('Group Stages'!Q7:Q102,BW388)</f>
        <v>0</v>
      </c>
      <c r="CF388" s="306">
        <f ca="1">COUNTIF('Knock Out Stages'!K7:K50,BW388)</f>
        <v>0</v>
      </c>
      <c r="CG388" s="306">
        <f ca="1">COUNTIF('Knock Out Stages'!L7:L50,BW388)</f>
        <v>0</v>
      </c>
      <c r="CH388" s="306">
        <f ca="1">COUNTIF('Knock Out Stages'!M7:M50,BW388)</f>
        <v>0</v>
      </c>
      <c r="CI388" s="306">
        <f ca="1">COUNTIF('Knock Out Stages'!N7:N50,BW388)</f>
        <v>0</v>
      </c>
      <c r="CJ388" s="306">
        <f ca="1">COUNTIF('Knock Out Stages'!O7:O50,BW388)</f>
        <v>0</v>
      </c>
      <c r="CK388" s="306">
        <f ca="1">COUNTIF('Knock Out Stages'!P7:P50,BW388)</f>
        <v>0</v>
      </c>
      <c r="CL388" s="306">
        <f ca="1">COUNTIF('Knock Out Stages'!Q7:Q50,BW388)</f>
        <v>0</v>
      </c>
      <c r="CM388" s="306">
        <f ca="1">COUNTIF('Knock Out Stages'!R7:R50,BW388)</f>
        <v>0</v>
      </c>
      <c r="CN388" s="306">
        <f ca="1">IF(RIGHT('Group Stages'!$B$105,5)="T.com",SUM(BX388:CM388),0)</f>
        <v>0</v>
      </c>
      <c r="CO388" s="306">
        <f ca="1">RANK(CN388,CN3:CN834)+COUNTIF(CN3:CN388,CN388)-1</f>
        <v>386</v>
      </c>
      <c r="CP388" s="306" t="str">
        <f t="shared" ref="CP388:CP451" ca="1" si="202">BW388&amp;" ("&amp;BT388&amp;")"</f>
        <v>Raphaël Varane (France)</v>
      </c>
    </row>
    <row r="389" spans="72:94" x14ac:dyDescent="0.3">
      <c r="BT389" s="306" t="str">
        <f t="shared" ca="1" si="199"/>
        <v>France</v>
      </c>
      <c r="BU389" s="306">
        <f t="shared" si="200"/>
        <v>22</v>
      </c>
      <c r="BV389" s="306">
        <f t="shared" si="201"/>
        <v>13</v>
      </c>
      <c r="BW389" s="306" t="str">
        <f ca="1">OFFSET(C3,BU389,BV389)</f>
        <v>Steve Mandanda</v>
      </c>
      <c r="BX389" s="306">
        <f ca="1">COUNTIF('Group Stages'!J7:J102,BW389)</f>
        <v>0</v>
      </c>
      <c r="BY389" s="306">
        <f ca="1">COUNTIF('Group Stages'!K7:K102,BW389)</f>
        <v>0</v>
      </c>
      <c r="BZ389" s="306">
        <f ca="1">COUNTIF('Group Stages'!L7:L102,BW389)</f>
        <v>0</v>
      </c>
      <c r="CA389" s="306">
        <f ca="1">COUNTIF('Group Stages'!M7:M102,BW389)</f>
        <v>0</v>
      </c>
      <c r="CB389" s="306">
        <f ca="1">COUNTIF('Group Stages'!N7:N102,BW389)</f>
        <v>0</v>
      </c>
      <c r="CC389" s="306">
        <f ca="1">COUNTIF('Group Stages'!O7:O102,BW389)</f>
        <v>0</v>
      </c>
      <c r="CD389" s="306">
        <f ca="1">COUNTIF('Group Stages'!P7:P102,BW389)</f>
        <v>0</v>
      </c>
      <c r="CE389" s="306">
        <f ca="1">COUNTIF('Group Stages'!Q7:Q102,BW389)</f>
        <v>0</v>
      </c>
      <c r="CF389" s="306">
        <f ca="1">COUNTIF('Knock Out Stages'!K7:K50,BW389)</f>
        <v>0</v>
      </c>
      <c r="CG389" s="306">
        <f ca="1">COUNTIF('Knock Out Stages'!L7:L50,BW389)</f>
        <v>0</v>
      </c>
      <c r="CH389" s="306">
        <f ca="1">COUNTIF('Knock Out Stages'!M7:M50,BW389)</f>
        <v>0</v>
      </c>
      <c r="CI389" s="306">
        <f ca="1">COUNTIF('Knock Out Stages'!N7:N50,BW389)</f>
        <v>0</v>
      </c>
      <c r="CJ389" s="306">
        <f ca="1">COUNTIF('Knock Out Stages'!O7:O50,BW389)</f>
        <v>0</v>
      </c>
      <c r="CK389" s="306">
        <f ca="1">COUNTIF('Knock Out Stages'!P7:P50,BW389)</f>
        <v>0</v>
      </c>
      <c r="CL389" s="306">
        <f ca="1">COUNTIF('Knock Out Stages'!Q7:Q50,BW389)</f>
        <v>0</v>
      </c>
      <c r="CM389" s="306">
        <f ca="1">COUNTIF('Knock Out Stages'!R7:R50,BW389)</f>
        <v>0</v>
      </c>
      <c r="CN389" s="306">
        <f ca="1">IF(RIGHT('Group Stages'!$B$105,5)="T.com",SUM(BX389:CM389),0)</f>
        <v>0</v>
      </c>
      <c r="CO389" s="306">
        <f ca="1">RANK(CN389,CN3:CN834)+COUNTIF(CN3:CN389,CN389)-1</f>
        <v>387</v>
      </c>
      <c r="CP389" s="306" t="str">
        <f t="shared" ca="1" si="202"/>
        <v>Steve Mandanda (France)</v>
      </c>
    </row>
    <row r="390" spans="72:94" x14ac:dyDescent="0.3">
      <c r="BT390" s="306" t="str">
        <f t="shared" ca="1" si="199"/>
        <v>France</v>
      </c>
      <c r="BU390" s="306">
        <f t="shared" si="200"/>
        <v>23</v>
      </c>
      <c r="BV390" s="306">
        <f t="shared" si="201"/>
        <v>13</v>
      </c>
      <c r="BW390" s="306" t="str">
        <f ca="1">OFFSET(C3,BU390,BV390)</f>
        <v>Theo Hernandez</v>
      </c>
      <c r="BX390" s="306">
        <f ca="1">COUNTIF('Group Stages'!J7:J102,BW390)</f>
        <v>0</v>
      </c>
      <c r="BY390" s="306">
        <f ca="1">COUNTIF('Group Stages'!K7:K102,BW390)</f>
        <v>0</v>
      </c>
      <c r="BZ390" s="306">
        <f ca="1">COUNTIF('Group Stages'!L7:L102,BW390)</f>
        <v>0</v>
      </c>
      <c r="CA390" s="306">
        <f ca="1">COUNTIF('Group Stages'!M7:M102,BW390)</f>
        <v>0</v>
      </c>
      <c r="CB390" s="306">
        <f ca="1">COUNTIF('Group Stages'!N7:N102,BW390)</f>
        <v>0</v>
      </c>
      <c r="CC390" s="306">
        <f ca="1">COUNTIF('Group Stages'!O7:O102,BW390)</f>
        <v>0</v>
      </c>
      <c r="CD390" s="306">
        <f ca="1">COUNTIF('Group Stages'!P7:P102,BW390)</f>
        <v>0</v>
      </c>
      <c r="CE390" s="306">
        <f ca="1">COUNTIF('Group Stages'!Q7:Q102,BW390)</f>
        <v>0</v>
      </c>
      <c r="CF390" s="306">
        <f ca="1">COUNTIF('Knock Out Stages'!K7:K50,BW390)</f>
        <v>0</v>
      </c>
      <c r="CG390" s="306">
        <f ca="1">COUNTIF('Knock Out Stages'!L7:L50,BW390)</f>
        <v>0</v>
      </c>
      <c r="CH390" s="306">
        <f ca="1">COUNTIF('Knock Out Stages'!M7:M50,BW390)</f>
        <v>0</v>
      </c>
      <c r="CI390" s="306">
        <f ca="1">COUNTIF('Knock Out Stages'!N7:N50,BW390)</f>
        <v>0</v>
      </c>
      <c r="CJ390" s="306">
        <f ca="1">COUNTIF('Knock Out Stages'!O7:O50,BW390)</f>
        <v>0</v>
      </c>
      <c r="CK390" s="306">
        <f ca="1">COUNTIF('Knock Out Stages'!P7:P50,BW390)</f>
        <v>0</v>
      </c>
      <c r="CL390" s="306">
        <f ca="1">COUNTIF('Knock Out Stages'!Q7:Q50,BW390)</f>
        <v>0</v>
      </c>
      <c r="CM390" s="306">
        <f ca="1">COUNTIF('Knock Out Stages'!R7:R50,BW390)</f>
        <v>0</v>
      </c>
      <c r="CN390" s="306">
        <f ca="1">IF(RIGHT('Group Stages'!$B$105,5)="T.com",SUM(BX390:CM390),0)</f>
        <v>0</v>
      </c>
      <c r="CO390" s="306">
        <f ca="1">RANK(CN390,CN3:CN834)+COUNTIF(CN3:CN390,CN390)-1</f>
        <v>388</v>
      </c>
      <c r="CP390" s="306" t="str">
        <f t="shared" ca="1" si="202"/>
        <v>Theo Hernandez (France)</v>
      </c>
    </row>
    <row r="391" spans="72:94" x14ac:dyDescent="0.3">
      <c r="BT391" s="306" t="str">
        <f t="shared" ca="1" si="199"/>
        <v>France</v>
      </c>
      <c r="BU391" s="306">
        <f t="shared" si="200"/>
        <v>24</v>
      </c>
      <c r="BV391" s="306">
        <f t="shared" si="201"/>
        <v>13</v>
      </c>
      <c r="BW391" s="306" t="str">
        <f ca="1">OFFSET(C3,BU391,BV391)</f>
        <v>William Saliba</v>
      </c>
      <c r="BX391" s="306">
        <f ca="1">COUNTIF('Group Stages'!J7:J102,BW391)</f>
        <v>0</v>
      </c>
      <c r="BY391" s="306">
        <f ca="1">COUNTIF('Group Stages'!K7:K102,BW391)</f>
        <v>0</v>
      </c>
      <c r="BZ391" s="306">
        <f ca="1">COUNTIF('Group Stages'!L7:L102,BW391)</f>
        <v>0</v>
      </c>
      <c r="CA391" s="306">
        <f ca="1">COUNTIF('Group Stages'!M7:M102,BW391)</f>
        <v>0</v>
      </c>
      <c r="CB391" s="306">
        <f ca="1">COUNTIF('Group Stages'!N7:N102,BW391)</f>
        <v>0</v>
      </c>
      <c r="CC391" s="306">
        <f ca="1">COUNTIF('Group Stages'!O7:O102,BW391)</f>
        <v>0</v>
      </c>
      <c r="CD391" s="306">
        <f ca="1">COUNTIF('Group Stages'!P7:P102,BW391)</f>
        <v>0</v>
      </c>
      <c r="CE391" s="306">
        <f ca="1">COUNTIF('Group Stages'!Q7:Q102,BW391)</f>
        <v>0</v>
      </c>
      <c r="CF391" s="306">
        <f ca="1">COUNTIF('Knock Out Stages'!K7:K50,BW391)</f>
        <v>0</v>
      </c>
      <c r="CG391" s="306">
        <f ca="1">COUNTIF('Knock Out Stages'!L7:L50,BW391)</f>
        <v>0</v>
      </c>
      <c r="CH391" s="306">
        <f ca="1">COUNTIF('Knock Out Stages'!M7:M50,BW391)</f>
        <v>0</v>
      </c>
      <c r="CI391" s="306">
        <f ca="1">COUNTIF('Knock Out Stages'!N7:N50,BW391)</f>
        <v>0</v>
      </c>
      <c r="CJ391" s="306">
        <f ca="1">COUNTIF('Knock Out Stages'!O7:O50,BW391)</f>
        <v>0</v>
      </c>
      <c r="CK391" s="306">
        <f ca="1">COUNTIF('Knock Out Stages'!P7:P50,BW391)</f>
        <v>0</v>
      </c>
      <c r="CL391" s="306">
        <f ca="1">COUNTIF('Knock Out Stages'!Q7:Q50,BW391)</f>
        <v>0</v>
      </c>
      <c r="CM391" s="306">
        <f ca="1">COUNTIF('Knock Out Stages'!R7:R50,BW391)</f>
        <v>0</v>
      </c>
      <c r="CN391" s="306">
        <f ca="1">IF(RIGHT('Group Stages'!$B$105,5)="T.com",SUM(BX391:CM391),0)</f>
        <v>0</v>
      </c>
      <c r="CO391" s="306">
        <f ca="1">RANK(CN391,CN3:CN834)+COUNTIF(CN3:CN391,CN391)-1</f>
        <v>389</v>
      </c>
      <c r="CP391" s="306" t="str">
        <f t="shared" ca="1" si="202"/>
        <v>William Saliba (France)</v>
      </c>
    </row>
    <row r="392" spans="72:94" x14ac:dyDescent="0.3">
      <c r="BT392" s="306" t="str">
        <f t="shared" ca="1" si="199"/>
        <v>France</v>
      </c>
      <c r="BU392" s="306">
        <f t="shared" si="200"/>
        <v>25</v>
      </c>
      <c r="BV392" s="306">
        <f t="shared" si="201"/>
        <v>13</v>
      </c>
      <c r="BW392" s="306" t="str">
        <f ca="1">OFFSET(C3,BU392,BV392)</f>
        <v>Youssouf Fofana</v>
      </c>
      <c r="BX392" s="306">
        <f ca="1">COUNTIF('Group Stages'!J7:J102,BW392)</f>
        <v>0</v>
      </c>
      <c r="BY392" s="306">
        <f ca="1">COUNTIF('Group Stages'!K7:K102,BW392)</f>
        <v>0</v>
      </c>
      <c r="BZ392" s="306">
        <f ca="1">COUNTIF('Group Stages'!L7:L102,BW392)</f>
        <v>0</v>
      </c>
      <c r="CA392" s="306">
        <f ca="1">COUNTIF('Group Stages'!M7:M102,BW392)</f>
        <v>0</v>
      </c>
      <c r="CB392" s="306">
        <f ca="1">COUNTIF('Group Stages'!N7:N102,BW392)</f>
        <v>0</v>
      </c>
      <c r="CC392" s="306">
        <f ca="1">COUNTIF('Group Stages'!O7:O102,BW392)</f>
        <v>0</v>
      </c>
      <c r="CD392" s="306">
        <f ca="1">COUNTIF('Group Stages'!P7:P102,BW392)</f>
        <v>0</v>
      </c>
      <c r="CE392" s="306">
        <f ca="1">COUNTIF('Group Stages'!Q7:Q102,BW392)</f>
        <v>0</v>
      </c>
      <c r="CF392" s="306">
        <f ca="1">COUNTIF('Knock Out Stages'!K7:K50,BW392)</f>
        <v>0</v>
      </c>
      <c r="CG392" s="306">
        <f ca="1">COUNTIF('Knock Out Stages'!L7:L50,BW392)</f>
        <v>0</v>
      </c>
      <c r="CH392" s="306">
        <f ca="1">COUNTIF('Knock Out Stages'!M7:M50,BW392)</f>
        <v>0</v>
      </c>
      <c r="CI392" s="306">
        <f ca="1">COUNTIF('Knock Out Stages'!N7:N50,BW392)</f>
        <v>0</v>
      </c>
      <c r="CJ392" s="306">
        <f ca="1">COUNTIF('Knock Out Stages'!O7:O50,BW392)</f>
        <v>0</v>
      </c>
      <c r="CK392" s="306">
        <f ca="1">COUNTIF('Knock Out Stages'!P7:P50,BW392)</f>
        <v>0</v>
      </c>
      <c r="CL392" s="306">
        <f ca="1">COUNTIF('Knock Out Stages'!Q7:Q50,BW392)</f>
        <v>0</v>
      </c>
      <c r="CM392" s="306">
        <f ca="1">COUNTIF('Knock Out Stages'!R7:R50,BW392)</f>
        <v>0</v>
      </c>
      <c r="CN392" s="306">
        <f ca="1">IF(RIGHT('Group Stages'!$B$105,5)="T.com",SUM(BX392:CM392),0)</f>
        <v>0</v>
      </c>
      <c r="CO392" s="306">
        <f ca="1">RANK(CN392,CN3:CN834)+COUNTIF(CN3:CN392,CN392)-1</f>
        <v>390</v>
      </c>
      <c r="CP392" s="306" t="str">
        <f t="shared" ca="1" si="202"/>
        <v>Youssouf Fofana (France)</v>
      </c>
    </row>
    <row r="393" spans="72:94" x14ac:dyDescent="0.3">
      <c r="BT393" s="306" t="str">
        <f ca="1">OFFSET(C2,BU393,BV393)</f>
        <v>Australia</v>
      </c>
      <c r="BU393" s="306">
        <f t="shared" si="200"/>
        <v>0</v>
      </c>
      <c r="BV393" s="306">
        <f t="shared" si="201"/>
        <v>14</v>
      </c>
      <c r="BW393" s="306" t="str">
        <f ca="1">OFFSET(C3,BU393,BV393)</f>
        <v>Aaron Mooy</v>
      </c>
      <c r="BX393" s="306">
        <f ca="1">COUNTIF('Group Stages'!J7:J102,BW393)</f>
        <v>0</v>
      </c>
      <c r="BY393" s="306">
        <f ca="1">COUNTIF('Group Stages'!K7:K102,BW393)</f>
        <v>0</v>
      </c>
      <c r="BZ393" s="306">
        <f ca="1">COUNTIF('Group Stages'!L7:L102,BW393)</f>
        <v>0</v>
      </c>
      <c r="CA393" s="306">
        <f ca="1">COUNTIF('Group Stages'!M7:M102,BW393)</f>
        <v>0</v>
      </c>
      <c r="CB393" s="306">
        <f ca="1">COUNTIF('Group Stages'!N7:N102,BW393)</f>
        <v>0</v>
      </c>
      <c r="CC393" s="306">
        <f ca="1">COUNTIF('Group Stages'!O7:O102,BW393)</f>
        <v>0</v>
      </c>
      <c r="CD393" s="306">
        <f ca="1">COUNTIF('Group Stages'!P7:P102,BW393)</f>
        <v>0</v>
      </c>
      <c r="CE393" s="306">
        <f ca="1">COUNTIF('Group Stages'!Q7:Q102,BW393)</f>
        <v>0</v>
      </c>
      <c r="CF393" s="306">
        <f ca="1">COUNTIF('Knock Out Stages'!K7:K50,BW393)</f>
        <v>0</v>
      </c>
      <c r="CG393" s="306">
        <f ca="1">COUNTIF('Knock Out Stages'!L7:L50,BW393)</f>
        <v>0</v>
      </c>
      <c r="CH393" s="306">
        <f ca="1">COUNTIF('Knock Out Stages'!M7:M50,BW393)</f>
        <v>0</v>
      </c>
      <c r="CI393" s="306">
        <f ca="1">COUNTIF('Knock Out Stages'!N7:N50,BW393)</f>
        <v>0</v>
      </c>
      <c r="CJ393" s="306">
        <f ca="1">COUNTIF('Knock Out Stages'!O7:O50,BW393)</f>
        <v>0</v>
      </c>
      <c r="CK393" s="306">
        <f ca="1">COUNTIF('Knock Out Stages'!P7:P50,BW393)</f>
        <v>0</v>
      </c>
      <c r="CL393" s="306">
        <f ca="1">COUNTIF('Knock Out Stages'!Q7:Q50,BW393)</f>
        <v>0</v>
      </c>
      <c r="CM393" s="306">
        <f ca="1">COUNTIF('Knock Out Stages'!R7:R50,BW393)</f>
        <v>0</v>
      </c>
      <c r="CN393" s="306">
        <f ca="1">IF(RIGHT('Group Stages'!$B$105,5)="T.com",SUM(BX393:CM393),0)</f>
        <v>0</v>
      </c>
      <c r="CO393" s="306">
        <f ca="1">RANK(CN393,CN3:CN834)+COUNTIF(CN3:CN393,CN393)-1</f>
        <v>391</v>
      </c>
      <c r="CP393" s="306" t="str">
        <f t="shared" ca="1" si="202"/>
        <v>Aaron Mooy (Australia)</v>
      </c>
    </row>
    <row r="394" spans="72:94" x14ac:dyDescent="0.3">
      <c r="BT394" s="306" t="str">
        <f t="shared" ref="BT394" ca="1" si="203">BT393</f>
        <v>Australia</v>
      </c>
      <c r="BU394" s="306">
        <f t="shared" si="200"/>
        <v>1</v>
      </c>
      <c r="BV394" s="306">
        <f t="shared" si="201"/>
        <v>14</v>
      </c>
      <c r="BW394" s="306" t="str">
        <f ca="1">OFFSET(C3,BU394,BV394)</f>
        <v>Ajdin Hrustic</v>
      </c>
      <c r="BX394" s="306">
        <f ca="1">COUNTIF('Group Stages'!J7:J102,BW394)</f>
        <v>0</v>
      </c>
      <c r="BY394" s="306">
        <f ca="1">COUNTIF('Group Stages'!K7:K102,BW394)</f>
        <v>0</v>
      </c>
      <c r="BZ394" s="306">
        <f ca="1">COUNTIF('Group Stages'!L7:L102,BW394)</f>
        <v>0</v>
      </c>
      <c r="CA394" s="306">
        <f ca="1">COUNTIF('Group Stages'!M7:M102,BW394)</f>
        <v>0</v>
      </c>
      <c r="CB394" s="306">
        <f ca="1">COUNTIF('Group Stages'!N7:N102,BW394)</f>
        <v>0</v>
      </c>
      <c r="CC394" s="306">
        <f ca="1">COUNTIF('Group Stages'!O7:O102,BW394)</f>
        <v>0</v>
      </c>
      <c r="CD394" s="306">
        <f ca="1">COUNTIF('Group Stages'!P7:P102,BW394)</f>
        <v>0</v>
      </c>
      <c r="CE394" s="306">
        <f ca="1">COUNTIF('Group Stages'!Q7:Q102,BW394)</f>
        <v>0</v>
      </c>
      <c r="CF394" s="306">
        <f ca="1">COUNTIF('Knock Out Stages'!K7:K50,BW394)</f>
        <v>0</v>
      </c>
      <c r="CG394" s="306">
        <f ca="1">COUNTIF('Knock Out Stages'!L7:L50,BW394)</f>
        <v>0</v>
      </c>
      <c r="CH394" s="306">
        <f ca="1">COUNTIF('Knock Out Stages'!M7:M50,BW394)</f>
        <v>0</v>
      </c>
      <c r="CI394" s="306">
        <f ca="1">COUNTIF('Knock Out Stages'!N7:N50,BW394)</f>
        <v>0</v>
      </c>
      <c r="CJ394" s="306">
        <f ca="1">COUNTIF('Knock Out Stages'!O7:O50,BW394)</f>
        <v>0</v>
      </c>
      <c r="CK394" s="306">
        <f ca="1">COUNTIF('Knock Out Stages'!P7:P50,BW394)</f>
        <v>0</v>
      </c>
      <c r="CL394" s="306">
        <f ca="1">COUNTIF('Knock Out Stages'!Q7:Q50,BW394)</f>
        <v>0</v>
      </c>
      <c r="CM394" s="306">
        <f ca="1">COUNTIF('Knock Out Stages'!R7:R50,BW394)</f>
        <v>0</v>
      </c>
      <c r="CN394" s="306">
        <f ca="1">IF(RIGHT('Group Stages'!$B$105,5)="T.com",SUM(BX394:CM394),0)</f>
        <v>0</v>
      </c>
      <c r="CO394" s="306">
        <f ca="1">RANK(CN394,CN3:CN834)+COUNTIF(CN3:CN394,CN394)-1</f>
        <v>392</v>
      </c>
      <c r="CP394" s="306" t="str">
        <f t="shared" ca="1" si="202"/>
        <v>Ajdin Hrustic (Australia)</v>
      </c>
    </row>
    <row r="395" spans="72:94" x14ac:dyDescent="0.3">
      <c r="BT395" s="306" t="str">
        <f t="shared" ca="1" si="199"/>
        <v>Australia</v>
      </c>
      <c r="BU395" s="306">
        <f t="shared" si="200"/>
        <v>2</v>
      </c>
      <c r="BV395" s="306">
        <f t="shared" si="201"/>
        <v>14</v>
      </c>
      <c r="BW395" s="306" t="str">
        <f ca="1">OFFSET(C3,BU395,BV395)</f>
        <v>Andrew Redmayne</v>
      </c>
      <c r="BX395" s="306">
        <f ca="1">COUNTIF('Group Stages'!J7:J102,BW395)</f>
        <v>0</v>
      </c>
      <c r="BY395" s="306">
        <f ca="1">COUNTIF('Group Stages'!K7:K102,BW395)</f>
        <v>0</v>
      </c>
      <c r="BZ395" s="306">
        <f ca="1">COUNTIF('Group Stages'!L7:L102,BW395)</f>
        <v>0</v>
      </c>
      <c r="CA395" s="306">
        <f ca="1">COUNTIF('Group Stages'!M7:M102,BW395)</f>
        <v>0</v>
      </c>
      <c r="CB395" s="306">
        <f ca="1">COUNTIF('Group Stages'!N7:N102,BW395)</f>
        <v>0</v>
      </c>
      <c r="CC395" s="306">
        <f ca="1">COUNTIF('Group Stages'!O7:O102,BW395)</f>
        <v>0</v>
      </c>
      <c r="CD395" s="306">
        <f ca="1">COUNTIF('Group Stages'!P7:P102,BW395)</f>
        <v>0</v>
      </c>
      <c r="CE395" s="306">
        <f ca="1">COUNTIF('Group Stages'!Q7:Q102,BW395)</f>
        <v>0</v>
      </c>
      <c r="CF395" s="306">
        <f ca="1">COUNTIF('Knock Out Stages'!K7:K50,BW395)</f>
        <v>0</v>
      </c>
      <c r="CG395" s="306">
        <f ca="1">COUNTIF('Knock Out Stages'!L7:L50,BW395)</f>
        <v>0</v>
      </c>
      <c r="CH395" s="306">
        <f ca="1">COUNTIF('Knock Out Stages'!M7:M50,BW395)</f>
        <v>0</v>
      </c>
      <c r="CI395" s="306">
        <f ca="1">COUNTIF('Knock Out Stages'!N7:N50,BW395)</f>
        <v>0</v>
      </c>
      <c r="CJ395" s="306">
        <f ca="1">COUNTIF('Knock Out Stages'!O7:O50,BW395)</f>
        <v>0</v>
      </c>
      <c r="CK395" s="306">
        <f ca="1">COUNTIF('Knock Out Stages'!P7:P50,BW395)</f>
        <v>0</v>
      </c>
      <c r="CL395" s="306">
        <f ca="1">COUNTIF('Knock Out Stages'!Q7:Q50,BW395)</f>
        <v>0</v>
      </c>
      <c r="CM395" s="306">
        <f ca="1">COUNTIF('Knock Out Stages'!R7:R50,BW395)</f>
        <v>0</v>
      </c>
      <c r="CN395" s="306">
        <f ca="1">IF(RIGHT('Group Stages'!$B$105,5)="T.com",SUM(BX395:CM395),0)</f>
        <v>0</v>
      </c>
      <c r="CO395" s="306">
        <f ca="1">RANK(CN395,CN3:CN834)+COUNTIF(CN3:CN395,CN395)-1</f>
        <v>393</v>
      </c>
      <c r="CP395" s="306" t="str">
        <f t="shared" ca="1" si="202"/>
        <v>Andrew Redmayne (Australia)</v>
      </c>
    </row>
    <row r="396" spans="72:94" x14ac:dyDescent="0.3">
      <c r="BT396" s="306" t="str">
        <f t="shared" ca="1" si="199"/>
        <v>Australia</v>
      </c>
      <c r="BU396" s="306">
        <f t="shared" si="200"/>
        <v>3</v>
      </c>
      <c r="BV396" s="306">
        <f t="shared" si="201"/>
        <v>14</v>
      </c>
      <c r="BW396" s="306" t="str">
        <f ca="1">OFFSET(C3,BU396,BV396)</f>
        <v>Awer Mabil</v>
      </c>
      <c r="BX396" s="306">
        <f ca="1">COUNTIF('Group Stages'!J7:J102,BW396)</f>
        <v>0</v>
      </c>
      <c r="BY396" s="306">
        <f ca="1">COUNTIF('Group Stages'!K7:K102,BW396)</f>
        <v>0</v>
      </c>
      <c r="BZ396" s="306">
        <f ca="1">COUNTIF('Group Stages'!L7:L102,BW396)</f>
        <v>0</v>
      </c>
      <c r="CA396" s="306">
        <f ca="1">COUNTIF('Group Stages'!M7:M102,BW396)</f>
        <v>0</v>
      </c>
      <c r="CB396" s="306">
        <f ca="1">COUNTIF('Group Stages'!N7:N102,BW396)</f>
        <v>0</v>
      </c>
      <c r="CC396" s="306">
        <f ca="1">COUNTIF('Group Stages'!O7:O102,BW396)</f>
        <v>0</v>
      </c>
      <c r="CD396" s="306">
        <f ca="1">COUNTIF('Group Stages'!P7:P102,BW396)</f>
        <v>0</v>
      </c>
      <c r="CE396" s="306">
        <f ca="1">COUNTIF('Group Stages'!Q7:Q102,BW396)</f>
        <v>0</v>
      </c>
      <c r="CF396" s="306">
        <f ca="1">COUNTIF('Knock Out Stages'!K7:K50,BW396)</f>
        <v>0</v>
      </c>
      <c r="CG396" s="306">
        <f ca="1">COUNTIF('Knock Out Stages'!L7:L50,BW396)</f>
        <v>0</v>
      </c>
      <c r="CH396" s="306">
        <f ca="1">COUNTIF('Knock Out Stages'!M7:M50,BW396)</f>
        <v>0</v>
      </c>
      <c r="CI396" s="306">
        <f ca="1">COUNTIF('Knock Out Stages'!N7:N50,BW396)</f>
        <v>0</v>
      </c>
      <c r="CJ396" s="306">
        <f ca="1">COUNTIF('Knock Out Stages'!O7:O50,BW396)</f>
        <v>0</v>
      </c>
      <c r="CK396" s="306">
        <f ca="1">COUNTIF('Knock Out Stages'!P7:P50,BW396)</f>
        <v>0</v>
      </c>
      <c r="CL396" s="306">
        <f ca="1">COUNTIF('Knock Out Stages'!Q7:Q50,BW396)</f>
        <v>0</v>
      </c>
      <c r="CM396" s="306">
        <f ca="1">COUNTIF('Knock Out Stages'!R7:R50,BW396)</f>
        <v>0</v>
      </c>
      <c r="CN396" s="306">
        <f ca="1">IF(RIGHT('Group Stages'!$B$105,5)="T.com",SUM(BX396:CM396),0)</f>
        <v>0</v>
      </c>
      <c r="CO396" s="306">
        <f ca="1">RANK(CN396,CN3:CN834)+COUNTIF(CN3:CN396,CN396)-1</f>
        <v>394</v>
      </c>
      <c r="CP396" s="306" t="str">
        <f t="shared" ca="1" si="202"/>
        <v>Awer Mabil (Australia)</v>
      </c>
    </row>
    <row r="397" spans="72:94" x14ac:dyDescent="0.3">
      <c r="BT397" s="306" t="str">
        <f t="shared" ca="1" si="199"/>
        <v>Australia</v>
      </c>
      <c r="BU397" s="306">
        <f t="shared" si="200"/>
        <v>4</v>
      </c>
      <c r="BV397" s="306">
        <f t="shared" si="201"/>
        <v>14</v>
      </c>
      <c r="BW397" s="306" t="str">
        <f ca="1">OFFSET(C3,BU397,BV397)</f>
        <v>Aziz Behich</v>
      </c>
      <c r="BX397" s="306">
        <f ca="1">COUNTIF('Group Stages'!J7:J102,BW397)</f>
        <v>0</v>
      </c>
      <c r="BY397" s="306">
        <f ca="1">COUNTIF('Group Stages'!K7:K102,BW397)</f>
        <v>0</v>
      </c>
      <c r="BZ397" s="306">
        <f ca="1">COUNTIF('Group Stages'!L7:L102,BW397)</f>
        <v>0</v>
      </c>
      <c r="CA397" s="306">
        <f ca="1">COUNTIF('Group Stages'!M7:M102,BW397)</f>
        <v>0</v>
      </c>
      <c r="CB397" s="306">
        <f ca="1">COUNTIF('Group Stages'!N7:N102,BW397)</f>
        <v>0</v>
      </c>
      <c r="CC397" s="306">
        <f ca="1">COUNTIF('Group Stages'!O7:O102,BW397)</f>
        <v>0</v>
      </c>
      <c r="CD397" s="306">
        <f ca="1">COUNTIF('Group Stages'!P7:P102,BW397)</f>
        <v>0</v>
      </c>
      <c r="CE397" s="306">
        <f ca="1">COUNTIF('Group Stages'!Q7:Q102,BW397)</f>
        <v>0</v>
      </c>
      <c r="CF397" s="306">
        <f ca="1">COUNTIF('Knock Out Stages'!K7:K50,BW397)</f>
        <v>0</v>
      </c>
      <c r="CG397" s="306">
        <f ca="1">COUNTIF('Knock Out Stages'!L7:L50,BW397)</f>
        <v>0</v>
      </c>
      <c r="CH397" s="306">
        <f ca="1">COUNTIF('Knock Out Stages'!M7:M50,BW397)</f>
        <v>0</v>
      </c>
      <c r="CI397" s="306">
        <f ca="1">COUNTIF('Knock Out Stages'!N7:N50,BW397)</f>
        <v>0</v>
      </c>
      <c r="CJ397" s="306">
        <f ca="1">COUNTIF('Knock Out Stages'!O7:O50,BW397)</f>
        <v>0</v>
      </c>
      <c r="CK397" s="306">
        <f ca="1">COUNTIF('Knock Out Stages'!P7:P50,BW397)</f>
        <v>0</v>
      </c>
      <c r="CL397" s="306">
        <f ca="1">COUNTIF('Knock Out Stages'!Q7:Q50,BW397)</f>
        <v>0</v>
      </c>
      <c r="CM397" s="306">
        <f ca="1">COUNTIF('Knock Out Stages'!R7:R50,BW397)</f>
        <v>0</v>
      </c>
      <c r="CN397" s="306">
        <f ca="1">IF(RIGHT('Group Stages'!$B$105,5)="T.com",SUM(BX397:CM397),0)</f>
        <v>0</v>
      </c>
      <c r="CO397" s="306">
        <f ca="1">RANK(CN397,CN3:CN834)+COUNTIF(CN3:CN397,CN397)-1</f>
        <v>395</v>
      </c>
      <c r="CP397" s="306" t="str">
        <f t="shared" ca="1" si="202"/>
        <v>Aziz Behich (Australia)</v>
      </c>
    </row>
    <row r="398" spans="72:94" x14ac:dyDescent="0.3">
      <c r="BT398" s="306" t="str">
        <f t="shared" ca="1" si="199"/>
        <v>Australia</v>
      </c>
      <c r="BU398" s="306">
        <f t="shared" si="200"/>
        <v>5</v>
      </c>
      <c r="BV398" s="306">
        <f t="shared" si="201"/>
        <v>14</v>
      </c>
      <c r="BW398" s="306" t="str">
        <f ca="1">OFFSET(C3,BU398,BV398)</f>
        <v>Bailey Wright</v>
      </c>
      <c r="BX398" s="306">
        <f ca="1">COUNTIF('Group Stages'!J7:J102,BW398)</f>
        <v>0</v>
      </c>
      <c r="BY398" s="306">
        <f ca="1">COUNTIF('Group Stages'!K7:K102,BW398)</f>
        <v>0</v>
      </c>
      <c r="BZ398" s="306">
        <f ca="1">COUNTIF('Group Stages'!L7:L102,BW398)</f>
        <v>0</v>
      </c>
      <c r="CA398" s="306">
        <f ca="1">COUNTIF('Group Stages'!M7:M102,BW398)</f>
        <v>0</v>
      </c>
      <c r="CB398" s="306">
        <f ca="1">COUNTIF('Group Stages'!N7:N102,BW398)</f>
        <v>0</v>
      </c>
      <c r="CC398" s="306">
        <f ca="1">COUNTIF('Group Stages'!O7:O102,BW398)</f>
        <v>0</v>
      </c>
      <c r="CD398" s="306">
        <f ca="1">COUNTIF('Group Stages'!P7:P102,BW398)</f>
        <v>0</v>
      </c>
      <c r="CE398" s="306">
        <f ca="1">COUNTIF('Group Stages'!Q7:Q102,BW398)</f>
        <v>0</v>
      </c>
      <c r="CF398" s="306">
        <f ca="1">COUNTIF('Knock Out Stages'!K7:K50,BW398)</f>
        <v>0</v>
      </c>
      <c r="CG398" s="306">
        <f ca="1">COUNTIF('Knock Out Stages'!L7:L50,BW398)</f>
        <v>0</v>
      </c>
      <c r="CH398" s="306">
        <f ca="1">COUNTIF('Knock Out Stages'!M7:M50,BW398)</f>
        <v>0</v>
      </c>
      <c r="CI398" s="306">
        <f ca="1">COUNTIF('Knock Out Stages'!N7:N50,BW398)</f>
        <v>0</v>
      </c>
      <c r="CJ398" s="306">
        <f ca="1">COUNTIF('Knock Out Stages'!O7:O50,BW398)</f>
        <v>0</v>
      </c>
      <c r="CK398" s="306">
        <f ca="1">COUNTIF('Knock Out Stages'!P7:P50,BW398)</f>
        <v>0</v>
      </c>
      <c r="CL398" s="306">
        <f ca="1">COUNTIF('Knock Out Stages'!Q7:Q50,BW398)</f>
        <v>0</v>
      </c>
      <c r="CM398" s="306">
        <f ca="1">COUNTIF('Knock Out Stages'!R7:R50,BW398)</f>
        <v>0</v>
      </c>
      <c r="CN398" s="306">
        <f ca="1">IF(RIGHT('Group Stages'!$B$105,5)="T.com",SUM(BX398:CM398),0)</f>
        <v>0</v>
      </c>
      <c r="CO398" s="306">
        <f ca="1">RANK(CN398,CN3:CN834)+COUNTIF(CN3:CN398,CN398)-1</f>
        <v>396</v>
      </c>
      <c r="CP398" s="306" t="str">
        <f t="shared" ca="1" si="202"/>
        <v>Bailey Wright (Australia)</v>
      </c>
    </row>
    <row r="399" spans="72:94" x14ac:dyDescent="0.3">
      <c r="BT399" s="306" t="str">
        <f t="shared" ca="1" si="199"/>
        <v>Australia</v>
      </c>
      <c r="BU399" s="306">
        <f t="shared" si="200"/>
        <v>6</v>
      </c>
      <c r="BV399" s="306">
        <f t="shared" si="201"/>
        <v>14</v>
      </c>
      <c r="BW399" s="306" t="str">
        <f ca="1">OFFSET(C3,BU399,BV399)</f>
        <v>Cameron Devlin</v>
      </c>
      <c r="BX399" s="306">
        <f ca="1">COUNTIF('Group Stages'!J7:J102,BW399)</f>
        <v>0</v>
      </c>
      <c r="BY399" s="306">
        <f ca="1">COUNTIF('Group Stages'!K7:K102,BW399)</f>
        <v>0</v>
      </c>
      <c r="BZ399" s="306">
        <f ca="1">COUNTIF('Group Stages'!L7:L102,BW399)</f>
        <v>0</v>
      </c>
      <c r="CA399" s="306">
        <f ca="1">COUNTIF('Group Stages'!M7:M102,BW399)</f>
        <v>0</v>
      </c>
      <c r="CB399" s="306">
        <f ca="1">COUNTIF('Group Stages'!N7:N102,BW399)</f>
        <v>0</v>
      </c>
      <c r="CC399" s="306">
        <f ca="1">COUNTIF('Group Stages'!O7:O102,BW399)</f>
        <v>0</v>
      </c>
      <c r="CD399" s="306">
        <f ca="1">COUNTIF('Group Stages'!P7:P102,BW399)</f>
        <v>0</v>
      </c>
      <c r="CE399" s="306">
        <f ca="1">COUNTIF('Group Stages'!Q7:Q102,BW399)</f>
        <v>0</v>
      </c>
      <c r="CF399" s="306">
        <f ca="1">COUNTIF('Knock Out Stages'!K7:K50,BW399)</f>
        <v>0</v>
      </c>
      <c r="CG399" s="306">
        <f ca="1">COUNTIF('Knock Out Stages'!L7:L50,BW399)</f>
        <v>0</v>
      </c>
      <c r="CH399" s="306">
        <f ca="1">COUNTIF('Knock Out Stages'!M7:M50,BW399)</f>
        <v>0</v>
      </c>
      <c r="CI399" s="306">
        <f ca="1">COUNTIF('Knock Out Stages'!N7:N50,BW399)</f>
        <v>0</v>
      </c>
      <c r="CJ399" s="306">
        <f ca="1">COUNTIF('Knock Out Stages'!O7:O50,BW399)</f>
        <v>0</v>
      </c>
      <c r="CK399" s="306">
        <f ca="1">COUNTIF('Knock Out Stages'!P7:P50,BW399)</f>
        <v>0</v>
      </c>
      <c r="CL399" s="306">
        <f ca="1">COUNTIF('Knock Out Stages'!Q7:Q50,BW399)</f>
        <v>0</v>
      </c>
      <c r="CM399" s="306">
        <f ca="1">COUNTIF('Knock Out Stages'!R7:R50,BW399)</f>
        <v>0</v>
      </c>
      <c r="CN399" s="306">
        <f ca="1">IF(RIGHT('Group Stages'!$B$105,5)="T.com",SUM(BX399:CM399),0)</f>
        <v>0</v>
      </c>
      <c r="CO399" s="306">
        <f ca="1">RANK(CN399,CN3:CN834)+COUNTIF(CN3:CN399,CN399)-1</f>
        <v>397</v>
      </c>
      <c r="CP399" s="306" t="str">
        <f t="shared" ca="1" si="202"/>
        <v>Cameron Devlin (Australia)</v>
      </c>
    </row>
    <row r="400" spans="72:94" x14ac:dyDescent="0.3">
      <c r="BT400" s="306" t="str">
        <f t="shared" ca="1" si="199"/>
        <v>Australia</v>
      </c>
      <c r="BU400" s="306">
        <f t="shared" si="200"/>
        <v>7</v>
      </c>
      <c r="BV400" s="306">
        <f t="shared" si="201"/>
        <v>14</v>
      </c>
      <c r="BW400" s="306" t="str">
        <f ca="1">OFFSET(C3,BU400,BV400)</f>
        <v>Craig Goodwin</v>
      </c>
      <c r="BX400" s="306">
        <f ca="1">COUNTIF('Group Stages'!J7:J102,BW400)</f>
        <v>0</v>
      </c>
      <c r="BY400" s="306">
        <f ca="1">COUNTIF('Group Stages'!K7:K102,BW400)</f>
        <v>0</v>
      </c>
      <c r="BZ400" s="306">
        <f ca="1">COUNTIF('Group Stages'!L7:L102,BW400)</f>
        <v>0</v>
      </c>
      <c r="CA400" s="306">
        <f ca="1">COUNTIF('Group Stages'!M7:M102,BW400)</f>
        <v>0</v>
      </c>
      <c r="CB400" s="306">
        <f ca="1">COUNTIF('Group Stages'!N7:N102,BW400)</f>
        <v>0</v>
      </c>
      <c r="CC400" s="306">
        <f ca="1">COUNTIF('Group Stages'!O7:O102,BW400)</f>
        <v>0</v>
      </c>
      <c r="CD400" s="306">
        <f ca="1">COUNTIF('Group Stages'!P7:P102,BW400)</f>
        <v>0</v>
      </c>
      <c r="CE400" s="306">
        <f ca="1">COUNTIF('Group Stages'!Q7:Q102,BW400)</f>
        <v>0</v>
      </c>
      <c r="CF400" s="306">
        <f ca="1">COUNTIF('Knock Out Stages'!K7:K50,BW400)</f>
        <v>0</v>
      </c>
      <c r="CG400" s="306">
        <f ca="1">COUNTIF('Knock Out Stages'!L7:L50,BW400)</f>
        <v>0</v>
      </c>
      <c r="CH400" s="306">
        <f ca="1">COUNTIF('Knock Out Stages'!M7:M50,BW400)</f>
        <v>0</v>
      </c>
      <c r="CI400" s="306">
        <f ca="1">COUNTIF('Knock Out Stages'!N7:N50,BW400)</f>
        <v>0</v>
      </c>
      <c r="CJ400" s="306">
        <f ca="1">COUNTIF('Knock Out Stages'!O7:O50,BW400)</f>
        <v>0</v>
      </c>
      <c r="CK400" s="306">
        <f ca="1">COUNTIF('Knock Out Stages'!P7:P50,BW400)</f>
        <v>0</v>
      </c>
      <c r="CL400" s="306">
        <f ca="1">COUNTIF('Knock Out Stages'!Q7:Q50,BW400)</f>
        <v>0</v>
      </c>
      <c r="CM400" s="306">
        <f ca="1">COUNTIF('Knock Out Stages'!R7:R50,BW400)</f>
        <v>0</v>
      </c>
      <c r="CN400" s="306">
        <f ca="1">IF(RIGHT('Group Stages'!$B$105,5)="T.com",SUM(BX400:CM400),0)</f>
        <v>0</v>
      </c>
      <c r="CO400" s="306">
        <f ca="1">RANK(CN400,CN3:CN834)+COUNTIF(CN3:CN400,CN400)-1</f>
        <v>398</v>
      </c>
      <c r="CP400" s="306" t="str">
        <f t="shared" ca="1" si="202"/>
        <v>Craig Goodwin (Australia)</v>
      </c>
    </row>
    <row r="401" spans="72:94" x14ac:dyDescent="0.3">
      <c r="BT401" s="306" t="str">
        <f t="shared" ca="1" si="199"/>
        <v>Australia</v>
      </c>
      <c r="BU401" s="306">
        <f t="shared" si="200"/>
        <v>8</v>
      </c>
      <c r="BV401" s="306">
        <f t="shared" si="201"/>
        <v>14</v>
      </c>
      <c r="BW401" s="306" t="str">
        <f ca="1">OFFSET(C3,BU401,BV401)</f>
        <v>Danny Vukovic</v>
      </c>
      <c r="BX401" s="306">
        <f ca="1">COUNTIF('Group Stages'!J7:J102,BW401)</f>
        <v>0</v>
      </c>
      <c r="BY401" s="306">
        <f ca="1">COUNTIF('Group Stages'!K7:K102,BW401)</f>
        <v>0</v>
      </c>
      <c r="BZ401" s="306">
        <f ca="1">COUNTIF('Group Stages'!L7:L102,BW401)</f>
        <v>0</v>
      </c>
      <c r="CA401" s="306">
        <f ca="1">COUNTIF('Group Stages'!M7:M102,BW401)</f>
        <v>0</v>
      </c>
      <c r="CB401" s="306">
        <f ca="1">COUNTIF('Group Stages'!N7:N102,BW401)</f>
        <v>0</v>
      </c>
      <c r="CC401" s="306">
        <f ca="1">COUNTIF('Group Stages'!O7:O102,BW401)</f>
        <v>0</v>
      </c>
      <c r="CD401" s="306">
        <f ca="1">COUNTIF('Group Stages'!P7:P102,BW401)</f>
        <v>0</v>
      </c>
      <c r="CE401" s="306">
        <f ca="1">COUNTIF('Group Stages'!Q7:Q102,BW401)</f>
        <v>0</v>
      </c>
      <c r="CF401" s="306">
        <f ca="1">COUNTIF('Knock Out Stages'!K7:K50,BW401)</f>
        <v>0</v>
      </c>
      <c r="CG401" s="306">
        <f ca="1">COUNTIF('Knock Out Stages'!L7:L50,BW401)</f>
        <v>0</v>
      </c>
      <c r="CH401" s="306">
        <f ca="1">COUNTIF('Knock Out Stages'!M7:M50,BW401)</f>
        <v>0</v>
      </c>
      <c r="CI401" s="306">
        <f ca="1">COUNTIF('Knock Out Stages'!N7:N50,BW401)</f>
        <v>0</v>
      </c>
      <c r="CJ401" s="306">
        <f ca="1">COUNTIF('Knock Out Stages'!O7:O50,BW401)</f>
        <v>0</v>
      </c>
      <c r="CK401" s="306">
        <f ca="1">COUNTIF('Knock Out Stages'!P7:P50,BW401)</f>
        <v>0</v>
      </c>
      <c r="CL401" s="306">
        <f ca="1">COUNTIF('Knock Out Stages'!Q7:Q50,BW401)</f>
        <v>0</v>
      </c>
      <c r="CM401" s="306">
        <f ca="1">COUNTIF('Knock Out Stages'!R7:R50,BW401)</f>
        <v>0</v>
      </c>
      <c r="CN401" s="306">
        <f ca="1">IF(RIGHT('Group Stages'!$B$105,5)="T.com",SUM(BX401:CM401),0)</f>
        <v>0</v>
      </c>
      <c r="CO401" s="306">
        <f ca="1">RANK(CN401,CN3:CN834)+COUNTIF(CN3:CN401,CN401)-1</f>
        <v>399</v>
      </c>
      <c r="CP401" s="306" t="str">
        <f t="shared" ca="1" si="202"/>
        <v>Danny Vukovic (Australia)</v>
      </c>
    </row>
    <row r="402" spans="72:94" x14ac:dyDescent="0.3">
      <c r="BT402" s="306" t="str">
        <f t="shared" ca="1" si="199"/>
        <v>Australia</v>
      </c>
      <c r="BU402" s="306">
        <f t="shared" si="200"/>
        <v>9</v>
      </c>
      <c r="BV402" s="306">
        <f t="shared" si="201"/>
        <v>14</v>
      </c>
      <c r="BW402" s="306" t="str">
        <f ca="1">OFFSET(C3,BU402,BV402)</f>
        <v>Fran Karačić</v>
      </c>
      <c r="BX402" s="306">
        <f ca="1">COUNTIF('Group Stages'!J7:J102,BW402)</f>
        <v>0</v>
      </c>
      <c r="BY402" s="306">
        <f ca="1">COUNTIF('Group Stages'!K7:K102,BW402)</f>
        <v>0</v>
      </c>
      <c r="BZ402" s="306">
        <f ca="1">COUNTIF('Group Stages'!L7:L102,BW402)</f>
        <v>0</v>
      </c>
      <c r="CA402" s="306">
        <f ca="1">COUNTIF('Group Stages'!M7:M102,BW402)</f>
        <v>0</v>
      </c>
      <c r="CB402" s="306">
        <f ca="1">COUNTIF('Group Stages'!N7:N102,BW402)</f>
        <v>0</v>
      </c>
      <c r="CC402" s="306">
        <f ca="1">COUNTIF('Group Stages'!O7:O102,BW402)</f>
        <v>0</v>
      </c>
      <c r="CD402" s="306">
        <f ca="1">COUNTIF('Group Stages'!P7:P102,BW402)</f>
        <v>0</v>
      </c>
      <c r="CE402" s="306">
        <f ca="1">COUNTIF('Group Stages'!Q7:Q102,BW402)</f>
        <v>0</v>
      </c>
      <c r="CF402" s="306">
        <f ca="1">COUNTIF('Knock Out Stages'!K7:K50,BW402)</f>
        <v>0</v>
      </c>
      <c r="CG402" s="306">
        <f ca="1">COUNTIF('Knock Out Stages'!L7:L50,BW402)</f>
        <v>0</v>
      </c>
      <c r="CH402" s="306">
        <f ca="1">COUNTIF('Knock Out Stages'!M7:M50,BW402)</f>
        <v>0</v>
      </c>
      <c r="CI402" s="306">
        <f ca="1">COUNTIF('Knock Out Stages'!N7:N50,BW402)</f>
        <v>0</v>
      </c>
      <c r="CJ402" s="306">
        <f ca="1">COUNTIF('Knock Out Stages'!O7:O50,BW402)</f>
        <v>0</v>
      </c>
      <c r="CK402" s="306">
        <f ca="1">COUNTIF('Knock Out Stages'!P7:P50,BW402)</f>
        <v>0</v>
      </c>
      <c r="CL402" s="306">
        <f ca="1">COUNTIF('Knock Out Stages'!Q7:Q50,BW402)</f>
        <v>0</v>
      </c>
      <c r="CM402" s="306">
        <f ca="1">COUNTIF('Knock Out Stages'!R7:R50,BW402)</f>
        <v>0</v>
      </c>
      <c r="CN402" s="306">
        <f ca="1">IF(RIGHT('Group Stages'!$B$105,5)="T.com",SUM(BX402:CM402),0)</f>
        <v>0</v>
      </c>
      <c r="CO402" s="306">
        <f ca="1">RANK(CN402,CN3:CN834)+COUNTIF(CN3:CN402,CN402)-1</f>
        <v>400</v>
      </c>
      <c r="CP402" s="306" t="str">
        <f t="shared" ca="1" si="202"/>
        <v>Fran Karačić (Australia)</v>
      </c>
    </row>
    <row r="403" spans="72:94" x14ac:dyDescent="0.3">
      <c r="BT403" s="306" t="str">
        <f t="shared" ca="1" si="199"/>
        <v>Australia</v>
      </c>
      <c r="BU403" s="306">
        <f t="shared" si="200"/>
        <v>10</v>
      </c>
      <c r="BV403" s="306">
        <f t="shared" si="201"/>
        <v>14</v>
      </c>
      <c r="BW403" s="306" t="str">
        <f ca="1">OFFSET(C3,BU403,BV403)</f>
        <v>Garang Kuol</v>
      </c>
      <c r="BX403" s="306">
        <f ca="1">COUNTIF('Group Stages'!J7:J102,BW403)</f>
        <v>0</v>
      </c>
      <c r="BY403" s="306">
        <f ca="1">COUNTIF('Group Stages'!K7:K102,BW403)</f>
        <v>0</v>
      </c>
      <c r="BZ403" s="306">
        <f ca="1">COUNTIF('Group Stages'!L7:L102,BW403)</f>
        <v>0</v>
      </c>
      <c r="CA403" s="306">
        <f ca="1">COUNTIF('Group Stages'!M7:M102,BW403)</f>
        <v>0</v>
      </c>
      <c r="CB403" s="306">
        <f ca="1">COUNTIF('Group Stages'!N7:N102,BW403)</f>
        <v>0</v>
      </c>
      <c r="CC403" s="306">
        <f ca="1">COUNTIF('Group Stages'!O7:O102,BW403)</f>
        <v>0</v>
      </c>
      <c r="CD403" s="306">
        <f ca="1">COUNTIF('Group Stages'!P7:P102,BW403)</f>
        <v>0</v>
      </c>
      <c r="CE403" s="306">
        <f ca="1">COUNTIF('Group Stages'!Q7:Q102,BW403)</f>
        <v>0</v>
      </c>
      <c r="CF403" s="306">
        <f ca="1">COUNTIF('Knock Out Stages'!K7:K50,BW403)</f>
        <v>0</v>
      </c>
      <c r="CG403" s="306">
        <f ca="1">COUNTIF('Knock Out Stages'!L7:L50,BW403)</f>
        <v>0</v>
      </c>
      <c r="CH403" s="306">
        <f ca="1">COUNTIF('Knock Out Stages'!M7:M50,BW403)</f>
        <v>0</v>
      </c>
      <c r="CI403" s="306">
        <f ca="1">COUNTIF('Knock Out Stages'!N7:N50,BW403)</f>
        <v>0</v>
      </c>
      <c r="CJ403" s="306">
        <f ca="1">COUNTIF('Knock Out Stages'!O7:O50,BW403)</f>
        <v>0</v>
      </c>
      <c r="CK403" s="306">
        <f ca="1">COUNTIF('Knock Out Stages'!P7:P50,BW403)</f>
        <v>0</v>
      </c>
      <c r="CL403" s="306">
        <f ca="1">COUNTIF('Knock Out Stages'!Q7:Q50,BW403)</f>
        <v>0</v>
      </c>
      <c r="CM403" s="306">
        <f ca="1">COUNTIF('Knock Out Stages'!R7:R50,BW403)</f>
        <v>0</v>
      </c>
      <c r="CN403" s="306">
        <f ca="1">IF(RIGHT('Group Stages'!$B$105,5)="T.com",SUM(BX403:CM403),0)</f>
        <v>0</v>
      </c>
      <c r="CO403" s="306">
        <f ca="1">RANK(CN403,CN3:CN834)+COUNTIF(CN3:CN403,CN403)-1</f>
        <v>401</v>
      </c>
      <c r="CP403" s="306" t="str">
        <f t="shared" ca="1" si="202"/>
        <v>Garang Kuol (Australia)</v>
      </c>
    </row>
    <row r="404" spans="72:94" x14ac:dyDescent="0.3">
      <c r="BT404" s="306" t="str">
        <f t="shared" ca="1" si="199"/>
        <v>Australia</v>
      </c>
      <c r="BU404" s="306">
        <f t="shared" si="200"/>
        <v>11</v>
      </c>
      <c r="BV404" s="306">
        <f t="shared" si="201"/>
        <v>14</v>
      </c>
      <c r="BW404" s="306" t="str">
        <f ca="1">OFFSET(C3,BU404,BV404)</f>
        <v>Harry Souttar</v>
      </c>
      <c r="BX404" s="306">
        <f ca="1">COUNTIF('Group Stages'!J7:J102,BW404)</f>
        <v>0</v>
      </c>
      <c r="BY404" s="306">
        <f ca="1">COUNTIF('Group Stages'!K7:K102,BW404)</f>
        <v>0</v>
      </c>
      <c r="BZ404" s="306">
        <f ca="1">COUNTIF('Group Stages'!L7:L102,BW404)</f>
        <v>0</v>
      </c>
      <c r="CA404" s="306">
        <f ca="1">COUNTIF('Group Stages'!M7:M102,BW404)</f>
        <v>0</v>
      </c>
      <c r="CB404" s="306">
        <f ca="1">COUNTIF('Group Stages'!N7:N102,BW404)</f>
        <v>0</v>
      </c>
      <c r="CC404" s="306">
        <f ca="1">COUNTIF('Group Stages'!O7:O102,BW404)</f>
        <v>0</v>
      </c>
      <c r="CD404" s="306">
        <f ca="1">COUNTIF('Group Stages'!P7:P102,BW404)</f>
        <v>0</v>
      </c>
      <c r="CE404" s="306">
        <f ca="1">COUNTIF('Group Stages'!Q7:Q102,BW404)</f>
        <v>0</v>
      </c>
      <c r="CF404" s="306">
        <f ca="1">COUNTIF('Knock Out Stages'!K7:K50,BW404)</f>
        <v>0</v>
      </c>
      <c r="CG404" s="306">
        <f ca="1">COUNTIF('Knock Out Stages'!L7:L50,BW404)</f>
        <v>0</v>
      </c>
      <c r="CH404" s="306">
        <f ca="1">COUNTIF('Knock Out Stages'!M7:M50,BW404)</f>
        <v>0</v>
      </c>
      <c r="CI404" s="306">
        <f ca="1">COUNTIF('Knock Out Stages'!N7:N50,BW404)</f>
        <v>0</v>
      </c>
      <c r="CJ404" s="306">
        <f ca="1">COUNTIF('Knock Out Stages'!O7:O50,BW404)</f>
        <v>0</v>
      </c>
      <c r="CK404" s="306">
        <f ca="1">COUNTIF('Knock Out Stages'!P7:P50,BW404)</f>
        <v>0</v>
      </c>
      <c r="CL404" s="306">
        <f ca="1">COUNTIF('Knock Out Stages'!Q7:Q50,BW404)</f>
        <v>0</v>
      </c>
      <c r="CM404" s="306">
        <f ca="1">COUNTIF('Knock Out Stages'!R7:R50,BW404)</f>
        <v>0</v>
      </c>
      <c r="CN404" s="306">
        <f ca="1">IF(RIGHT('Group Stages'!$B$105,5)="T.com",SUM(BX404:CM404),0)</f>
        <v>0</v>
      </c>
      <c r="CO404" s="306">
        <f ca="1">RANK(CN404,CN3:CN834)+COUNTIF(CN3:CN404,CN404)-1</f>
        <v>402</v>
      </c>
      <c r="CP404" s="306" t="str">
        <f t="shared" ca="1" si="202"/>
        <v>Harry Souttar (Australia)</v>
      </c>
    </row>
    <row r="405" spans="72:94" x14ac:dyDescent="0.3">
      <c r="BT405" s="306" t="str">
        <f t="shared" ca="1" si="199"/>
        <v>Australia</v>
      </c>
      <c r="BU405" s="306">
        <f t="shared" si="200"/>
        <v>12</v>
      </c>
      <c r="BV405" s="306">
        <f t="shared" si="201"/>
        <v>14</v>
      </c>
      <c r="BW405" s="306" t="str">
        <f ca="1">OFFSET(C3,BU405,BV405)</f>
        <v>Jackson Irvine</v>
      </c>
      <c r="BX405" s="306">
        <f ca="1">COUNTIF('Group Stages'!J7:J102,BW405)</f>
        <v>0</v>
      </c>
      <c r="BY405" s="306">
        <f ca="1">COUNTIF('Group Stages'!K7:K102,BW405)</f>
        <v>0</v>
      </c>
      <c r="BZ405" s="306">
        <f ca="1">COUNTIF('Group Stages'!L7:L102,BW405)</f>
        <v>0</v>
      </c>
      <c r="CA405" s="306">
        <f ca="1">COUNTIF('Group Stages'!M7:M102,BW405)</f>
        <v>0</v>
      </c>
      <c r="CB405" s="306">
        <f ca="1">COUNTIF('Group Stages'!N7:N102,BW405)</f>
        <v>0</v>
      </c>
      <c r="CC405" s="306">
        <f ca="1">COUNTIF('Group Stages'!O7:O102,BW405)</f>
        <v>0</v>
      </c>
      <c r="CD405" s="306">
        <f ca="1">COUNTIF('Group Stages'!P7:P102,BW405)</f>
        <v>0</v>
      </c>
      <c r="CE405" s="306">
        <f ca="1">COUNTIF('Group Stages'!Q7:Q102,BW405)</f>
        <v>0</v>
      </c>
      <c r="CF405" s="306">
        <f ca="1">COUNTIF('Knock Out Stages'!K7:K50,BW405)</f>
        <v>0</v>
      </c>
      <c r="CG405" s="306">
        <f ca="1">COUNTIF('Knock Out Stages'!L7:L50,BW405)</f>
        <v>0</v>
      </c>
      <c r="CH405" s="306">
        <f ca="1">COUNTIF('Knock Out Stages'!M7:M50,BW405)</f>
        <v>0</v>
      </c>
      <c r="CI405" s="306">
        <f ca="1">COUNTIF('Knock Out Stages'!N7:N50,BW405)</f>
        <v>0</v>
      </c>
      <c r="CJ405" s="306">
        <f ca="1">COUNTIF('Knock Out Stages'!O7:O50,BW405)</f>
        <v>0</v>
      </c>
      <c r="CK405" s="306">
        <f ca="1">COUNTIF('Knock Out Stages'!P7:P50,BW405)</f>
        <v>0</v>
      </c>
      <c r="CL405" s="306">
        <f ca="1">COUNTIF('Knock Out Stages'!Q7:Q50,BW405)</f>
        <v>0</v>
      </c>
      <c r="CM405" s="306">
        <f ca="1">COUNTIF('Knock Out Stages'!R7:R50,BW405)</f>
        <v>0</v>
      </c>
      <c r="CN405" s="306">
        <f ca="1">IF(RIGHT('Group Stages'!$B$105,5)="T.com",SUM(BX405:CM405),0)</f>
        <v>0</v>
      </c>
      <c r="CO405" s="306">
        <f ca="1">RANK(CN405,CN3:CN834)+COUNTIF(CN3:CN405,CN405)-1</f>
        <v>403</v>
      </c>
      <c r="CP405" s="306" t="str">
        <f t="shared" ca="1" si="202"/>
        <v>Jackson Irvine (Australia)</v>
      </c>
    </row>
    <row r="406" spans="72:94" x14ac:dyDescent="0.3">
      <c r="BT406" s="306" t="str">
        <f t="shared" ca="1" si="199"/>
        <v>Australia</v>
      </c>
      <c r="BU406" s="306">
        <f t="shared" si="200"/>
        <v>13</v>
      </c>
      <c r="BV406" s="306">
        <f t="shared" si="201"/>
        <v>14</v>
      </c>
      <c r="BW406" s="306" t="str">
        <f ca="1">OFFSET(C3,BU406,BV406)</f>
        <v>Jamie Maclaren</v>
      </c>
      <c r="BX406" s="306">
        <f ca="1">COUNTIF('Group Stages'!J7:J102,BW406)</f>
        <v>0</v>
      </c>
      <c r="BY406" s="306">
        <f ca="1">COUNTIF('Group Stages'!K7:K102,BW406)</f>
        <v>0</v>
      </c>
      <c r="BZ406" s="306">
        <f ca="1">COUNTIF('Group Stages'!L7:L102,BW406)</f>
        <v>0</v>
      </c>
      <c r="CA406" s="306">
        <f ca="1">COUNTIF('Group Stages'!M7:M102,BW406)</f>
        <v>0</v>
      </c>
      <c r="CB406" s="306">
        <f ca="1">COUNTIF('Group Stages'!N7:N102,BW406)</f>
        <v>0</v>
      </c>
      <c r="CC406" s="306">
        <f ca="1">COUNTIF('Group Stages'!O7:O102,BW406)</f>
        <v>0</v>
      </c>
      <c r="CD406" s="306">
        <f ca="1">COUNTIF('Group Stages'!P7:P102,BW406)</f>
        <v>0</v>
      </c>
      <c r="CE406" s="306">
        <f ca="1">COUNTIF('Group Stages'!Q7:Q102,BW406)</f>
        <v>0</v>
      </c>
      <c r="CF406" s="306">
        <f ca="1">COUNTIF('Knock Out Stages'!K7:K50,BW406)</f>
        <v>0</v>
      </c>
      <c r="CG406" s="306">
        <f ca="1">COUNTIF('Knock Out Stages'!L7:L50,BW406)</f>
        <v>0</v>
      </c>
      <c r="CH406" s="306">
        <f ca="1">COUNTIF('Knock Out Stages'!M7:M50,BW406)</f>
        <v>0</v>
      </c>
      <c r="CI406" s="306">
        <f ca="1">COUNTIF('Knock Out Stages'!N7:N50,BW406)</f>
        <v>0</v>
      </c>
      <c r="CJ406" s="306">
        <f ca="1">COUNTIF('Knock Out Stages'!O7:O50,BW406)</f>
        <v>0</v>
      </c>
      <c r="CK406" s="306">
        <f ca="1">COUNTIF('Knock Out Stages'!P7:P50,BW406)</f>
        <v>0</v>
      </c>
      <c r="CL406" s="306">
        <f ca="1">COUNTIF('Knock Out Stages'!Q7:Q50,BW406)</f>
        <v>0</v>
      </c>
      <c r="CM406" s="306">
        <f ca="1">COUNTIF('Knock Out Stages'!R7:R50,BW406)</f>
        <v>0</v>
      </c>
      <c r="CN406" s="306">
        <f ca="1">IF(RIGHT('Group Stages'!$B$105,5)="T.com",SUM(BX406:CM406),0)</f>
        <v>0</v>
      </c>
      <c r="CO406" s="306">
        <f ca="1">RANK(CN406,CN3:CN834)+COUNTIF(CN3:CN406,CN406)-1</f>
        <v>404</v>
      </c>
      <c r="CP406" s="306" t="str">
        <f t="shared" ca="1" si="202"/>
        <v>Jamie Maclaren (Australia)</v>
      </c>
    </row>
    <row r="407" spans="72:94" x14ac:dyDescent="0.3">
      <c r="BT407" s="306" t="str">
        <f t="shared" ca="1" si="199"/>
        <v>Australia</v>
      </c>
      <c r="BU407" s="306">
        <f t="shared" si="200"/>
        <v>14</v>
      </c>
      <c r="BV407" s="306">
        <f t="shared" si="201"/>
        <v>14</v>
      </c>
      <c r="BW407" s="306" t="str">
        <f ca="1">OFFSET(C3,BU407,BV407)</f>
        <v>Jason Cummings</v>
      </c>
      <c r="BX407" s="306">
        <f ca="1">COUNTIF('Group Stages'!J7:J102,BW407)</f>
        <v>0</v>
      </c>
      <c r="BY407" s="306">
        <f ca="1">COUNTIF('Group Stages'!K7:K102,BW407)</f>
        <v>0</v>
      </c>
      <c r="BZ407" s="306">
        <f ca="1">COUNTIF('Group Stages'!L7:L102,BW407)</f>
        <v>0</v>
      </c>
      <c r="CA407" s="306">
        <f ca="1">COUNTIF('Group Stages'!M7:M102,BW407)</f>
        <v>0</v>
      </c>
      <c r="CB407" s="306">
        <f ca="1">COUNTIF('Group Stages'!N7:N102,BW407)</f>
        <v>0</v>
      </c>
      <c r="CC407" s="306">
        <f ca="1">COUNTIF('Group Stages'!O7:O102,BW407)</f>
        <v>0</v>
      </c>
      <c r="CD407" s="306">
        <f ca="1">COUNTIF('Group Stages'!P7:P102,BW407)</f>
        <v>0</v>
      </c>
      <c r="CE407" s="306">
        <f ca="1">COUNTIF('Group Stages'!Q7:Q102,BW407)</f>
        <v>0</v>
      </c>
      <c r="CF407" s="306">
        <f ca="1">COUNTIF('Knock Out Stages'!K7:K50,BW407)</f>
        <v>0</v>
      </c>
      <c r="CG407" s="306">
        <f ca="1">COUNTIF('Knock Out Stages'!L7:L50,BW407)</f>
        <v>0</v>
      </c>
      <c r="CH407" s="306">
        <f ca="1">COUNTIF('Knock Out Stages'!M7:M50,BW407)</f>
        <v>0</v>
      </c>
      <c r="CI407" s="306">
        <f ca="1">COUNTIF('Knock Out Stages'!N7:N50,BW407)</f>
        <v>0</v>
      </c>
      <c r="CJ407" s="306">
        <f ca="1">COUNTIF('Knock Out Stages'!O7:O50,BW407)</f>
        <v>0</v>
      </c>
      <c r="CK407" s="306">
        <f ca="1">COUNTIF('Knock Out Stages'!P7:P50,BW407)</f>
        <v>0</v>
      </c>
      <c r="CL407" s="306">
        <f ca="1">COUNTIF('Knock Out Stages'!Q7:Q50,BW407)</f>
        <v>0</v>
      </c>
      <c r="CM407" s="306">
        <f ca="1">COUNTIF('Knock Out Stages'!R7:R50,BW407)</f>
        <v>0</v>
      </c>
      <c r="CN407" s="306">
        <f ca="1">IF(RIGHT('Group Stages'!$B$105,5)="T.com",SUM(BX407:CM407),0)</f>
        <v>0</v>
      </c>
      <c r="CO407" s="306">
        <f ca="1">RANK(CN407,CN3:CN834)+COUNTIF(CN3:CN407,CN407)-1</f>
        <v>405</v>
      </c>
      <c r="CP407" s="306" t="str">
        <f t="shared" ca="1" si="202"/>
        <v>Jason Cummings (Australia)</v>
      </c>
    </row>
    <row r="408" spans="72:94" x14ac:dyDescent="0.3">
      <c r="BT408" s="306" t="str">
        <f t="shared" ca="1" si="199"/>
        <v>Australia</v>
      </c>
      <c r="BU408" s="306">
        <f t="shared" si="200"/>
        <v>15</v>
      </c>
      <c r="BV408" s="306">
        <f t="shared" si="201"/>
        <v>14</v>
      </c>
      <c r="BW408" s="306" t="str">
        <f ca="1">OFFSET(C3,BU408,BV408)</f>
        <v>Joel King</v>
      </c>
      <c r="BX408" s="306">
        <f ca="1">COUNTIF('Group Stages'!J7:J102,BW408)</f>
        <v>0</v>
      </c>
      <c r="BY408" s="306">
        <f ca="1">COUNTIF('Group Stages'!K7:K102,BW408)</f>
        <v>0</v>
      </c>
      <c r="BZ408" s="306">
        <f ca="1">COUNTIF('Group Stages'!L7:L102,BW408)</f>
        <v>0</v>
      </c>
      <c r="CA408" s="306">
        <f ca="1">COUNTIF('Group Stages'!M7:M102,BW408)</f>
        <v>0</v>
      </c>
      <c r="CB408" s="306">
        <f ca="1">COUNTIF('Group Stages'!N7:N102,BW408)</f>
        <v>0</v>
      </c>
      <c r="CC408" s="306">
        <f ca="1">COUNTIF('Group Stages'!O7:O102,BW408)</f>
        <v>0</v>
      </c>
      <c r="CD408" s="306">
        <f ca="1">COUNTIF('Group Stages'!P7:P102,BW408)</f>
        <v>0</v>
      </c>
      <c r="CE408" s="306">
        <f ca="1">COUNTIF('Group Stages'!Q7:Q102,BW408)</f>
        <v>0</v>
      </c>
      <c r="CF408" s="306">
        <f ca="1">COUNTIF('Knock Out Stages'!K7:K50,BW408)</f>
        <v>0</v>
      </c>
      <c r="CG408" s="306">
        <f ca="1">COUNTIF('Knock Out Stages'!L7:L50,BW408)</f>
        <v>0</v>
      </c>
      <c r="CH408" s="306">
        <f ca="1">COUNTIF('Knock Out Stages'!M7:M50,BW408)</f>
        <v>0</v>
      </c>
      <c r="CI408" s="306">
        <f ca="1">COUNTIF('Knock Out Stages'!N7:N50,BW408)</f>
        <v>0</v>
      </c>
      <c r="CJ408" s="306">
        <f ca="1">COUNTIF('Knock Out Stages'!O7:O50,BW408)</f>
        <v>0</v>
      </c>
      <c r="CK408" s="306">
        <f ca="1">COUNTIF('Knock Out Stages'!P7:P50,BW408)</f>
        <v>0</v>
      </c>
      <c r="CL408" s="306">
        <f ca="1">COUNTIF('Knock Out Stages'!Q7:Q50,BW408)</f>
        <v>0</v>
      </c>
      <c r="CM408" s="306">
        <f ca="1">COUNTIF('Knock Out Stages'!R7:R50,BW408)</f>
        <v>0</v>
      </c>
      <c r="CN408" s="306">
        <f ca="1">IF(RIGHT('Group Stages'!$B$105,5)="T.com",SUM(BX408:CM408),0)</f>
        <v>0</v>
      </c>
      <c r="CO408" s="306">
        <f ca="1">RANK(CN408,CN3:CN834)+COUNTIF(CN3:CN408,CN408)-1</f>
        <v>406</v>
      </c>
      <c r="CP408" s="306" t="str">
        <f t="shared" ca="1" si="202"/>
        <v>Joel King (Australia)</v>
      </c>
    </row>
    <row r="409" spans="72:94" x14ac:dyDescent="0.3">
      <c r="BT409" s="306" t="str">
        <f t="shared" ca="1" si="199"/>
        <v>Australia</v>
      </c>
      <c r="BU409" s="306">
        <f t="shared" si="200"/>
        <v>16</v>
      </c>
      <c r="BV409" s="306">
        <f t="shared" si="201"/>
        <v>14</v>
      </c>
      <c r="BW409" s="306" t="str">
        <f ca="1">OFFSET(C3,BU409,BV409)</f>
        <v>Keanu Baccus</v>
      </c>
      <c r="BX409" s="306">
        <f ca="1">COUNTIF('Group Stages'!J7:J102,BW409)</f>
        <v>0</v>
      </c>
      <c r="BY409" s="306">
        <f ca="1">COUNTIF('Group Stages'!K7:K102,BW409)</f>
        <v>0</v>
      </c>
      <c r="BZ409" s="306">
        <f ca="1">COUNTIF('Group Stages'!L7:L102,BW409)</f>
        <v>0</v>
      </c>
      <c r="CA409" s="306">
        <f ca="1">COUNTIF('Group Stages'!M7:M102,BW409)</f>
        <v>0</v>
      </c>
      <c r="CB409" s="306">
        <f ca="1">COUNTIF('Group Stages'!N7:N102,BW409)</f>
        <v>0</v>
      </c>
      <c r="CC409" s="306">
        <f ca="1">COUNTIF('Group Stages'!O7:O102,BW409)</f>
        <v>0</v>
      </c>
      <c r="CD409" s="306">
        <f ca="1">COUNTIF('Group Stages'!P7:P102,BW409)</f>
        <v>0</v>
      </c>
      <c r="CE409" s="306">
        <f ca="1">COUNTIF('Group Stages'!Q7:Q102,BW409)</f>
        <v>0</v>
      </c>
      <c r="CF409" s="306">
        <f ca="1">COUNTIF('Knock Out Stages'!K7:K50,BW409)</f>
        <v>0</v>
      </c>
      <c r="CG409" s="306">
        <f ca="1">COUNTIF('Knock Out Stages'!L7:L50,BW409)</f>
        <v>0</v>
      </c>
      <c r="CH409" s="306">
        <f ca="1">COUNTIF('Knock Out Stages'!M7:M50,BW409)</f>
        <v>0</v>
      </c>
      <c r="CI409" s="306">
        <f ca="1">COUNTIF('Knock Out Stages'!N7:N50,BW409)</f>
        <v>0</v>
      </c>
      <c r="CJ409" s="306">
        <f ca="1">COUNTIF('Knock Out Stages'!O7:O50,BW409)</f>
        <v>0</v>
      </c>
      <c r="CK409" s="306">
        <f ca="1">COUNTIF('Knock Out Stages'!P7:P50,BW409)</f>
        <v>0</v>
      </c>
      <c r="CL409" s="306">
        <f ca="1">COUNTIF('Knock Out Stages'!Q7:Q50,BW409)</f>
        <v>0</v>
      </c>
      <c r="CM409" s="306">
        <f ca="1">COUNTIF('Knock Out Stages'!R7:R50,BW409)</f>
        <v>0</v>
      </c>
      <c r="CN409" s="306">
        <f ca="1">IF(RIGHT('Group Stages'!$B$105,5)="T.com",SUM(BX409:CM409),0)</f>
        <v>0</v>
      </c>
      <c r="CO409" s="306">
        <f ca="1">RANK(CN409,CN3:CN834)+COUNTIF(CN3:CN409,CN409)-1</f>
        <v>407</v>
      </c>
      <c r="CP409" s="306" t="str">
        <f t="shared" ca="1" si="202"/>
        <v>Keanu Baccus (Australia)</v>
      </c>
    </row>
    <row r="410" spans="72:94" x14ac:dyDescent="0.3">
      <c r="BT410" s="306" t="str">
        <f t="shared" ca="1" si="199"/>
        <v>Australia</v>
      </c>
      <c r="BU410" s="306">
        <f t="shared" si="200"/>
        <v>17</v>
      </c>
      <c r="BV410" s="306">
        <f t="shared" si="201"/>
        <v>14</v>
      </c>
      <c r="BW410" s="306" t="str">
        <f ca="1">OFFSET(C3,BU410,BV410)</f>
        <v>Kye Rowles</v>
      </c>
      <c r="BX410" s="306">
        <f ca="1">COUNTIF('Group Stages'!J7:J102,BW410)</f>
        <v>0</v>
      </c>
      <c r="BY410" s="306">
        <f ca="1">COUNTIF('Group Stages'!K7:K102,BW410)</f>
        <v>0</v>
      </c>
      <c r="BZ410" s="306">
        <f ca="1">COUNTIF('Group Stages'!L7:L102,BW410)</f>
        <v>0</v>
      </c>
      <c r="CA410" s="306">
        <f ca="1">COUNTIF('Group Stages'!M7:M102,BW410)</f>
        <v>0</v>
      </c>
      <c r="CB410" s="306">
        <f ca="1">COUNTIF('Group Stages'!N7:N102,BW410)</f>
        <v>0</v>
      </c>
      <c r="CC410" s="306">
        <f ca="1">COUNTIF('Group Stages'!O7:O102,BW410)</f>
        <v>0</v>
      </c>
      <c r="CD410" s="306">
        <f ca="1">COUNTIF('Group Stages'!P7:P102,BW410)</f>
        <v>0</v>
      </c>
      <c r="CE410" s="306">
        <f ca="1">COUNTIF('Group Stages'!Q7:Q102,BW410)</f>
        <v>0</v>
      </c>
      <c r="CF410" s="306">
        <f ca="1">COUNTIF('Knock Out Stages'!K7:K50,BW410)</f>
        <v>0</v>
      </c>
      <c r="CG410" s="306">
        <f ca="1">COUNTIF('Knock Out Stages'!L7:L50,BW410)</f>
        <v>0</v>
      </c>
      <c r="CH410" s="306">
        <f ca="1">COUNTIF('Knock Out Stages'!M7:M50,BW410)</f>
        <v>0</v>
      </c>
      <c r="CI410" s="306">
        <f ca="1">COUNTIF('Knock Out Stages'!N7:N50,BW410)</f>
        <v>0</v>
      </c>
      <c r="CJ410" s="306">
        <f ca="1">COUNTIF('Knock Out Stages'!O7:O50,BW410)</f>
        <v>0</v>
      </c>
      <c r="CK410" s="306">
        <f ca="1">COUNTIF('Knock Out Stages'!P7:P50,BW410)</f>
        <v>0</v>
      </c>
      <c r="CL410" s="306">
        <f ca="1">COUNTIF('Knock Out Stages'!Q7:Q50,BW410)</f>
        <v>0</v>
      </c>
      <c r="CM410" s="306">
        <f ca="1">COUNTIF('Knock Out Stages'!R7:R50,BW410)</f>
        <v>0</v>
      </c>
      <c r="CN410" s="306">
        <f ca="1">IF(RIGHT('Group Stages'!$B$105,5)="T.com",SUM(BX410:CM410),0)</f>
        <v>0</v>
      </c>
      <c r="CO410" s="306">
        <f ca="1">RANK(CN410,CN3:CN834)+COUNTIF(CN3:CN410,CN410)-1</f>
        <v>408</v>
      </c>
      <c r="CP410" s="306" t="str">
        <f t="shared" ca="1" si="202"/>
        <v>Kye Rowles (Australia)</v>
      </c>
    </row>
    <row r="411" spans="72:94" x14ac:dyDescent="0.3">
      <c r="BT411" s="306" t="str">
        <f t="shared" ca="1" si="199"/>
        <v>Australia</v>
      </c>
      <c r="BU411" s="306">
        <f t="shared" si="200"/>
        <v>18</v>
      </c>
      <c r="BV411" s="306">
        <f t="shared" si="201"/>
        <v>14</v>
      </c>
      <c r="BW411" s="306" t="str">
        <f ca="1">OFFSET(C3,BU411,BV411)</f>
        <v>Martin Boyle</v>
      </c>
      <c r="BX411" s="306">
        <f ca="1">COUNTIF('Group Stages'!J7:J102,BW411)</f>
        <v>0</v>
      </c>
      <c r="BY411" s="306">
        <f ca="1">COUNTIF('Group Stages'!K7:K102,BW411)</f>
        <v>0</v>
      </c>
      <c r="BZ411" s="306">
        <f ca="1">COUNTIF('Group Stages'!L7:L102,BW411)</f>
        <v>0</v>
      </c>
      <c r="CA411" s="306">
        <f ca="1">COUNTIF('Group Stages'!M7:M102,BW411)</f>
        <v>0</v>
      </c>
      <c r="CB411" s="306">
        <f ca="1">COUNTIF('Group Stages'!N7:N102,BW411)</f>
        <v>0</v>
      </c>
      <c r="CC411" s="306">
        <f ca="1">COUNTIF('Group Stages'!O7:O102,BW411)</f>
        <v>0</v>
      </c>
      <c r="CD411" s="306">
        <f ca="1">COUNTIF('Group Stages'!P7:P102,BW411)</f>
        <v>0</v>
      </c>
      <c r="CE411" s="306">
        <f ca="1">COUNTIF('Group Stages'!Q7:Q102,BW411)</f>
        <v>0</v>
      </c>
      <c r="CF411" s="306">
        <f ca="1">COUNTIF('Knock Out Stages'!K7:K50,BW411)</f>
        <v>0</v>
      </c>
      <c r="CG411" s="306">
        <f ca="1">COUNTIF('Knock Out Stages'!L7:L50,BW411)</f>
        <v>0</v>
      </c>
      <c r="CH411" s="306">
        <f ca="1">COUNTIF('Knock Out Stages'!M7:M50,BW411)</f>
        <v>0</v>
      </c>
      <c r="CI411" s="306">
        <f ca="1">COUNTIF('Knock Out Stages'!N7:N50,BW411)</f>
        <v>0</v>
      </c>
      <c r="CJ411" s="306">
        <f ca="1">COUNTIF('Knock Out Stages'!O7:O50,BW411)</f>
        <v>0</v>
      </c>
      <c r="CK411" s="306">
        <f ca="1">COUNTIF('Knock Out Stages'!P7:P50,BW411)</f>
        <v>0</v>
      </c>
      <c r="CL411" s="306">
        <f ca="1">COUNTIF('Knock Out Stages'!Q7:Q50,BW411)</f>
        <v>0</v>
      </c>
      <c r="CM411" s="306">
        <f ca="1">COUNTIF('Knock Out Stages'!R7:R50,BW411)</f>
        <v>0</v>
      </c>
      <c r="CN411" s="306">
        <f ca="1">IF(RIGHT('Group Stages'!$B$105,5)="T.com",SUM(BX411:CM411),0)</f>
        <v>0</v>
      </c>
      <c r="CO411" s="306">
        <f ca="1">RANK(CN411,CN3:CN834)+COUNTIF(CN3:CN411,CN411)-1</f>
        <v>409</v>
      </c>
      <c r="CP411" s="306" t="str">
        <f t="shared" ca="1" si="202"/>
        <v>Martin Boyle (Australia)</v>
      </c>
    </row>
    <row r="412" spans="72:94" x14ac:dyDescent="0.3">
      <c r="BT412" s="306" t="str">
        <f t="shared" ca="1" si="199"/>
        <v>Australia</v>
      </c>
      <c r="BU412" s="306">
        <f t="shared" si="200"/>
        <v>19</v>
      </c>
      <c r="BV412" s="306">
        <f t="shared" si="201"/>
        <v>14</v>
      </c>
      <c r="BW412" s="306" t="str">
        <f ca="1">OFFSET(C3,BU412,BV412)</f>
        <v>Mathew Leckie</v>
      </c>
      <c r="BX412" s="306">
        <f ca="1">COUNTIF('Group Stages'!J7:J102,BW412)</f>
        <v>0</v>
      </c>
      <c r="BY412" s="306">
        <f ca="1">COUNTIF('Group Stages'!K7:K102,BW412)</f>
        <v>0</v>
      </c>
      <c r="BZ412" s="306">
        <f ca="1">COUNTIF('Group Stages'!L7:L102,BW412)</f>
        <v>0</v>
      </c>
      <c r="CA412" s="306">
        <f ca="1">COUNTIF('Group Stages'!M7:M102,BW412)</f>
        <v>0</v>
      </c>
      <c r="CB412" s="306">
        <f ca="1">COUNTIF('Group Stages'!N7:N102,BW412)</f>
        <v>0</v>
      </c>
      <c r="CC412" s="306">
        <f ca="1">COUNTIF('Group Stages'!O7:O102,BW412)</f>
        <v>0</v>
      </c>
      <c r="CD412" s="306">
        <f ca="1">COUNTIF('Group Stages'!P7:P102,BW412)</f>
        <v>0</v>
      </c>
      <c r="CE412" s="306">
        <f ca="1">COUNTIF('Group Stages'!Q7:Q102,BW412)</f>
        <v>0</v>
      </c>
      <c r="CF412" s="306">
        <f ca="1">COUNTIF('Knock Out Stages'!K7:K50,BW412)</f>
        <v>0</v>
      </c>
      <c r="CG412" s="306">
        <f ca="1">COUNTIF('Knock Out Stages'!L7:L50,BW412)</f>
        <v>0</v>
      </c>
      <c r="CH412" s="306">
        <f ca="1">COUNTIF('Knock Out Stages'!M7:M50,BW412)</f>
        <v>0</v>
      </c>
      <c r="CI412" s="306">
        <f ca="1">COUNTIF('Knock Out Stages'!N7:N50,BW412)</f>
        <v>0</v>
      </c>
      <c r="CJ412" s="306">
        <f ca="1">COUNTIF('Knock Out Stages'!O7:O50,BW412)</f>
        <v>0</v>
      </c>
      <c r="CK412" s="306">
        <f ca="1">COUNTIF('Knock Out Stages'!P7:P50,BW412)</f>
        <v>0</v>
      </c>
      <c r="CL412" s="306">
        <f ca="1">COUNTIF('Knock Out Stages'!Q7:Q50,BW412)</f>
        <v>0</v>
      </c>
      <c r="CM412" s="306">
        <f ca="1">COUNTIF('Knock Out Stages'!R7:R50,BW412)</f>
        <v>0</v>
      </c>
      <c r="CN412" s="306">
        <f ca="1">IF(RIGHT('Group Stages'!$B$105,5)="T.com",SUM(BX412:CM412),0)</f>
        <v>0</v>
      </c>
      <c r="CO412" s="306">
        <f ca="1">RANK(CN412,CN3:CN834)+COUNTIF(CN3:CN412,CN412)-1</f>
        <v>410</v>
      </c>
      <c r="CP412" s="306" t="str">
        <f t="shared" ca="1" si="202"/>
        <v>Mathew Leckie (Australia)</v>
      </c>
    </row>
    <row r="413" spans="72:94" x14ac:dyDescent="0.3">
      <c r="BT413" s="306" t="str">
        <f t="shared" ca="1" si="199"/>
        <v>Australia</v>
      </c>
      <c r="BU413" s="306">
        <f t="shared" si="200"/>
        <v>20</v>
      </c>
      <c r="BV413" s="306">
        <f t="shared" si="201"/>
        <v>14</v>
      </c>
      <c r="BW413" s="306" t="str">
        <f ca="1">OFFSET(C3,BU413,BV413)</f>
        <v>Mathew Ryan</v>
      </c>
      <c r="BX413" s="306">
        <f ca="1">COUNTIF('Group Stages'!J7:J102,BW413)</f>
        <v>0</v>
      </c>
      <c r="BY413" s="306">
        <f ca="1">COUNTIF('Group Stages'!K7:K102,BW413)</f>
        <v>0</v>
      </c>
      <c r="BZ413" s="306">
        <f ca="1">COUNTIF('Group Stages'!L7:L102,BW413)</f>
        <v>0</v>
      </c>
      <c r="CA413" s="306">
        <f ca="1">COUNTIF('Group Stages'!M7:M102,BW413)</f>
        <v>0</v>
      </c>
      <c r="CB413" s="306">
        <f ca="1">COUNTIF('Group Stages'!N7:N102,BW413)</f>
        <v>0</v>
      </c>
      <c r="CC413" s="306">
        <f ca="1">COUNTIF('Group Stages'!O7:O102,BW413)</f>
        <v>0</v>
      </c>
      <c r="CD413" s="306">
        <f ca="1">COUNTIF('Group Stages'!P7:P102,BW413)</f>
        <v>0</v>
      </c>
      <c r="CE413" s="306">
        <f ca="1">COUNTIF('Group Stages'!Q7:Q102,BW413)</f>
        <v>0</v>
      </c>
      <c r="CF413" s="306">
        <f ca="1">COUNTIF('Knock Out Stages'!K7:K50,BW413)</f>
        <v>0</v>
      </c>
      <c r="CG413" s="306">
        <f ca="1">COUNTIF('Knock Out Stages'!L7:L50,BW413)</f>
        <v>0</v>
      </c>
      <c r="CH413" s="306">
        <f ca="1">COUNTIF('Knock Out Stages'!M7:M50,BW413)</f>
        <v>0</v>
      </c>
      <c r="CI413" s="306">
        <f ca="1">COUNTIF('Knock Out Stages'!N7:N50,BW413)</f>
        <v>0</v>
      </c>
      <c r="CJ413" s="306">
        <f ca="1">COUNTIF('Knock Out Stages'!O7:O50,BW413)</f>
        <v>0</v>
      </c>
      <c r="CK413" s="306">
        <f ca="1">COUNTIF('Knock Out Stages'!P7:P50,BW413)</f>
        <v>0</v>
      </c>
      <c r="CL413" s="306">
        <f ca="1">COUNTIF('Knock Out Stages'!Q7:Q50,BW413)</f>
        <v>0</v>
      </c>
      <c r="CM413" s="306">
        <f ca="1">COUNTIF('Knock Out Stages'!R7:R50,BW413)</f>
        <v>0</v>
      </c>
      <c r="CN413" s="306">
        <f ca="1">IF(RIGHT('Group Stages'!$B$105,5)="T.com",SUM(BX413:CM413),0)</f>
        <v>0</v>
      </c>
      <c r="CO413" s="306">
        <f ca="1">RANK(CN413,CN3:CN834)+COUNTIF(CN3:CN413,CN413)-1</f>
        <v>411</v>
      </c>
      <c r="CP413" s="306" t="str">
        <f t="shared" ca="1" si="202"/>
        <v>Mathew Ryan (Australia)</v>
      </c>
    </row>
    <row r="414" spans="72:94" x14ac:dyDescent="0.3">
      <c r="BT414" s="306" t="str">
        <f t="shared" ca="1" si="199"/>
        <v>Australia</v>
      </c>
      <c r="BU414" s="306">
        <f t="shared" si="200"/>
        <v>21</v>
      </c>
      <c r="BV414" s="306">
        <f t="shared" si="201"/>
        <v>14</v>
      </c>
      <c r="BW414" s="306" t="str">
        <f ca="1">OFFSET(C3,BU414,BV414)</f>
        <v>Miloš Degenek</v>
      </c>
      <c r="BX414" s="306">
        <f ca="1">COUNTIF('Group Stages'!J7:J102,BW414)</f>
        <v>0</v>
      </c>
      <c r="BY414" s="306">
        <f ca="1">COUNTIF('Group Stages'!K7:K102,BW414)</f>
        <v>0</v>
      </c>
      <c r="BZ414" s="306">
        <f ca="1">COUNTIF('Group Stages'!L7:L102,BW414)</f>
        <v>0</v>
      </c>
      <c r="CA414" s="306">
        <f ca="1">COUNTIF('Group Stages'!M7:M102,BW414)</f>
        <v>0</v>
      </c>
      <c r="CB414" s="306">
        <f ca="1">COUNTIF('Group Stages'!N7:N102,BW414)</f>
        <v>0</v>
      </c>
      <c r="CC414" s="306">
        <f ca="1">COUNTIF('Group Stages'!O7:O102,BW414)</f>
        <v>0</v>
      </c>
      <c r="CD414" s="306">
        <f ca="1">COUNTIF('Group Stages'!P7:P102,BW414)</f>
        <v>0</v>
      </c>
      <c r="CE414" s="306">
        <f ca="1">COUNTIF('Group Stages'!Q7:Q102,BW414)</f>
        <v>0</v>
      </c>
      <c r="CF414" s="306">
        <f ca="1">COUNTIF('Knock Out Stages'!K7:K50,BW414)</f>
        <v>0</v>
      </c>
      <c r="CG414" s="306">
        <f ca="1">COUNTIF('Knock Out Stages'!L7:L50,BW414)</f>
        <v>0</v>
      </c>
      <c r="CH414" s="306">
        <f ca="1">COUNTIF('Knock Out Stages'!M7:M50,BW414)</f>
        <v>0</v>
      </c>
      <c r="CI414" s="306">
        <f ca="1">COUNTIF('Knock Out Stages'!N7:N50,BW414)</f>
        <v>0</v>
      </c>
      <c r="CJ414" s="306">
        <f ca="1">COUNTIF('Knock Out Stages'!O7:O50,BW414)</f>
        <v>0</v>
      </c>
      <c r="CK414" s="306">
        <f ca="1">COUNTIF('Knock Out Stages'!P7:P50,BW414)</f>
        <v>0</v>
      </c>
      <c r="CL414" s="306">
        <f ca="1">COUNTIF('Knock Out Stages'!Q7:Q50,BW414)</f>
        <v>0</v>
      </c>
      <c r="CM414" s="306">
        <f ca="1">COUNTIF('Knock Out Stages'!R7:R50,BW414)</f>
        <v>0</v>
      </c>
      <c r="CN414" s="306">
        <f ca="1">IF(RIGHT('Group Stages'!$B$105,5)="T.com",SUM(BX414:CM414),0)</f>
        <v>0</v>
      </c>
      <c r="CO414" s="306">
        <f ca="1">RANK(CN414,CN3:CN834)+COUNTIF(CN3:CN414,CN414)-1</f>
        <v>412</v>
      </c>
      <c r="CP414" s="306" t="str">
        <f t="shared" ca="1" si="202"/>
        <v>Miloš Degenek (Australia)</v>
      </c>
    </row>
    <row r="415" spans="72:94" x14ac:dyDescent="0.3">
      <c r="BT415" s="306" t="str">
        <f t="shared" ca="1" si="199"/>
        <v>Australia</v>
      </c>
      <c r="BU415" s="306">
        <f t="shared" si="200"/>
        <v>22</v>
      </c>
      <c r="BV415" s="306">
        <f t="shared" si="201"/>
        <v>14</v>
      </c>
      <c r="BW415" s="306" t="str">
        <f ca="1">OFFSET(C3,BU415,BV415)</f>
        <v>Mitchell Duke</v>
      </c>
      <c r="BX415" s="306">
        <f ca="1">COUNTIF('Group Stages'!J7:J102,BW415)</f>
        <v>0</v>
      </c>
      <c r="BY415" s="306">
        <f ca="1">COUNTIF('Group Stages'!K7:K102,BW415)</f>
        <v>0</v>
      </c>
      <c r="BZ415" s="306">
        <f ca="1">COUNTIF('Group Stages'!L7:L102,BW415)</f>
        <v>0</v>
      </c>
      <c r="CA415" s="306">
        <f ca="1">COUNTIF('Group Stages'!M7:M102,BW415)</f>
        <v>0</v>
      </c>
      <c r="CB415" s="306">
        <f ca="1">COUNTIF('Group Stages'!N7:N102,BW415)</f>
        <v>0</v>
      </c>
      <c r="CC415" s="306">
        <f ca="1">COUNTIF('Group Stages'!O7:O102,BW415)</f>
        <v>0</v>
      </c>
      <c r="CD415" s="306">
        <f ca="1">COUNTIF('Group Stages'!P7:P102,BW415)</f>
        <v>0</v>
      </c>
      <c r="CE415" s="306">
        <f ca="1">COUNTIF('Group Stages'!Q7:Q102,BW415)</f>
        <v>0</v>
      </c>
      <c r="CF415" s="306">
        <f ca="1">COUNTIF('Knock Out Stages'!K7:K50,BW415)</f>
        <v>0</v>
      </c>
      <c r="CG415" s="306">
        <f ca="1">COUNTIF('Knock Out Stages'!L7:L50,BW415)</f>
        <v>0</v>
      </c>
      <c r="CH415" s="306">
        <f ca="1">COUNTIF('Knock Out Stages'!M7:M50,BW415)</f>
        <v>0</v>
      </c>
      <c r="CI415" s="306">
        <f ca="1">COUNTIF('Knock Out Stages'!N7:N50,BW415)</f>
        <v>0</v>
      </c>
      <c r="CJ415" s="306">
        <f ca="1">COUNTIF('Knock Out Stages'!O7:O50,BW415)</f>
        <v>0</v>
      </c>
      <c r="CK415" s="306">
        <f ca="1">COUNTIF('Knock Out Stages'!P7:P50,BW415)</f>
        <v>0</v>
      </c>
      <c r="CL415" s="306">
        <f ca="1">COUNTIF('Knock Out Stages'!Q7:Q50,BW415)</f>
        <v>0</v>
      </c>
      <c r="CM415" s="306">
        <f ca="1">COUNTIF('Knock Out Stages'!R7:R50,BW415)</f>
        <v>0</v>
      </c>
      <c r="CN415" s="306">
        <f ca="1">IF(RIGHT('Group Stages'!$B$105,5)="T.com",SUM(BX415:CM415),0)</f>
        <v>0</v>
      </c>
      <c r="CO415" s="306">
        <f ca="1">RANK(CN415,CN3:CN834)+COUNTIF(CN3:CN415,CN415)-1</f>
        <v>413</v>
      </c>
      <c r="CP415" s="306" t="str">
        <f t="shared" ca="1" si="202"/>
        <v>Mitchell Duke (Australia)</v>
      </c>
    </row>
    <row r="416" spans="72:94" x14ac:dyDescent="0.3">
      <c r="BT416" s="306" t="str">
        <f t="shared" ca="1" si="199"/>
        <v>Australia</v>
      </c>
      <c r="BU416" s="306">
        <f t="shared" si="200"/>
        <v>23</v>
      </c>
      <c r="BV416" s="306">
        <f t="shared" si="201"/>
        <v>14</v>
      </c>
      <c r="BW416" s="306" t="str">
        <f ca="1">OFFSET(C3,BU416,BV416)</f>
        <v>Nathaniel Atkinson</v>
      </c>
      <c r="BX416" s="306">
        <f ca="1">COUNTIF('Group Stages'!J7:J102,BW416)</f>
        <v>0</v>
      </c>
      <c r="BY416" s="306">
        <f ca="1">COUNTIF('Group Stages'!K7:K102,BW416)</f>
        <v>0</v>
      </c>
      <c r="BZ416" s="306">
        <f ca="1">COUNTIF('Group Stages'!L7:L102,BW416)</f>
        <v>0</v>
      </c>
      <c r="CA416" s="306">
        <f ca="1">COUNTIF('Group Stages'!M7:M102,BW416)</f>
        <v>0</v>
      </c>
      <c r="CB416" s="306">
        <f ca="1">COUNTIF('Group Stages'!N7:N102,BW416)</f>
        <v>0</v>
      </c>
      <c r="CC416" s="306">
        <f ca="1">COUNTIF('Group Stages'!O7:O102,BW416)</f>
        <v>0</v>
      </c>
      <c r="CD416" s="306">
        <f ca="1">COUNTIF('Group Stages'!P7:P102,BW416)</f>
        <v>0</v>
      </c>
      <c r="CE416" s="306">
        <f ca="1">COUNTIF('Group Stages'!Q7:Q102,BW416)</f>
        <v>0</v>
      </c>
      <c r="CF416" s="306">
        <f ca="1">COUNTIF('Knock Out Stages'!K7:K50,BW416)</f>
        <v>0</v>
      </c>
      <c r="CG416" s="306">
        <f ca="1">COUNTIF('Knock Out Stages'!L7:L50,BW416)</f>
        <v>0</v>
      </c>
      <c r="CH416" s="306">
        <f ca="1">COUNTIF('Knock Out Stages'!M7:M50,BW416)</f>
        <v>0</v>
      </c>
      <c r="CI416" s="306">
        <f ca="1">COUNTIF('Knock Out Stages'!N7:N50,BW416)</f>
        <v>0</v>
      </c>
      <c r="CJ416" s="306">
        <f ca="1">COUNTIF('Knock Out Stages'!O7:O50,BW416)</f>
        <v>0</v>
      </c>
      <c r="CK416" s="306">
        <f ca="1">COUNTIF('Knock Out Stages'!P7:P50,BW416)</f>
        <v>0</v>
      </c>
      <c r="CL416" s="306">
        <f ca="1">COUNTIF('Knock Out Stages'!Q7:Q50,BW416)</f>
        <v>0</v>
      </c>
      <c r="CM416" s="306">
        <f ca="1">COUNTIF('Knock Out Stages'!R7:R50,BW416)</f>
        <v>0</v>
      </c>
      <c r="CN416" s="306">
        <f ca="1">IF(RIGHT('Group Stages'!$B$105,5)="T.com",SUM(BX416:CM416),0)</f>
        <v>0</v>
      </c>
      <c r="CO416" s="306">
        <f ca="1">RANK(CN416,CN3:CN834)+COUNTIF(CN3:CN416,CN416)-1</f>
        <v>414</v>
      </c>
      <c r="CP416" s="306" t="str">
        <f t="shared" ca="1" si="202"/>
        <v>Nathaniel Atkinson (Australia)</v>
      </c>
    </row>
    <row r="417" spans="72:94" x14ac:dyDescent="0.3">
      <c r="BT417" s="306" t="str">
        <f t="shared" ca="1" si="199"/>
        <v>Australia</v>
      </c>
      <c r="BU417" s="306">
        <f t="shared" si="200"/>
        <v>24</v>
      </c>
      <c r="BV417" s="306">
        <f t="shared" si="201"/>
        <v>14</v>
      </c>
      <c r="BW417" s="306" t="str">
        <f ca="1">OFFSET(C3,BU417,BV417)</f>
        <v>Riley McGree</v>
      </c>
      <c r="BX417" s="306">
        <f ca="1">COUNTIF('Group Stages'!J7:J102,BW417)</f>
        <v>0</v>
      </c>
      <c r="BY417" s="306">
        <f ca="1">COUNTIF('Group Stages'!K7:K102,BW417)</f>
        <v>0</v>
      </c>
      <c r="BZ417" s="306">
        <f ca="1">COUNTIF('Group Stages'!L7:L102,BW417)</f>
        <v>0</v>
      </c>
      <c r="CA417" s="306">
        <f ca="1">COUNTIF('Group Stages'!M7:M102,BW417)</f>
        <v>0</v>
      </c>
      <c r="CB417" s="306">
        <f ca="1">COUNTIF('Group Stages'!N7:N102,BW417)</f>
        <v>0</v>
      </c>
      <c r="CC417" s="306">
        <f ca="1">COUNTIF('Group Stages'!O7:O102,BW417)</f>
        <v>0</v>
      </c>
      <c r="CD417" s="306">
        <f ca="1">COUNTIF('Group Stages'!P7:P102,BW417)</f>
        <v>0</v>
      </c>
      <c r="CE417" s="306">
        <f ca="1">COUNTIF('Group Stages'!Q7:Q102,BW417)</f>
        <v>0</v>
      </c>
      <c r="CF417" s="306">
        <f ca="1">COUNTIF('Knock Out Stages'!K7:K50,BW417)</f>
        <v>0</v>
      </c>
      <c r="CG417" s="306">
        <f ca="1">COUNTIF('Knock Out Stages'!L7:L50,BW417)</f>
        <v>0</v>
      </c>
      <c r="CH417" s="306">
        <f ca="1">COUNTIF('Knock Out Stages'!M7:M50,BW417)</f>
        <v>0</v>
      </c>
      <c r="CI417" s="306">
        <f ca="1">COUNTIF('Knock Out Stages'!N7:N50,BW417)</f>
        <v>0</v>
      </c>
      <c r="CJ417" s="306">
        <f ca="1">COUNTIF('Knock Out Stages'!O7:O50,BW417)</f>
        <v>0</v>
      </c>
      <c r="CK417" s="306">
        <f ca="1">COUNTIF('Knock Out Stages'!P7:P50,BW417)</f>
        <v>0</v>
      </c>
      <c r="CL417" s="306">
        <f ca="1">COUNTIF('Knock Out Stages'!Q7:Q50,BW417)</f>
        <v>0</v>
      </c>
      <c r="CM417" s="306">
        <f ca="1">COUNTIF('Knock Out Stages'!R7:R50,BW417)</f>
        <v>0</v>
      </c>
      <c r="CN417" s="306">
        <f ca="1">IF(RIGHT('Group Stages'!$B$105,5)="T.com",SUM(BX417:CM417),0)</f>
        <v>0</v>
      </c>
      <c r="CO417" s="306">
        <f ca="1">RANK(CN417,CN3:CN834)+COUNTIF(CN3:CN417,CN417)-1</f>
        <v>415</v>
      </c>
      <c r="CP417" s="306" t="str">
        <f t="shared" ca="1" si="202"/>
        <v>Riley McGree (Australia)</v>
      </c>
    </row>
    <row r="418" spans="72:94" x14ac:dyDescent="0.3">
      <c r="BT418" s="306" t="str">
        <f t="shared" ca="1" si="199"/>
        <v>Australia</v>
      </c>
      <c r="BU418" s="306">
        <f t="shared" si="200"/>
        <v>25</v>
      </c>
      <c r="BV418" s="306">
        <f t="shared" si="201"/>
        <v>14</v>
      </c>
      <c r="BW418" s="306" t="str">
        <f ca="1">OFFSET(C3,BU418,BV418)</f>
        <v>Thomas Deng</v>
      </c>
      <c r="BX418" s="306">
        <f ca="1">COUNTIF('Group Stages'!J7:J102,BW418)</f>
        <v>0</v>
      </c>
      <c r="BY418" s="306">
        <f ca="1">COUNTIF('Group Stages'!K7:K102,BW418)</f>
        <v>0</v>
      </c>
      <c r="BZ418" s="306">
        <f ca="1">COUNTIF('Group Stages'!L7:L102,BW418)</f>
        <v>0</v>
      </c>
      <c r="CA418" s="306">
        <f ca="1">COUNTIF('Group Stages'!M7:M102,BW418)</f>
        <v>0</v>
      </c>
      <c r="CB418" s="306">
        <f ca="1">COUNTIF('Group Stages'!N7:N102,BW418)</f>
        <v>0</v>
      </c>
      <c r="CC418" s="306">
        <f ca="1">COUNTIF('Group Stages'!O7:O102,BW418)</f>
        <v>0</v>
      </c>
      <c r="CD418" s="306">
        <f ca="1">COUNTIF('Group Stages'!P7:P102,BW418)</f>
        <v>0</v>
      </c>
      <c r="CE418" s="306">
        <f ca="1">COUNTIF('Group Stages'!Q7:Q102,BW418)</f>
        <v>0</v>
      </c>
      <c r="CF418" s="306">
        <f ca="1">COUNTIF('Knock Out Stages'!K7:K50,BW418)</f>
        <v>0</v>
      </c>
      <c r="CG418" s="306">
        <f ca="1">COUNTIF('Knock Out Stages'!L7:L50,BW418)</f>
        <v>0</v>
      </c>
      <c r="CH418" s="306">
        <f ca="1">COUNTIF('Knock Out Stages'!M7:M50,BW418)</f>
        <v>0</v>
      </c>
      <c r="CI418" s="306">
        <f ca="1">COUNTIF('Knock Out Stages'!N7:N50,BW418)</f>
        <v>0</v>
      </c>
      <c r="CJ418" s="306">
        <f ca="1">COUNTIF('Knock Out Stages'!O7:O50,BW418)</f>
        <v>0</v>
      </c>
      <c r="CK418" s="306">
        <f ca="1">COUNTIF('Knock Out Stages'!P7:P50,BW418)</f>
        <v>0</v>
      </c>
      <c r="CL418" s="306">
        <f ca="1">COUNTIF('Knock Out Stages'!Q7:Q50,BW418)</f>
        <v>0</v>
      </c>
      <c r="CM418" s="306">
        <f ca="1">COUNTIF('Knock Out Stages'!R7:R50,BW418)</f>
        <v>0</v>
      </c>
      <c r="CN418" s="306">
        <f ca="1">IF(RIGHT('Group Stages'!$B$105,5)="T.com",SUM(BX418:CM418),0)</f>
        <v>0</v>
      </c>
      <c r="CO418" s="306">
        <f ca="1">RANK(CN418,CN3:CN834)+COUNTIF(CN3:CN418,CN418)-1</f>
        <v>416</v>
      </c>
      <c r="CP418" s="306" t="str">
        <f t="shared" ca="1" si="202"/>
        <v>Thomas Deng (Australia)</v>
      </c>
    </row>
    <row r="419" spans="72:94" x14ac:dyDescent="0.3">
      <c r="BT419" s="306" t="str">
        <f ca="1">OFFSET(C2,BU419,BV419)</f>
        <v>Germany</v>
      </c>
      <c r="BU419" s="306">
        <f t="shared" si="200"/>
        <v>0</v>
      </c>
      <c r="BV419" s="306">
        <f t="shared" si="201"/>
        <v>15</v>
      </c>
      <c r="BW419" s="306" t="str">
        <f ca="1">OFFSET(C3,BU419,BV419)</f>
        <v>Antonio Rüdiger</v>
      </c>
      <c r="BX419" s="306">
        <f ca="1">COUNTIF('Group Stages'!J7:J102,BW419)</f>
        <v>0</v>
      </c>
      <c r="BY419" s="306">
        <f ca="1">COUNTIF('Group Stages'!K7:K102,BW419)</f>
        <v>0</v>
      </c>
      <c r="BZ419" s="306">
        <f ca="1">COUNTIF('Group Stages'!L7:L102,BW419)</f>
        <v>0</v>
      </c>
      <c r="CA419" s="306">
        <f ca="1">COUNTIF('Group Stages'!M7:M102,BW419)</f>
        <v>0</v>
      </c>
      <c r="CB419" s="306">
        <f ca="1">COUNTIF('Group Stages'!N7:N102,BW419)</f>
        <v>0</v>
      </c>
      <c r="CC419" s="306">
        <f ca="1">COUNTIF('Group Stages'!O7:O102,BW419)</f>
        <v>0</v>
      </c>
      <c r="CD419" s="306">
        <f ca="1">COUNTIF('Group Stages'!P7:P102,BW419)</f>
        <v>0</v>
      </c>
      <c r="CE419" s="306">
        <f ca="1">COUNTIF('Group Stages'!Q7:Q102,BW419)</f>
        <v>0</v>
      </c>
      <c r="CF419" s="306">
        <f ca="1">COUNTIF('Knock Out Stages'!K7:K50,BW419)</f>
        <v>0</v>
      </c>
      <c r="CG419" s="306">
        <f ca="1">COUNTIF('Knock Out Stages'!L7:L50,BW419)</f>
        <v>0</v>
      </c>
      <c r="CH419" s="306">
        <f ca="1">COUNTIF('Knock Out Stages'!M7:M50,BW419)</f>
        <v>0</v>
      </c>
      <c r="CI419" s="306">
        <f ca="1">COUNTIF('Knock Out Stages'!N7:N50,BW419)</f>
        <v>0</v>
      </c>
      <c r="CJ419" s="306">
        <f ca="1">COUNTIF('Knock Out Stages'!O7:O50,BW419)</f>
        <v>0</v>
      </c>
      <c r="CK419" s="306">
        <f ca="1">COUNTIF('Knock Out Stages'!P7:P50,BW419)</f>
        <v>0</v>
      </c>
      <c r="CL419" s="306">
        <f ca="1">COUNTIF('Knock Out Stages'!Q7:Q50,BW419)</f>
        <v>0</v>
      </c>
      <c r="CM419" s="306">
        <f ca="1">COUNTIF('Knock Out Stages'!R7:R50,BW419)</f>
        <v>0</v>
      </c>
      <c r="CN419" s="306">
        <f ca="1">IF(RIGHT('Group Stages'!$B$105,5)="T.com",SUM(BX419:CM419),0)</f>
        <v>0</v>
      </c>
      <c r="CO419" s="306">
        <f ca="1">RANK(CN419,CN3:CN834)+COUNTIF(CN3:CN419,CN419)-1</f>
        <v>417</v>
      </c>
      <c r="CP419" s="306" t="str">
        <f t="shared" ca="1" si="202"/>
        <v>Antonio Rüdiger (Germany)</v>
      </c>
    </row>
    <row r="420" spans="72:94" x14ac:dyDescent="0.3">
      <c r="BT420" s="306" t="str">
        <f t="shared" ref="BT420" ca="1" si="204">BT419</f>
        <v>Germany</v>
      </c>
      <c r="BU420" s="306">
        <f t="shared" si="200"/>
        <v>1</v>
      </c>
      <c r="BV420" s="306">
        <f t="shared" si="201"/>
        <v>15</v>
      </c>
      <c r="BW420" s="306" t="str">
        <f ca="1">OFFSET(C3,BU420,BV420)</f>
        <v>Armel Bella-Kotchap</v>
      </c>
      <c r="BX420" s="306">
        <f ca="1">COUNTIF('Group Stages'!J7:J102,BW420)</f>
        <v>0</v>
      </c>
      <c r="BY420" s="306">
        <f ca="1">COUNTIF('Group Stages'!K7:K102,BW420)</f>
        <v>0</v>
      </c>
      <c r="BZ420" s="306">
        <f ca="1">COUNTIF('Group Stages'!L7:L102,BW420)</f>
        <v>0</v>
      </c>
      <c r="CA420" s="306">
        <f ca="1">COUNTIF('Group Stages'!M7:M102,BW420)</f>
        <v>0</v>
      </c>
      <c r="CB420" s="306">
        <f ca="1">COUNTIF('Group Stages'!N7:N102,BW420)</f>
        <v>0</v>
      </c>
      <c r="CC420" s="306">
        <f ca="1">COUNTIF('Group Stages'!O7:O102,BW420)</f>
        <v>0</v>
      </c>
      <c r="CD420" s="306">
        <f ca="1">COUNTIF('Group Stages'!P7:P102,BW420)</f>
        <v>0</v>
      </c>
      <c r="CE420" s="306">
        <f ca="1">COUNTIF('Group Stages'!Q7:Q102,BW420)</f>
        <v>0</v>
      </c>
      <c r="CF420" s="306">
        <f ca="1">COUNTIF('Knock Out Stages'!K7:K50,BW420)</f>
        <v>0</v>
      </c>
      <c r="CG420" s="306">
        <f ca="1">COUNTIF('Knock Out Stages'!L7:L50,BW420)</f>
        <v>0</v>
      </c>
      <c r="CH420" s="306">
        <f ca="1">COUNTIF('Knock Out Stages'!M7:M50,BW420)</f>
        <v>0</v>
      </c>
      <c r="CI420" s="306">
        <f ca="1">COUNTIF('Knock Out Stages'!N7:N50,BW420)</f>
        <v>0</v>
      </c>
      <c r="CJ420" s="306">
        <f ca="1">COUNTIF('Knock Out Stages'!O7:O50,BW420)</f>
        <v>0</v>
      </c>
      <c r="CK420" s="306">
        <f ca="1">COUNTIF('Knock Out Stages'!P7:P50,BW420)</f>
        <v>0</v>
      </c>
      <c r="CL420" s="306">
        <f ca="1">COUNTIF('Knock Out Stages'!Q7:Q50,BW420)</f>
        <v>0</v>
      </c>
      <c r="CM420" s="306">
        <f ca="1">COUNTIF('Knock Out Stages'!R7:R50,BW420)</f>
        <v>0</v>
      </c>
      <c r="CN420" s="306">
        <f ca="1">IF(RIGHT('Group Stages'!$B$105,5)="T.com",SUM(BX420:CM420),0)</f>
        <v>0</v>
      </c>
      <c r="CO420" s="306">
        <f ca="1">RANK(CN420,CN3:CN834)+COUNTIF(CN3:CN420,CN420)-1</f>
        <v>418</v>
      </c>
      <c r="CP420" s="306" t="str">
        <f t="shared" ca="1" si="202"/>
        <v>Armel Bella-Kotchap (Germany)</v>
      </c>
    </row>
    <row r="421" spans="72:94" x14ac:dyDescent="0.3">
      <c r="BT421" s="306" t="str">
        <f t="shared" ca="1" si="199"/>
        <v>Germany</v>
      </c>
      <c r="BU421" s="306">
        <f t="shared" si="200"/>
        <v>2</v>
      </c>
      <c r="BV421" s="306">
        <f t="shared" si="201"/>
        <v>15</v>
      </c>
      <c r="BW421" s="306" t="str">
        <f ca="1">OFFSET(C3,BU421,BV421)</f>
        <v>Christian Günter</v>
      </c>
      <c r="BX421" s="306">
        <f ca="1">COUNTIF('Group Stages'!J7:J102,BW421)</f>
        <v>0</v>
      </c>
      <c r="BY421" s="306">
        <f ca="1">COUNTIF('Group Stages'!K7:K102,BW421)</f>
        <v>0</v>
      </c>
      <c r="BZ421" s="306">
        <f ca="1">COUNTIF('Group Stages'!L7:L102,BW421)</f>
        <v>0</v>
      </c>
      <c r="CA421" s="306">
        <f ca="1">COUNTIF('Group Stages'!M7:M102,BW421)</f>
        <v>0</v>
      </c>
      <c r="CB421" s="306">
        <f ca="1">COUNTIF('Group Stages'!N7:N102,BW421)</f>
        <v>0</v>
      </c>
      <c r="CC421" s="306">
        <f ca="1">COUNTIF('Group Stages'!O7:O102,BW421)</f>
        <v>0</v>
      </c>
      <c r="CD421" s="306">
        <f ca="1">COUNTIF('Group Stages'!P7:P102,BW421)</f>
        <v>0</v>
      </c>
      <c r="CE421" s="306">
        <f ca="1">COUNTIF('Group Stages'!Q7:Q102,BW421)</f>
        <v>0</v>
      </c>
      <c r="CF421" s="306">
        <f ca="1">COUNTIF('Knock Out Stages'!K7:K50,BW421)</f>
        <v>0</v>
      </c>
      <c r="CG421" s="306">
        <f ca="1">COUNTIF('Knock Out Stages'!L7:L50,BW421)</f>
        <v>0</v>
      </c>
      <c r="CH421" s="306">
        <f ca="1">COUNTIF('Knock Out Stages'!M7:M50,BW421)</f>
        <v>0</v>
      </c>
      <c r="CI421" s="306">
        <f ca="1">COUNTIF('Knock Out Stages'!N7:N50,BW421)</f>
        <v>0</v>
      </c>
      <c r="CJ421" s="306">
        <f ca="1">COUNTIF('Knock Out Stages'!O7:O50,BW421)</f>
        <v>0</v>
      </c>
      <c r="CK421" s="306">
        <f ca="1">COUNTIF('Knock Out Stages'!P7:P50,BW421)</f>
        <v>0</v>
      </c>
      <c r="CL421" s="306">
        <f ca="1">COUNTIF('Knock Out Stages'!Q7:Q50,BW421)</f>
        <v>0</v>
      </c>
      <c r="CM421" s="306">
        <f ca="1">COUNTIF('Knock Out Stages'!R7:R50,BW421)</f>
        <v>0</v>
      </c>
      <c r="CN421" s="306">
        <f ca="1">IF(RIGHT('Group Stages'!$B$105,5)="T.com",SUM(BX421:CM421),0)</f>
        <v>0</v>
      </c>
      <c r="CO421" s="306">
        <f ca="1">RANK(CN421,CN3:CN834)+COUNTIF(CN3:CN421,CN421)-1</f>
        <v>419</v>
      </c>
      <c r="CP421" s="306" t="str">
        <f t="shared" ca="1" si="202"/>
        <v>Christian Günter (Germany)</v>
      </c>
    </row>
    <row r="422" spans="72:94" x14ac:dyDescent="0.3">
      <c r="BT422" s="306" t="str">
        <f t="shared" ca="1" si="199"/>
        <v>Germany</v>
      </c>
      <c r="BU422" s="306">
        <f t="shared" si="200"/>
        <v>3</v>
      </c>
      <c r="BV422" s="306">
        <f t="shared" si="201"/>
        <v>15</v>
      </c>
      <c r="BW422" s="306" t="str">
        <f ca="1">OFFSET(C3,BU422,BV422)</f>
        <v>David Raum</v>
      </c>
      <c r="BX422" s="306">
        <f ca="1">COUNTIF('Group Stages'!J7:J102,BW422)</f>
        <v>0</v>
      </c>
      <c r="BY422" s="306">
        <f ca="1">COUNTIF('Group Stages'!K7:K102,BW422)</f>
        <v>0</v>
      </c>
      <c r="BZ422" s="306">
        <f ca="1">COUNTIF('Group Stages'!L7:L102,BW422)</f>
        <v>0</v>
      </c>
      <c r="CA422" s="306">
        <f ca="1">COUNTIF('Group Stages'!M7:M102,BW422)</f>
        <v>0</v>
      </c>
      <c r="CB422" s="306">
        <f ca="1">COUNTIF('Group Stages'!N7:N102,BW422)</f>
        <v>0</v>
      </c>
      <c r="CC422" s="306">
        <f ca="1">COUNTIF('Group Stages'!O7:O102,BW422)</f>
        <v>0</v>
      </c>
      <c r="CD422" s="306">
        <f ca="1">COUNTIF('Group Stages'!P7:P102,BW422)</f>
        <v>0</v>
      </c>
      <c r="CE422" s="306">
        <f ca="1">COUNTIF('Group Stages'!Q7:Q102,BW422)</f>
        <v>0</v>
      </c>
      <c r="CF422" s="306">
        <f ca="1">COUNTIF('Knock Out Stages'!K7:K50,BW422)</f>
        <v>0</v>
      </c>
      <c r="CG422" s="306">
        <f ca="1">COUNTIF('Knock Out Stages'!L7:L50,BW422)</f>
        <v>0</v>
      </c>
      <c r="CH422" s="306">
        <f ca="1">COUNTIF('Knock Out Stages'!M7:M50,BW422)</f>
        <v>0</v>
      </c>
      <c r="CI422" s="306">
        <f ca="1">COUNTIF('Knock Out Stages'!N7:N50,BW422)</f>
        <v>0</v>
      </c>
      <c r="CJ422" s="306">
        <f ca="1">COUNTIF('Knock Out Stages'!O7:O50,BW422)</f>
        <v>0</v>
      </c>
      <c r="CK422" s="306">
        <f ca="1">COUNTIF('Knock Out Stages'!P7:P50,BW422)</f>
        <v>0</v>
      </c>
      <c r="CL422" s="306">
        <f ca="1">COUNTIF('Knock Out Stages'!Q7:Q50,BW422)</f>
        <v>0</v>
      </c>
      <c r="CM422" s="306">
        <f ca="1">COUNTIF('Knock Out Stages'!R7:R50,BW422)</f>
        <v>0</v>
      </c>
      <c r="CN422" s="306">
        <f ca="1">IF(RIGHT('Group Stages'!$B$105,5)="T.com",SUM(BX422:CM422),0)</f>
        <v>0</v>
      </c>
      <c r="CO422" s="306">
        <f ca="1">RANK(CN422,CN3:CN834)+COUNTIF(CN3:CN422,CN422)-1</f>
        <v>420</v>
      </c>
      <c r="CP422" s="306" t="str">
        <f t="shared" ca="1" si="202"/>
        <v>David Raum (Germany)</v>
      </c>
    </row>
    <row r="423" spans="72:94" x14ac:dyDescent="0.3">
      <c r="BT423" s="306" t="str">
        <f t="shared" ca="1" si="199"/>
        <v>Germany</v>
      </c>
      <c r="BU423" s="306">
        <f t="shared" si="200"/>
        <v>4</v>
      </c>
      <c r="BV423" s="306">
        <f t="shared" si="201"/>
        <v>15</v>
      </c>
      <c r="BW423" s="306" t="str">
        <f ca="1">OFFSET(C3,BU423,BV423)</f>
        <v>İlkay Gündoğan</v>
      </c>
      <c r="BX423" s="306">
        <f ca="1">COUNTIF('Group Stages'!J7:J102,BW423)</f>
        <v>0</v>
      </c>
      <c r="BY423" s="306">
        <f ca="1">COUNTIF('Group Stages'!K7:K102,BW423)</f>
        <v>0</v>
      </c>
      <c r="BZ423" s="306">
        <f ca="1">COUNTIF('Group Stages'!L7:L102,BW423)</f>
        <v>0</v>
      </c>
      <c r="CA423" s="306">
        <f ca="1">COUNTIF('Group Stages'!M7:M102,BW423)</f>
        <v>0</v>
      </c>
      <c r="CB423" s="306">
        <f ca="1">COUNTIF('Group Stages'!N7:N102,BW423)</f>
        <v>0</v>
      </c>
      <c r="CC423" s="306">
        <f ca="1">COUNTIF('Group Stages'!O7:O102,BW423)</f>
        <v>0</v>
      </c>
      <c r="CD423" s="306">
        <f ca="1">COUNTIF('Group Stages'!P7:P102,BW423)</f>
        <v>0</v>
      </c>
      <c r="CE423" s="306">
        <f ca="1">COUNTIF('Group Stages'!Q7:Q102,BW423)</f>
        <v>0</v>
      </c>
      <c r="CF423" s="306">
        <f ca="1">COUNTIF('Knock Out Stages'!K7:K50,BW423)</f>
        <v>0</v>
      </c>
      <c r="CG423" s="306">
        <f ca="1">COUNTIF('Knock Out Stages'!L7:L50,BW423)</f>
        <v>0</v>
      </c>
      <c r="CH423" s="306">
        <f ca="1">COUNTIF('Knock Out Stages'!M7:M50,BW423)</f>
        <v>0</v>
      </c>
      <c r="CI423" s="306">
        <f ca="1">COUNTIF('Knock Out Stages'!N7:N50,BW423)</f>
        <v>0</v>
      </c>
      <c r="CJ423" s="306">
        <f ca="1">COUNTIF('Knock Out Stages'!O7:O50,BW423)</f>
        <v>0</v>
      </c>
      <c r="CK423" s="306">
        <f ca="1">COUNTIF('Knock Out Stages'!P7:P50,BW423)</f>
        <v>0</v>
      </c>
      <c r="CL423" s="306">
        <f ca="1">COUNTIF('Knock Out Stages'!Q7:Q50,BW423)</f>
        <v>0</v>
      </c>
      <c r="CM423" s="306">
        <f ca="1">COUNTIF('Knock Out Stages'!R7:R50,BW423)</f>
        <v>0</v>
      </c>
      <c r="CN423" s="306">
        <f ca="1">IF(RIGHT('Group Stages'!$B$105,5)="T.com",SUM(BX423:CM423),0)</f>
        <v>0</v>
      </c>
      <c r="CO423" s="306">
        <f ca="1">RANK(CN423,CN3:CN834)+COUNTIF(CN3:CN423,CN423)-1</f>
        <v>421</v>
      </c>
      <c r="CP423" s="306" t="str">
        <f t="shared" ca="1" si="202"/>
        <v>İlkay Gündoğan (Germany)</v>
      </c>
    </row>
    <row r="424" spans="72:94" x14ac:dyDescent="0.3">
      <c r="BT424" s="306" t="str">
        <f t="shared" ca="1" si="199"/>
        <v>Germany</v>
      </c>
      <c r="BU424" s="306">
        <f t="shared" si="200"/>
        <v>5</v>
      </c>
      <c r="BV424" s="306">
        <f t="shared" si="201"/>
        <v>15</v>
      </c>
      <c r="BW424" s="306" t="str">
        <f ca="1">OFFSET(C3,BU424,BV424)</f>
        <v>Jamal Musiala</v>
      </c>
      <c r="BX424" s="306">
        <f ca="1">COUNTIF('Group Stages'!J7:J102,BW424)</f>
        <v>0</v>
      </c>
      <c r="BY424" s="306">
        <f ca="1">COUNTIF('Group Stages'!K7:K102,BW424)</f>
        <v>0</v>
      </c>
      <c r="BZ424" s="306">
        <f ca="1">COUNTIF('Group Stages'!L7:L102,BW424)</f>
        <v>0</v>
      </c>
      <c r="CA424" s="306">
        <f ca="1">COUNTIF('Group Stages'!M7:M102,BW424)</f>
        <v>0</v>
      </c>
      <c r="CB424" s="306">
        <f ca="1">COUNTIF('Group Stages'!N7:N102,BW424)</f>
        <v>0</v>
      </c>
      <c r="CC424" s="306">
        <f ca="1">COUNTIF('Group Stages'!O7:O102,BW424)</f>
        <v>0</v>
      </c>
      <c r="CD424" s="306">
        <f ca="1">COUNTIF('Group Stages'!P7:P102,BW424)</f>
        <v>0</v>
      </c>
      <c r="CE424" s="306">
        <f ca="1">COUNTIF('Group Stages'!Q7:Q102,BW424)</f>
        <v>0</v>
      </c>
      <c r="CF424" s="306">
        <f ca="1">COUNTIF('Knock Out Stages'!K7:K50,BW424)</f>
        <v>0</v>
      </c>
      <c r="CG424" s="306">
        <f ca="1">COUNTIF('Knock Out Stages'!L7:L50,BW424)</f>
        <v>0</v>
      </c>
      <c r="CH424" s="306">
        <f ca="1">COUNTIF('Knock Out Stages'!M7:M50,BW424)</f>
        <v>0</v>
      </c>
      <c r="CI424" s="306">
        <f ca="1">COUNTIF('Knock Out Stages'!N7:N50,BW424)</f>
        <v>0</v>
      </c>
      <c r="CJ424" s="306">
        <f ca="1">COUNTIF('Knock Out Stages'!O7:O50,BW424)</f>
        <v>0</v>
      </c>
      <c r="CK424" s="306">
        <f ca="1">COUNTIF('Knock Out Stages'!P7:P50,BW424)</f>
        <v>0</v>
      </c>
      <c r="CL424" s="306">
        <f ca="1">COUNTIF('Knock Out Stages'!Q7:Q50,BW424)</f>
        <v>0</v>
      </c>
      <c r="CM424" s="306">
        <f ca="1">COUNTIF('Knock Out Stages'!R7:R50,BW424)</f>
        <v>0</v>
      </c>
      <c r="CN424" s="306">
        <f ca="1">IF(RIGHT('Group Stages'!$B$105,5)="T.com",SUM(BX424:CM424),0)</f>
        <v>0</v>
      </c>
      <c r="CO424" s="306">
        <f ca="1">RANK(CN424,CN3:CN834)+COUNTIF(CN3:CN424,CN424)-1</f>
        <v>422</v>
      </c>
      <c r="CP424" s="306" t="str">
        <f t="shared" ca="1" si="202"/>
        <v>Jamal Musiala (Germany)</v>
      </c>
    </row>
    <row r="425" spans="72:94" x14ac:dyDescent="0.3">
      <c r="BT425" s="306" t="str">
        <f t="shared" ca="1" si="199"/>
        <v>Germany</v>
      </c>
      <c r="BU425" s="306">
        <f t="shared" si="200"/>
        <v>6</v>
      </c>
      <c r="BV425" s="306">
        <f t="shared" si="201"/>
        <v>15</v>
      </c>
      <c r="BW425" s="306" t="str">
        <f ca="1">OFFSET(C3,BU425,BV425)</f>
        <v>Jonas Hofmann</v>
      </c>
      <c r="BX425" s="306">
        <f ca="1">COUNTIF('Group Stages'!J7:J102,BW425)</f>
        <v>0</v>
      </c>
      <c r="BY425" s="306">
        <f ca="1">COUNTIF('Group Stages'!K7:K102,BW425)</f>
        <v>0</v>
      </c>
      <c r="BZ425" s="306">
        <f ca="1">COUNTIF('Group Stages'!L7:L102,BW425)</f>
        <v>0</v>
      </c>
      <c r="CA425" s="306">
        <f ca="1">COUNTIF('Group Stages'!M7:M102,BW425)</f>
        <v>0</v>
      </c>
      <c r="CB425" s="306">
        <f ca="1">COUNTIF('Group Stages'!N7:N102,BW425)</f>
        <v>0</v>
      </c>
      <c r="CC425" s="306">
        <f ca="1">COUNTIF('Group Stages'!O7:O102,BW425)</f>
        <v>0</v>
      </c>
      <c r="CD425" s="306">
        <f ca="1">COUNTIF('Group Stages'!P7:P102,BW425)</f>
        <v>0</v>
      </c>
      <c r="CE425" s="306">
        <f ca="1">COUNTIF('Group Stages'!Q7:Q102,BW425)</f>
        <v>0</v>
      </c>
      <c r="CF425" s="306">
        <f ca="1">COUNTIF('Knock Out Stages'!K7:K50,BW425)</f>
        <v>0</v>
      </c>
      <c r="CG425" s="306">
        <f ca="1">COUNTIF('Knock Out Stages'!L7:L50,BW425)</f>
        <v>0</v>
      </c>
      <c r="CH425" s="306">
        <f ca="1">COUNTIF('Knock Out Stages'!M7:M50,BW425)</f>
        <v>0</v>
      </c>
      <c r="CI425" s="306">
        <f ca="1">COUNTIF('Knock Out Stages'!N7:N50,BW425)</f>
        <v>0</v>
      </c>
      <c r="CJ425" s="306">
        <f ca="1">COUNTIF('Knock Out Stages'!O7:O50,BW425)</f>
        <v>0</v>
      </c>
      <c r="CK425" s="306">
        <f ca="1">COUNTIF('Knock Out Stages'!P7:P50,BW425)</f>
        <v>0</v>
      </c>
      <c r="CL425" s="306">
        <f ca="1">COUNTIF('Knock Out Stages'!Q7:Q50,BW425)</f>
        <v>0</v>
      </c>
      <c r="CM425" s="306">
        <f ca="1">COUNTIF('Knock Out Stages'!R7:R50,BW425)</f>
        <v>0</v>
      </c>
      <c r="CN425" s="306">
        <f ca="1">IF(RIGHT('Group Stages'!$B$105,5)="T.com",SUM(BX425:CM425),0)</f>
        <v>0</v>
      </c>
      <c r="CO425" s="306">
        <f ca="1">RANK(CN425,CN3:CN834)+COUNTIF(CN3:CN425,CN425)-1</f>
        <v>423</v>
      </c>
      <c r="CP425" s="306" t="str">
        <f t="shared" ca="1" si="202"/>
        <v>Jonas Hofmann (Germany)</v>
      </c>
    </row>
    <row r="426" spans="72:94" x14ac:dyDescent="0.3">
      <c r="BT426" s="306" t="str">
        <f t="shared" ca="1" si="199"/>
        <v>Germany</v>
      </c>
      <c r="BU426" s="306">
        <f t="shared" si="200"/>
        <v>7</v>
      </c>
      <c r="BV426" s="306">
        <f t="shared" si="201"/>
        <v>15</v>
      </c>
      <c r="BW426" s="306" t="str">
        <f ca="1">OFFSET(C3,BU426,BV426)</f>
        <v>Joshua Kimmich</v>
      </c>
      <c r="BX426" s="306">
        <f ca="1">COUNTIF('Group Stages'!J7:J102,BW426)</f>
        <v>0</v>
      </c>
      <c r="BY426" s="306">
        <f ca="1">COUNTIF('Group Stages'!K7:K102,BW426)</f>
        <v>0</v>
      </c>
      <c r="BZ426" s="306">
        <f ca="1">COUNTIF('Group Stages'!L7:L102,BW426)</f>
        <v>0</v>
      </c>
      <c r="CA426" s="306">
        <f ca="1">COUNTIF('Group Stages'!M7:M102,BW426)</f>
        <v>0</v>
      </c>
      <c r="CB426" s="306">
        <f ca="1">COUNTIF('Group Stages'!N7:N102,BW426)</f>
        <v>0</v>
      </c>
      <c r="CC426" s="306">
        <f ca="1">COUNTIF('Group Stages'!O7:O102,BW426)</f>
        <v>0</v>
      </c>
      <c r="CD426" s="306">
        <f ca="1">COUNTIF('Group Stages'!P7:P102,BW426)</f>
        <v>0</v>
      </c>
      <c r="CE426" s="306">
        <f ca="1">COUNTIF('Group Stages'!Q7:Q102,BW426)</f>
        <v>0</v>
      </c>
      <c r="CF426" s="306">
        <f ca="1">COUNTIF('Knock Out Stages'!K7:K50,BW426)</f>
        <v>0</v>
      </c>
      <c r="CG426" s="306">
        <f ca="1">COUNTIF('Knock Out Stages'!L7:L50,BW426)</f>
        <v>0</v>
      </c>
      <c r="CH426" s="306">
        <f ca="1">COUNTIF('Knock Out Stages'!M7:M50,BW426)</f>
        <v>0</v>
      </c>
      <c r="CI426" s="306">
        <f ca="1">COUNTIF('Knock Out Stages'!N7:N50,BW426)</f>
        <v>0</v>
      </c>
      <c r="CJ426" s="306">
        <f ca="1">COUNTIF('Knock Out Stages'!O7:O50,BW426)</f>
        <v>0</v>
      </c>
      <c r="CK426" s="306">
        <f ca="1">COUNTIF('Knock Out Stages'!P7:P50,BW426)</f>
        <v>0</v>
      </c>
      <c r="CL426" s="306">
        <f ca="1">COUNTIF('Knock Out Stages'!Q7:Q50,BW426)</f>
        <v>0</v>
      </c>
      <c r="CM426" s="306">
        <f ca="1">COUNTIF('Knock Out Stages'!R7:R50,BW426)</f>
        <v>0</v>
      </c>
      <c r="CN426" s="306">
        <f ca="1">IF(RIGHT('Group Stages'!$B$105,5)="T.com",SUM(BX426:CM426),0)</f>
        <v>0</v>
      </c>
      <c r="CO426" s="306">
        <f ca="1">RANK(CN426,CN3:CN834)+COUNTIF(CN3:CN426,CN426)-1</f>
        <v>424</v>
      </c>
      <c r="CP426" s="306" t="str">
        <f t="shared" ca="1" si="202"/>
        <v>Joshua Kimmich (Germany)</v>
      </c>
    </row>
    <row r="427" spans="72:94" x14ac:dyDescent="0.3">
      <c r="BT427" s="306" t="str">
        <f t="shared" ca="1" si="199"/>
        <v>Germany</v>
      </c>
      <c r="BU427" s="306">
        <f t="shared" si="200"/>
        <v>8</v>
      </c>
      <c r="BV427" s="306">
        <f t="shared" si="201"/>
        <v>15</v>
      </c>
      <c r="BW427" s="306" t="str">
        <f ca="1">OFFSET(C3,BU427,BV427)</f>
        <v>Julian Brandt</v>
      </c>
      <c r="BX427" s="306">
        <f ca="1">COUNTIF('Group Stages'!J7:J102,BW427)</f>
        <v>0</v>
      </c>
      <c r="BY427" s="306">
        <f ca="1">COUNTIF('Group Stages'!K7:K102,BW427)</f>
        <v>0</v>
      </c>
      <c r="BZ427" s="306">
        <f ca="1">COUNTIF('Group Stages'!L7:L102,BW427)</f>
        <v>0</v>
      </c>
      <c r="CA427" s="306">
        <f ca="1">COUNTIF('Group Stages'!M7:M102,BW427)</f>
        <v>0</v>
      </c>
      <c r="CB427" s="306">
        <f ca="1">COUNTIF('Group Stages'!N7:N102,BW427)</f>
        <v>0</v>
      </c>
      <c r="CC427" s="306">
        <f ca="1">COUNTIF('Group Stages'!O7:O102,BW427)</f>
        <v>0</v>
      </c>
      <c r="CD427" s="306">
        <f ca="1">COUNTIF('Group Stages'!P7:P102,BW427)</f>
        <v>0</v>
      </c>
      <c r="CE427" s="306">
        <f ca="1">COUNTIF('Group Stages'!Q7:Q102,BW427)</f>
        <v>0</v>
      </c>
      <c r="CF427" s="306">
        <f ca="1">COUNTIF('Knock Out Stages'!K7:K50,BW427)</f>
        <v>0</v>
      </c>
      <c r="CG427" s="306">
        <f ca="1">COUNTIF('Knock Out Stages'!L7:L50,BW427)</f>
        <v>0</v>
      </c>
      <c r="CH427" s="306">
        <f ca="1">COUNTIF('Knock Out Stages'!M7:M50,BW427)</f>
        <v>0</v>
      </c>
      <c r="CI427" s="306">
        <f ca="1">COUNTIF('Knock Out Stages'!N7:N50,BW427)</f>
        <v>0</v>
      </c>
      <c r="CJ427" s="306">
        <f ca="1">COUNTIF('Knock Out Stages'!O7:O50,BW427)</f>
        <v>0</v>
      </c>
      <c r="CK427" s="306">
        <f ca="1">COUNTIF('Knock Out Stages'!P7:P50,BW427)</f>
        <v>0</v>
      </c>
      <c r="CL427" s="306">
        <f ca="1">COUNTIF('Knock Out Stages'!Q7:Q50,BW427)</f>
        <v>0</v>
      </c>
      <c r="CM427" s="306">
        <f ca="1">COUNTIF('Knock Out Stages'!R7:R50,BW427)</f>
        <v>0</v>
      </c>
      <c r="CN427" s="306">
        <f ca="1">IF(RIGHT('Group Stages'!$B$105,5)="T.com",SUM(BX427:CM427),0)</f>
        <v>0</v>
      </c>
      <c r="CO427" s="306">
        <f ca="1">RANK(CN427,CN3:CN834)+COUNTIF(CN3:CN427,CN427)-1</f>
        <v>425</v>
      </c>
      <c r="CP427" s="306" t="str">
        <f t="shared" ca="1" si="202"/>
        <v>Julian Brandt (Germany)</v>
      </c>
    </row>
    <row r="428" spans="72:94" x14ac:dyDescent="0.3">
      <c r="BT428" s="306" t="str">
        <f t="shared" ca="1" si="199"/>
        <v>Germany</v>
      </c>
      <c r="BU428" s="306">
        <f t="shared" si="200"/>
        <v>9</v>
      </c>
      <c r="BV428" s="306">
        <f t="shared" si="201"/>
        <v>15</v>
      </c>
      <c r="BW428" s="306" t="str">
        <f ca="1">OFFSET(C3,BU428,BV428)</f>
        <v>Kai Havertz</v>
      </c>
      <c r="BX428" s="306">
        <f ca="1">COUNTIF('Group Stages'!J7:J102,BW428)</f>
        <v>0</v>
      </c>
      <c r="BY428" s="306">
        <f ca="1">COUNTIF('Group Stages'!K7:K102,BW428)</f>
        <v>0</v>
      </c>
      <c r="BZ428" s="306">
        <f ca="1">COUNTIF('Group Stages'!L7:L102,BW428)</f>
        <v>0</v>
      </c>
      <c r="CA428" s="306">
        <f ca="1">COUNTIF('Group Stages'!M7:M102,BW428)</f>
        <v>0</v>
      </c>
      <c r="CB428" s="306">
        <f ca="1">COUNTIF('Group Stages'!N7:N102,BW428)</f>
        <v>0</v>
      </c>
      <c r="CC428" s="306">
        <f ca="1">COUNTIF('Group Stages'!O7:O102,BW428)</f>
        <v>0</v>
      </c>
      <c r="CD428" s="306">
        <f ca="1">COUNTIF('Group Stages'!P7:P102,BW428)</f>
        <v>0</v>
      </c>
      <c r="CE428" s="306">
        <f ca="1">COUNTIF('Group Stages'!Q7:Q102,BW428)</f>
        <v>0</v>
      </c>
      <c r="CF428" s="306">
        <f ca="1">COUNTIF('Knock Out Stages'!K7:K50,BW428)</f>
        <v>0</v>
      </c>
      <c r="CG428" s="306">
        <f ca="1">COUNTIF('Knock Out Stages'!L7:L50,BW428)</f>
        <v>0</v>
      </c>
      <c r="CH428" s="306">
        <f ca="1">COUNTIF('Knock Out Stages'!M7:M50,BW428)</f>
        <v>0</v>
      </c>
      <c r="CI428" s="306">
        <f ca="1">COUNTIF('Knock Out Stages'!N7:N50,BW428)</f>
        <v>0</v>
      </c>
      <c r="CJ428" s="306">
        <f ca="1">COUNTIF('Knock Out Stages'!O7:O50,BW428)</f>
        <v>0</v>
      </c>
      <c r="CK428" s="306">
        <f ca="1">COUNTIF('Knock Out Stages'!P7:P50,BW428)</f>
        <v>0</v>
      </c>
      <c r="CL428" s="306">
        <f ca="1">COUNTIF('Knock Out Stages'!Q7:Q50,BW428)</f>
        <v>0</v>
      </c>
      <c r="CM428" s="306">
        <f ca="1">COUNTIF('Knock Out Stages'!R7:R50,BW428)</f>
        <v>0</v>
      </c>
      <c r="CN428" s="306">
        <f ca="1">IF(RIGHT('Group Stages'!$B$105,5)="T.com",SUM(BX428:CM428),0)</f>
        <v>0</v>
      </c>
      <c r="CO428" s="306">
        <f ca="1">RANK(CN428,CN3:CN834)+COUNTIF(CN3:CN428,CN428)-1</f>
        <v>426</v>
      </c>
      <c r="CP428" s="306" t="str">
        <f t="shared" ca="1" si="202"/>
        <v>Kai Havertz (Germany)</v>
      </c>
    </row>
    <row r="429" spans="72:94" x14ac:dyDescent="0.3">
      <c r="BT429" s="306" t="str">
        <f t="shared" ca="1" si="199"/>
        <v>Germany</v>
      </c>
      <c r="BU429" s="306">
        <f t="shared" si="200"/>
        <v>10</v>
      </c>
      <c r="BV429" s="306">
        <f t="shared" si="201"/>
        <v>15</v>
      </c>
      <c r="BW429" s="306" t="str">
        <f ca="1">OFFSET(C3,BU429,BV429)</f>
        <v>Karim Adeyemi</v>
      </c>
      <c r="BX429" s="306">
        <f ca="1">COUNTIF('Group Stages'!J7:J102,BW429)</f>
        <v>0</v>
      </c>
      <c r="BY429" s="306">
        <f ca="1">COUNTIF('Group Stages'!K7:K102,BW429)</f>
        <v>0</v>
      </c>
      <c r="BZ429" s="306">
        <f ca="1">COUNTIF('Group Stages'!L7:L102,BW429)</f>
        <v>0</v>
      </c>
      <c r="CA429" s="306">
        <f ca="1">COUNTIF('Group Stages'!M7:M102,BW429)</f>
        <v>0</v>
      </c>
      <c r="CB429" s="306">
        <f ca="1">COUNTIF('Group Stages'!N7:N102,BW429)</f>
        <v>0</v>
      </c>
      <c r="CC429" s="306">
        <f ca="1">COUNTIF('Group Stages'!O7:O102,BW429)</f>
        <v>0</v>
      </c>
      <c r="CD429" s="306">
        <f ca="1">COUNTIF('Group Stages'!P7:P102,BW429)</f>
        <v>0</v>
      </c>
      <c r="CE429" s="306">
        <f ca="1">COUNTIF('Group Stages'!Q7:Q102,BW429)</f>
        <v>0</v>
      </c>
      <c r="CF429" s="306">
        <f ca="1">COUNTIF('Knock Out Stages'!K7:K50,BW429)</f>
        <v>0</v>
      </c>
      <c r="CG429" s="306">
        <f ca="1">COUNTIF('Knock Out Stages'!L7:L50,BW429)</f>
        <v>0</v>
      </c>
      <c r="CH429" s="306">
        <f ca="1">COUNTIF('Knock Out Stages'!M7:M50,BW429)</f>
        <v>0</v>
      </c>
      <c r="CI429" s="306">
        <f ca="1">COUNTIF('Knock Out Stages'!N7:N50,BW429)</f>
        <v>0</v>
      </c>
      <c r="CJ429" s="306">
        <f ca="1">COUNTIF('Knock Out Stages'!O7:O50,BW429)</f>
        <v>0</v>
      </c>
      <c r="CK429" s="306">
        <f ca="1">COUNTIF('Knock Out Stages'!P7:P50,BW429)</f>
        <v>0</v>
      </c>
      <c r="CL429" s="306">
        <f ca="1">COUNTIF('Knock Out Stages'!Q7:Q50,BW429)</f>
        <v>0</v>
      </c>
      <c r="CM429" s="306">
        <f ca="1">COUNTIF('Knock Out Stages'!R7:R50,BW429)</f>
        <v>0</v>
      </c>
      <c r="CN429" s="306">
        <f ca="1">IF(RIGHT('Group Stages'!$B$105,5)="T.com",SUM(BX429:CM429),0)</f>
        <v>0</v>
      </c>
      <c r="CO429" s="306">
        <f ca="1">RANK(CN429,CN3:CN834)+COUNTIF(CN3:CN429,CN429)-1</f>
        <v>427</v>
      </c>
      <c r="CP429" s="306" t="str">
        <f t="shared" ca="1" si="202"/>
        <v>Karim Adeyemi (Germany)</v>
      </c>
    </row>
    <row r="430" spans="72:94" x14ac:dyDescent="0.3">
      <c r="BT430" s="306" t="str">
        <f t="shared" ca="1" si="199"/>
        <v>Germany</v>
      </c>
      <c r="BU430" s="306">
        <f t="shared" si="200"/>
        <v>11</v>
      </c>
      <c r="BV430" s="306">
        <f t="shared" si="201"/>
        <v>15</v>
      </c>
      <c r="BW430" s="306" t="str">
        <f ca="1">OFFSET(C3,BU430,BV430)</f>
        <v>Kevin Trapp</v>
      </c>
      <c r="BX430" s="306">
        <f ca="1">COUNTIF('Group Stages'!J7:J102,BW430)</f>
        <v>0</v>
      </c>
      <c r="BY430" s="306">
        <f ca="1">COUNTIF('Group Stages'!K7:K102,BW430)</f>
        <v>0</v>
      </c>
      <c r="BZ430" s="306">
        <f ca="1">COUNTIF('Group Stages'!L7:L102,BW430)</f>
        <v>0</v>
      </c>
      <c r="CA430" s="306">
        <f ca="1">COUNTIF('Group Stages'!M7:M102,BW430)</f>
        <v>0</v>
      </c>
      <c r="CB430" s="306">
        <f ca="1">COUNTIF('Group Stages'!N7:N102,BW430)</f>
        <v>0</v>
      </c>
      <c r="CC430" s="306">
        <f ca="1">COUNTIF('Group Stages'!O7:O102,BW430)</f>
        <v>0</v>
      </c>
      <c r="CD430" s="306">
        <f ca="1">COUNTIF('Group Stages'!P7:P102,BW430)</f>
        <v>0</v>
      </c>
      <c r="CE430" s="306">
        <f ca="1">COUNTIF('Group Stages'!Q7:Q102,BW430)</f>
        <v>0</v>
      </c>
      <c r="CF430" s="306">
        <f ca="1">COUNTIF('Knock Out Stages'!K7:K50,BW430)</f>
        <v>0</v>
      </c>
      <c r="CG430" s="306">
        <f ca="1">COUNTIF('Knock Out Stages'!L7:L50,BW430)</f>
        <v>0</v>
      </c>
      <c r="CH430" s="306">
        <f ca="1">COUNTIF('Knock Out Stages'!M7:M50,BW430)</f>
        <v>0</v>
      </c>
      <c r="CI430" s="306">
        <f ca="1">COUNTIF('Knock Out Stages'!N7:N50,BW430)</f>
        <v>0</v>
      </c>
      <c r="CJ430" s="306">
        <f ca="1">COUNTIF('Knock Out Stages'!O7:O50,BW430)</f>
        <v>0</v>
      </c>
      <c r="CK430" s="306">
        <f ca="1">COUNTIF('Knock Out Stages'!P7:P50,BW430)</f>
        <v>0</v>
      </c>
      <c r="CL430" s="306">
        <f ca="1">COUNTIF('Knock Out Stages'!Q7:Q50,BW430)</f>
        <v>0</v>
      </c>
      <c r="CM430" s="306">
        <f ca="1">COUNTIF('Knock Out Stages'!R7:R50,BW430)</f>
        <v>0</v>
      </c>
      <c r="CN430" s="306">
        <f ca="1">IF(RIGHT('Group Stages'!$B$105,5)="T.com",SUM(BX430:CM430),0)</f>
        <v>0</v>
      </c>
      <c r="CO430" s="306">
        <f ca="1">RANK(CN430,CN3:CN834)+COUNTIF(CN3:CN430,CN430)-1</f>
        <v>428</v>
      </c>
      <c r="CP430" s="306" t="str">
        <f t="shared" ca="1" si="202"/>
        <v>Kevin Trapp (Germany)</v>
      </c>
    </row>
    <row r="431" spans="72:94" x14ac:dyDescent="0.3">
      <c r="BT431" s="306" t="str">
        <f t="shared" ca="1" si="199"/>
        <v>Germany</v>
      </c>
      <c r="BU431" s="306">
        <f t="shared" si="200"/>
        <v>12</v>
      </c>
      <c r="BV431" s="306">
        <f t="shared" si="201"/>
        <v>15</v>
      </c>
      <c r="BW431" s="306" t="str">
        <f ca="1">OFFSET(C3,BU431,BV431)</f>
        <v>Leon Goretzka</v>
      </c>
      <c r="BX431" s="306">
        <f ca="1">COUNTIF('Group Stages'!J7:J102,BW431)</f>
        <v>0</v>
      </c>
      <c r="BY431" s="306">
        <f ca="1">COUNTIF('Group Stages'!K7:K102,BW431)</f>
        <v>0</v>
      </c>
      <c r="BZ431" s="306">
        <f ca="1">COUNTIF('Group Stages'!L7:L102,BW431)</f>
        <v>0</v>
      </c>
      <c r="CA431" s="306">
        <f ca="1">COUNTIF('Group Stages'!M7:M102,BW431)</f>
        <v>0</v>
      </c>
      <c r="CB431" s="306">
        <f ca="1">COUNTIF('Group Stages'!N7:N102,BW431)</f>
        <v>0</v>
      </c>
      <c r="CC431" s="306">
        <f ca="1">COUNTIF('Group Stages'!O7:O102,BW431)</f>
        <v>0</v>
      </c>
      <c r="CD431" s="306">
        <f ca="1">COUNTIF('Group Stages'!P7:P102,BW431)</f>
        <v>0</v>
      </c>
      <c r="CE431" s="306">
        <f ca="1">COUNTIF('Group Stages'!Q7:Q102,BW431)</f>
        <v>0</v>
      </c>
      <c r="CF431" s="306">
        <f ca="1">COUNTIF('Knock Out Stages'!K7:K50,BW431)</f>
        <v>0</v>
      </c>
      <c r="CG431" s="306">
        <f ca="1">COUNTIF('Knock Out Stages'!L7:L50,BW431)</f>
        <v>0</v>
      </c>
      <c r="CH431" s="306">
        <f ca="1">COUNTIF('Knock Out Stages'!M7:M50,BW431)</f>
        <v>0</v>
      </c>
      <c r="CI431" s="306">
        <f ca="1">COUNTIF('Knock Out Stages'!N7:N50,BW431)</f>
        <v>0</v>
      </c>
      <c r="CJ431" s="306">
        <f ca="1">COUNTIF('Knock Out Stages'!O7:O50,BW431)</f>
        <v>0</v>
      </c>
      <c r="CK431" s="306">
        <f ca="1">COUNTIF('Knock Out Stages'!P7:P50,BW431)</f>
        <v>0</v>
      </c>
      <c r="CL431" s="306">
        <f ca="1">COUNTIF('Knock Out Stages'!Q7:Q50,BW431)</f>
        <v>0</v>
      </c>
      <c r="CM431" s="306">
        <f ca="1">COUNTIF('Knock Out Stages'!R7:R50,BW431)</f>
        <v>0</v>
      </c>
      <c r="CN431" s="306">
        <f ca="1">IF(RIGHT('Group Stages'!$B$105,5)="T.com",SUM(BX431:CM431),0)</f>
        <v>0</v>
      </c>
      <c r="CO431" s="306">
        <f ca="1">RANK(CN431,CN3:CN834)+COUNTIF(CN3:CN431,CN431)-1</f>
        <v>429</v>
      </c>
      <c r="CP431" s="306" t="str">
        <f t="shared" ca="1" si="202"/>
        <v>Leon Goretzka (Germany)</v>
      </c>
    </row>
    <row r="432" spans="72:94" x14ac:dyDescent="0.3">
      <c r="BT432" s="306" t="str">
        <f t="shared" ca="1" si="199"/>
        <v>Germany</v>
      </c>
      <c r="BU432" s="306">
        <f t="shared" si="200"/>
        <v>13</v>
      </c>
      <c r="BV432" s="306">
        <f t="shared" si="201"/>
        <v>15</v>
      </c>
      <c r="BW432" s="306" t="str">
        <f ca="1">OFFSET(C3,BU432,BV432)</f>
        <v>Leroy Sané</v>
      </c>
      <c r="BX432" s="306">
        <f ca="1">COUNTIF('Group Stages'!J7:J102,BW432)</f>
        <v>0</v>
      </c>
      <c r="BY432" s="306">
        <f ca="1">COUNTIF('Group Stages'!K7:K102,BW432)</f>
        <v>0</v>
      </c>
      <c r="BZ432" s="306">
        <f ca="1">COUNTIF('Group Stages'!L7:L102,BW432)</f>
        <v>0</v>
      </c>
      <c r="CA432" s="306">
        <f ca="1">COUNTIF('Group Stages'!M7:M102,BW432)</f>
        <v>0</v>
      </c>
      <c r="CB432" s="306">
        <f ca="1">COUNTIF('Group Stages'!N7:N102,BW432)</f>
        <v>0</v>
      </c>
      <c r="CC432" s="306">
        <f ca="1">COUNTIF('Group Stages'!O7:O102,BW432)</f>
        <v>0</v>
      </c>
      <c r="CD432" s="306">
        <f ca="1">COUNTIF('Group Stages'!P7:P102,BW432)</f>
        <v>0</v>
      </c>
      <c r="CE432" s="306">
        <f ca="1">COUNTIF('Group Stages'!Q7:Q102,BW432)</f>
        <v>0</v>
      </c>
      <c r="CF432" s="306">
        <f ca="1">COUNTIF('Knock Out Stages'!K7:K50,BW432)</f>
        <v>0</v>
      </c>
      <c r="CG432" s="306">
        <f ca="1">COUNTIF('Knock Out Stages'!L7:L50,BW432)</f>
        <v>0</v>
      </c>
      <c r="CH432" s="306">
        <f ca="1">COUNTIF('Knock Out Stages'!M7:M50,BW432)</f>
        <v>0</v>
      </c>
      <c r="CI432" s="306">
        <f ca="1">COUNTIF('Knock Out Stages'!N7:N50,BW432)</f>
        <v>0</v>
      </c>
      <c r="CJ432" s="306">
        <f ca="1">COUNTIF('Knock Out Stages'!O7:O50,BW432)</f>
        <v>0</v>
      </c>
      <c r="CK432" s="306">
        <f ca="1">COUNTIF('Knock Out Stages'!P7:P50,BW432)</f>
        <v>0</v>
      </c>
      <c r="CL432" s="306">
        <f ca="1">COUNTIF('Knock Out Stages'!Q7:Q50,BW432)</f>
        <v>0</v>
      </c>
      <c r="CM432" s="306">
        <f ca="1">COUNTIF('Knock Out Stages'!R7:R50,BW432)</f>
        <v>0</v>
      </c>
      <c r="CN432" s="306">
        <f ca="1">IF(RIGHT('Group Stages'!$B$105,5)="T.com",SUM(BX432:CM432),0)</f>
        <v>0</v>
      </c>
      <c r="CO432" s="306">
        <f ca="1">RANK(CN432,CN3:CN834)+COUNTIF(CN3:CN432,CN432)-1</f>
        <v>430</v>
      </c>
      <c r="CP432" s="306" t="str">
        <f t="shared" ca="1" si="202"/>
        <v>Leroy Sané (Germany)</v>
      </c>
    </row>
    <row r="433" spans="72:94" x14ac:dyDescent="0.3">
      <c r="BT433" s="306" t="str">
        <f t="shared" ca="1" si="199"/>
        <v>Germany</v>
      </c>
      <c r="BU433" s="306">
        <f t="shared" si="200"/>
        <v>14</v>
      </c>
      <c r="BV433" s="306">
        <f t="shared" si="201"/>
        <v>15</v>
      </c>
      <c r="BW433" s="306" t="str">
        <f ca="1">OFFSET(C3,BU433,BV433)</f>
        <v>Lukas Klostermann</v>
      </c>
      <c r="BX433" s="306">
        <f ca="1">COUNTIF('Group Stages'!J7:J102,BW433)</f>
        <v>0</v>
      </c>
      <c r="BY433" s="306">
        <f ca="1">COUNTIF('Group Stages'!K7:K102,BW433)</f>
        <v>0</v>
      </c>
      <c r="BZ433" s="306">
        <f ca="1">COUNTIF('Group Stages'!L7:L102,BW433)</f>
        <v>0</v>
      </c>
      <c r="CA433" s="306">
        <f ca="1">COUNTIF('Group Stages'!M7:M102,BW433)</f>
        <v>0</v>
      </c>
      <c r="CB433" s="306">
        <f ca="1">COUNTIF('Group Stages'!N7:N102,BW433)</f>
        <v>0</v>
      </c>
      <c r="CC433" s="306">
        <f ca="1">COUNTIF('Group Stages'!O7:O102,BW433)</f>
        <v>0</v>
      </c>
      <c r="CD433" s="306">
        <f ca="1">COUNTIF('Group Stages'!P7:P102,BW433)</f>
        <v>0</v>
      </c>
      <c r="CE433" s="306">
        <f ca="1">COUNTIF('Group Stages'!Q7:Q102,BW433)</f>
        <v>0</v>
      </c>
      <c r="CF433" s="306">
        <f ca="1">COUNTIF('Knock Out Stages'!K7:K50,BW433)</f>
        <v>0</v>
      </c>
      <c r="CG433" s="306">
        <f ca="1">COUNTIF('Knock Out Stages'!L7:L50,BW433)</f>
        <v>0</v>
      </c>
      <c r="CH433" s="306">
        <f ca="1">COUNTIF('Knock Out Stages'!M7:M50,BW433)</f>
        <v>0</v>
      </c>
      <c r="CI433" s="306">
        <f ca="1">COUNTIF('Knock Out Stages'!N7:N50,BW433)</f>
        <v>0</v>
      </c>
      <c r="CJ433" s="306">
        <f ca="1">COUNTIF('Knock Out Stages'!O7:O50,BW433)</f>
        <v>0</v>
      </c>
      <c r="CK433" s="306">
        <f ca="1">COUNTIF('Knock Out Stages'!P7:P50,BW433)</f>
        <v>0</v>
      </c>
      <c r="CL433" s="306">
        <f ca="1">COUNTIF('Knock Out Stages'!Q7:Q50,BW433)</f>
        <v>0</v>
      </c>
      <c r="CM433" s="306">
        <f ca="1">COUNTIF('Knock Out Stages'!R7:R50,BW433)</f>
        <v>0</v>
      </c>
      <c r="CN433" s="306">
        <f ca="1">IF(RIGHT('Group Stages'!$B$105,5)="T.com",SUM(BX433:CM433),0)</f>
        <v>0</v>
      </c>
      <c r="CO433" s="306">
        <f ca="1">RANK(CN433,CN3:CN834)+COUNTIF(CN3:CN433,CN433)-1</f>
        <v>431</v>
      </c>
      <c r="CP433" s="306" t="str">
        <f t="shared" ca="1" si="202"/>
        <v>Lukas Klostermann (Germany)</v>
      </c>
    </row>
    <row r="434" spans="72:94" x14ac:dyDescent="0.3">
      <c r="BT434" s="306" t="str">
        <f t="shared" ca="1" si="199"/>
        <v>Germany</v>
      </c>
      <c r="BU434" s="306">
        <f t="shared" si="200"/>
        <v>15</v>
      </c>
      <c r="BV434" s="306">
        <f t="shared" si="201"/>
        <v>15</v>
      </c>
      <c r="BW434" s="306" t="str">
        <f ca="1">OFFSET(C3,BU434,BV434)</f>
        <v>Manuel Neuer</v>
      </c>
      <c r="BX434" s="306">
        <f ca="1">COUNTIF('Group Stages'!J7:J102,BW434)</f>
        <v>0</v>
      </c>
      <c r="BY434" s="306">
        <f ca="1">COUNTIF('Group Stages'!K7:K102,BW434)</f>
        <v>0</v>
      </c>
      <c r="BZ434" s="306">
        <f ca="1">COUNTIF('Group Stages'!L7:L102,BW434)</f>
        <v>0</v>
      </c>
      <c r="CA434" s="306">
        <f ca="1">COUNTIF('Group Stages'!M7:M102,BW434)</f>
        <v>0</v>
      </c>
      <c r="CB434" s="306">
        <f ca="1">COUNTIF('Group Stages'!N7:N102,BW434)</f>
        <v>0</v>
      </c>
      <c r="CC434" s="306">
        <f ca="1">COUNTIF('Group Stages'!O7:O102,BW434)</f>
        <v>0</v>
      </c>
      <c r="CD434" s="306">
        <f ca="1">COUNTIF('Group Stages'!P7:P102,BW434)</f>
        <v>0</v>
      </c>
      <c r="CE434" s="306">
        <f ca="1">COUNTIF('Group Stages'!Q7:Q102,BW434)</f>
        <v>0</v>
      </c>
      <c r="CF434" s="306">
        <f ca="1">COUNTIF('Knock Out Stages'!K7:K50,BW434)</f>
        <v>0</v>
      </c>
      <c r="CG434" s="306">
        <f ca="1">COUNTIF('Knock Out Stages'!L7:L50,BW434)</f>
        <v>0</v>
      </c>
      <c r="CH434" s="306">
        <f ca="1">COUNTIF('Knock Out Stages'!M7:M50,BW434)</f>
        <v>0</v>
      </c>
      <c r="CI434" s="306">
        <f ca="1">COUNTIF('Knock Out Stages'!N7:N50,BW434)</f>
        <v>0</v>
      </c>
      <c r="CJ434" s="306">
        <f ca="1">COUNTIF('Knock Out Stages'!O7:O50,BW434)</f>
        <v>0</v>
      </c>
      <c r="CK434" s="306">
        <f ca="1">COUNTIF('Knock Out Stages'!P7:P50,BW434)</f>
        <v>0</v>
      </c>
      <c r="CL434" s="306">
        <f ca="1">COUNTIF('Knock Out Stages'!Q7:Q50,BW434)</f>
        <v>0</v>
      </c>
      <c r="CM434" s="306">
        <f ca="1">COUNTIF('Knock Out Stages'!R7:R50,BW434)</f>
        <v>0</v>
      </c>
      <c r="CN434" s="306">
        <f ca="1">IF(RIGHT('Group Stages'!$B$105,5)="T.com",SUM(BX434:CM434),0)</f>
        <v>0</v>
      </c>
      <c r="CO434" s="306">
        <f ca="1">RANK(CN434,CN3:CN834)+COUNTIF(CN3:CN434,CN434)-1</f>
        <v>432</v>
      </c>
      <c r="CP434" s="306" t="str">
        <f t="shared" ca="1" si="202"/>
        <v>Manuel Neuer (Germany)</v>
      </c>
    </row>
    <row r="435" spans="72:94" x14ac:dyDescent="0.3">
      <c r="BT435" s="306" t="str">
        <f t="shared" ca="1" si="199"/>
        <v>Germany</v>
      </c>
      <c r="BU435" s="306">
        <f t="shared" si="200"/>
        <v>16</v>
      </c>
      <c r="BV435" s="306">
        <f t="shared" si="201"/>
        <v>15</v>
      </c>
      <c r="BW435" s="306" t="str">
        <f ca="1">OFFSET(C3,BU435,BV435)</f>
        <v>Marc-André ter Stegen</v>
      </c>
      <c r="BX435" s="306">
        <f ca="1">COUNTIF('Group Stages'!J7:J102,BW435)</f>
        <v>0</v>
      </c>
      <c r="BY435" s="306">
        <f ca="1">COUNTIF('Group Stages'!K7:K102,BW435)</f>
        <v>0</v>
      </c>
      <c r="BZ435" s="306">
        <f ca="1">COUNTIF('Group Stages'!L7:L102,BW435)</f>
        <v>0</v>
      </c>
      <c r="CA435" s="306">
        <f ca="1">COUNTIF('Group Stages'!M7:M102,BW435)</f>
        <v>0</v>
      </c>
      <c r="CB435" s="306">
        <f ca="1">COUNTIF('Group Stages'!N7:N102,BW435)</f>
        <v>0</v>
      </c>
      <c r="CC435" s="306">
        <f ca="1">COUNTIF('Group Stages'!O7:O102,BW435)</f>
        <v>0</v>
      </c>
      <c r="CD435" s="306">
        <f ca="1">COUNTIF('Group Stages'!P7:P102,BW435)</f>
        <v>0</v>
      </c>
      <c r="CE435" s="306">
        <f ca="1">COUNTIF('Group Stages'!Q7:Q102,BW435)</f>
        <v>0</v>
      </c>
      <c r="CF435" s="306">
        <f ca="1">COUNTIF('Knock Out Stages'!K7:K50,BW435)</f>
        <v>0</v>
      </c>
      <c r="CG435" s="306">
        <f ca="1">COUNTIF('Knock Out Stages'!L7:L50,BW435)</f>
        <v>0</v>
      </c>
      <c r="CH435" s="306">
        <f ca="1">COUNTIF('Knock Out Stages'!M7:M50,BW435)</f>
        <v>0</v>
      </c>
      <c r="CI435" s="306">
        <f ca="1">COUNTIF('Knock Out Stages'!N7:N50,BW435)</f>
        <v>0</v>
      </c>
      <c r="CJ435" s="306">
        <f ca="1">COUNTIF('Knock Out Stages'!O7:O50,BW435)</f>
        <v>0</v>
      </c>
      <c r="CK435" s="306">
        <f ca="1">COUNTIF('Knock Out Stages'!P7:P50,BW435)</f>
        <v>0</v>
      </c>
      <c r="CL435" s="306">
        <f ca="1">COUNTIF('Knock Out Stages'!Q7:Q50,BW435)</f>
        <v>0</v>
      </c>
      <c r="CM435" s="306">
        <f ca="1">COUNTIF('Knock Out Stages'!R7:R50,BW435)</f>
        <v>0</v>
      </c>
      <c r="CN435" s="306">
        <f ca="1">IF(RIGHT('Group Stages'!$B$105,5)="T.com",SUM(BX435:CM435),0)</f>
        <v>0</v>
      </c>
      <c r="CO435" s="306">
        <f ca="1">RANK(CN435,CN3:CN834)+COUNTIF(CN3:CN435,CN435)-1</f>
        <v>433</v>
      </c>
      <c r="CP435" s="306" t="str">
        <f t="shared" ca="1" si="202"/>
        <v>Marc-André ter Stegen (Germany)</v>
      </c>
    </row>
    <row r="436" spans="72:94" x14ac:dyDescent="0.3">
      <c r="BT436" s="306" t="str">
        <f t="shared" ca="1" si="199"/>
        <v>Germany</v>
      </c>
      <c r="BU436" s="306">
        <f t="shared" si="200"/>
        <v>17</v>
      </c>
      <c r="BV436" s="306">
        <f t="shared" si="201"/>
        <v>15</v>
      </c>
      <c r="BW436" s="306" t="str">
        <f ca="1">OFFSET(C3,BU436,BV436)</f>
        <v>Mario Götze</v>
      </c>
      <c r="BX436" s="306">
        <f ca="1">COUNTIF('Group Stages'!J7:J102,BW436)</f>
        <v>0</v>
      </c>
      <c r="BY436" s="306">
        <f ca="1">COUNTIF('Group Stages'!K7:K102,BW436)</f>
        <v>0</v>
      </c>
      <c r="BZ436" s="306">
        <f ca="1">COUNTIF('Group Stages'!L7:L102,BW436)</f>
        <v>0</v>
      </c>
      <c r="CA436" s="306">
        <f ca="1">COUNTIF('Group Stages'!M7:M102,BW436)</f>
        <v>0</v>
      </c>
      <c r="CB436" s="306">
        <f ca="1">COUNTIF('Group Stages'!N7:N102,BW436)</f>
        <v>0</v>
      </c>
      <c r="CC436" s="306">
        <f ca="1">COUNTIF('Group Stages'!O7:O102,BW436)</f>
        <v>0</v>
      </c>
      <c r="CD436" s="306">
        <f ca="1">COUNTIF('Group Stages'!P7:P102,BW436)</f>
        <v>0</v>
      </c>
      <c r="CE436" s="306">
        <f ca="1">COUNTIF('Group Stages'!Q7:Q102,BW436)</f>
        <v>0</v>
      </c>
      <c r="CF436" s="306">
        <f ca="1">COUNTIF('Knock Out Stages'!K7:K50,BW436)</f>
        <v>0</v>
      </c>
      <c r="CG436" s="306">
        <f ca="1">COUNTIF('Knock Out Stages'!L7:L50,BW436)</f>
        <v>0</v>
      </c>
      <c r="CH436" s="306">
        <f ca="1">COUNTIF('Knock Out Stages'!M7:M50,BW436)</f>
        <v>0</v>
      </c>
      <c r="CI436" s="306">
        <f ca="1">COUNTIF('Knock Out Stages'!N7:N50,BW436)</f>
        <v>0</v>
      </c>
      <c r="CJ436" s="306">
        <f ca="1">COUNTIF('Knock Out Stages'!O7:O50,BW436)</f>
        <v>0</v>
      </c>
      <c r="CK436" s="306">
        <f ca="1">COUNTIF('Knock Out Stages'!P7:P50,BW436)</f>
        <v>0</v>
      </c>
      <c r="CL436" s="306">
        <f ca="1">COUNTIF('Knock Out Stages'!Q7:Q50,BW436)</f>
        <v>0</v>
      </c>
      <c r="CM436" s="306">
        <f ca="1">COUNTIF('Knock Out Stages'!R7:R50,BW436)</f>
        <v>0</v>
      </c>
      <c r="CN436" s="306">
        <f ca="1">IF(RIGHT('Group Stages'!$B$105,5)="T.com",SUM(BX436:CM436),0)</f>
        <v>0</v>
      </c>
      <c r="CO436" s="306">
        <f ca="1">RANK(CN436,CN3:CN834)+COUNTIF(CN3:CN436,CN436)-1</f>
        <v>434</v>
      </c>
      <c r="CP436" s="306" t="str">
        <f t="shared" ca="1" si="202"/>
        <v>Mario Götze (Germany)</v>
      </c>
    </row>
    <row r="437" spans="72:94" x14ac:dyDescent="0.3">
      <c r="BT437" s="306" t="str">
        <f t="shared" ca="1" si="199"/>
        <v>Germany</v>
      </c>
      <c r="BU437" s="306">
        <f t="shared" si="200"/>
        <v>18</v>
      </c>
      <c r="BV437" s="306">
        <f t="shared" si="201"/>
        <v>15</v>
      </c>
      <c r="BW437" s="306" t="str">
        <f ca="1">OFFSET(C3,BU437,BV437)</f>
        <v>Matthias Ginter</v>
      </c>
      <c r="BX437" s="306">
        <f ca="1">COUNTIF('Group Stages'!J7:J102,BW437)</f>
        <v>0</v>
      </c>
      <c r="BY437" s="306">
        <f ca="1">COUNTIF('Group Stages'!K7:K102,BW437)</f>
        <v>0</v>
      </c>
      <c r="BZ437" s="306">
        <f ca="1">COUNTIF('Group Stages'!L7:L102,BW437)</f>
        <v>0</v>
      </c>
      <c r="CA437" s="306">
        <f ca="1">COUNTIF('Group Stages'!M7:M102,BW437)</f>
        <v>0</v>
      </c>
      <c r="CB437" s="306">
        <f ca="1">COUNTIF('Group Stages'!N7:N102,BW437)</f>
        <v>0</v>
      </c>
      <c r="CC437" s="306">
        <f ca="1">COUNTIF('Group Stages'!O7:O102,BW437)</f>
        <v>0</v>
      </c>
      <c r="CD437" s="306">
        <f ca="1">COUNTIF('Group Stages'!P7:P102,BW437)</f>
        <v>0</v>
      </c>
      <c r="CE437" s="306">
        <f ca="1">COUNTIF('Group Stages'!Q7:Q102,BW437)</f>
        <v>0</v>
      </c>
      <c r="CF437" s="306">
        <f ca="1">COUNTIF('Knock Out Stages'!K7:K50,BW437)</f>
        <v>0</v>
      </c>
      <c r="CG437" s="306">
        <f ca="1">COUNTIF('Knock Out Stages'!L7:L50,BW437)</f>
        <v>0</v>
      </c>
      <c r="CH437" s="306">
        <f ca="1">COUNTIF('Knock Out Stages'!M7:M50,BW437)</f>
        <v>0</v>
      </c>
      <c r="CI437" s="306">
        <f ca="1">COUNTIF('Knock Out Stages'!N7:N50,BW437)</f>
        <v>0</v>
      </c>
      <c r="CJ437" s="306">
        <f ca="1">COUNTIF('Knock Out Stages'!O7:O50,BW437)</f>
        <v>0</v>
      </c>
      <c r="CK437" s="306">
        <f ca="1">COUNTIF('Knock Out Stages'!P7:P50,BW437)</f>
        <v>0</v>
      </c>
      <c r="CL437" s="306">
        <f ca="1">COUNTIF('Knock Out Stages'!Q7:Q50,BW437)</f>
        <v>0</v>
      </c>
      <c r="CM437" s="306">
        <f ca="1">COUNTIF('Knock Out Stages'!R7:R50,BW437)</f>
        <v>0</v>
      </c>
      <c r="CN437" s="306">
        <f ca="1">IF(RIGHT('Group Stages'!$B$105,5)="T.com",SUM(BX437:CM437),0)</f>
        <v>0</v>
      </c>
      <c r="CO437" s="306">
        <f ca="1">RANK(CN437,CN3:CN834)+COUNTIF(CN3:CN437,CN437)-1</f>
        <v>435</v>
      </c>
      <c r="CP437" s="306" t="str">
        <f t="shared" ca="1" si="202"/>
        <v>Matthias Ginter (Germany)</v>
      </c>
    </row>
    <row r="438" spans="72:94" x14ac:dyDescent="0.3">
      <c r="BT438" s="306" t="str">
        <f t="shared" ca="1" si="199"/>
        <v>Germany</v>
      </c>
      <c r="BU438" s="306">
        <f t="shared" si="200"/>
        <v>19</v>
      </c>
      <c r="BV438" s="306">
        <f t="shared" si="201"/>
        <v>15</v>
      </c>
      <c r="BW438" s="306" t="str">
        <f ca="1">OFFSET(C3,BU438,BV438)</f>
        <v>Niclas Füllkrug</v>
      </c>
      <c r="BX438" s="306">
        <f ca="1">COUNTIF('Group Stages'!J7:J102,BW438)</f>
        <v>0</v>
      </c>
      <c r="BY438" s="306">
        <f ca="1">COUNTIF('Group Stages'!K7:K102,BW438)</f>
        <v>0</v>
      </c>
      <c r="BZ438" s="306">
        <f ca="1">COUNTIF('Group Stages'!L7:L102,BW438)</f>
        <v>0</v>
      </c>
      <c r="CA438" s="306">
        <f ca="1">COUNTIF('Group Stages'!M7:M102,BW438)</f>
        <v>0</v>
      </c>
      <c r="CB438" s="306">
        <f ca="1">COUNTIF('Group Stages'!N7:N102,BW438)</f>
        <v>0</v>
      </c>
      <c r="CC438" s="306">
        <f ca="1">COUNTIF('Group Stages'!O7:O102,BW438)</f>
        <v>0</v>
      </c>
      <c r="CD438" s="306">
        <f ca="1">COUNTIF('Group Stages'!P7:P102,BW438)</f>
        <v>0</v>
      </c>
      <c r="CE438" s="306">
        <f ca="1">COUNTIF('Group Stages'!Q7:Q102,BW438)</f>
        <v>0</v>
      </c>
      <c r="CF438" s="306">
        <f ca="1">COUNTIF('Knock Out Stages'!K7:K50,BW438)</f>
        <v>0</v>
      </c>
      <c r="CG438" s="306">
        <f ca="1">COUNTIF('Knock Out Stages'!L7:L50,BW438)</f>
        <v>0</v>
      </c>
      <c r="CH438" s="306">
        <f ca="1">COUNTIF('Knock Out Stages'!M7:M50,BW438)</f>
        <v>0</v>
      </c>
      <c r="CI438" s="306">
        <f ca="1">COUNTIF('Knock Out Stages'!N7:N50,BW438)</f>
        <v>0</v>
      </c>
      <c r="CJ438" s="306">
        <f ca="1">COUNTIF('Knock Out Stages'!O7:O50,BW438)</f>
        <v>0</v>
      </c>
      <c r="CK438" s="306">
        <f ca="1">COUNTIF('Knock Out Stages'!P7:P50,BW438)</f>
        <v>0</v>
      </c>
      <c r="CL438" s="306">
        <f ca="1">COUNTIF('Knock Out Stages'!Q7:Q50,BW438)</f>
        <v>0</v>
      </c>
      <c r="CM438" s="306">
        <f ca="1">COUNTIF('Knock Out Stages'!R7:R50,BW438)</f>
        <v>0</v>
      </c>
      <c r="CN438" s="306">
        <f ca="1">IF(RIGHT('Group Stages'!$B$105,5)="T.com",SUM(BX438:CM438),0)</f>
        <v>0</v>
      </c>
      <c r="CO438" s="306">
        <f ca="1">RANK(CN438,CN3:CN834)+COUNTIF(CN3:CN438,CN438)-1</f>
        <v>436</v>
      </c>
      <c r="CP438" s="306" t="str">
        <f t="shared" ca="1" si="202"/>
        <v>Niclas Füllkrug (Germany)</v>
      </c>
    </row>
    <row r="439" spans="72:94" x14ac:dyDescent="0.3">
      <c r="BT439" s="306" t="str">
        <f t="shared" ca="1" si="199"/>
        <v>Germany</v>
      </c>
      <c r="BU439" s="306">
        <f t="shared" si="200"/>
        <v>20</v>
      </c>
      <c r="BV439" s="306">
        <f t="shared" si="201"/>
        <v>15</v>
      </c>
      <c r="BW439" s="306" t="str">
        <f ca="1">OFFSET(C3,BU439,BV439)</f>
        <v>Nico Schlotterbeck</v>
      </c>
      <c r="BX439" s="306">
        <f ca="1">COUNTIF('Group Stages'!J7:J102,BW439)</f>
        <v>0</v>
      </c>
      <c r="BY439" s="306">
        <f ca="1">COUNTIF('Group Stages'!K7:K102,BW439)</f>
        <v>0</v>
      </c>
      <c r="BZ439" s="306">
        <f ca="1">COUNTIF('Group Stages'!L7:L102,BW439)</f>
        <v>0</v>
      </c>
      <c r="CA439" s="306">
        <f ca="1">COUNTIF('Group Stages'!M7:M102,BW439)</f>
        <v>0</v>
      </c>
      <c r="CB439" s="306">
        <f ca="1">COUNTIF('Group Stages'!N7:N102,BW439)</f>
        <v>0</v>
      </c>
      <c r="CC439" s="306">
        <f ca="1">COUNTIF('Group Stages'!O7:O102,BW439)</f>
        <v>0</v>
      </c>
      <c r="CD439" s="306">
        <f ca="1">COUNTIF('Group Stages'!P7:P102,BW439)</f>
        <v>0</v>
      </c>
      <c r="CE439" s="306">
        <f ca="1">COUNTIF('Group Stages'!Q7:Q102,BW439)</f>
        <v>0</v>
      </c>
      <c r="CF439" s="306">
        <f ca="1">COUNTIF('Knock Out Stages'!K7:K50,BW439)</f>
        <v>0</v>
      </c>
      <c r="CG439" s="306">
        <f ca="1">COUNTIF('Knock Out Stages'!L7:L50,BW439)</f>
        <v>0</v>
      </c>
      <c r="CH439" s="306">
        <f ca="1">COUNTIF('Knock Out Stages'!M7:M50,BW439)</f>
        <v>0</v>
      </c>
      <c r="CI439" s="306">
        <f ca="1">COUNTIF('Knock Out Stages'!N7:N50,BW439)</f>
        <v>0</v>
      </c>
      <c r="CJ439" s="306">
        <f ca="1">COUNTIF('Knock Out Stages'!O7:O50,BW439)</f>
        <v>0</v>
      </c>
      <c r="CK439" s="306">
        <f ca="1">COUNTIF('Knock Out Stages'!P7:P50,BW439)</f>
        <v>0</v>
      </c>
      <c r="CL439" s="306">
        <f ca="1">COUNTIF('Knock Out Stages'!Q7:Q50,BW439)</f>
        <v>0</v>
      </c>
      <c r="CM439" s="306">
        <f ca="1">COUNTIF('Knock Out Stages'!R7:R50,BW439)</f>
        <v>0</v>
      </c>
      <c r="CN439" s="306">
        <f ca="1">IF(RIGHT('Group Stages'!$B$105,5)="T.com",SUM(BX439:CM439),0)</f>
        <v>0</v>
      </c>
      <c r="CO439" s="306">
        <f ca="1">RANK(CN439,CN3:CN834)+COUNTIF(CN3:CN439,CN439)-1</f>
        <v>437</v>
      </c>
      <c r="CP439" s="306" t="str">
        <f t="shared" ca="1" si="202"/>
        <v>Nico Schlotterbeck (Germany)</v>
      </c>
    </row>
    <row r="440" spans="72:94" x14ac:dyDescent="0.3">
      <c r="BT440" s="306" t="str">
        <f t="shared" ref="BT440:BT503" ca="1" si="205">BT439</f>
        <v>Germany</v>
      </c>
      <c r="BU440" s="306">
        <f t="shared" ref="BU440:BU503" si="206">BU414</f>
        <v>21</v>
      </c>
      <c r="BV440" s="306">
        <f t="shared" ref="BV440:BV503" si="207">BV414+1</f>
        <v>15</v>
      </c>
      <c r="BW440" s="306" t="str">
        <f ca="1">OFFSET(C3,BU440,BV440)</f>
        <v>Niklas Süle</v>
      </c>
      <c r="BX440" s="306">
        <f ca="1">COUNTIF('Group Stages'!J7:J102,BW440)</f>
        <v>0</v>
      </c>
      <c r="BY440" s="306">
        <f ca="1">COUNTIF('Group Stages'!K7:K102,BW440)</f>
        <v>0</v>
      </c>
      <c r="BZ440" s="306">
        <f ca="1">COUNTIF('Group Stages'!L7:L102,BW440)</f>
        <v>0</v>
      </c>
      <c r="CA440" s="306">
        <f ca="1">COUNTIF('Group Stages'!M7:M102,BW440)</f>
        <v>0</v>
      </c>
      <c r="CB440" s="306">
        <f ca="1">COUNTIF('Group Stages'!N7:N102,BW440)</f>
        <v>0</v>
      </c>
      <c r="CC440" s="306">
        <f ca="1">COUNTIF('Group Stages'!O7:O102,BW440)</f>
        <v>0</v>
      </c>
      <c r="CD440" s="306">
        <f ca="1">COUNTIF('Group Stages'!P7:P102,BW440)</f>
        <v>0</v>
      </c>
      <c r="CE440" s="306">
        <f ca="1">COUNTIF('Group Stages'!Q7:Q102,BW440)</f>
        <v>0</v>
      </c>
      <c r="CF440" s="306">
        <f ca="1">COUNTIF('Knock Out Stages'!K7:K50,BW440)</f>
        <v>0</v>
      </c>
      <c r="CG440" s="306">
        <f ca="1">COUNTIF('Knock Out Stages'!L7:L50,BW440)</f>
        <v>0</v>
      </c>
      <c r="CH440" s="306">
        <f ca="1">COUNTIF('Knock Out Stages'!M7:M50,BW440)</f>
        <v>0</v>
      </c>
      <c r="CI440" s="306">
        <f ca="1">COUNTIF('Knock Out Stages'!N7:N50,BW440)</f>
        <v>0</v>
      </c>
      <c r="CJ440" s="306">
        <f ca="1">COUNTIF('Knock Out Stages'!O7:O50,BW440)</f>
        <v>0</v>
      </c>
      <c r="CK440" s="306">
        <f ca="1">COUNTIF('Knock Out Stages'!P7:P50,BW440)</f>
        <v>0</v>
      </c>
      <c r="CL440" s="306">
        <f ca="1">COUNTIF('Knock Out Stages'!Q7:Q50,BW440)</f>
        <v>0</v>
      </c>
      <c r="CM440" s="306">
        <f ca="1">COUNTIF('Knock Out Stages'!R7:R50,BW440)</f>
        <v>0</v>
      </c>
      <c r="CN440" s="306">
        <f ca="1">IF(RIGHT('Group Stages'!$B$105,5)="T.com",SUM(BX440:CM440),0)</f>
        <v>0</v>
      </c>
      <c r="CO440" s="306">
        <f ca="1">RANK(CN440,CN3:CN834)+COUNTIF(CN3:CN440,CN440)-1</f>
        <v>438</v>
      </c>
      <c r="CP440" s="306" t="str">
        <f t="shared" ca="1" si="202"/>
        <v>Niklas Süle (Germany)</v>
      </c>
    </row>
    <row r="441" spans="72:94" x14ac:dyDescent="0.3">
      <c r="BT441" s="306" t="str">
        <f t="shared" ca="1" si="205"/>
        <v>Germany</v>
      </c>
      <c r="BU441" s="306">
        <f t="shared" si="206"/>
        <v>22</v>
      </c>
      <c r="BV441" s="306">
        <f t="shared" si="207"/>
        <v>15</v>
      </c>
      <c r="BW441" s="306" t="str">
        <f ca="1">OFFSET(C3,BU441,BV441)</f>
        <v>Serge Gnabry</v>
      </c>
      <c r="BX441" s="306">
        <f ca="1">COUNTIF('Group Stages'!J7:J102,BW441)</f>
        <v>0</v>
      </c>
      <c r="BY441" s="306">
        <f ca="1">COUNTIF('Group Stages'!K7:K102,BW441)</f>
        <v>0</v>
      </c>
      <c r="BZ441" s="306">
        <f ca="1">COUNTIF('Group Stages'!L7:L102,BW441)</f>
        <v>0</v>
      </c>
      <c r="CA441" s="306">
        <f ca="1">COUNTIF('Group Stages'!M7:M102,BW441)</f>
        <v>0</v>
      </c>
      <c r="CB441" s="306">
        <f ca="1">COUNTIF('Group Stages'!N7:N102,BW441)</f>
        <v>0</v>
      </c>
      <c r="CC441" s="306">
        <f ca="1">COUNTIF('Group Stages'!O7:O102,BW441)</f>
        <v>0</v>
      </c>
      <c r="CD441" s="306">
        <f ca="1">COUNTIF('Group Stages'!P7:P102,BW441)</f>
        <v>0</v>
      </c>
      <c r="CE441" s="306">
        <f ca="1">COUNTIF('Group Stages'!Q7:Q102,BW441)</f>
        <v>0</v>
      </c>
      <c r="CF441" s="306">
        <f ca="1">COUNTIF('Knock Out Stages'!K7:K50,BW441)</f>
        <v>0</v>
      </c>
      <c r="CG441" s="306">
        <f ca="1">COUNTIF('Knock Out Stages'!L7:L50,BW441)</f>
        <v>0</v>
      </c>
      <c r="CH441" s="306">
        <f ca="1">COUNTIF('Knock Out Stages'!M7:M50,BW441)</f>
        <v>0</v>
      </c>
      <c r="CI441" s="306">
        <f ca="1">COUNTIF('Knock Out Stages'!N7:N50,BW441)</f>
        <v>0</v>
      </c>
      <c r="CJ441" s="306">
        <f ca="1">COUNTIF('Knock Out Stages'!O7:O50,BW441)</f>
        <v>0</v>
      </c>
      <c r="CK441" s="306">
        <f ca="1">COUNTIF('Knock Out Stages'!P7:P50,BW441)</f>
        <v>0</v>
      </c>
      <c r="CL441" s="306">
        <f ca="1">COUNTIF('Knock Out Stages'!Q7:Q50,BW441)</f>
        <v>0</v>
      </c>
      <c r="CM441" s="306">
        <f ca="1">COUNTIF('Knock Out Stages'!R7:R50,BW441)</f>
        <v>0</v>
      </c>
      <c r="CN441" s="306">
        <f ca="1">IF(RIGHT('Group Stages'!$B$105,5)="T.com",SUM(BX441:CM441),0)</f>
        <v>0</v>
      </c>
      <c r="CO441" s="306">
        <f ca="1">RANK(CN441,CN3:CN834)+COUNTIF(CN3:CN441,CN441)-1</f>
        <v>439</v>
      </c>
      <c r="CP441" s="306" t="str">
        <f t="shared" ca="1" si="202"/>
        <v>Serge Gnabry (Germany)</v>
      </c>
    </row>
    <row r="442" spans="72:94" x14ac:dyDescent="0.3">
      <c r="BT442" s="306" t="str">
        <f t="shared" ca="1" si="205"/>
        <v>Germany</v>
      </c>
      <c r="BU442" s="306">
        <f t="shared" si="206"/>
        <v>23</v>
      </c>
      <c r="BV442" s="306">
        <f t="shared" si="207"/>
        <v>15</v>
      </c>
      <c r="BW442" s="306" t="str">
        <f ca="1">OFFSET(C3,BU442,BV442)</f>
        <v>Thilo Kehrer</v>
      </c>
      <c r="BX442" s="306">
        <f ca="1">COUNTIF('Group Stages'!J7:J102,BW442)</f>
        <v>0</v>
      </c>
      <c r="BY442" s="306">
        <f ca="1">COUNTIF('Group Stages'!K7:K102,BW442)</f>
        <v>0</v>
      </c>
      <c r="BZ442" s="306">
        <f ca="1">COUNTIF('Group Stages'!L7:L102,BW442)</f>
        <v>0</v>
      </c>
      <c r="CA442" s="306">
        <f ca="1">COUNTIF('Group Stages'!M7:M102,BW442)</f>
        <v>0</v>
      </c>
      <c r="CB442" s="306">
        <f ca="1">COUNTIF('Group Stages'!N7:N102,BW442)</f>
        <v>0</v>
      </c>
      <c r="CC442" s="306">
        <f ca="1">COUNTIF('Group Stages'!O7:O102,BW442)</f>
        <v>0</v>
      </c>
      <c r="CD442" s="306">
        <f ca="1">COUNTIF('Group Stages'!P7:P102,BW442)</f>
        <v>0</v>
      </c>
      <c r="CE442" s="306">
        <f ca="1">COUNTIF('Group Stages'!Q7:Q102,BW442)</f>
        <v>0</v>
      </c>
      <c r="CF442" s="306">
        <f ca="1">COUNTIF('Knock Out Stages'!K7:K50,BW442)</f>
        <v>0</v>
      </c>
      <c r="CG442" s="306">
        <f ca="1">COUNTIF('Knock Out Stages'!L7:L50,BW442)</f>
        <v>0</v>
      </c>
      <c r="CH442" s="306">
        <f ca="1">COUNTIF('Knock Out Stages'!M7:M50,BW442)</f>
        <v>0</v>
      </c>
      <c r="CI442" s="306">
        <f ca="1">COUNTIF('Knock Out Stages'!N7:N50,BW442)</f>
        <v>0</v>
      </c>
      <c r="CJ442" s="306">
        <f ca="1">COUNTIF('Knock Out Stages'!O7:O50,BW442)</f>
        <v>0</v>
      </c>
      <c r="CK442" s="306">
        <f ca="1">COUNTIF('Knock Out Stages'!P7:P50,BW442)</f>
        <v>0</v>
      </c>
      <c r="CL442" s="306">
        <f ca="1">COUNTIF('Knock Out Stages'!Q7:Q50,BW442)</f>
        <v>0</v>
      </c>
      <c r="CM442" s="306">
        <f ca="1">COUNTIF('Knock Out Stages'!R7:R50,BW442)</f>
        <v>0</v>
      </c>
      <c r="CN442" s="306">
        <f ca="1">IF(RIGHT('Group Stages'!$B$105,5)="T.com",SUM(BX442:CM442),0)</f>
        <v>0</v>
      </c>
      <c r="CO442" s="306">
        <f ca="1">RANK(CN442,CN3:CN834)+COUNTIF(CN3:CN442,CN442)-1</f>
        <v>440</v>
      </c>
      <c r="CP442" s="306" t="str">
        <f t="shared" ca="1" si="202"/>
        <v>Thilo Kehrer (Germany)</v>
      </c>
    </row>
    <row r="443" spans="72:94" x14ac:dyDescent="0.3">
      <c r="BT443" s="306" t="str">
        <f t="shared" ca="1" si="205"/>
        <v>Germany</v>
      </c>
      <c r="BU443" s="306">
        <f t="shared" si="206"/>
        <v>24</v>
      </c>
      <c r="BV443" s="306">
        <f t="shared" si="207"/>
        <v>15</v>
      </c>
      <c r="BW443" s="306" t="str">
        <f ca="1">OFFSET(C3,BU443,BV443)</f>
        <v>Thomas Müller</v>
      </c>
      <c r="BX443" s="306">
        <f ca="1">COUNTIF('Group Stages'!J7:J102,BW443)</f>
        <v>0</v>
      </c>
      <c r="BY443" s="306">
        <f ca="1">COUNTIF('Group Stages'!K7:K102,BW443)</f>
        <v>0</v>
      </c>
      <c r="BZ443" s="306">
        <f ca="1">COUNTIF('Group Stages'!L7:L102,BW443)</f>
        <v>0</v>
      </c>
      <c r="CA443" s="306">
        <f ca="1">COUNTIF('Group Stages'!M7:M102,BW443)</f>
        <v>0</v>
      </c>
      <c r="CB443" s="306">
        <f ca="1">COUNTIF('Group Stages'!N7:N102,BW443)</f>
        <v>0</v>
      </c>
      <c r="CC443" s="306">
        <f ca="1">COUNTIF('Group Stages'!O7:O102,BW443)</f>
        <v>0</v>
      </c>
      <c r="CD443" s="306">
        <f ca="1">COUNTIF('Group Stages'!P7:P102,BW443)</f>
        <v>0</v>
      </c>
      <c r="CE443" s="306">
        <f ca="1">COUNTIF('Group Stages'!Q7:Q102,BW443)</f>
        <v>0</v>
      </c>
      <c r="CF443" s="306">
        <f ca="1">COUNTIF('Knock Out Stages'!K7:K50,BW443)</f>
        <v>0</v>
      </c>
      <c r="CG443" s="306">
        <f ca="1">COUNTIF('Knock Out Stages'!L7:L50,BW443)</f>
        <v>0</v>
      </c>
      <c r="CH443" s="306">
        <f ca="1">COUNTIF('Knock Out Stages'!M7:M50,BW443)</f>
        <v>0</v>
      </c>
      <c r="CI443" s="306">
        <f ca="1">COUNTIF('Knock Out Stages'!N7:N50,BW443)</f>
        <v>0</v>
      </c>
      <c r="CJ443" s="306">
        <f ca="1">COUNTIF('Knock Out Stages'!O7:O50,BW443)</f>
        <v>0</v>
      </c>
      <c r="CK443" s="306">
        <f ca="1">COUNTIF('Knock Out Stages'!P7:P50,BW443)</f>
        <v>0</v>
      </c>
      <c r="CL443" s="306">
        <f ca="1">COUNTIF('Knock Out Stages'!Q7:Q50,BW443)</f>
        <v>0</v>
      </c>
      <c r="CM443" s="306">
        <f ca="1">COUNTIF('Knock Out Stages'!R7:R50,BW443)</f>
        <v>0</v>
      </c>
      <c r="CN443" s="306">
        <f ca="1">IF(RIGHT('Group Stages'!$B$105,5)="T.com",SUM(BX443:CM443),0)</f>
        <v>0</v>
      </c>
      <c r="CO443" s="306">
        <f ca="1">RANK(CN443,CN3:CN834)+COUNTIF(CN3:CN443,CN443)-1</f>
        <v>441</v>
      </c>
      <c r="CP443" s="306" t="str">
        <f t="shared" ca="1" si="202"/>
        <v>Thomas Müller (Germany)</v>
      </c>
    </row>
    <row r="444" spans="72:94" x14ac:dyDescent="0.3">
      <c r="BT444" s="306" t="str">
        <f t="shared" ca="1" si="205"/>
        <v>Germany</v>
      </c>
      <c r="BU444" s="306">
        <f t="shared" si="206"/>
        <v>25</v>
      </c>
      <c r="BV444" s="306">
        <f t="shared" si="207"/>
        <v>15</v>
      </c>
      <c r="BW444" s="306" t="str">
        <f ca="1">OFFSET(C3,BU444,BV444)</f>
        <v>Youssoufa Moukoko</v>
      </c>
      <c r="BX444" s="306">
        <f ca="1">COUNTIF('Group Stages'!J7:J102,BW444)</f>
        <v>0</v>
      </c>
      <c r="BY444" s="306">
        <f ca="1">COUNTIF('Group Stages'!K7:K102,BW444)</f>
        <v>0</v>
      </c>
      <c r="BZ444" s="306">
        <f ca="1">COUNTIF('Group Stages'!L7:L102,BW444)</f>
        <v>0</v>
      </c>
      <c r="CA444" s="306">
        <f ca="1">COUNTIF('Group Stages'!M7:M102,BW444)</f>
        <v>0</v>
      </c>
      <c r="CB444" s="306">
        <f ca="1">COUNTIF('Group Stages'!N7:N102,BW444)</f>
        <v>0</v>
      </c>
      <c r="CC444" s="306">
        <f ca="1">COUNTIF('Group Stages'!O7:O102,BW444)</f>
        <v>0</v>
      </c>
      <c r="CD444" s="306">
        <f ca="1">COUNTIF('Group Stages'!P7:P102,BW444)</f>
        <v>0</v>
      </c>
      <c r="CE444" s="306">
        <f ca="1">COUNTIF('Group Stages'!Q7:Q102,BW444)</f>
        <v>0</v>
      </c>
      <c r="CF444" s="306">
        <f ca="1">COUNTIF('Knock Out Stages'!K7:K50,BW444)</f>
        <v>0</v>
      </c>
      <c r="CG444" s="306">
        <f ca="1">COUNTIF('Knock Out Stages'!L7:L50,BW444)</f>
        <v>0</v>
      </c>
      <c r="CH444" s="306">
        <f ca="1">COUNTIF('Knock Out Stages'!M7:M50,BW444)</f>
        <v>0</v>
      </c>
      <c r="CI444" s="306">
        <f ca="1">COUNTIF('Knock Out Stages'!N7:N50,BW444)</f>
        <v>0</v>
      </c>
      <c r="CJ444" s="306">
        <f ca="1">COUNTIF('Knock Out Stages'!O7:O50,BW444)</f>
        <v>0</v>
      </c>
      <c r="CK444" s="306">
        <f ca="1">COUNTIF('Knock Out Stages'!P7:P50,BW444)</f>
        <v>0</v>
      </c>
      <c r="CL444" s="306">
        <f ca="1">COUNTIF('Knock Out Stages'!Q7:Q50,BW444)</f>
        <v>0</v>
      </c>
      <c r="CM444" s="306">
        <f ca="1">COUNTIF('Knock Out Stages'!R7:R50,BW444)</f>
        <v>0</v>
      </c>
      <c r="CN444" s="306">
        <f ca="1">IF(RIGHT('Group Stages'!$B$105,5)="T.com",SUM(BX444:CM444),0)</f>
        <v>0</v>
      </c>
      <c r="CO444" s="306">
        <f ca="1">RANK(CN444,CN3:CN834)+COUNTIF(CN3:CN444,CN444)-1</f>
        <v>442</v>
      </c>
      <c r="CP444" s="306" t="str">
        <f t="shared" ca="1" si="202"/>
        <v>Youssoufa Moukoko (Germany)</v>
      </c>
    </row>
    <row r="445" spans="72:94" x14ac:dyDescent="0.3">
      <c r="BT445" s="306" t="str">
        <f ca="1">OFFSET(C2,BU445,BV445)</f>
        <v>Japan</v>
      </c>
      <c r="BU445" s="306">
        <f t="shared" si="206"/>
        <v>0</v>
      </c>
      <c r="BV445" s="306">
        <f t="shared" si="207"/>
        <v>16</v>
      </c>
      <c r="BW445" s="306" t="str">
        <f ca="1">OFFSET(C3,BU445,BV445)</f>
        <v>Ao Tanaka</v>
      </c>
      <c r="BX445" s="306">
        <f ca="1">COUNTIF('Group Stages'!J7:J102,BW445)</f>
        <v>0</v>
      </c>
      <c r="BY445" s="306">
        <f ca="1">COUNTIF('Group Stages'!K7:K102,BW445)</f>
        <v>0</v>
      </c>
      <c r="BZ445" s="306">
        <f ca="1">COUNTIF('Group Stages'!L7:L102,BW445)</f>
        <v>0</v>
      </c>
      <c r="CA445" s="306">
        <f ca="1">COUNTIF('Group Stages'!M7:M102,BW445)</f>
        <v>0</v>
      </c>
      <c r="CB445" s="306">
        <f ca="1">COUNTIF('Group Stages'!N7:N102,BW445)</f>
        <v>0</v>
      </c>
      <c r="CC445" s="306">
        <f ca="1">COUNTIF('Group Stages'!O7:O102,BW445)</f>
        <v>0</v>
      </c>
      <c r="CD445" s="306">
        <f ca="1">COUNTIF('Group Stages'!P7:P102,BW445)</f>
        <v>0</v>
      </c>
      <c r="CE445" s="306">
        <f ca="1">COUNTIF('Group Stages'!Q7:Q102,BW445)</f>
        <v>0</v>
      </c>
      <c r="CF445" s="306">
        <f ca="1">COUNTIF('Knock Out Stages'!K7:K50,BW445)</f>
        <v>0</v>
      </c>
      <c r="CG445" s="306">
        <f ca="1">COUNTIF('Knock Out Stages'!L7:L50,BW445)</f>
        <v>0</v>
      </c>
      <c r="CH445" s="306">
        <f ca="1">COUNTIF('Knock Out Stages'!M7:M50,BW445)</f>
        <v>0</v>
      </c>
      <c r="CI445" s="306">
        <f ca="1">COUNTIF('Knock Out Stages'!N7:N50,BW445)</f>
        <v>0</v>
      </c>
      <c r="CJ445" s="306">
        <f ca="1">COUNTIF('Knock Out Stages'!O7:O50,BW445)</f>
        <v>0</v>
      </c>
      <c r="CK445" s="306">
        <f ca="1">COUNTIF('Knock Out Stages'!P7:P50,BW445)</f>
        <v>0</v>
      </c>
      <c r="CL445" s="306">
        <f ca="1">COUNTIF('Knock Out Stages'!Q7:Q50,BW445)</f>
        <v>0</v>
      </c>
      <c r="CM445" s="306">
        <f ca="1">COUNTIF('Knock Out Stages'!R7:R50,BW445)</f>
        <v>0</v>
      </c>
      <c r="CN445" s="306">
        <f ca="1">IF(RIGHT('Group Stages'!$B$105,5)="T.com",SUM(BX445:CM445),0)</f>
        <v>0</v>
      </c>
      <c r="CO445" s="306">
        <f ca="1">RANK(CN445,CN3:CN834)+COUNTIF(CN3:CN445,CN445)-1</f>
        <v>443</v>
      </c>
      <c r="CP445" s="306" t="str">
        <f t="shared" ca="1" si="202"/>
        <v>Ao Tanaka (Japan)</v>
      </c>
    </row>
    <row r="446" spans="72:94" x14ac:dyDescent="0.3">
      <c r="BT446" s="306" t="str">
        <f t="shared" ref="BT446" ca="1" si="208">BT445</f>
        <v>Japan</v>
      </c>
      <c r="BU446" s="306">
        <f t="shared" si="206"/>
        <v>1</v>
      </c>
      <c r="BV446" s="306">
        <f t="shared" si="207"/>
        <v>16</v>
      </c>
      <c r="BW446" s="306" t="str">
        <f ca="1">OFFSET(C3,BU446,BV446)</f>
        <v>Ayase Ueda</v>
      </c>
      <c r="BX446" s="306">
        <f ca="1">COUNTIF('Group Stages'!J7:J102,BW446)</f>
        <v>0</v>
      </c>
      <c r="BY446" s="306">
        <f ca="1">COUNTIF('Group Stages'!K7:K102,BW446)</f>
        <v>0</v>
      </c>
      <c r="BZ446" s="306">
        <f ca="1">COUNTIF('Group Stages'!L7:L102,BW446)</f>
        <v>0</v>
      </c>
      <c r="CA446" s="306">
        <f ca="1">COUNTIF('Group Stages'!M7:M102,BW446)</f>
        <v>0</v>
      </c>
      <c r="CB446" s="306">
        <f ca="1">COUNTIF('Group Stages'!N7:N102,BW446)</f>
        <v>0</v>
      </c>
      <c r="CC446" s="306">
        <f ca="1">COUNTIF('Group Stages'!O7:O102,BW446)</f>
        <v>0</v>
      </c>
      <c r="CD446" s="306">
        <f ca="1">COUNTIF('Group Stages'!P7:P102,BW446)</f>
        <v>0</v>
      </c>
      <c r="CE446" s="306">
        <f ca="1">COUNTIF('Group Stages'!Q7:Q102,BW446)</f>
        <v>0</v>
      </c>
      <c r="CF446" s="306">
        <f ca="1">COUNTIF('Knock Out Stages'!K7:K50,BW446)</f>
        <v>0</v>
      </c>
      <c r="CG446" s="306">
        <f ca="1">COUNTIF('Knock Out Stages'!L7:L50,BW446)</f>
        <v>0</v>
      </c>
      <c r="CH446" s="306">
        <f ca="1">COUNTIF('Knock Out Stages'!M7:M50,BW446)</f>
        <v>0</v>
      </c>
      <c r="CI446" s="306">
        <f ca="1">COUNTIF('Knock Out Stages'!N7:N50,BW446)</f>
        <v>0</v>
      </c>
      <c r="CJ446" s="306">
        <f ca="1">COUNTIF('Knock Out Stages'!O7:O50,BW446)</f>
        <v>0</v>
      </c>
      <c r="CK446" s="306">
        <f ca="1">COUNTIF('Knock Out Stages'!P7:P50,BW446)</f>
        <v>0</v>
      </c>
      <c r="CL446" s="306">
        <f ca="1">COUNTIF('Knock Out Stages'!Q7:Q50,BW446)</f>
        <v>0</v>
      </c>
      <c r="CM446" s="306">
        <f ca="1">COUNTIF('Knock Out Stages'!R7:R50,BW446)</f>
        <v>0</v>
      </c>
      <c r="CN446" s="306">
        <f ca="1">IF(RIGHT('Group Stages'!$B$105,5)="T.com",SUM(BX446:CM446),0)</f>
        <v>0</v>
      </c>
      <c r="CO446" s="306">
        <f ca="1">RANK(CN446,CN3:CN834)+COUNTIF(CN3:CN446,CN446)-1</f>
        <v>444</v>
      </c>
      <c r="CP446" s="306" t="str">
        <f t="shared" ca="1" si="202"/>
        <v>Ayase Ueda (Japan)</v>
      </c>
    </row>
    <row r="447" spans="72:94" x14ac:dyDescent="0.3">
      <c r="BT447" s="306" t="str">
        <f t="shared" ca="1" si="205"/>
        <v>Japan</v>
      </c>
      <c r="BU447" s="306">
        <f t="shared" si="206"/>
        <v>2</v>
      </c>
      <c r="BV447" s="306">
        <f t="shared" si="207"/>
        <v>16</v>
      </c>
      <c r="BW447" s="306" t="str">
        <f ca="1">OFFSET(C3,BU447,BV447)</f>
        <v>Daichi Kamada</v>
      </c>
      <c r="BX447" s="306">
        <f ca="1">COUNTIF('Group Stages'!J7:J102,BW447)</f>
        <v>0</v>
      </c>
      <c r="BY447" s="306">
        <f ca="1">COUNTIF('Group Stages'!K7:K102,BW447)</f>
        <v>0</v>
      </c>
      <c r="BZ447" s="306">
        <f ca="1">COUNTIF('Group Stages'!L7:L102,BW447)</f>
        <v>0</v>
      </c>
      <c r="CA447" s="306">
        <f ca="1">COUNTIF('Group Stages'!M7:M102,BW447)</f>
        <v>0</v>
      </c>
      <c r="CB447" s="306">
        <f ca="1">COUNTIF('Group Stages'!N7:N102,BW447)</f>
        <v>0</v>
      </c>
      <c r="CC447" s="306">
        <f ca="1">COUNTIF('Group Stages'!O7:O102,BW447)</f>
        <v>0</v>
      </c>
      <c r="CD447" s="306">
        <f ca="1">COUNTIF('Group Stages'!P7:P102,BW447)</f>
        <v>0</v>
      </c>
      <c r="CE447" s="306">
        <f ca="1">COUNTIF('Group Stages'!Q7:Q102,BW447)</f>
        <v>0</v>
      </c>
      <c r="CF447" s="306">
        <f ca="1">COUNTIF('Knock Out Stages'!K7:K50,BW447)</f>
        <v>0</v>
      </c>
      <c r="CG447" s="306">
        <f ca="1">COUNTIF('Knock Out Stages'!L7:L50,BW447)</f>
        <v>0</v>
      </c>
      <c r="CH447" s="306">
        <f ca="1">COUNTIF('Knock Out Stages'!M7:M50,BW447)</f>
        <v>0</v>
      </c>
      <c r="CI447" s="306">
        <f ca="1">COUNTIF('Knock Out Stages'!N7:N50,BW447)</f>
        <v>0</v>
      </c>
      <c r="CJ447" s="306">
        <f ca="1">COUNTIF('Knock Out Stages'!O7:O50,BW447)</f>
        <v>0</v>
      </c>
      <c r="CK447" s="306">
        <f ca="1">COUNTIF('Knock Out Stages'!P7:P50,BW447)</f>
        <v>0</v>
      </c>
      <c r="CL447" s="306">
        <f ca="1">COUNTIF('Knock Out Stages'!Q7:Q50,BW447)</f>
        <v>0</v>
      </c>
      <c r="CM447" s="306">
        <f ca="1">COUNTIF('Knock Out Stages'!R7:R50,BW447)</f>
        <v>0</v>
      </c>
      <c r="CN447" s="306">
        <f ca="1">IF(RIGHT('Group Stages'!$B$105,5)="T.com",SUM(BX447:CM447),0)</f>
        <v>0</v>
      </c>
      <c r="CO447" s="306">
        <f ca="1">RANK(CN447,CN3:CN834)+COUNTIF(CN3:CN447,CN447)-1</f>
        <v>445</v>
      </c>
      <c r="CP447" s="306" t="str">
        <f t="shared" ca="1" si="202"/>
        <v>Daichi Kamada (Japan)</v>
      </c>
    </row>
    <row r="448" spans="72:94" x14ac:dyDescent="0.3">
      <c r="BT448" s="306" t="str">
        <f t="shared" ca="1" si="205"/>
        <v>Japan</v>
      </c>
      <c r="BU448" s="306">
        <f t="shared" si="206"/>
        <v>3</v>
      </c>
      <c r="BV448" s="306">
        <f t="shared" si="207"/>
        <v>16</v>
      </c>
      <c r="BW448" s="306" t="str">
        <f ca="1">OFFSET(C3,BU448,BV448)</f>
        <v>Daizen Maeda</v>
      </c>
      <c r="BX448" s="306">
        <f ca="1">COUNTIF('Group Stages'!J7:J102,BW448)</f>
        <v>0</v>
      </c>
      <c r="BY448" s="306">
        <f ca="1">COUNTIF('Group Stages'!K7:K102,BW448)</f>
        <v>0</v>
      </c>
      <c r="BZ448" s="306">
        <f ca="1">COUNTIF('Group Stages'!L7:L102,BW448)</f>
        <v>0</v>
      </c>
      <c r="CA448" s="306">
        <f ca="1">COUNTIF('Group Stages'!M7:M102,BW448)</f>
        <v>0</v>
      </c>
      <c r="CB448" s="306">
        <f ca="1">COUNTIF('Group Stages'!N7:N102,BW448)</f>
        <v>0</v>
      </c>
      <c r="CC448" s="306">
        <f ca="1">COUNTIF('Group Stages'!O7:O102,BW448)</f>
        <v>0</v>
      </c>
      <c r="CD448" s="306">
        <f ca="1">COUNTIF('Group Stages'!P7:P102,BW448)</f>
        <v>0</v>
      </c>
      <c r="CE448" s="306">
        <f ca="1">COUNTIF('Group Stages'!Q7:Q102,BW448)</f>
        <v>0</v>
      </c>
      <c r="CF448" s="306">
        <f ca="1">COUNTIF('Knock Out Stages'!K7:K50,BW448)</f>
        <v>0</v>
      </c>
      <c r="CG448" s="306">
        <f ca="1">COUNTIF('Knock Out Stages'!L7:L50,BW448)</f>
        <v>0</v>
      </c>
      <c r="CH448" s="306">
        <f ca="1">COUNTIF('Knock Out Stages'!M7:M50,BW448)</f>
        <v>0</v>
      </c>
      <c r="CI448" s="306">
        <f ca="1">COUNTIF('Knock Out Stages'!N7:N50,BW448)</f>
        <v>0</v>
      </c>
      <c r="CJ448" s="306">
        <f ca="1">COUNTIF('Knock Out Stages'!O7:O50,BW448)</f>
        <v>0</v>
      </c>
      <c r="CK448" s="306">
        <f ca="1">COUNTIF('Knock Out Stages'!P7:P50,BW448)</f>
        <v>0</v>
      </c>
      <c r="CL448" s="306">
        <f ca="1">COUNTIF('Knock Out Stages'!Q7:Q50,BW448)</f>
        <v>0</v>
      </c>
      <c r="CM448" s="306">
        <f ca="1">COUNTIF('Knock Out Stages'!R7:R50,BW448)</f>
        <v>0</v>
      </c>
      <c r="CN448" s="306">
        <f ca="1">IF(RIGHT('Group Stages'!$B$105,5)="T.com",SUM(BX448:CM448),0)</f>
        <v>0</v>
      </c>
      <c r="CO448" s="306">
        <f ca="1">RANK(CN448,CN3:CN834)+COUNTIF(CN3:CN448,CN448)-1</f>
        <v>446</v>
      </c>
      <c r="CP448" s="306" t="str">
        <f t="shared" ca="1" si="202"/>
        <v>Daizen Maeda (Japan)</v>
      </c>
    </row>
    <row r="449" spans="72:94" x14ac:dyDescent="0.3">
      <c r="BT449" s="306" t="str">
        <f t="shared" ca="1" si="205"/>
        <v>Japan</v>
      </c>
      <c r="BU449" s="306">
        <f t="shared" si="206"/>
        <v>4</v>
      </c>
      <c r="BV449" s="306">
        <f t="shared" si="207"/>
        <v>16</v>
      </c>
      <c r="BW449" s="306" t="str">
        <f ca="1">OFFSET(C3,BU449,BV449)</f>
        <v>Daniel Schmidt</v>
      </c>
      <c r="BX449" s="306">
        <f ca="1">COUNTIF('Group Stages'!J7:J102,BW449)</f>
        <v>0</v>
      </c>
      <c r="BY449" s="306">
        <f ca="1">COUNTIF('Group Stages'!K7:K102,BW449)</f>
        <v>0</v>
      </c>
      <c r="BZ449" s="306">
        <f ca="1">COUNTIF('Group Stages'!L7:L102,BW449)</f>
        <v>0</v>
      </c>
      <c r="CA449" s="306">
        <f ca="1">COUNTIF('Group Stages'!M7:M102,BW449)</f>
        <v>0</v>
      </c>
      <c r="CB449" s="306">
        <f ca="1">COUNTIF('Group Stages'!N7:N102,BW449)</f>
        <v>0</v>
      </c>
      <c r="CC449" s="306">
        <f ca="1">COUNTIF('Group Stages'!O7:O102,BW449)</f>
        <v>0</v>
      </c>
      <c r="CD449" s="306">
        <f ca="1">COUNTIF('Group Stages'!P7:P102,BW449)</f>
        <v>0</v>
      </c>
      <c r="CE449" s="306">
        <f ca="1">COUNTIF('Group Stages'!Q7:Q102,BW449)</f>
        <v>0</v>
      </c>
      <c r="CF449" s="306">
        <f ca="1">COUNTIF('Knock Out Stages'!K7:K50,BW449)</f>
        <v>0</v>
      </c>
      <c r="CG449" s="306">
        <f ca="1">COUNTIF('Knock Out Stages'!L7:L50,BW449)</f>
        <v>0</v>
      </c>
      <c r="CH449" s="306">
        <f ca="1">COUNTIF('Knock Out Stages'!M7:M50,BW449)</f>
        <v>0</v>
      </c>
      <c r="CI449" s="306">
        <f ca="1">COUNTIF('Knock Out Stages'!N7:N50,BW449)</f>
        <v>0</v>
      </c>
      <c r="CJ449" s="306">
        <f ca="1">COUNTIF('Knock Out Stages'!O7:O50,BW449)</f>
        <v>0</v>
      </c>
      <c r="CK449" s="306">
        <f ca="1">COUNTIF('Knock Out Stages'!P7:P50,BW449)</f>
        <v>0</v>
      </c>
      <c r="CL449" s="306">
        <f ca="1">COUNTIF('Knock Out Stages'!Q7:Q50,BW449)</f>
        <v>0</v>
      </c>
      <c r="CM449" s="306">
        <f ca="1">COUNTIF('Knock Out Stages'!R7:R50,BW449)</f>
        <v>0</v>
      </c>
      <c r="CN449" s="306">
        <f ca="1">IF(RIGHT('Group Stages'!$B$105,5)="T.com",SUM(BX449:CM449),0)</f>
        <v>0</v>
      </c>
      <c r="CO449" s="306">
        <f ca="1">RANK(CN449,CN3:CN834)+COUNTIF(CN3:CN449,CN449)-1</f>
        <v>447</v>
      </c>
      <c r="CP449" s="306" t="str">
        <f t="shared" ca="1" si="202"/>
        <v>Daniel Schmidt (Japan)</v>
      </c>
    </row>
    <row r="450" spans="72:94" x14ac:dyDescent="0.3">
      <c r="BT450" s="306" t="str">
        <f t="shared" ca="1" si="205"/>
        <v>Japan</v>
      </c>
      <c r="BU450" s="306">
        <f t="shared" si="206"/>
        <v>5</v>
      </c>
      <c r="BV450" s="306">
        <f t="shared" si="207"/>
        <v>16</v>
      </c>
      <c r="BW450" s="306" t="str">
        <f ca="1">OFFSET(C3,BU450,BV450)</f>
        <v>Eiji Kawashima</v>
      </c>
      <c r="BX450" s="306">
        <f ca="1">COUNTIF('Group Stages'!J7:J102,BW450)</f>
        <v>0</v>
      </c>
      <c r="BY450" s="306">
        <f ca="1">COUNTIF('Group Stages'!K7:K102,BW450)</f>
        <v>0</v>
      </c>
      <c r="BZ450" s="306">
        <f ca="1">COUNTIF('Group Stages'!L7:L102,BW450)</f>
        <v>0</v>
      </c>
      <c r="CA450" s="306">
        <f ca="1">COUNTIF('Group Stages'!M7:M102,BW450)</f>
        <v>0</v>
      </c>
      <c r="CB450" s="306">
        <f ca="1">COUNTIF('Group Stages'!N7:N102,BW450)</f>
        <v>0</v>
      </c>
      <c r="CC450" s="306">
        <f ca="1">COUNTIF('Group Stages'!O7:O102,BW450)</f>
        <v>0</v>
      </c>
      <c r="CD450" s="306">
        <f ca="1">COUNTIF('Group Stages'!P7:P102,BW450)</f>
        <v>0</v>
      </c>
      <c r="CE450" s="306">
        <f ca="1">COUNTIF('Group Stages'!Q7:Q102,BW450)</f>
        <v>0</v>
      </c>
      <c r="CF450" s="306">
        <f ca="1">COUNTIF('Knock Out Stages'!K7:K50,BW450)</f>
        <v>0</v>
      </c>
      <c r="CG450" s="306">
        <f ca="1">COUNTIF('Knock Out Stages'!L7:L50,BW450)</f>
        <v>0</v>
      </c>
      <c r="CH450" s="306">
        <f ca="1">COUNTIF('Knock Out Stages'!M7:M50,BW450)</f>
        <v>0</v>
      </c>
      <c r="CI450" s="306">
        <f ca="1">COUNTIF('Knock Out Stages'!N7:N50,BW450)</f>
        <v>0</v>
      </c>
      <c r="CJ450" s="306">
        <f ca="1">COUNTIF('Knock Out Stages'!O7:O50,BW450)</f>
        <v>0</v>
      </c>
      <c r="CK450" s="306">
        <f ca="1">COUNTIF('Knock Out Stages'!P7:P50,BW450)</f>
        <v>0</v>
      </c>
      <c r="CL450" s="306">
        <f ca="1">COUNTIF('Knock Out Stages'!Q7:Q50,BW450)</f>
        <v>0</v>
      </c>
      <c r="CM450" s="306">
        <f ca="1">COUNTIF('Knock Out Stages'!R7:R50,BW450)</f>
        <v>0</v>
      </c>
      <c r="CN450" s="306">
        <f ca="1">IF(RIGHT('Group Stages'!$B$105,5)="T.com",SUM(BX450:CM450),0)</f>
        <v>0</v>
      </c>
      <c r="CO450" s="306">
        <f ca="1">RANK(CN450,CN3:CN834)+COUNTIF(CN3:CN450,CN450)-1</f>
        <v>448</v>
      </c>
      <c r="CP450" s="306" t="str">
        <f t="shared" ca="1" si="202"/>
        <v>Eiji Kawashima (Japan)</v>
      </c>
    </row>
    <row r="451" spans="72:94" x14ac:dyDescent="0.3">
      <c r="BT451" s="306" t="str">
        <f t="shared" ca="1" si="205"/>
        <v>Japan</v>
      </c>
      <c r="BU451" s="306">
        <f t="shared" si="206"/>
        <v>6</v>
      </c>
      <c r="BV451" s="306">
        <f t="shared" si="207"/>
        <v>16</v>
      </c>
      <c r="BW451" s="306" t="str">
        <f ca="1">OFFSET(C3,BU451,BV451)</f>
        <v>Gaku Shibasaki</v>
      </c>
      <c r="BX451" s="306">
        <f ca="1">COUNTIF('Group Stages'!J7:J102,BW451)</f>
        <v>0</v>
      </c>
      <c r="BY451" s="306">
        <f ca="1">COUNTIF('Group Stages'!K7:K102,BW451)</f>
        <v>0</v>
      </c>
      <c r="BZ451" s="306">
        <f ca="1">COUNTIF('Group Stages'!L7:L102,BW451)</f>
        <v>0</v>
      </c>
      <c r="CA451" s="306">
        <f ca="1">COUNTIF('Group Stages'!M7:M102,BW451)</f>
        <v>0</v>
      </c>
      <c r="CB451" s="306">
        <f ca="1">COUNTIF('Group Stages'!N7:N102,BW451)</f>
        <v>0</v>
      </c>
      <c r="CC451" s="306">
        <f ca="1">COUNTIF('Group Stages'!O7:O102,BW451)</f>
        <v>0</v>
      </c>
      <c r="CD451" s="306">
        <f ca="1">COUNTIF('Group Stages'!P7:P102,BW451)</f>
        <v>0</v>
      </c>
      <c r="CE451" s="306">
        <f ca="1">COUNTIF('Group Stages'!Q7:Q102,BW451)</f>
        <v>0</v>
      </c>
      <c r="CF451" s="306">
        <f ca="1">COUNTIF('Knock Out Stages'!K7:K50,BW451)</f>
        <v>0</v>
      </c>
      <c r="CG451" s="306">
        <f ca="1">COUNTIF('Knock Out Stages'!L7:L50,BW451)</f>
        <v>0</v>
      </c>
      <c r="CH451" s="306">
        <f ca="1">COUNTIF('Knock Out Stages'!M7:M50,BW451)</f>
        <v>0</v>
      </c>
      <c r="CI451" s="306">
        <f ca="1">COUNTIF('Knock Out Stages'!N7:N50,BW451)</f>
        <v>0</v>
      </c>
      <c r="CJ451" s="306">
        <f ca="1">COUNTIF('Knock Out Stages'!O7:O50,BW451)</f>
        <v>0</v>
      </c>
      <c r="CK451" s="306">
        <f ca="1">COUNTIF('Knock Out Stages'!P7:P50,BW451)</f>
        <v>0</v>
      </c>
      <c r="CL451" s="306">
        <f ca="1">COUNTIF('Knock Out Stages'!Q7:Q50,BW451)</f>
        <v>0</v>
      </c>
      <c r="CM451" s="306">
        <f ca="1">COUNTIF('Knock Out Stages'!R7:R50,BW451)</f>
        <v>0</v>
      </c>
      <c r="CN451" s="306">
        <f ca="1">IF(RIGHT('Group Stages'!$B$105,5)="T.com",SUM(BX451:CM451),0)</f>
        <v>0</v>
      </c>
      <c r="CO451" s="306">
        <f ca="1">RANK(CN451,CN3:CN834)+COUNTIF(CN3:CN451,CN451)-1</f>
        <v>449</v>
      </c>
      <c r="CP451" s="306" t="str">
        <f t="shared" ca="1" si="202"/>
        <v>Gaku Shibasaki (Japan)</v>
      </c>
    </row>
    <row r="452" spans="72:94" x14ac:dyDescent="0.3">
      <c r="BT452" s="306" t="str">
        <f t="shared" ca="1" si="205"/>
        <v>Japan</v>
      </c>
      <c r="BU452" s="306">
        <f t="shared" si="206"/>
        <v>7</v>
      </c>
      <c r="BV452" s="306">
        <f t="shared" si="207"/>
        <v>16</v>
      </c>
      <c r="BW452" s="306" t="str">
        <f ca="1">OFFSET(C3,BU452,BV452)</f>
        <v>Hidemasa Morita</v>
      </c>
      <c r="BX452" s="306">
        <f ca="1">COUNTIF('Group Stages'!J7:J102,BW452)</f>
        <v>0</v>
      </c>
      <c r="BY452" s="306">
        <f ca="1">COUNTIF('Group Stages'!K7:K102,BW452)</f>
        <v>0</v>
      </c>
      <c r="BZ452" s="306">
        <f ca="1">COUNTIF('Group Stages'!L7:L102,BW452)</f>
        <v>0</v>
      </c>
      <c r="CA452" s="306">
        <f ca="1">COUNTIF('Group Stages'!M7:M102,BW452)</f>
        <v>0</v>
      </c>
      <c r="CB452" s="306">
        <f ca="1">COUNTIF('Group Stages'!N7:N102,BW452)</f>
        <v>0</v>
      </c>
      <c r="CC452" s="306">
        <f ca="1">COUNTIF('Group Stages'!O7:O102,BW452)</f>
        <v>0</v>
      </c>
      <c r="CD452" s="306">
        <f ca="1">COUNTIF('Group Stages'!P7:P102,BW452)</f>
        <v>0</v>
      </c>
      <c r="CE452" s="306">
        <f ca="1">COUNTIF('Group Stages'!Q7:Q102,BW452)</f>
        <v>0</v>
      </c>
      <c r="CF452" s="306">
        <f ca="1">COUNTIF('Knock Out Stages'!K7:K50,BW452)</f>
        <v>0</v>
      </c>
      <c r="CG452" s="306">
        <f ca="1">COUNTIF('Knock Out Stages'!L7:L50,BW452)</f>
        <v>0</v>
      </c>
      <c r="CH452" s="306">
        <f ca="1">COUNTIF('Knock Out Stages'!M7:M50,BW452)</f>
        <v>0</v>
      </c>
      <c r="CI452" s="306">
        <f ca="1">COUNTIF('Knock Out Stages'!N7:N50,BW452)</f>
        <v>0</v>
      </c>
      <c r="CJ452" s="306">
        <f ca="1">COUNTIF('Knock Out Stages'!O7:O50,BW452)</f>
        <v>0</v>
      </c>
      <c r="CK452" s="306">
        <f ca="1">COUNTIF('Knock Out Stages'!P7:P50,BW452)</f>
        <v>0</v>
      </c>
      <c r="CL452" s="306">
        <f ca="1">COUNTIF('Knock Out Stages'!Q7:Q50,BW452)</f>
        <v>0</v>
      </c>
      <c r="CM452" s="306">
        <f ca="1">COUNTIF('Knock Out Stages'!R7:R50,BW452)</f>
        <v>0</v>
      </c>
      <c r="CN452" s="306">
        <f ca="1">IF(RIGHT('Group Stages'!$B$105,5)="T.com",SUM(BX452:CM452),0)</f>
        <v>0</v>
      </c>
      <c r="CO452" s="306">
        <f ca="1">RANK(CN452,CN3:CN834)+COUNTIF(CN3:CN452,CN452)-1</f>
        <v>450</v>
      </c>
      <c r="CP452" s="306" t="str">
        <f t="shared" ref="CP452:CP515" ca="1" si="209">BW452&amp;" ("&amp;BT452&amp;")"</f>
        <v>Hidemasa Morita (Japan)</v>
      </c>
    </row>
    <row r="453" spans="72:94" x14ac:dyDescent="0.3">
      <c r="BT453" s="306" t="str">
        <f t="shared" ca="1" si="205"/>
        <v>Japan</v>
      </c>
      <c r="BU453" s="306">
        <f t="shared" si="206"/>
        <v>8</v>
      </c>
      <c r="BV453" s="306">
        <f t="shared" si="207"/>
        <v>16</v>
      </c>
      <c r="BW453" s="306" t="str">
        <f ca="1">OFFSET(C3,BU453,BV453)</f>
        <v>Hiroki Itō</v>
      </c>
      <c r="BX453" s="306">
        <f ca="1">COUNTIF('Group Stages'!J7:J102,BW453)</f>
        <v>0</v>
      </c>
      <c r="BY453" s="306">
        <f ca="1">COUNTIF('Group Stages'!K7:K102,BW453)</f>
        <v>0</v>
      </c>
      <c r="BZ453" s="306">
        <f ca="1">COUNTIF('Group Stages'!L7:L102,BW453)</f>
        <v>0</v>
      </c>
      <c r="CA453" s="306">
        <f ca="1">COUNTIF('Group Stages'!M7:M102,BW453)</f>
        <v>0</v>
      </c>
      <c r="CB453" s="306">
        <f ca="1">COUNTIF('Group Stages'!N7:N102,BW453)</f>
        <v>0</v>
      </c>
      <c r="CC453" s="306">
        <f ca="1">COUNTIF('Group Stages'!O7:O102,BW453)</f>
        <v>0</v>
      </c>
      <c r="CD453" s="306">
        <f ca="1">COUNTIF('Group Stages'!P7:P102,BW453)</f>
        <v>0</v>
      </c>
      <c r="CE453" s="306">
        <f ca="1">COUNTIF('Group Stages'!Q7:Q102,BW453)</f>
        <v>0</v>
      </c>
      <c r="CF453" s="306">
        <f ca="1">COUNTIF('Knock Out Stages'!K7:K50,BW453)</f>
        <v>0</v>
      </c>
      <c r="CG453" s="306">
        <f ca="1">COUNTIF('Knock Out Stages'!L7:L50,BW453)</f>
        <v>0</v>
      </c>
      <c r="CH453" s="306">
        <f ca="1">COUNTIF('Knock Out Stages'!M7:M50,BW453)</f>
        <v>0</v>
      </c>
      <c r="CI453" s="306">
        <f ca="1">COUNTIF('Knock Out Stages'!N7:N50,BW453)</f>
        <v>0</v>
      </c>
      <c r="CJ453" s="306">
        <f ca="1">COUNTIF('Knock Out Stages'!O7:O50,BW453)</f>
        <v>0</v>
      </c>
      <c r="CK453" s="306">
        <f ca="1">COUNTIF('Knock Out Stages'!P7:P50,BW453)</f>
        <v>0</v>
      </c>
      <c r="CL453" s="306">
        <f ca="1">COUNTIF('Knock Out Stages'!Q7:Q50,BW453)</f>
        <v>0</v>
      </c>
      <c r="CM453" s="306">
        <f ca="1">COUNTIF('Knock Out Stages'!R7:R50,BW453)</f>
        <v>0</v>
      </c>
      <c r="CN453" s="306">
        <f ca="1">IF(RIGHT('Group Stages'!$B$105,5)="T.com",SUM(BX453:CM453),0)</f>
        <v>0</v>
      </c>
      <c r="CO453" s="306">
        <f ca="1">RANK(CN453,CN3:CN834)+COUNTIF(CN3:CN453,CN453)-1</f>
        <v>451</v>
      </c>
      <c r="CP453" s="306" t="str">
        <f t="shared" ca="1" si="209"/>
        <v>Hiroki Itō (Japan)</v>
      </c>
    </row>
    <row r="454" spans="72:94" x14ac:dyDescent="0.3">
      <c r="BT454" s="306" t="str">
        <f t="shared" ca="1" si="205"/>
        <v>Japan</v>
      </c>
      <c r="BU454" s="306">
        <f t="shared" si="206"/>
        <v>9</v>
      </c>
      <c r="BV454" s="306">
        <f t="shared" si="207"/>
        <v>16</v>
      </c>
      <c r="BW454" s="306" t="str">
        <f ca="1">OFFSET(C3,BU454,BV454)</f>
        <v>Hiroki Sakai</v>
      </c>
      <c r="BX454" s="306">
        <f ca="1">COUNTIF('Group Stages'!J7:J102,BW454)</f>
        <v>0</v>
      </c>
      <c r="BY454" s="306">
        <f ca="1">COUNTIF('Group Stages'!K7:K102,BW454)</f>
        <v>0</v>
      </c>
      <c r="BZ454" s="306">
        <f ca="1">COUNTIF('Group Stages'!L7:L102,BW454)</f>
        <v>0</v>
      </c>
      <c r="CA454" s="306">
        <f ca="1">COUNTIF('Group Stages'!M7:M102,BW454)</f>
        <v>0</v>
      </c>
      <c r="CB454" s="306">
        <f ca="1">COUNTIF('Group Stages'!N7:N102,BW454)</f>
        <v>0</v>
      </c>
      <c r="CC454" s="306">
        <f ca="1">COUNTIF('Group Stages'!O7:O102,BW454)</f>
        <v>0</v>
      </c>
      <c r="CD454" s="306">
        <f ca="1">COUNTIF('Group Stages'!P7:P102,BW454)</f>
        <v>0</v>
      </c>
      <c r="CE454" s="306">
        <f ca="1">COUNTIF('Group Stages'!Q7:Q102,BW454)</f>
        <v>0</v>
      </c>
      <c r="CF454" s="306">
        <f ca="1">COUNTIF('Knock Out Stages'!K7:K50,BW454)</f>
        <v>0</v>
      </c>
      <c r="CG454" s="306">
        <f ca="1">COUNTIF('Knock Out Stages'!L7:L50,BW454)</f>
        <v>0</v>
      </c>
      <c r="CH454" s="306">
        <f ca="1">COUNTIF('Knock Out Stages'!M7:M50,BW454)</f>
        <v>0</v>
      </c>
      <c r="CI454" s="306">
        <f ca="1">COUNTIF('Knock Out Stages'!N7:N50,BW454)</f>
        <v>0</v>
      </c>
      <c r="CJ454" s="306">
        <f ca="1">COUNTIF('Knock Out Stages'!O7:O50,BW454)</f>
        <v>0</v>
      </c>
      <c r="CK454" s="306">
        <f ca="1">COUNTIF('Knock Out Stages'!P7:P50,BW454)</f>
        <v>0</v>
      </c>
      <c r="CL454" s="306">
        <f ca="1">COUNTIF('Knock Out Stages'!Q7:Q50,BW454)</f>
        <v>0</v>
      </c>
      <c r="CM454" s="306">
        <f ca="1">COUNTIF('Knock Out Stages'!R7:R50,BW454)</f>
        <v>0</v>
      </c>
      <c r="CN454" s="306">
        <f ca="1">IF(RIGHT('Group Stages'!$B$105,5)="T.com",SUM(BX454:CM454),0)</f>
        <v>0</v>
      </c>
      <c r="CO454" s="306">
        <f ca="1">RANK(CN454,CN3:CN834)+COUNTIF(CN3:CN454,CN454)-1</f>
        <v>452</v>
      </c>
      <c r="CP454" s="306" t="str">
        <f t="shared" ca="1" si="209"/>
        <v>Hiroki Sakai (Japan)</v>
      </c>
    </row>
    <row r="455" spans="72:94" x14ac:dyDescent="0.3">
      <c r="BT455" s="306" t="str">
        <f t="shared" ca="1" si="205"/>
        <v>Japan</v>
      </c>
      <c r="BU455" s="306">
        <f t="shared" si="206"/>
        <v>10</v>
      </c>
      <c r="BV455" s="306">
        <f t="shared" si="207"/>
        <v>16</v>
      </c>
      <c r="BW455" s="306" t="str">
        <f ca="1">OFFSET(C3,BU455,BV455)</f>
        <v>Junya Ito</v>
      </c>
      <c r="BX455" s="306">
        <f ca="1">COUNTIF('Group Stages'!J7:J102,BW455)</f>
        <v>0</v>
      </c>
      <c r="BY455" s="306">
        <f ca="1">COUNTIF('Group Stages'!K7:K102,BW455)</f>
        <v>0</v>
      </c>
      <c r="BZ455" s="306">
        <f ca="1">COUNTIF('Group Stages'!L7:L102,BW455)</f>
        <v>0</v>
      </c>
      <c r="CA455" s="306">
        <f ca="1">COUNTIF('Group Stages'!M7:M102,BW455)</f>
        <v>0</v>
      </c>
      <c r="CB455" s="306">
        <f ca="1">COUNTIF('Group Stages'!N7:N102,BW455)</f>
        <v>0</v>
      </c>
      <c r="CC455" s="306">
        <f ca="1">COUNTIF('Group Stages'!O7:O102,BW455)</f>
        <v>0</v>
      </c>
      <c r="CD455" s="306">
        <f ca="1">COUNTIF('Group Stages'!P7:P102,BW455)</f>
        <v>0</v>
      </c>
      <c r="CE455" s="306">
        <f ca="1">COUNTIF('Group Stages'!Q7:Q102,BW455)</f>
        <v>0</v>
      </c>
      <c r="CF455" s="306">
        <f ca="1">COUNTIF('Knock Out Stages'!K7:K50,BW455)</f>
        <v>0</v>
      </c>
      <c r="CG455" s="306">
        <f ca="1">COUNTIF('Knock Out Stages'!L7:L50,BW455)</f>
        <v>0</v>
      </c>
      <c r="CH455" s="306">
        <f ca="1">COUNTIF('Knock Out Stages'!M7:M50,BW455)</f>
        <v>0</v>
      </c>
      <c r="CI455" s="306">
        <f ca="1">COUNTIF('Knock Out Stages'!N7:N50,BW455)</f>
        <v>0</v>
      </c>
      <c r="CJ455" s="306">
        <f ca="1">COUNTIF('Knock Out Stages'!O7:O50,BW455)</f>
        <v>0</v>
      </c>
      <c r="CK455" s="306">
        <f ca="1">COUNTIF('Knock Out Stages'!P7:P50,BW455)</f>
        <v>0</v>
      </c>
      <c r="CL455" s="306">
        <f ca="1">COUNTIF('Knock Out Stages'!Q7:Q50,BW455)</f>
        <v>0</v>
      </c>
      <c r="CM455" s="306">
        <f ca="1">COUNTIF('Knock Out Stages'!R7:R50,BW455)</f>
        <v>0</v>
      </c>
      <c r="CN455" s="306">
        <f ca="1">IF(RIGHT('Group Stages'!$B$105,5)="T.com",SUM(BX455:CM455),0)</f>
        <v>0</v>
      </c>
      <c r="CO455" s="306">
        <f ca="1">RANK(CN455,CN3:CN834)+COUNTIF(CN3:CN455,CN455)-1</f>
        <v>453</v>
      </c>
      <c r="CP455" s="306" t="str">
        <f t="shared" ca="1" si="209"/>
        <v>Junya Ito (Japan)</v>
      </c>
    </row>
    <row r="456" spans="72:94" x14ac:dyDescent="0.3">
      <c r="BT456" s="306" t="str">
        <f t="shared" ca="1" si="205"/>
        <v>Japan</v>
      </c>
      <c r="BU456" s="306">
        <f t="shared" si="206"/>
        <v>11</v>
      </c>
      <c r="BV456" s="306">
        <f t="shared" si="207"/>
        <v>16</v>
      </c>
      <c r="BW456" s="306" t="str">
        <f ca="1">OFFSET(C3,BU456,BV456)</f>
        <v>Kaoru Mitoma</v>
      </c>
      <c r="BX456" s="306">
        <f ca="1">COUNTIF('Group Stages'!J7:J102,BW456)</f>
        <v>0</v>
      </c>
      <c r="BY456" s="306">
        <f ca="1">COUNTIF('Group Stages'!K7:K102,BW456)</f>
        <v>0</v>
      </c>
      <c r="BZ456" s="306">
        <f ca="1">COUNTIF('Group Stages'!L7:L102,BW456)</f>
        <v>0</v>
      </c>
      <c r="CA456" s="306">
        <f ca="1">COUNTIF('Group Stages'!M7:M102,BW456)</f>
        <v>0</v>
      </c>
      <c r="CB456" s="306">
        <f ca="1">COUNTIF('Group Stages'!N7:N102,BW456)</f>
        <v>0</v>
      </c>
      <c r="CC456" s="306">
        <f ca="1">COUNTIF('Group Stages'!O7:O102,BW456)</f>
        <v>0</v>
      </c>
      <c r="CD456" s="306">
        <f ca="1">COUNTIF('Group Stages'!P7:P102,BW456)</f>
        <v>0</v>
      </c>
      <c r="CE456" s="306">
        <f ca="1">COUNTIF('Group Stages'!Q7:Q102,BW456)</f>
        <v>0</v>
      </c>
      <c r="CF456" s="306">
        <f ca="1">COUNTIF('Knock Out Stages'!K7:K50,BW456)</f>
        <v>0</v>
      </c>
      <c r="CG456" s="306">
        <f ca="1">COUNTIF('Knock Out Stages'!L7:L50,BW456)</f>
        <v>0</v>
      </c>
      <c r="CH456" s="306">
        <f ca="1">COUNTIF('Knock Out Stages'!M7:M50,BW456)</f>
        <v>0</v>
      </c>
      <c r="CI456" s="306">
        <f ca="1">COUNTIF('Knock Out Stages'!N7:N50,BW456)</f>
        <v>0</v>
      </c>
      <c r="CJ456" s="306">
        <f ca="1">COUNTIF('Knock Out Stages'!O7:O50,BW456)</f>
        <v>0</v>
      </c>
      <c r="CK456" s="306">
        <f ca="1">COUNTIF('Knock Out Stages'!P7:P50,BW456)</f>
        <v>0</v>
      </c>
      <c r="CL456" s="306">
        <f ca="1">COUNTIF('Knock Out Stages'!Q7:Q50,BW456)</f>
        <v>0</v>
      </c>
      <c r="CM456" s="306">
        <f ca="1">COUNTIF('Knock Out Stages'!R7:R50,BW456)</f>
        <v>0</v>
      </c>
      <c r="CN456" s="306">
        <f ca="1">IF(RIGHT('Group Stages'!$B$105,5)="T.com",SUM(BX456:CM456),0)</f>
        <v>0</v>
      </c>
      <c r="CO456" s="306">
        <f ca="1">RANK(CN456,CN3:CN834)+COUNTIF(CN3:CN456,CN456)-1</f>
        <v>454</v>
      </c>
      <c r="CP456" s="306" t="str">
        <f t="shared" ca="1" si="209"/>
        <v>Kaoru Mitoma (Japan)</v>
      </c>
    </row>
    <row r="457" spans="72:94" x14ac:dyDescent="0.3">
      <c r="BT457" s="306" t="str">
        <f t="shared" ca="1" si="205"/>
        <v>Japan</v>
      </c>
      <c r="BU457" s="306">
        <f t="shared" si="206"/>
        <v>12</v>
      </c>
      <c r="BV457" s="306">
        <f t="shared" si="207"/>
        <v>16</v>
      </c>
      <c r="BW457" s="306" t="str">
        <f ca="1">OFFSET(C3,BU457,BV457)</f>
        <v>Kō Itakura</v>
      </c>
      <c r="BX457" s="306">
        <f ca="1">COUNTIF('Group Stages'!J7:J102,BW457)</f>
        <v>0</v>
      </c>
      <c r="BY457" s="306">
        <f ca="1">COUNTIF('Group Stages'!K7:K102,BW457)</f>
        <v>0</v>
      </c>
      <c r="BZ457" s="306">
        <f ca="1">COUNTIF('Group Stages'!L7:L102,BW457)</f>
        <v>0</v>
      </c>
      <c r="CA457" s="306">
        <f ca="1">COUNTIF('Group Stages'!M7:M102,BW457)</f>
        <v>0</v>
      </c>
      <c r="CB457" s="306">
        <f ca="1">COUNTIF('Group Stages'!N7:N102,BW457)</f>
        <v>0</v>
      </c>
      <c r="CC457" s="306">
        <f ca="1">COUNTIF('Group Stages'!O7:O102,BW457)</f>
        <v>0</v>
      </c>
      <c r="CD457" s="306">
        <f ca="1">COUNTIF('Group Stages'!P7:P102,BW457)</f>
        <v>0</v>
      </c>
      <c r="CE457" s="306">
        <f ca="1">COUNTIF('Group Stages'!Q7:Q102,BW457)</f>
        <v>0</v>
      </c>
      <c r="CF457" s="306">
        <f ca="1">COUNTIF('Knock Out Stages'!K7:K50,BW457)</f>
        <v>0</v>
      </c>
      <c r="CG457" s="306">
        <f ca="1">COUNTIF('Knock Out Stages'!L7:L50,BW457)</f>
        <v>0</v>
      </c>
      <c r="CH457" s="306">
        <f ca="1">COUNTIF('Knock Out Stages'!M7:M50,BW457)</f>
        <v>0</v>
      </c>
      <c r="CI457" s="306">
        <f ca="1">COUNTIF('Knock Out Stages'!N7:N50,BW457)</f>
        <v>0</v>
      </c>
      <c r="CJ457" s="306">
        <f ca="1">COUNTIF('Knock Out Stages'!O7:O50,BW457)</f>
        <v>0</v>
      </c>
      <c r="CK457" s="306">
        <f ca="1">COUNTIF('Knock Out Stages'!P7:P50,BW457)</f>
        <v>0</v>
      </c>
      <c r="CL457" s="306">
        <f ca="1">COUNTIF('Knock Out Stages'!Q7:Q50,BW457)</f>
        <v>0</v>
      </c>
      <c r="CM457" s="306">
        <f ca="1">COUNTIF('Knock Out Stages'!R7:R50,BW457)</f>
        <v>0</v>
      </c>
      <c r="CN457" s="306">
        <f ca="1">IF(RIGHT('Group Stages'!$B$105,5)="T.com",SUM(BX457:CM457),0)</f>
        <v>0</v>
      </c>
      <c r="CO457" s="306">
        <f ca="1">RANK(CN457,CN3:CN834)+COUNTIF(CN3:CN457,CN457)-1</f>
        <v>455</v>
      </c>
      <c r="CP457" s="306" t="str">
        <f t="shared" ca="1" si="209"/>
        <v>Kō Itakura (Japan)</v>
      </c>
    </row>
    <row r="458" spans="72:94" x14ac:dyDescent="0.3">
      <c r="BT458" s="306" t="str">
        <f t="shared" ca="1" si="205"/>
        <v>Japan</v>
      </c>
      <c r="BU458" s="306">
        <f t="shared" si="206"/>
        <v>13</v>
      </c>
      <c r="BV458" s="306">
        <f t="shared" si="207"/>
        <v>16</v>
      </c>
      <c r="BW458" s="306" t="str">
        <f ca="1">OFFSET(C3,BU458,BV458)</f>
        <v>Maya Yoshida</v>
      </c>
      <c r="BX458" s="306">
        <f ca="1">COUNTIF('Group Stages'!J7:J102,BW458)</f>
        <v>0</v>
      </c>
      <c r="BY458" s="306">
        <f ca="1">COUNTIF('Group Stages'!K7:K102,BW458)</f>
        <v>0</v>
      </c>
      <c r="BZ458" s="306">
        <f ca="1">COUNTIF('Group Stages'!L7:L102,BW458)</f>
        <v>0</v>
      </c>
      <c r="CA458" s="306">
        <f ca="1">COUNTIF('Group Stages'!M7:M102,BW458)</f>
        <v>0</v>
      </c>
      <c r="CB458" s="306">
        <f ca="1">COUNTIF('Group Stages'!N7:N102,BW458)</f>
        <v>0</v>
      </c>
      <c r="CC458" s="306">
        <f ca="1">COUNTIF('Group Stages'!O7:O102,BW458)</f>
        <v>0</v>
      </c>
      <c r="CD458" s="306">
        <f ca="1">COUNTIF('Group Stages'!P7:P102,BW458)</f>
        <v>0</v>
      </c>
      <c r="CE458" s="306">
        <f ca="1">COUNTIF('Group Stages'!Q7:Q102,BW458)</f>
        <v>0</v>
      </c>
      <c r="CF458" s="306">
        <f ca="1">COUNTIF('Knock Out Stages'!K7:K50,BW458)</f>
        <v>0</v>
      </c>
      <c r="CG458" s="306">
        <f ca="1">COUNTIF('Knock Out Stages'!L7:L50,BW458)</f>
        <v>0</v>
      </c>
      <c r="CH458" s="306">
        <f ca="1">COUNTIF('Knock Out Stages'!M7:M50,BW458)</f>
        <v>0</v>
      </c>
      <c r="CI458" s="306">
        <f ca="1">COUNTIF('Knock Out Stages'!N7:N50,BW458)</f>
        <v>0</v>
      </c>
      <c r="CJ458" s="306">
        <f ca="1">COUNTIF('Knock Out Stages'!O7:O50,BW458)</f>
        <v>0</v>
      </c>
      <c r="CK458" s="306">
        <f ca="1">COUNTIF('Knock Out Stages'!P7:P50,BW458)</f>
        <v>0</v>
      </c>
      <c r="CL458" s="306">
        <f ca="1">COUNTIF('Knock Out Stages'!Q7:Q50,BW458)</f>
        <v>0</v>
      </c>
      <c r="CM458" s="306">
        <f ca="1">COUNTIF('Knock Out Stages'!R7:R50,BW458)</f>
        <v>0</v>
      </c>
      <c r="CN458" s="306">
        <f ca="1">IF(RIGHT('Group Stages'!$B$105,5)="T.com",SUM(BX458:CM458),0)</f>
        <v>0</v>
      </c>
      <c r="CO458" s="306">
        <f ca="1">RANK(CN458,CN3:CN834)+COUNTIF(CN3:CN458,CN458)-1</f>
        <v>456</v>
      </c>
      <c r="CP458" s="306" t="str">
        <f t="shared" ca="1" si="209"/>
        <v>Maya Yoshida (Japan)</v>
      </c>
    </row>
    <row r="459" spans="72:94" x14ac:dyDescent="0.3">
      <c r="BT459" s="306" t="str">
        <f t="shared" ca="1" si="205"/>
        <v>Japan</v>
      </c>
      <c r="BU459" s="306">
        <f t="shared" si="206"/>
        <v>14</v>
      </c>
      <c r="BV459" s="306">
        <f t="shared" si="207"/>
        <v>16</v>
      </c>
      <c r="BW459" s="306" t="str">
        <f ca="1">OFFSET(C3,BU459,BV459)</f>
        <v>Miki Yamane</v>
      </c>
      <c r="BX459" s="306">
        <f ca="1">COUNTIF('Group Stages'!J7:J102,BW459)</f>
        <v>0</v>
      </c>
      <c r="BY459" s="306">
        <f ca="1">COUNTIF('Group Stages'!K7:K102,BW459)</f>
        <v>0</v>
      </c>
      <c r="BZ459" s="306">
        <f ca="1">COUNTIF('Group Stages'!L7:L102,BW459)</f>
        <v>0</v>
      </c>
      <c r="CA459" s="306">
        <f ca="1">COUNTIF('Group Stages'!M7:M102,BW459)</f>
        <v>0</v>
      </c>
      <c r="CB459" s="306">
        <f ca="1">COUNTIF('Group Stages'!N7:N102,BW459)</f>
        <v>0</v>
      </c>
      <c r="CC459" s="306">
        <f ca="1">COUNTIF('Group Stages'!O7:O102,BW459)</f>
        <v>0</v>
      </c>
      <c r="CD459" s="306">
        <f ca="1">COUNTIF('Group Stages'!P7:P102,BW459)</f>
        <v>0</v>
      </c>
      <c r="CE459" s="306">
        <f ca="1">COUNTIF('Group Stages'!Q7:Q102,BW459)</f>
        <v>0</v>
      </c>
      <c r="CF459" s="306">
        <f ca="1">COUNTIF('Knock Out Stages'!K7:K50,BW459)</f>
        <v>0</v>
      </c>
      <c r="CG459" s="306">
        <f ca="1">COUNTIF('Knock Out Stages'!L7:L50,BW459)</f>
        <v>0</v>
      </c>
      <c r="CH459" s="306">
        <f ca="1">COUNTIF('Knock Out Stages'!M7:M50,BW459)</f>
        <v>0</v>
      </c>
      <c r="CI459" s="306">
        <f ca="1">COUNTIF('Knock Out Stages'!N7:N50,BW459)</f>
        <v>0</v>
      </c>
      <c r="CJ459" s="306">
        <f ca="1">COUNTIF('Knock Out Stages'!O7:O50,BW459)</f>
        <v>0</v>
      </c>
      <c r="CK459" s="306">
        <f ca="1">COUNTIF('Knock Out Stages'!P7:P50,BW459)</f>
        <v>0</v>
      </c>
      <c r="CL459" s="306">
        <f ca="1">COUNTIF('Knock Out Stages'!Q7:Q50,BW459)</f>
        <v>0</v>
      </c>
      <c r="CM459" s="306">
        <f ca="1">COUNTIF('Knock Out Stages'!R7:R50,BW459)</f>
        <v>0</v>
      </c>
      <c r="CN459" s="306">
        <f ca="1">IF(RIGHT('Group Stages'!$B$105,5)="T.com",SUM(BX459:CM459),0)</f>
        <v>0</v>
      </c>
      <c r="CO459" s="306">
        <f ca="1">RANK(CN459,CN3:CN834)+COUNTIF(CN3:CN459,CN459)-1</f>
        <v>457</v>
      </c>
      <c r="CP459" s="306" t="str">
        <f t="shared" ca="1" si="209"/>
        <v>Miki Yamane (Japan)</v>
      </c>
    </row>
    <row r="460" spans="72:94" x14ac:dyDescent="0.3">
      <c r="BT460" s="306" t="str">
        <f t="shared" ca="1" si="205"/>
        <v>Japan</v>
      </c>
      <c r="BU460" s="306">
        <f t="shared" si="206"/>
        <v>15</v>
      </c>
      <c r="BV460" s="306">
        <f t="shared" si="207"/>
        <v>16</v>
      </c>
      <c r="BW460" s="306" t="str">
        <f ca="1">OFFSET(C3,BU460,BV460)</f>
        <v>Ritsu Doan</v>
      </c>
      <c r="BX460" s="306">
        <f ca="1">COUNTIF('Group Stages'!J7:J102,BW460)</f>
        <v>0</v>
      </c>
      <c r="BY460" s="306">
        <f ca="1">COUNTIF('Group Stages'!K7:K102,BW460)</f>
        <v>0</v>
      </c>
      <c r="BZ460" s="306">
        <f ca="1">COUNTIF('Group Stages'!L7:L102,BW460)</f>
        <v>0</v>
      </c>
      <c r="CA460" s="306">
        <f ca="1">COUNTIF('Group Stages'!M7:M102,BW460)</f>
        <v>0</v>
      </c>
      <c r="CB460" s="306">
        <f ca="1">COUNTIF('Group Stages'!N7:N102,BW460)</f>
        <v>0</v>
      </c>
      <c r="CC460" s="306">
        <f ca="1">COUNTIF('Group Stages'!O7:O102,BW460)</f>
        <v>0</v>
      </c>
      <c r="CD460" s="306">
        <f ca="1">COUNTIF('Group Stages'!P7:P102,BW460)</f>
        <v>0</v>
      </c>
      <c r="CE460" s="306">
        <f ca="1">COUNTIF('Group Stages'!Q7:Q102,BW460)</f>
        <v>0</v>
      </c>
      <c r="CF460" s="306">
        <f ca="1">COUNTIF('Knock Out Stages'!K7:K50,BW460)</f>
        <v>0</v>
      </c>
      <c r="CG460" s="306">
        <f ca="1">COUNTIF('Knock Out Stages'!L7:L50,BW460)</f>
        <v>0</v>
      </c>
      <c r="CH460" s="306">
        <f ca="1">COUNTIF('Knock Out Stages'!M7:M50,BW460)</f>
        <v>0</v>
      </c>
      <c r="CI460" s="306">
        <f ca="1">COUNTIF('Knock Out Stages'!N7:N50,BW460)</f>
        <v>0</v>
      </c>
      <c r="CJ460" s="306">
        <f ca="1">COUNTIF('Knock Out Stages'!O7:O50,BW460)</f>
        <v>0</v>
      </c>
      <c r="CK460" s="306">
        <f ca="1">COUNTIF('Knock Out Stages'!P7:P50,BW460)</f>
        <v>0</v>
      </c>
      <c r="CL460" s="306">
        <f ca="1">COUNTIF('Knock Out Stages'!Q7:Q50,BW460)</f>
        <v>0</v>
      </c>
      <c r="CM460" s="306">
        <f ca="1">COUNTIF('Knock Out Stages'!R7:R50,BW460)</f>
        <v>0</v>
      </c>
      <c r="CN460" s="306">
        <f ca="1">IF(RIGHT('Group Stages'!$B$105,5)="T.com",SUM(BX460:CM460),0)</f>
        <v>0</v>
      </c>
      <c r="CO460" s="306">
        <f ca="1">RANK(CN460,CN3:CN834)+COUNTIF(CN3:CN460,CN460)-1</f>
        <v>458</v>
      </c>
      <c r="CP460" s="306" t="str">
        <f t="shared" ca="1" si="209"/>
        <v>Ritsu Doan (Japan)</v>
      </c>
    </row>
    <row r="461" spans="72:94" x14ac:dyDescent="0.3">
      <c r="BT461" s="306" t="str">
        <f t="shared" ca="1" si="205"/>
        <v>Japan</v>
      </c>
      <c r="BU461" s="306">
        <f t="shared" si="206"/>
        <v>16</v>
      </c>
      <c r="BV461" s="306">
        <f t="shared" si="207"/>
        <v>16</v>
      </c>
      <c r="BW461" s="306" t="str">
        <f ca="1">OFFSET(C3,BU461,BV461)</f>
        <v>Shōgo Taniguchi</v>
      </c>
      <c r="BX461" s="306">
        <f ca="1">COUNTIF('Group Stages'!J7:J102,BW461)</f>
        <v>0</v>
      </c>
      <c r="BY461" s="306">
        <f ca="1">COUNTIF('Group Stages'!K7:K102,BW461)</f>
        <v>0</v>
      </c>
      <c r="BZ461" s="306">
        <f ca="1">COUNTIF('Group Stages'!L7:L102,BW461)</f>
        <v>0</v>
      </c>
      <c r="CA461" s="306">
        <f ca="1">COUNTIF('Group Stages'!M7:M102,BW461)</f>
        <v>0</v>
      </c>
      <c r="CB461" s="306">
        <f ca="1">COUNTIF('Group Stages'!N7:N102,BW461)</f>
        <v>0</v>
      </c>
      <c r="CC461" s="306">
        <f ca="1">COUNTIF('Group Stages'!O7:O102,BW461)</f>
        <v>0</v>
      </c>
      <c r="CD461" s="306">
        <f ca="1">COUNTIF('Group Stages'!P7:P102,BW461)</f>
        <v>0</v>
      </c>
      <c r="CE461" s="306">
        <f ca="1">COUNTIF('Group Stages'!Q7:Q102,BW461)</f>
        <v>0</v>
      </c>
      <c r="CF461" s="306">
        <f ca="1">COUNTIF('Knock Out Stages'!K7:K50,BW461)</f>
        <v>0</v>
      </c>
      <c r="CG461" s="306">
        <f ca="1">COUNTIF('Knock Out Stages'!L7:L50,BW461)</f>
        <v>0</v>
      </c>
      <c r="CH461" s="306">
        <f ca="1">COUNTIF('Knock Out Stages'!M7:M50,BW461)</f>
        <v>0</v>
      </c>
      <c r="CI461" s="306">
        <f ca="1">COUNTIF('Knock Out Stages'!N7:N50,BW461)</f>
        <v>0</v>
      </c>
      <c r="CJ461" s="306">
        <f ca="1">COUNTIF('Knock Out Stages'!O7:O50,BW461)</f>
        <v>0</v>
      </c>
      <c r="CK461" s="306">
        <f ca="1">COUNTIF('Knock Out Stages'!P7:P50,BW461)</f>
        <v>0</v>
      </c>
      <c r="CL461" s="306">
        <f ca="1">COUNTIF('Knock Out Stages'!Q7:Q50,BW461)</f>
        <v>0</v>
      </c>
      <c r="CM461" s="306">
        <f ca="1">COUNTIF('Knock Out Stages'!R7:R50,BW461)</f>
        <v>0</v>
      </c>
      <c r="CN461" s="306">
        <f ca="1">IF(RIGHT('Group Stages'!$B$105,5)="T.com",SUM(BX461:CM461),0)</f>
        <v>0</v>
      </c>
      <c r="CO461" s="306">
        <f ca="1">RANK(CN461,CN3:CN834)+COUNTIF(CN3:CN461,CN461)-1</f>
        <v>459</v>
      </c>
      <c r="CP461" s="306" t="str">
        <f t="shared" ca="1" si="209"/>
        <v>Shōgo Taniguchi (Japan)</v>
      </c>
    </row>
    <row r="462" spans="72:94" x14ac:dyDescent="0.3">
      <c r="BT462" s="306" t="str">
        <f t="shared" ca="1" si="205"/>
        <v>Japan</v>
      </c>
      <c r="BU462" s="306">
        <f t="shared" si="206"/>
        <v>17</v>
      </c>
      <c r="BV462" s="306">
        <f t="shared" si="207"/>
        <v>16</v>
      </c>
      <c r="BW462" s="306" t="str">
        <f ca="1">OFFSET(C3,BU462,BV462)</f>
        <v>Shūichi Gonda</v>
      </c>
      <c r="BX462" s="306">
        <f ca="1">COUNTIF('Group Stages'!J7:J102,BW462)</f>
        <v>0</v>
      </c>
      <c r="BY462" s="306">
        <f ca="1">COUNTIF('Group Stages'!K7:K102,BW462)</f>
        <v>0</v>
      </c>
      <c r="BZ462" s="306">
        <f ca="1">COUNTIF('Group Stages'!L7:L102,BW462)</f>
        <v>0</v>
      </c>
      <c r="CA462" s="306">
        <f ca="1">COUNTIF('Group Stages'!M7:M102,BW462)</f>
        <v>0</v>
      </c>
      <c r="CB462" s="306">
        <f ca="1">COUNTIF('Group Stages'!N7:N102,BW462)</f>
        <v>0</v>
      </c>
      <c r="CC462" s="306">
        <f ca="1">COUNTIF('Group Stages'!O7:O102,BW462)</f>
        <v>0</v>
      </c>
      <c r="CD462" s="306">
        <f ca="1">COUNTIF('Group Stages'!P7:P102,BW462)</f>
        <v>0</v>
      </c>
      <c r="CE462" s="306">
        <f ca="1">COUNTIF('Group Stages'!Q7:Q102,BW462)</f>
        <v>0</v>
      </c>
      <c r="CF462" s="306">
        <f ca="1">COUNTIF('Knock Out Stages'!K7:K50,BW462)</f>
        <v>0</v>
      </c>
      <c r="CG462" s="306">
        <f ca="1">COUNTIF('Knock Out Stages'!L7:L50,BW462)</f>
        <v>0</v>
      </c>
      <c r="CH462" s="306">
        <f ca="1">COUNTIF('Knock Out Stages'!M7:M50,BW462)</f>
        <v>0</v>
      </c>
      <c r="CI462" s="306">
        <f ca="1">COUNTIF('Knock Out Stages'!N7:N50,BW462)</f>
        <v>0</v>
      </c>
      <c r="CJ462" s="306">
        <f ca="1">COUNTIF('Knock Out Stages'!O7:O50,BW462)</f>
        <v>0</v>
      </c>
      <c r="CK462" s="306">
        <f ca="1">COUNTIF('Knock Out Stages'!P7:P50,BW462)</f>
        <v>0</v>
      </c>
      <c r="CL462" s="306">
        <f ca="1">COUNTIF('Knock Out Stages'!Q7:Q50,BW462)</f>
        <v>0</v>
      </c>
      <c r="CM462" s="306">
        <f ca="1">COUNTIF('Knock Out Stages'!R7:R50,BW462)</f>
        <v>0</v>
      </c>
      <c r="CN462" s="306">
        <f ca="1">IF(RIGHT('Group Stages'!$B$105,5)="T.com",SUM(BX462:CM462),0)</f>
        <v>0</v>
      </c>
      <c r="CO462" s="306">
        <f ca="1">RANK(CN462,CN3:CN834)+COUNTIF(CN3:CN462,CN462)-1</f>
        <v>460</v>
      </c>
      <c r="CP462" s="306" t="str">
        <f t="shared" ca="1" si="209"/>
        <v>Shūichi Gonda (Japan)</v>
      </c>
    </row>
    <row r="463" spans="72:94" x14ac:dyDescent="0.3">
      <c r="BT463" s="306" t="str">
        <f t="shared" ca="1" si="205"/>
        <v>Japan</v>
      </c>
      <c r="BU463" s="306">
        <f t="shared" si="206"/>
        <v>18</v>
      </c>
      <c r="BV463" s="306">
        <f t="shared" si="207"/>
        <v>16</v>
      </c>
      <c r="BW463" s="306" t="str">
        <f ca="1">OFFSET(C3,BU463,BV463)</f>
        <v>Shūto Machino</v>
      </c>
      <c r="BX463" s="306">
        <f ca="1">COUNTIF('Group Stages'!J7:J102,BW463)</f>
        <v>0</v>
      </c>
      <c r="BY463" s="306">
        <f ca="1">COUNTIF('Group Stages'!K7:K102,BW463)</f>
        <v>0</v>
      </c>
      <c r="BZ463" s="306">
        <f ca="1">COUNTIF('Group Stages'!L7:L102,BW463)</f>
        <v>0</v>
      </c>
      <c r="CA463" s="306">
        <f ca="1">COUNTIF('Group Stages'!M7:M102,BW463)</f>
        <v>0</v>
      </c>
      <c r="CB463" s="306">
        <f ca="1">COUNTIF('Group Stages'!N7:N102,BW463)</f>
        <v>0</v>
      </c>
      <c r="CC463" s="306">
        <f ca="1">COUNTIF('Group Stages'!O7:O102,BW463)</f>
        <v>0</v>
      </c>
      <c r="CD463" s="306">
        <f ca="1">COUNTIF('Group Stages'!P7:P102,BW463)</f>
        <v>0</v>
      </c>
      <c r="CE463" s="306">
        <f ca="1">COUNTIF('Group Stages'!Q7:Q102,BW463)</f>
        <v>0</v>
      </c>
      <c r="CF463" s="306">
        <f ca="1">COUNTIF('Knock Out Stages'!K7:K50,BW463)</f>
        <v>0</v>
      </c>
      <c r="CG463" s="306">
        <f ca="1">COUNTIF('Knock Out Stages'!L7:L50,BW463)</f>
        <v>0</v>
      </c>
      <c r="CH463" s="306">
        <f ca="1">COUNTIF('Knock Out Stages'!M7:M50,BW463)</f>
        <v>0</v>
      </c>
      <c r="CI463" s="306">
        <f ca="1">COUNTIF('Knock Out Stages'!N7:N50,BW463)</f>
        <v>0</v>
      </c>
      <c r="CJ463" s="306">
        <f ca="1">COUNTIF('Knock Out Stages'!O7:O50,BW463)</f>
        <v>0</v>
      </c>
      <c r="CK463" s="306">
        <f ca="1">COUNTIF('Knock Out Stages'!P7:P50,BW463)</f>
        <v>0</v>
      </c>
      <c r="CL463" s="306">
        <f ca="1">COUNTIF('Knock Out Stages'!Q7:Q50,BW463)</f>
        <v>0</v>
      </c>
      <c r="CM463" s="306">
        <f ca="1">COUNTIF('Knock Out Stages'!R7:R50,BW463)</f>
        <v>0</v>
      </c>
      <c r="CN463" s="306">
        <f ca="1">IF(RIGHT('Group Stages'!$B$105,5)="T.com",SUM(BX463:CM463),0)</f>
        <v>0</v>
      </c>
      <c r="CO463" s="306">
        <f ca="1">RANK(CN463,CN3:CN834)+COUNTIF(CN3:CN463,CN463)-1</f>
        <v>461</v>
      </c>
      <c r="CP463" s="306" t="str">
        <f t="shared" ca="1" si="209"/>
        <v>Shūto Machino (Japan)</v>
      </c>
    </row>
    <row r="464" spans="72:94" x14ac:dyDescent="0.3">
      <c r="BT464" s="306" t="str">
        <f t="shared" ca="1" si="205"/>
        <v>Japan</v>
      </c>
      <c r="BU464" s="306">
        <f t="shared" si="206"/>
        <v>19</v>
      </c>
      <c r="BV464" s="306">
        <f t="shared" si="207"/>
        <v>16</v>
      </c>
      <c r="BW464" s="306" t="str">
        <f ca="1">OFFSET(C3,BU464,BV464)</f>
        <v>Takefusa Kubo</v>
      </c>
      <c r="BX464" s="306">
        <f ca="1">COUNTIF('Group Stages'!J7:J102,BW464)</f>
        <v>0</v>
      </c>
      <c r="BY464" s="306">
        <f ca="1">COUNTIF('Group Stages'!K7:K102,BW464)</f>
        <v>0</v>
      </c>
      <c r="BZ464" s="306">
        <f ca="1">COUNTIF('Group Stages'!L7:L102,BW464)</f>
        <v>0</v>
      </c>
      <c r="CA464" s="306">
        <f ca="1">COUNTIF('Group Stages'!M7:M102,BW464)</f>
        <v>0</v>
      </c>
      <c r="CB464" s="306">
        <f ca="1">COUNTIF('Group Stages'!N7:N102,BW464)</f>
        <v>0</v>
      </c>
      <c r="CC464" s="306">
        <f ca="1">COUNTIF('Group Stages'!O7:O102,BW464)</f>
        <v>0</v>
      </c>
      <c r="CD464" s="306">
        <f ca="1">COUNTIF('Group Stages'!P7:P102,BW464)</f>
        <v>0</v>
      </c>
      <c r="CE464" s="306">
        <f ca="1">COUNTIF('Group Stages'!Q7:Q102,BW464)</f>
        <v>0</v>
      </c>
      <c r="CF464" s="306">
        <f ca="1">COUNTIF('Knock Out Stages'!K7:K50,BW464)</f>
        <v>0</v>
      </c>
      <c r="CG464" s="306">
        <f ca="1">COUNTIF('Knock Out Stages'!L7:L50,BW464)</f>
        <v>0</v>
      </c>
      <c r="CH464" s="306">
        <f ca="1">COUNTIF('Knock Out Stages'!M7:M50,BW464)</f>
        <v>0</v>
      </c>
      <c r="CI464" s="306">
        <f ca="1">COUNTIF('Knock Out Stages'!N7:N50,BW464)</f>
        <v>0</v>
      </c>
      <c r="CJ464" s="306">
        <f ca="1">COUNTIF('Knock Out Stages'!O7:O50,BW464)</f>
        <v>0</v>
      </c>
      <c r="CK464" s="306">
        <f ca="1">COUNTIF('Knock Out Stages'!P7:P50,BW464)</f>
        <v>0</v>
      </c>
      <c r="CL464" s="306">
        <f ca="1">COUNTIF('Knock Out Stages'!Q7:Q50,BW464)</f>
        <v>0</v>
      </c>
      <c r="CM464" s="306">
        <f ca="1">COUNTIF('Knock Out Stages'!R7:R50,BW464)</f>
        <v>0</v>
      </c>
      <c r="CN464" s="306">
        <f ca="1">IF(RIGHT('Group Stages'!$B$105,5)="T.com",SUM(BX464:CM464),0)</f>
        <v>0</v>
      </c>
      <c r="CO464" s="306">
        <f ca="1">RANK(CN464,CN3:CN834)+COUNTIF(CN3:CN464,CN464)-1</f>
        <v>462</v>
      </c>
      <c r="CP464" s="306" t="str">
        <f t="shared" ca="1" si="209"/>
        <v>Takefusa Kubo (Japan)</v>
      </c>
    </row>
    <row r="465" spans="72:94" x14ac:dyDescent="0.3">
      <c r="BT465" s="306" t="str">
        <f t="shared" ca="1" si="205"/>
        <v>Japan</v>
      </c>
      <c r="BU465" s="306">
        <f t="shared" si="206"/>
        <v>20</v>
      </c>
      <c r="BV465" s="306">
        <f t="shared" si="207"/>
        <v>16</v>
      </c>
      <c r="BW465" s="306" t="str">
        <f ca="1">OFFSET(C3,BU465,BV465)</f>
        <v>Takehiro Tomiyasu</v>
      </c>
      <c r="BX465" s="306">
        <f ca="1">COUNTIF('Group Stages'!J7:J102,BW465)</f>
        <v>0</v>
      </c>
      <c r="BY465" s="306">
        <f ca="1">COUNTIF('Group Stages'!K7:K102,BW465)</f>
        <v>0</v>
      </c>
      <c r="BZ465" s="306">
        <f ca="1">COUNTIF('Group Stages'!L7:L102,BW465)</f>
        <v>0</v>
      </c>
      <c r="CA465" s="306">
        <f ca="1">COUNTIF('Group Stages'!M7:M102,BW465)</f>
        <v>0</v>
      </c>
      <c r="CB465" s="306">
        <f ca="1">COUNTIF('Group Stages'!N7:N102,BW465)</f>
        <v>0</v>
      </c>
      <c r="CC465" s="306">
        <f ca="1">COUNTIF('Group Stages'!O7:O102,BW465)</f>
        <v>0</v>
      </c>
      <c r="CD465" s="306">
        <f ca="1">COUNTIF('Group Stages'!P7:P102,BW465)</f>
        <v>0</v>
      </c>
      <c r="CE465" s="306">
        <f ca="1">COUNTIF('Group Stages'!Q7:Q102,BW465)</f>
        <v>0</v>
      </c>
      <c r="CF465" s="306">
        <f ca="1">COUNTIF('Knock Out Stages'!K7:K50,BW465)</f>
        <v>0</v>
      </c>
      <c r="CG465" s="306">
        <f ca="1">COUNTIF('Knock Out Stages'!L7:L50,BW465)</f>
        <v>0</v>
      </c>
      <c r="CH465" s="306">
        <f ca="1">COUNTIF('Knock Out Stages'!M7:M50,BW465)</f>
        <v>0</v>
      </c>
      <c r="CI465" s="306">
        <f ca="1">COUNTIF('Knock Out Stages'!N7:N50,BW465)</f>
        <v>0</v>
      </c>
      <c r="CJ465" s="306">
        <f ca="1">COUNTIF('Knock Out Stages'!O7:O50,BW465)</f>
        <v>0</v>
      </c>
      <c r="CK465" s="306">
        <f ca="1">COUNTIF('Knock Out Stages'!P7:P50,BW465)</f>
        <v>0</v>
      </c>
      <c r="CL465" s="306">
        <f ca="1">COUNTIF('Knock Out Stages'!Q7:Q50,BW465)</f>
        <v>0</v>
      </c>
      <c r="CM465" s="306">
        <f ca="1">COUNTIF('Knock Out Stages'!R7:R50,BW465)</f>
        <v>0</v>
      </c>
      <c r="CN465" s="306">
        <f ca="1">IF(RIGHT('Group Stages'!$B$105,5)="T.com",SUM(BX465:CM465),0)</f>
        <v>0</v>
      </c>
      <c r="CO465" s="306">
        <f ca="1">RANK(CN465,CN3:CN834)+COUNTIF(CN3:CN465,CN465)-1</f>
        <v>463</v>
      </c>
      <c r="CP465" s="306" t="str">
        <f t="shared" ca="1" si="209"/>
        <v>Takehiro Tomiyasu (Japan)</v>
      </c>
    </row>
    <row r="466" spans="72:94" x14ac:dyDescent="0.3">
      <c r="BT466" s="306" t="str">
        <f t="shared" ca="1" si="205"/>
        <v>Japan</v>
      </c>
      <c r="BU466" s="306">
        <f t="shared" si="206"/>
        <v>21</v>
      </c>
      <c r="BV466" s="306">
        <f t="shared" si="207"/>
        <v>16</v>
      </c>
      <c r="BW466" s="306" t="str">
        <f ca="1">OFFSET(C3,BU466,BV466)</f>
        <v>Takuma Asano</v>
      </c>
      <c r="BX466" s="306">
        <f ca="1">COUNTIF('Group Stages'!J7:J102,BW466)</f>
        <v>0</v>
      </c>
      <c r="BY466" s="306">
        <f ca="1">COUNTIF('Group Stages'!K7:K102,BW466)</f>
        <v>0</v>
      </c>
      <c r="BZ466" s="306">
        <f ca="1">COUNTIF('Group Stages'!L7:L102,BW466)</f>
        <v>0</v>
      </c>
      <c r="CA466" s="306">
        <f ca="1">COUNTIF('Group Stages'!M7:M102,BW466)</f>
        <v>0</v>
      </c>
      <c r="CB466" s="306">
        <f ca="1">COUNTIF('Group Stages'!N7:N102,BW466)</f>
        <v>0</v>
      </c>
      <c r="CC466" s="306">
        <f ca="1">COUNTIF('Group Stages'!O7:O102,BW466)</f>
        <v>0</v>
      </c>
      <c r="CD466" s="306">
        <f ca="1">COUNTIF('Group Stages'!P7:P102,BW466)</f>
        <v>0</v>
      </c>
      <c r="CE466" s="306">
        <f ca="1">COUNTIF('Group Stages'!Q7:Q102,BW466)</f>
        <v>0</v>
      </c>
      <c r="CF466" s="306">
        <f ca="1">COUNTIF('Knock Out Stages'!K7:K50,BW466)</f>
        <v>0</v>
      </c>
      <c r="CG466" s="306">
        <f ca="1">COUNTIF('Knock Out Stages'!L7:L50,BW466)</f>
        <v>0</v>
      </c>
      <c r="CH466" s="306">
        <f ca="1">COUNTIF('Knock Out Stages'!M7:M50,BW466)</f>
        <v>0</v>
      </c>
      <c r="CI466" s="306">
        <f ca="1">COUNTIF('Knock Out Stages'!N7:N50,BW466)</f>
        <v>0</v>
      </c>
      <c r="CJ466" s="306">
        <f ca="1">COUNTIF('Knock Out Stages'!O7:O50,BW466)</f>
        <v>0</v>
      </c>
      <c r="CK466" s="306">
        <f ca="1">COUNTIF('Knock Out Stages'!P7:P50,BW466)</f>
        <v>0</v>
      </c>
      <c r="CL466" s="306">
        <f ca="1">COUNTIF('Knock Out Stages'!Q7:Q50,BW466)</f>
        <v>0</v>
      </c>
      <c r="CM466" s="306">
        <f ca="1">COUNTIF('Knock Out Stages'!R7:R50,BW466)</f>
        <v>0</v>
      </c>
      <c r="CN466" s="306">
        <f ca="1">IF(RIGHT('Group Stages'!$B$105,5)="T.com",SUM(BX466:CM466),0)</f>
        <v>0</v>
      </c>
      <c r="CO466" s="306">
        <f ca="1">RANK(CN466,CN3:CN834)+COUNTIF(CN3:CN466,CN466)-1</f>
        <v>464</v>
      </c>
      <c r="CP466" s="306" t="str">
        <f t="shared" ca="1" si="209"/>
        <v>Takuma Asano (Japan)</v>
      </c>
    </row>
    <row r="467" spans="72:94" x14ac:dyDescent="0.3">
      <c r="BT467" s="306" t="str">
        <f t="shared" ca="1" si="205"/>
        <v>Japan</v>
      </c>
      <c r="BU467" s="306">
        <f t="shared" si="206"/>
        <v>22</v>
      </c>
      <c r="BV467" s="306">
        <f t="shared" si="207"/>
        <v>16</v>
      </c>
      <c r="BW467" s="306" t="str">
        <f ca="1">OFFSET(C3,BU467,BV467)</f>
        <v>Takumi Minamino</v>
      </c>
      <c r="BX467" s="306">
        <f ca="1">COUNTIF('Group Stages'!J7:J102,BW467)</f>
        <v>0</v>
      </c>
      <c r="BY467" s="306">
        <f ca="1">COUNTIF('Group Stages'!K7:K102,BW467)</f>
        <v>0</v>
      </c>
      <c r="BZ467" s="306">
        <f ca="1">COUNTIF('Group Stages'!L7:L102,BW467)</f>
        <v>0</v>
      </c>
      <c r="CA467" s="306">
        <f ca="1">COUNTIF('Group Stages'!M7:M102,BW467)</f>
        <v>0</v>
      </c>
      <c r="CB467" s="306">
        <f ca="1">COUNTIF('Group Stages'!N7:N102,BW467)</f>
        <v>0</v>
      </c>
      <c r="CC467" s="306">
        <f ca="1">COUNTIF('Group Stages'!O7:O102,BW467)</f>
        <v>0</v>
      </c>
      <c r="CD467" s="306">
        <f ca="1">COUNTIF('Group Stages'!P7:P102,BW467)</f>
        <v>0</v>
      </c>
      <c r="CE467" s="306">
        <f ca="1">COUNTIF('Group Stages'!Q7:Q102,BW467)</f>
        <v>0</v>
      </c>
      <c r="CF467" s="306">
        <f ca="1">COUNTIF('Knock Out Stages'!K7:K50,BW467)</f>
        <v>0</v>
      </c>
      <c r="CG467" s="306">
        <f ca="1">COUNTIF('Knock Out Stages'!L7:L50,BW467)</f>
        <v>0</v>
      </c>
      <c r="CH467" s="306">
        <f ca="1">COUNTIF('Knock Out Stages'!M7:M50,BW467)</f>
        <v>0</v>
      </c>
      <c r="CI467" s="306">
        <f ca="1">COUNTIF('Knock Out Stages'!N7:N50,BW467)</f>
        <v>0</v>
      </c>
      <c r="CJ467" s="306">
        <f ca="1">COUNTIF('Knock Out Stages'!O7:O50,BW467)</f>
        <v>0</v>
      </c>
      <c r="CK467" s="306">
        <f ca="1">COUNTIF('Knock Out Stages'!P7:P50,BW467)</f>
        <v>0</v>
      </c>
      <c r="CL467" s="306">
        <f ca="1">COUNTIF('Knock Out Stages'!Q7:Q50,BW467)</f>
        <v>0</v>
      </c>
      <c r="CM467" s="306">
        <f ca="1">COUNTIF('Knock Out Stages'!R7:R50,BW467)</f>
        <v>0</v>
      </c>
      <c r="CN467" s="306">
        <f ca="1">IF(RIGHT('Group Stages'!$B$105,5)="T.com",SUM(BX467:CM467),0)</f>
        <v>0</v>
      </c>
      <c r="CO467" s="306">
        <f ca="1">RANK(CN467,CN3:CN834)+COUNTIF(CN3:CN467,CN467)-1</f>
        <v>465</v>
      </c>
      <c r="CP467" s="306" t="str">
        <f t="shared" ca="1" si="209"/>
        <v>Takumi Minamino (Japan)</v>
      </c>
    </row>
    <row r="468" spans="72:94" x14ac:dyDescent="0.3">
      <c r="BT468" s="306" t="str">
        <f t="shared" ca="1" si="205"/>
        <v>Japan</v>
      </c>
      <c r="BU468" s="306">
        <f t="shared" si="206"/>
        <v>23</v>
      </c>
      <c r="BV468" s="306">
        <f t="shared" si="207"/>
        <v>16</v>
      </c>
      <c r="BW468" s="306" t="str">
        <f ca="1">OFFSET(C3,BU468,BV468)</f>
        <v>Wataru Endo</v>
      </c>
      <c r="BX468" s="306">
        <f ca="1">COUNTIF('Group Stages'!J7:J102,BW468)</f>
        <v>0</v>
      </c>
      <c r="BY468" s="306">
        <f ca="1">COUNTIF('Group Stages'!K7:K102,BW468)</f>
        <v>0</v>
      </c>
      <c r="BZ468" s="306">
        <f ca="1">COUNTIF('Group Stages'!L7:L102,BW468)</f>
        <v>0</v>
      </c>
      <c r="CA468" s="306">
        <f ca="1">COUNTIF('Group Stages'!M7:M102,BW468)</f>
        <v>0</v>
      </c>
      <c r="CB468" s="306">
        <f ca="1">COUNTIF('Group Stages'!N7:N102,BW468)</f>
        <v>0</v>
      </c>
      <c r="CC468" s="306">
        <f ca="1">COUNTIF('Group Stages'!O7:O102,BW468)</f>
        <v>0</v>
      </c>
      <c r="CD468" s="306">
        <f ca="1">COUNTIF('Group Stages'!P7:P102,BW468)</f>
        <v>0</v>
      </c>
      <c r="CE468" s="306">
        <f ca="1">COUNTIF('Group Stages'!Q7:Q102,BW468)</f>
        <v>0</v>
      </c>
      <c r="CF468" s="306">
        <f ca="1">COUNTIF('Knock Out Stages'!K7:K50,BW468)</f>
        <v>0</v>
      </c>
      <c r="CG468" s="306">
        <f ca="1">COUNTIF('Knock Out Stages'!L7:L50,BW468)</f>
        <v>0</v>
      </c>
      <c r="CH468" s="306">
        <f ca="1">COUNTIF('Knock Out Stages'!M7:M50,BW468)</f>
        <v>0</v>
      </c>
      <c r="CI468" s="306">
        <f ca="1">COUNTIF('Knock Out Stages'!N7:N50,BW468)</f>
        <v>0</v>
      </c>
      <c r="CJ468" s="306">
        <f ca="1">COUNTIF('Knock Out Stages'!O7:O50,BW468)</f>
        <v>0</v>
      </c>
      <c r="CK468" s="306">
        <f ca="1">COUNTIF('Knock Out Stages'!P7:P50,BW468)</f>
        <v>0</v>
      </c>
      <c r="CL468" s="306">
        <f ca="1">COUNTIF('Knock Out Stages'!Q7:Q50,BW468)</f>
        <v>0</v>
      </c>
      <c r="CM468" s="306">
        <f ca="1">COUNTIF('Knock Out Stages'!R7:R50,BW468)</f>
        <v>0</v>
      </c>
      <c r="CN468" s="306">
        <f ca="1">IF(RIGHT('Group Stages'!$B$105,5)="T.com",SUM(BX468:CM468),0)</f>
        <v>0</v>
      </c>
      <c r="CO468" s="306">
        <f ca="1">RANK(CN468,CN3:CN834)+COUNTIF(CN3:CN468,CN468)-1</f>
        <v>466</v>
      </c>
      <c r="CP468" s="306" t="str">
        <f t="shared" ca="1" si="209"/>
        <v>Wataru Endo (Japan)</v>
      </c>
    </row>
    <row r="469" spans="72:94" x14ac:dyDescent="0.3">
      <c r="BT469" s="306" t="str">
        <f t="shared" ca="1" si="205"/>
        <v>Japan</v>
      </c>
      <c r="BU469" s="306">
        <f t="shared" si="206"/>
        <v>24</v>
      </c>
      <c r="BV469" s="306">
        <f t="shared" si="207"/>
        <v>16</v>
      </c>
      <c r="BW469" s="306" t="str">
        <f ca="1">OFFSET(C3,BU469,BV469)</f>
        <v>Yūki Sōma</v>
      </c>
      <c r="BX469" s="306">
        <f ca="1">COUNTIF('Group Stages'!J7:J102,BW469)</f>
        <v>0</v>
      </c>
      <c r="BY469" s="306">
        <f ca="1">COUNTIF('Group Stages'!K7:K102,BW469)</f>
        <v>0</v>
      </c>
      <c r="BZ469" s="306">
        <f ca="1">COUNTIF('Group Stages'!L7:L102,BW469)</f>
        <v>0</v>
      </c>
      <c r="CA469" s="306">
        <f ca="1">COUNTIF('Group Stages'!M7:M102,BW469)</f>
        <v>0</v>
      </c>
      <c r="CB469" s="306">
        <f ca="1">COUNTIF('Group Stages'!N7:N102,BW469)</f>
        <v>0</v>
      </c>
      <c r="CC469" s="306">
        <f ca="1">COUNTIF('Group Stages'!O7:O102,BW469)</f>
        <v>0</v>
      </c>
      <c r="CD469" s="306">
        <f ca="1">COUNTIF('Group Stages'!P7:P102,BW469)</f>
        <v>0</v>
      </c>
      <c r="CE469" s="306">
        <f ca="1">COUNTIF('Group Stages'!Q7:Q102,BW469)</f>
        <v>0</v>
      </c>
      <c r="CF469" s="306">
        <f ca="1">COUNTIF('Knock Out Stages'!K7:K50,BW469)</f>
        <v>0</v>
      </c>
      <c r="CG469" s="306">
        <f ca="1">COUNTIF('Knock Out Stages'!L7:L50,BW469)</f>
        <v>0</v>
      </c>
      <c r="CH469" s="306">
        <f ca="1">COUNTIF('Knock Out Stages'!M7:M50,BW469)</f>
        <v>0</v>
      </c>
      <c r="CI469" s="306">
        <f ca="1">COUNTIF('Knock Out Stages'!N7:N50,BW469)</f>
        <v>0</v>
      </c>
      <c r="CJ469" s="306">
        <f ca="1">COUNTIF('Knock Out Stages'!O7:O50,BW469)</f>
        <v>0</v>
      </c>
      <c r="CK469" s="306">
        <f ca="1">COUNTIF('Knock Out Stages'!P7:P50,BW469)</f>
        <v>0</v>
      </c>
      <c r="CL469" s="306">
        <f ca="1">COUNTIF('Knock Out Stages'!Q7:Q50,BW469)</f>
        <v>0</v>
      </c>
      <c r="CM469" s="306">
        <f ca="1">COUNTIF('Knock Out Stages'!R7:R50,BW469)</f>
        <v>0</v>
      </c>
      <c r="CN469" s="306">
        <f ca="1">IF(RIGHT('Group Stages'!$B$105,5)="T.com",SUM(BX469:CM469),0)</f>
        <v>0</v>
      </c>
      <c r="CO469" s="306">
        <f ca="1">RANK(CN469,CN3:CN834)+COUNTIF(CN3:CN469,CN469)-1</f>
        <v>467</v>
      </c>
      <c r="CP469" s="306" t="str">
        <f t="shared" ca="1" si="209"/>
        <v>Yūki Sōma (Japan)</v>
      </c>
    </row>
    <row r="470" spans="72:94" x14ac:dyDescent="0.3">
      <c r="BT470" s="306" t="str">
        <f t="shared" ca="1" si="205"/>
        <v>Japan</v>
      </c>
      <c r="BU470" s="306">
        <f t="shared" si="206"/>
        <v>25</v>
      </c>
      <c r="BV470" s="306">
        <f t="shared" si="207"/>
        <v>16</v>
      </c>
      <c r="BW470" s="306" t="str">
        <f ca="1">OFFSET(C3,BU470,BV470)</f>
        <v>Yūto Nagatomo</v>
      </c>
      <c r="BX470" s="306">
        <f ca="1">COUNTIF('Group Stages'!J7:J102,BW470)</f>
        <v>0</v>
      </c>
      <c r="BY470" s="306">
        <f ca="1">COUNTIF('Group Stages'!K7:K102,BW470)</f>
        <v>0</v>
      </c>
      <c r="BZ470" s="306">
        <f ca="1">COUNTIF('Group Stages'!L7:L102,BW470)</f>
        <v>0</v>
      </c>
      <c r="CA470" s="306">
        <f ca="1">COUNTIF('Group Stages'!M7:M102,BW470)</f>
        <v>0</v>
      </c>
      <c r="CB470" s="306">
        <f ca="1">COUNTIF('Group Stages'!N7:N102,BW470)</f>
        <v>0</v>
      </c>
      <c r="CC470" s="306">
        <f ca="1">COUNTIF('Group Stages'!O7:O102,BW470)</f>
        <v>0</v>
      </c>
      <c r="CD470" s="306">
        <f ca="1">COUNTIF('Group Stages'!P7:P102,BW470)</f>
        <v>0</v>
      </c>
      <c r="CE470" s="306">
        <f ca="1">COUNTIF('Group Stages'!Q7:Q102,BW470)</f>
        <v>0</v>
      </c>
      <c r="CF470" s="306">
        <f ca="1">COUNTIF('Knock Out Stages'!K7:K50,BW470)</f>
        <v>0</v>
      </c>
      <c r="CG470" s="306">
        <f ca="1">COUNTIF('Knock Out Stages'!L7:L50,BW470)</f>
        <v>0</v>
      </c>
      <c r="CH470" s="306">
        <f ca="1">COUNTIF('Knock Out Stages'!M7:M50,BW470)</f>
        <v>0</v>
      </c>
      <c r="CI470" s="306">
        <f ca="1">COUNTIF('Knock Out Stages'!N7:N50,BW470)</f>
        <v>0</v>
      </c>
      <c r="CJ470" s="306">
        <f ca="1">COUNTIF('Knock Out Stages'!O7:O50,BW470)</f>
        <v>0</v>
      </c>
      <c r="CK470" s="306">
        <f ca="1">COUNTIF('Knock Out Stages'!P7:P50,BW470)</f>
        <v>0</v>
      </c>
      <c r="CL470" s="306">
        <f ca="1">COUNTIF('Knock Out Stages'!Q7:Q50,BW470)</f>
        <v>0</v>
      </c>
      <c r="CM470" s="306">
        <f ca="1">COUNTIF('Knock Out Stages'!R7:R50,BW470)</f>
        <v>0</v>
      </c>
      <c r="CN470" s="306">
        <f ca="1">IF(RIGHT('Group Stages'!$B$105,5)="T.com",SUM(BX470:CM470),0)</f>
        <v>0</v>
      </c>
      <c r="CO470" s="306">
        <f ca="1">RANK(CN470,CN3:CN834)+COUNTIF(CN3:CN470,CN470)-1</f>
        <v>468</v>
      </c>
      <c r="CP470" s="306" t="str">
        <f t="shared" ca="1" si="209"/>
        <v>Yūto Nagatomo (Japan)</v>
      </c>
    </row>
    <row r="471" spans="72:94" x14ac:dyDescent="0.3">
      <c r="BT471" s="306" t="str">
        <f ca="1">OFFSET(C2,BU471,BV471)</f>
        <v>Spain</v>
      </c>
      <c r="BU471" s="306">
        <f t="shared" si="206"/>
        <v>0</v>
      </c>
      <c r="BV471" s="306">
        <f t="shared" si="207"/>
        <v>17</v>
      </c>
      <c r="BW471" s="306" t="str">
        <f ca="1">OFFSET(C3,BU471,BV471)</f>
        <v>Álvaro Morata</v>
      </c>
      <c r="BX471" s="306">
        <f ca="1">COUNTIF('Group Stages'!J7:J102,BW471)</f>
        <v>0</v>
      </c>
      <c r="BY471" s="306">
        <f ca="1">COUNTIF('Group Stages'!K7:K102,BW471)</f>
        <v>0</v>
      </c>
      <c r="BZ471" s="306">
        <f ca="1">COUNTIF('Group Stages'!L7:L102,BW471)</f>
        <v>0</v>
      </c>
      <c r="CA471" s="306">
        <f ca="1">COUNTIF('Group Stages'!M7:M102,BW471)</f>
        <v>0</v>
      </c>
      <c r="CB471" s="306">
        <f ca="1">COUNTIF('Group Stages'!N7:N102,BW471)</f>
        <v>0</v>
      </c>
      <c r="CC471" s="306">
        <f ca="1">COUNTIF('Group Stages'!O7:O102,BW471)</f>
        <v>0</v>
      </c>
      <c r="CD471" s="306">
        <f ca="1">COUNTIF('Group Stages'!P7:P102,BW471)</f>
        <v>0</v>
      </c>
      <c r="CE471" s="306">
        <f ca="1">COUNTIF('Group Stages'!Q7:Q102,BW471)</f>
        <v>0</v>
      </c>
      <c r="CF471" s="306">
        <f ca="1">COUNTIF('Knock Out Stages'!K7:K50,BW471)</f>
        <v>0</v>
      </c>
      <c r="CG471" s="306">
        <f ca="1">COUNTIF('Knock Out Stages'!L7:L50,BW471)</f>
        <v>0</v>
      </c>
      <c r="CH471" s="306">
        <f ca="1">COUNTIF('Knock Out Stages'!M7:M50,BW471)</f>
        <v>0</v>
      </c>
      <c r="CI471" s="306">
        <f ca="1">COUNTIF('Knock Out Stages'!N7:N50,BW471)</f>
        <v>0</v>
      </c>
      <c r="CJ471" s="306">
        <f ca="1">COUNTIF('Knock Out Stages'!O7:O50,BW471)</f>
        <v>0</v>
      </c>
      <c r="CK471" s="306">
        <f ca="1">COUNTIF('Knock Out Stages'!P7:P50,BW471)</f>
        <v>0</v>
      </c>
      <c r="CL471" s="306">
        <f ca="1">COUNTIF('Knock Out Stages'!Q7:Q50,BW471)</f>
        <v>0</v>
      </c>
      <c r="CM471" s="306">
        <f ca="1">COUNTIF('Knock Out Stages'!R7:R50,BW471)</f>
        <v>0</v>
      </c>
      <c r="CN471" s="306">
        <f ca="1">IF(RIGHT('Group Stages'!$B$105,5)="T.com",SUM(BX471:CM471),0)</f>
        <v>0</v>
      </c>
      <c r="CO471" s="306">
        <f ca="1">RANK(CN471,CN3:CN834)+COUNTIF(CN3:CN471,CN471)-1</f>
        <v>469</v>
      </c>
      <c r="CP471" s="306" t="str">
        <f t="shared" ca="1" si="209"/>
        <v>Álvaro Morata (Spain)</v>
      </c>
    </row>
    <row r="472" spans="72:94" x14ac:dyDescent="0.3">
      <c r="BT472" s="306" t="str">
        <f t="shared" ref="BT472" ca="1" si="210">BT471</f>
        <v>Spain</v>
      </c>
      <c r="BU472" s="306">
        <f t="shared" si="206"/>
        <v>1</v>
      </c>
      <c r="BV472" s="306">
        <f t="shared" si="207"/>
        <v>17</v>
      </c>
      <c r="BW472" s="306" t="str">
        <f ca="1">OFFSET(C3,BU472,BV472)</f>
        <v>Ansu Fati</v>
      </c>
      <c r="BX472" s="306">
        <f ca="1">COUNTIF('Group Stages'!J7:J102,BW472)</f>
        <v>0</v>
      </c>
      <c r="BY472" s="306">
        <f ca="1">COUNTIF('Group Stages'!K7:K102,BW472)</f>
        <v>0</v>
      </c>
      <c r="BZ472" s="306">
        <f ca="1">COUNTIF('Group Stages'!L7:L102,BW472)</f>
        <v>0</v>
      </c>
      <c r="CA472" s="306">
        <f ca="1">COUNTIF('Group Stages'!M7:M102,BW472)</f>
        <v>0</v>
      </c>
      <c r="CB472" s="306">
        <f ca="1">COUNTIF('Group Stages'!N7:N102,BW472)</f>
        <v>0</v>
      </c>
      <c r="CC472" s="306">
        <f ca="1">COUNTIF('Group Stages'!O7:O102,BW472)</f>
        <v>0</v>
      </c>
      <c r="CD472" s="306">
        <f ca="1">COUNTIF('Group Stages'!P7:P102,BW472)</f>
        <v>0</v>
      </c>
      <c r="CE472" s="306">
        <f ca="1">COUNTIF('Group Stages'!Q7:Q102,BW472)</f>
        <v>0</v>
      </c>
      <c r="CF472" s="306">
        <f ca="1">COUNTIF('Knock Out Stages'!K7:K50,BW472)</f>
        <v>0</v>
      </c>
      <c r="CG472" s="306">
        <f ca="1">COUNTIF('Knock Out Stages'!L7:L50,BW472)</f>
        <v>0</v>
      </c>
      <c r="CH472" s="306">
        <f ca="1">COUNTIF('Knock Out Stages'!M7:M50,BW472)</f>
        <v>0</v>
      </c>
      <c r="CI472" s="306">
        <f ca="1">COUNTIF('Knock Out Stages'!N7:N50,BW472)</f>
        <v>0</v>
      </c>
      <c r="CJ472" s="306">
        <f ca="1">COUNTIF('Knock Out Stages'!O7:O50,BW472)</f>
        <v>0</v>
      </c>
      <c r="CK472" s="306">
        <f ca="1">COUNTIF('Knock Out Stages'!P7:P50,BW472)</f>
        <v>0</v>
      </c>
      <c r="CL472" s="306">
        <f ca="1">COUNTIF('Knock Out Stages'!Q7:Q50,BW472)</f>
        <v>0</v>
      </c>
      <c r="CM472" s="306">
        <f ca="1">COUNTIF('Knock Out Stages'!R7:R50,BW472)</f>
        <v>0</v>
      </c>
      <c r="CN472" s="306">
        <f ca="1">IF(RIGHT('Group Stages'!$B$105,5)="T.com",SUM(BX472:CM472),0)</f>
        <v>0</v>
      </c>
      <c r="CO472" s="306">
        <f ca="1">RANK(CN472,CN3:CN834)+COUNTIF(CN3:CN472,CN472)-1</f>
        <v>470</v>
      </c>
      <c r="CP472" s="306" t="str">
        <f t="shared" ca="1" si="209"/>
        <v>Ansu Fati (Spain)</v>
      </c>
    </row>
    <row r="473" spans="72:94" x14ac:dyDescent="0.3">
      <c r="BT473" s="306" t="str">
        <f t="shared" ca="1" si="205"/>
        <v>Spain</v>
      </c>
      <c r="BU473" s="306">
        <f t="shared" si="206"/>
        <v>2</v>
      </c>
      <c r="BV473" s="306">
        <f t="shared" si="207"/>
        <v>17</v>
      </c>
      <c r="BW473" s="306" t="str">
        <f ca="1">OFFSET(C3,BU473,BV473)</f>
        <v>Aymeric Laporte</v>
      </c>
      <c r="BX473" s="306">
        <f ca="1">COUNTIF('Group Stages'!J7:J102,BW473)</f>
        <v>0</v>
      </c>
      <c r="BY473" s="306">
        <f ca="1">COUNTIF('Group Stages'!K7:K102,BW473)</f>
        <v>0</v>
      </c>
      <c r="BZ473" s="306">
        <f ca="1">COUNTIF('Group Stages'!L7:L102,BW473)</f>
        <v>0</v>
      </c>
      <c r="CA473" s="306">
        <f ca="1">COUNTIF('Group Stages'!M7:M102,BW473)</f>
        <v>0</v>
      </c>
      <c r="CB473" s="306">
        <f ca="1">COUNTIF('Group Stages'!N7:N102,BW473)</f>
        <v>0</v>
      </c>
      <c r="CC473" s="306">
        <f ca="1">COUNTIF('Group Stages'!O7:O102,BW473)</f>
        <v>0</v>
      </c>
      <c r="CD473" s="306">
        <f ca="1">COUNTIF('Group Stages'!P7:P102,BW473)</f>
        <v>0</v>
      </c>
      <c r="CE473" s="306">
        <f ca="1">COUNTIF('Group Stages'!Q7:Q102,BW473)</f>
        <v>0</v>
      </c>
      <c r="CF473" s="306">
        <f ca="1">COUNTIF('Knock Out Stages'!K7:K50,BW473)</f>
        <v>0</v>
      </c>
      <c r="CG473" s="306">
        <f ca="1">COUNTIF('Knock Out Stages'!L7:L50,BW473)</f>
        <v>0</v>
      </c>
      <c r="CH473" s="306">
        <f ca="1">COUNTIF('Knock Out Stages'!M7:M50,BW473)</f>
        <v>0</v>
      </c>
      <c r="CI473" s="306">
        <f ca="1">COUNTIF('Knock Out Stages'!N7:N50,BW473)</f>
        <v>0</v>
      </c>
      <c r="CJ473" s="306">
        <f ca="1">COUNTIF('Knock Out Stages'!O7:O50,BW473)</f>
        <v>0</v>
      </c>
      <c r="CK473" s="306">
        <f ca="1">COUNTIF('Knock Out Stages'!P7:P50,BW473)</f>
        <v>0</v>
      </c>
      <c r="CL473" s="306">
        <f ca="1">COUNTIF('Knock Out Stages'!Q7:Q50,BW473)</f>
        <v>0</v>
      </c>
      <c r="CM473" s="306">
        <f ca="1">COUNTIF('Knock Out Stages'!R7:R50,BW473)</f>
        <v>0</v>
      </c>
      <c r="CN473" s="306">
        <f ca="1">IF(RIGHT('Group Stages'!$B$105,5)="T.com",SUM(BX473:CM473),0)</f>
        <v>0</v>
      </c>
      <c r="CO473" s="306">
        <f ca="1">RANK(CN473,CN3:CN834)+COUNTIF(CN3:CN473,CN473)-1</f>
        <v>471</v>
      </c>
      <c r="CP473" s="306" t="str">
        <f t="shared" ca="1" si="209"/>
        <v>Aymeric Laporte (Spain)</v>
      </c>
    </row>
    <row r="474" spans="72:94" x14ac:dyDescent="0.3">
      <c r="BT474" s="306" t="str">
        <f t="shared" ca="1" si="205"/>
        <v>Spain</v>
      </c>
      <c r="BU474" s="306">
        <f t="shared" si="206"/>
        <v>3</v>
      </c>
      <c r="BV474" s="306">
        <f t="shared" si="207"/>
        <v>17</v>
      </c>
      <c r="BW474" s="306" t="str">
        <f ca="1">OFFSET(C3,BU474,BV474)</f>
        <v>Carlos Soler</v>
      </c>
      <c r="BX474" s="306">
        <f ca="1">COUNTIF('Group Stages'!J7:J102,BW474)</f>
        <v>0</v>
      </c>
      <c r="BY474" s="306">
        <f ca="1">COUNTIF('Group Stages'!K7:K102,BW474)</f>
        <v>0</v>
      </c>
      <c r="BZ474" s="306">
        <f ca="1">COUNTIF('Group Stages'!L7:L102,BW474)</f>
        <v>0</v>
      </c>
      <c r="CA474" s="306">
        <f ca="1">COUNTIF('Group Stages'!M7:M102,BW474)</f>
        <v>0</v>
      </c>
      <c r="CB474" s="306">
        <f ca="1">COUNTIF('Group Stages'!N7:N102,BW474)</f>
        <v>0</v>
      </c>
      <c r="CC474" s="306">
        <f ca="1">COUNTIF('Group Stages'!O7:O102,BW474)</f>
        <v>0</v>
      </c>
      <c r="CD474" s="306">
        <f ca="1">COUNTIF('Group Stages'!P7:P102,BW474)</f>
        <v>0</v>
      </c>
      <c r="CE474" s="306">
        <f ca="1">COUNTIF('Group Stages'!Q7:Q102,BW474)</f>
        <v>0</v>
      </c>
      <c r="CF474" s="306">
        <f ca="1">COUNTIF('Knock Out Stages'!K7:K50,BW474)</f>
        <v>0</v>
      </c>
      <c r="CG474" s="306">
        <f ca="1">COUNTIF('Knock Out Stages'!L7:L50,BW474)</f>
        <v>0</v>
      </c>
      <c r="CH474" s="306">
        <f ca="1">COUNTIF('Knock Out Stages'!M7:M50,BW474)</f>
        <v>0</v>
      </c>
      <c r="CI474" s="306">
        <f ca="1">COUNTIF('Knock Out Stages'!N7:N50,BW474)</f>
        <v>0</v>
      </c>
      <c r="CJ474" s="306">
        <f ca="1">COUNTIF('Knock Out Stages'!O7:O50,BW474)</f>
        <v>0</v>
      </c>
      <c r="CK474" s="306">
        <f ca="1">COUNTIF('Knock Out Stages'!P7:P50,BW474)</f>
        <v>0</v>
      </c>
      <c r="CL474" s="306">
        <f ca="1">COUNTIF('Knock Out Stages'!Q7:Q50,BW474)</f>
        <v>0</v>
      </c>
      <c r="CM474" s="306">
        <f ca="1">COUNTIF('Knock Out Stages'!R7:R50,BW474)</f>
        <v>0</v>
      </c>
      <c r="CN474" s="306">
        <f ca="1">IF(RIGHT('Group Stages'!$B$105,5)="T.com",SUM(BX474:CM474),0)</f>
        <v>0</v>
      </c>
      <c r="CO474" s="306">
        <f ca="1">RANK(CN474,CN3:CN834)+COUNTIF(CN3:CN474,CN474)-1</f>
        <v>472</v>
      </c>
      <c r="CP474" s="306" t="str">
        <f t="shared" ca="1" si="209"/>
        <v>Carlos Soler (Spain)</v>
      </c>
    </row>
    <row r="475" spans="72:94" x14ac:dyDescent="0.3">
      <c r="BT475" s="306" t="str">
        <f t="shared" ca="1" si="205"/>
        <v>Spain</v>
      </c>
      <c r="BU475" s="306">
        <f t="shared" si="206"/>
        <v>4</v>
      </c>
      <c r="BV475" s="306">
        <f t="shared" si="207"/>
        <v>17</v>
      </c>
      <c r="BW475" s="306" t="str">
        <f ca="1">OFFSET(C3,BU475,BV475)</f>
        <v>César Azpilicueta</v>
      </c>
      <c r="BX475" s="306">
        <f ca="1">COUNTIF('Group Stages'!J7:J102,BW475)</f>
        <v>0</v>
      </c>
      <c r="BY475" s="306">
        <f ca="1">COUNTIF('Group Stages'!K7:K102,BW475)</f>
        <v>0</v>
      </c>
      <c r="BZ475" s="306">
        <f ca="1">COUNTIF('Group Stages'!L7:L102,BW475)</f>
        <v>0</v>
      </c>
      <c r="CA475" s="306">
        <f ca="1">COUNTIF('Group Stages'!M7:M102,BW475)</f>
        <v>0</v>
      </c>
      <c r="CB475" s="306">
        <f ca="1">COUNTIF('Group Stages'!N7:N102,BW475)</f>
        <v>0</v>
      </c>
      <c r="CC475" s="306">
        <f ca="1">COUNTIF('Group Stages'!O7:O102,BW475)</f>
        <v>0</v>
      </c>
      <c r="CD475" s="306">
        <f ca="1">COUNTIF('Group Stages'!P7:P102,BW475)</f>
        <v>0</v>
      </c>
      <c r="CE475" s="306">
        <f ca="1">COUNTIF('Group Stages'!Q7:Q102,BW475)</f>
        <v>0</v>
      </c>
      <c r="CF475" s="306">
        <f ca="1">COUNTIF('Knock Out Stages'!K7:K50,BW475)</f>
        <v>0</v>
      </c>
      <c r="CG475" s="306">
        <f ca="1">COUNTIF('Knock Out Stages'!L7:L50,BW475)</f>
        <v>0</v>
      </c>
      <c r="CH475" s="306">
        <f ca="1">COUNTIF('Knock Out Stages'!M7:M50,BW475)</f>
        <v>0</v>
      </c>
      <c r="CI475" s="306">
        <f ca="1">COUNTIF('Knock Out Stages'!N7:N50,BW475)</f>
        <v>0</v>
      </c>
      <c r="CJ475" s="306">
        <f ca="1">COUNTIF('Knock Out Stages'!O7:O50,BW475)</f>
        <v>0</v>
      </c>
      <c r="CK475" s="306">
        <f ca="1">COUNTIF('Knock Out Stages'!P7:P50,BW475)</f>
        <v>0</v>
      </c>
      <c r="CL475" s="306">
        <f ca="1">COUNTIF('Knock Out Stages'!Q7:Q50,BW475)</f>
        <v>0</v>
      </c>
      <c r="CM475" s="306">
        <f ca="1">COUNTIF('Knock Out Stages'!R7:R50,BW475)</f>
        <v>0</v>
      </c>
      <c r="CN475" s="306">
        <f ca="1">IF(RIGHT('Group Stages'!$B$105,5)="T.com",SUM(BX475:CM475),0)</f>
        <v>0</v>
      </c>
      <c r="CO475" s="306">
        <f ca="1">RANK(CN475,CN3:CN834)+COUNTIF(CN3:CN475,CN475)-1</f>
        <v>473</v>
      </c>
      <c r="CP475" s="306" t="str">
        <f t="shared" ca="1" si="209"/>
        <v>César Azpilicueta (Spain)</v>
      </c>
    </row>
    <row r="476" spans="72:94" x14ac:dyDescent="0.3">
      <c r="BT476" s="306" t="str">
        <f t="shared" ca="1" si="205"/>
        <v>Spain</v>
      </c>
      <c r="BU476" s="306">
        <f t="shared" si="206"/>
        <v>5</v>
      </c>
      <c r="BV476" s="306">
        <f t="shared" si="207"/>
        <v>17</v>
      </c>
      <c r="BW476" s="306" t="str">
        <f ca="1">OFFSET(C3,BU476,BV476)</f>
        <v>Dani Carvajal</v>
      </c>
      <c r="BX476" s="306">
        <f ca="1">COUNTIF('Group Stages'!J7:J102,BW476)</f>
        <v>0</v>
      </c>
      <c r="BY476" s="306">
        <f ca="1">COUNTIF('Group Stages'!K7:K102,BW476)</f>
        <v>0</v>
      </c>
      <c r="BZ476" s="306">
        <f ca="1">COUNTIF('Group Stages'!L7:L102,BW476)</f>
        <v>0</v>
      </c>
      <c r="CA476" s="306">
        <f ca="1">COUNTIF('Group Stages'!M7:M102,BW476)</f>
        <v>0</v>
      </c>
      <c r="CB476" s="306">
        <f ca="1">COUNTIF('Group Stages'!N7:N102,BW476)</f>
        <v>0</v>
      </c>
      <c r="CC476" s="306">
        <f ca="1">COUNTIF('Group Stages'!O7:O102,BW476)</f>
        <v>0</v>
      </c>
      <c r="CD476" s="306">
        <f ca="1">COUNTIF('Group Stages'!P7:P102,BW476)</f>
        <v>0</v>
      </c>
      <c r="CE476" s="306">
        <f ca="1">COUNTIF('Group Stages'!Q7:Q102,BW476)</f>
        <v>0</v>
      </c>
      <c r="CF476" s="306">
        <f ca="1">COUNTIF('Knock Out Stages'!K7:K50,BW476)</f>
        <v>0</v>
      </c>
      <c r="CG476" s="306">
        <f ca="1">COUNTIF('Knock Out Stages'!L7:L50,BW476)</f>
        <v>0</v>
      </c>
      <c r="CH476" s="306">
        <f ca="1">COUNTIF('Knock Out Stages'!M7:M50,BW476)</f>
        <v>0</v>
      </c>
      <c r="CI476" s="306">
        <f ca="1">COUNTIF('Knock Out Stages'!N7:N50,BW476)</f>
        <v>0</v>
      </c>
      <c r="CJ476" s="306">
        <f ca="1">COUNTIF('Knock Out Stages'!O7:O50,BW476)</f>
        <v>0</v>
      </c>
      <c r="CK476" s="306">
        <f ca="1">COUNTIF('Knock Out Stages'!P7:P50,BW476)</f>
        <v>0</v>
      </c>
      <c r="CL476" s="306">
        <f ca="1">COUNTIF('Knock Out Stages'!Q7:Q50,BW476)</f>
        <v>0</v>
      </c>
      <c r="CM476" s="306">
        <f ca="1">COUNTIF('Knock Out Stages'!R7:R50,BW476)</f>
        <v>0</v>
      </c>
      <c r="CN476" s="306">
        <f ca="1">IF(RIGHT('Group Stages'!$B$105,5)="T.com",SUM(BX476:CM476),0)</f>
        <v>0</v>
      </c>
      <c r="CO476" s="306">
        <f ca="1">RANK(CN476,CN3:CN834)+COUNTIF(CN3:CN476,CN476)-1</f>
        <v>474</v>
      </c>
      <c r="CP476" s="306" t="str">
        <f t="shared" ca="1" si="209"/>
        <v>Dani Carvajal (Spain)</v>
      </c>
    </row>
    <row r="477" spans="72:94" x14ac:dyDescent="0.3">
      <c r="BT477" s="306" t="str">
        <f t="shared" ca="1" si="205"/>
        <v>Spain</v>
      </c>
      <c r="BU477" s="306">
        <f t="shared" si="206"/>
        <v>6</v>
      </c>
      <c r="BV477" s="306">
        <f t="shared" si="207"/>
        <v>17</v>
      </c>
      <c r="BW477" s="306" t="str">
        <f ca="1">OFFSET(C3,BU477,BV477)</f>
        <v>Dani Olmo</v>
      </c>
      <c r="BX477" s="306">
        <f ca="1">COUNTIF('Group Stages'!J7:J102,BW477)</f>
        <v>0</v>
      </c>
      <c r="BY477" s="306">
        <f ca="1">COUNTIF('Group Stages'!K7:K102,BW477)</f>
        <v>0</v>
      </c>
      <c r="BZ477" s="306">
        <f ca="1">COUNTIF('Group Stages'!L7:L102,BW477)</f>
        <v>0</v>
      </c>
      <c r="CA477" s="306">
        <f ca="1">COUNTIF('Group Stages'!M7:M102,BW477)</f>
        <v>0</v>
      </c>
      <c r="CB477" s="306">
        <f ca="1">COUNTIF('Group Stages'!N7:N102,BW477)</f>
        <v>0</v>
      </c>
      <c r="CC477" s="306">
        <f ca="1">COUNTIF('Group Stages'!O7:O102,BW477)</f>
        <v>0</v>
      </c>
      <c r="CD477" s="306">
        <f ca="1">COUNTIF('Group Stages'!P7:P102,BW477)</f>
        <v>0</v>
      </c>
      <c r="CE477" s="306">
        <f ca="1">COUNTIF('Group Stages'!Q7:Q102,BW477)</f>
        <v>0</v>
      </c>
      <c r="CF477" s="306">
        <f ca="1">COUNTIF('Knock Out Stages'!K7:K50,BW477)</f>
        <v>0</v>
      </c>
      <c r="CG477" s="306">
        <f ca="1">COUNTIF('Knock Out Stages'!L7:L50,BW477)</f>
        <v>0</v>
      </c>
      <c r="CH477" s="306">
        <f ca="1">COUNTIF('Knock Out Stages'!M7:M50,BW477)</f>
        <v>0</v>
      </c>
      <c r="CI477" s="306">
        <f ca="1">COUNTIF('Knock Out Stages'!N7:N50,BW477)</f>
        <v>0</v>
      </c>
      <c r="CJ477" s="306">
        <f ca="1">COUNTIF('Knock Out Stages'!O7:O50,BW477)</f>
        <v>0</v>
      </c>
      <c r="CK477" s="306">
        <f ca="1">COUNTIF('Knock Out Stages'!P7:P50,BW477)</f>
        <v>0</v>
      </c>
      <c r="CL477" s="306">
        <f ca="1">COUNTIF('Knock Out Stages'!Q7:Q50,BW477)</f>
        <v>0</v>
      </c>
      <c r="CM477" s="306">
        <f ca="1">COUNTIF('Knock Out Stages'!R7:R50,BW477)</f>
        <v>0</v>
      </c>
      <c r="CN477" s="306">
        <f ca="1">IF(RIGHT('Group Stages'!$B$105,5)="T.com",SUM(BX477:CM477),0)</f>
        <v>0</v>
      </c>
      <c r="CO477" s="306">
        <f ca="1">RANK(CN477,CN3:CN834)+COUNTIF(CN3:CN477,CN477)-1</f>
        <v>475</v>
      </c>
      <c r="CP477" s="306" t="str">
        <f t="shared" ca="1" si="209"/>
        <v>Dani Olmo (Spain)</v>
      </c>
    </row>
    <row r="478" spans="72:94" x14ac:dyDescent="0.3">
      <c r="BT478" s="306" t="str">
        <f t="shared" ca="1" si="205"/>
        <v>Spain</v>
      </c>
      <c r="BU478" s="306">
        <f t="shared" si="206"/>
        <v>7</v>
      </c>
      <c r="BV478" s="306">
        <f t="shared" si="207"/>
        <v>17</v>
      </c>
      <c r="BW478" s="306" t="str">
        <f ca="1">OFFSET(C3,BU478,BV478)</f>
        <v>David Raya</v>
      </c>
      <c r="BX478" s="306">
        <f ca="1">COUNTIF('Group Stages'!J7:J102,BW478)</f>
        <v>0</v>
      </c>
      <c r="BY478" s="306">
        <f ca="1">COUNTIF('Group Stages'!K7:K102,BW478)</f>
        <v>0</v>
      </c>
      <c r="BZ478" s="306">
        <f ca="1">COUNTIF('Group Stages'!L7:L102,BW478)</f>
        <v>0</v>
      </c>
      <c r="CA478" s="306">
        <f ca="1">COUNTIF('Group Stages'!M7:M102,BW478)</f>
        <v>0</v>
      </c>
      <c r="CB478" s="306">
        <f ca="1">COUNTIF('Group Stages'!N7:N102,BW478)</f>
        <v>0</v>
      </c>
      <c r="CC478" s="306">
        <f ca="1">COUNTIF('Group Stages'!O7:O102,BW478)</f>
        <v>0</v>
      </c>
      <c r="CD478" s="306">
        <f ca="1">COUNTIF('Group Stages'!P7:P102,BW478)</f>
        <v>0</v>
      </c>
      <c r="CE478" s="306">
        <f ca="1">COUNTIF('Group Stages'!Q7:Q102,BW478)</f>
        <v>0</v>
      </c>
      <c r="CF478" s="306">
        <f ca="1">COUNTIF('Knock Out Stages'!K7:K50,BW478)</f>
        <v>0</v>
      </c>
      <c r="CG478" s="306">
        <f ca="1">COUNTIF('Knock Out Stages'!L7:L50,BW478)</f>
        <v>0</v>
      </c>
      <c r="CH478" s="306">
        <f ca="1">COUNTIF('Knock Out Stages'!M7:M50,BW478)</f>
        <v>0</v>
      </c>
      <c r="CI478" s="306">
        <f ca="1">COUNTIF('Knock Out Stages'!N7:N50,BW478)</f>
        <v>0</v>
      </c>
      <c r="CJ478" s="306">
        <f ca="1">COUNTIF('Knock Out Stages'!O7:O50,BW478)</f>
        <v>0</v>
      </c>
      <c r="CK478" s="306">
        <f ca="1">COUNTIF('Knock Out Stages'!P7:P50,BW478)</f>
        <v>0</v>
      </c>
      <c r="CL478" s="306">
        <f ca="1">COUNTIF('Knock Out Stages'!Q7:Q50,BW478)</f>
        <v>0</v>
      </c>
      <c r="CM478" s="306">
        <f ca="1">COUNTIF('Knock Out Stages'!R7:R50,BW478)</f>
        <v>0</v>
      </c>
      <c r="CN478" s="306">
        <f ca="1">IF(RIGHT('Group Stages'!$B$105,5)="T.com",SUM(BX478:CM478),0)</f>
        <v>0</v>
      </c>
      <c r="CO478" s="306">
        <f ca="1">RANK(CN478,CN3:CN834)+COUNTIF(CN3:CN478,CN478)-1</f>
        <v>476</v>
      </c>
      <c r="CP478" s="306" t="str">
        <f t="shared" ca="1" si="209"/>
        <v>David Raya (Spain)</v>
      </c>
    </row>
    <row r="479" spans="72:94" x14ac:dyDescent="0.3">
      <c r="BT479" s="306" t="str">
        <f t="shared" ca="1" si="205"/>
        <v>Spain</v>
      </c>
      <c r="BU479" s="306">
        <f t="shared" si="206"/>
        <v>8</v>
      </c>
      <c r="BV479" s="306">
        <f t="shared" si="207"/>
        <v>17</v>
      </c>
      <c r="BW479" s="306" t="str">
        <f ca="1">OFFSET(C3,BU479,BV479)</f>
        <v>Eric García</v>
      </c>
      <c r="BX479" s="306">
        <f ca="1">COUNTIF('Group Stages'!J7:J102,BW479)</f>
        <v>0</v>
      </c>
      <c r="BY479" s="306">
        <f ca="1">COUNTIF('Group Stages'!K7:K102,BW479)</f>
        <v>0</v>
      </c>
      <c r="BZ479" s="306">
        <f ca="1">COUNTIF('Group Stages'!L7:L102,BW479)</f>
        <v>0</v>
      </c>
      <c r="CA479" s="306">
        <f ca="1">COUNTIF('Group Stages'!M7:M102,BW479)</f>
        <v>0</v>
      </c>
      <c r="CB479" s="306">
        <f ca="1">COUNTIF('Group Stages'!N7:N102,BW479)</f>
        <v>0</v>
      </c>
      <c r="CC479" s="306">
        <f ca="1">COUNTIF('Group Stages'!O7:O102,BW479)</f>
        <v>0</v>
      </c>
      <c r="CD479" s="306">
        <f ca="1">COUNTIF('Group Stages'!P7:P102,BW479)</f>
        <v>0</v>
      </c>
      <c r="CE479" s="306">
        <f ca="1">COUNTIF('Group Stages'!Q7:Q102,BW479)</f>
        <v>0</v>
      </c>
      <c r="CF479" s="306">
        <f ca="1">COUNTIF('Knock Out Stages'!K7:K50,BW479)</f>
        <v>0</v>
      </c>
      <c r="CG479" s="306">
        <f ca="1">COUNTIF('Knock Out Stages'!L7:L50,BW479)</f>
        <v>0</v>
      </c>
      <c r="CH479" s="306">
        <f ca="1">COUNTIF('Knock Out Stages'!M7:M50,BW479)</f>
        <v>0</v>
      </c>
      <c r="CI479" s="306">
        <f ca="1">COUNTIF('Knock Out Stages'!N7:N50,BW479)</f>
        <v>0</v>
      </c>
      <c r="CJ479" s="306">
        <f ca="1">COUNTIF('Knock Out Stages'!O7:O50,BW479)</f>
        <v>0</v>
      </c>
      <c r="CK479" s="306">
        <f ca="1">COUNTIF('Knock Out Stages'!P7:P50,BW479)</f>
        <v>0</v>
      </c>
      <c r="CL479" s="306">
        <f ca="1">COUNTIF('Knock Out Stages'!Q7:Q50,BW479)</f>
        <v>0</v>
      </c>
      <c r="CM479" s="306">
        <f ca="1">COUNTIF('Knock Out Stages'!R7:R50,BW479)</f>
        <v>0</v>
      </c>
      <c r="CN479" s="306">
        <f ca="1">IF(RIGHT('Group Stages'!$B$105,5)="T.com",SUM(BX479:CM479),0)</f>
        <v>0</v>
      </c>
      <c r="CO479" s="306">
        <f ca="1">RANK(CN479,CN3:CN834)+COUNTIF(CN3:CN479,CN479)-1</f>
        <v>477</v>
      </c>
      <c r="CP479" s="306" t="str">
        <f t="shared" ca="1" si="209"/>
        <v>Eric García (Spain)</v>
      </c>
    </row>
    <row r="480" spans="72:94" x14ac:dyDescent="0.3">
      <c r="BT480" s="306" t="str">
        <f t="shared" ca="1" si="205"/>
        <v>Spain</v>
      </c>
      <c r="BU480" s="306">
        <f t="shared" si="206"/>
        <v>9</v>
      </c>
      <c r="BV480" s="306">
        <f t="shared" si="207"/>
        <v>17</v>
      </c>
      <c r="BW480" s="306" t="str">
        <f ca="1">OFFSET(C3,BU480,BV480)</f>
        <v>Ferran Torres</v>
      </c>
      <c r="BX480" s="306">
        <f ca="1">COUNTIF('Group Stages'!J7:J102,BW480)</f>
        <v>0</v>
      </c>
      <c r="BY480" s="306">
        <f ca="1">COUNTIF('Group Stages'!K7:K102,BW480)</f>
        <v>0</v>
      </c>
      <c r="BZ480" s="306">
        <f ca="1">COUNTIF('Group Stages'!L7:L102,BW480)</f>
        <v>0</v>
      </c>
      <c r="CA480" s="306">
        <f ca="1">COUNTIF('Group Stages'!M7:M102,BW480)</f>
        <v>0</v>
      </c>
      <c r="CB480" s="306">
        <f ca="1">COUNTIF('Group Stages'!N7:N102,BW480)</f>
        <v>0</v>
      </c>
      <c r="CC480" s="306">
        <f ca="1">COUNTIF('Group Stages'!O7:O102,BW480)</f>
        <v>0</v>
      </c>
      <c r="CD480" s="306">
        <f ca="1">COUNTIF('Group Stages'!P7:P102,BW480)</f>
        <v>0</v>
      </c>
      <c r="CE480" s="306">
        <f ca="1">COUNTIF('Group Stages'!Q7:Q102,BW480)</f>
        <v>0</v>
      </c>
      <c r="CF480" s="306">
        <f ca="1">COUNTIF('Knock Out Stages'!K7:K50,BW480)</f>
        <v>0</v>
      </c>
      <c r="CG480" s="306">
        <f ca="1">COUNTIF('Knock Out Stages'!L7:L50,BW480)</f>
        <v>0</v>
      </c>
      <c r="CH480" s="306">
        <f ca="1">COUNTIF('Knock Out Stages'!M7:M50,BW480)</f>
        <v>0</v>
      </c>
      <c r="CI480" s="306">
        <f ca="1">COUNTIF('Knock Out Stages'!N7:N50,BW480)</f>
        <v>0</v>
      </c>
      <c r="CJ480" s="306">
        <f ca="1">COUNTIF('Knock Out Stages'!O7:O50,BW480)</f>
        <v>0</v>
      </c>
      <c r="CK480" s="306">
        <f ca="1">COUNTIF('Knock Out Stages'!P7:P50,BW480)</f>
        <v>0</v>
      </c>
      <c r="CL480" s="306">
        <f ca="1">COUNTIF('Knock Out Stages'!Q7:Q50,BW480)</f>
        <v>0</v>
      </c>
      <c r="CM480" s="306">
        <f ca="1">COUNTIF('Knock Out Stages'!R7:R50,BW480)</f>
        <v>0</v>
      </c>
      <c r="CN480" s="306">
        <f ca="1">IF(RIGHT('Group Stages'!$B$105,5)="T.com",SUM(BX480:CM480),0)</f>
        <v>0</v>
      </c>
      <c r="CO480" s="306">
        <f ca="1">RANK(CN480,CN3:CN834)+COUNTIF(CN3:CN480,CN480)-1</f>
        <v>478</v>
      </c>
      <c r="CP480" s="306" t="str">
        <f t="shared" ca="1" si="209"/>
        <v>Ferran Torres (Spain)</v>
      </c>
    </row>
    <row r="481" spans="72:94" x14ac:dyDescent="0.3">
      <c r="BT481" s="306" t="str">
        <f t="shared" ca="1" si="205"/>
        <v>Spain</v>
      </c>
      <c r="BU481" s="306">
        <f t="shared" si="206"/>
        <v>10</v>
      </c>
      <c r="BV481" s="306">
        <f t="shared" si="207"/>
        <v>17</v>
      </c>
      <c r="BW481" s="306" t="str">
        <f ca="1">OFFSET(C3,BU481,BV481)</f>
        <v>Gavi</v>
      </c>
      <c r="BX481" s="306">
        <f ca="1">COUNTIF('Group Stages'!J7:J102,BW481)</f>
        <v>0</v>
      </c>
      <c r="BY481" s="306">
        <f ca="1">COUNTIF('Group Stages'!K7:K102,BW481)</f>
        <v>0</v>
      </c>
      <c r="BZ481" s="306">
        <f ca="1">COUNTIF('Group Stages'!L7:L102,BW481)</f>
        <v>0</v>
      </c>
      <c r="CA481" s="306">
        <f ca="1">COUNTIF('Group Stages'!M7:M102,BW481)</f>
        <v>0</v>
      </c>
      <c r="CB481" s="306">
        <f ca="1">COUNTIF('Group Stages'!N7:N102,BW481)</f>
        <v>0</v>
      </c>
      <c r="CC481" s="306">
        <f ca="1">COUNTIF('Group Stages'!O7:O102,BW481)</f>
        <v>0</v>
      </c>
      <c r="CD481" s="306">
        <f ca="1">COUNTIF('Group Stages'!P7:P102,BW481)</f>
        <v>0</v>
      </c>
      <c r="CE481" s="306">
        <f ca="1">COUNTIF('Group Stages'!Q7:Q102,BW481)</f>
        <v>0</v>
      </c>
      <c r="CF481" s="306">
        <f ca="1">COUNTIF('Knock Out Stages'!K7:K50,BW481)</f>
        <v>0</v>
      </c>
      <c r="CG481" s="306">
        <f ca="1">COUNTIF('Knock Out Stages'!L7:L50,BW481)</f>
        <v>0</v>
      </c>
      <c r="CH481" s="306">
        <f ca="1">COUNTIF('Knock Out Stages'!M7:M50,BW481)</f>
        <v>0</v>
      </c>
      <c r="CI481" s="306">
        <f ca="1">COUNTIF('Knock Out Stages'!N7:N50,BW481)</f>
        <v>0</v>
      </c>
      <c r="CJ481" s="306">
        <f ca="1">COUNTIF('Knock Out Stages'!O7:O50,BW481)</f>
        <v>0</v>
      </c>
      <c r="CK481" s="306">
        <f ca="1">COUNTIF('Knock Out Stages'!P7:P50,BW481)</f>
        <v>0</v>
      </c>
      <c r="CL481" s="306">
        <f ca="1">COUNTIF('Knock Out Stages'!Q7:Q50,BW481)</f>
        <v>0</v>
      </c>
      <c r="CM481" s="306">
        <f ca="1">COUNTIF('Knock Out Stages'!R7:R50,BW481)</f>
        <v>0</v>
      </c>
      <c r="CN481" s="306">
        <f ca="1">IF(RIGHT('Group Stages'!$B$105,5)="T.com",SUM(BX481:CM481),0)</f>
        <v>0</v>
      </c>
      <c r="CO481" s="306">
        <f ca="1">RANK(CN481,CN3:CN834)+COUNTIF(CN3:CN481,CN481)-1</f>
        <v>479</v>
      </c>
      <c r="CP481" s="306" t="str">
        <f t="shared" ca="1" si="209"/>
        <v>Gavi (Spain)</v>
      </c>
    </row>
    <row r="482" spans="72:94" x14ac:dyDescent="0.3">
      <c r="BT482" s="306" t="str">
        <f t="shared" ca="1" si="205"/>
        <v>Spain</v>
      </c>
      <c r="BU482" s="306">
        <f t="shared" si="206"/>
        <v>11</v>
      </c>
      <c r="BV482" s="306">
        <f t="shared" si="207"/>
        <v>17</v>
      </c>
      <c r="BW482" s="306" t="str">
        <f ca="1">OFFSET(C3,BU482,BV482)</f>
        <v>Hugo Guillamón</v>
      </c>
      <c r="BX482" s="306">
        <f ca="1">COUNTIF('Group Stages'!J7:J102,BW482)</f>
        <v>0</v>
      </c>
      <c r="BY482" s="306">
        <f ca="1">COUNTIF('Group Stages'!K7:K102,BW482)</f>
        <v>0</v>
      </c>
      <c r="BZ482" s="306">
        <f ca="1">COUNTIF('Group Stages'!L7:L102,BW482)</f>
        <v>0</v>
      </c>
      <c r="CA482" s="306">
        <f ca="1">COUNTIF('Group Stages'!M7:M102,BW482)</f>
        <v>0</v>
      </c>
      <c r="CB482" s="306">
        <f ca="1">COUNTIF('Group Stages'!N7:N102,BW482)</f>
        <v>0</v>
      </c>
      <c r="CC482" s="306">
        <f ca="1">COUNTIF('Group Stages'!O7:O102,BW482)</f>
        <v>0</v>
      </c>
      <c r="CD482" s="306">
        <f ca="1">COUNTIF('Group Stages'!P7:P102,BW482)</f>
        <v>0</v>
      </c>
      <c r="CE482" s="306">
        <f ca="1">COUNTIF('Group Stages'!Q7:Q102,BW482)</f>
        <v>0</v>
      </c>
      <c r="CF482" s="306">
        <f ca="1">COUNTIF('Knock Out Stages'!K7:K50,BW482)</f>
        <v>0</v>
      </c>
      <c r="CG482" s="306">
        <f ca="1">COUNTIF('Knock Out Stages'!L7:L50,BW482)</f>
        <v>0</v>
      </c>
      <c r="CH482" s="306">
        <f ca="1">COUNTIF('Knock Out Stages'!M7:M50,BW482)</f>
        <v>0</v>
      </c>
      <c r="CI482" s="306">
        <f ca="1">COUNTIF('Knock Out Stages'!N7:N50,BW482)</f>
        <v>0</v>
      </c>
      <c r="CJ482" s="306">
        <f ca="1">COUNTIF('Knock Out Stages'!O7:O50,BW482)</f>
        <v>0</v>
      </c>
      <c r="CK482" s="306">
        <f ca="1">COUNTIF('Knock Out Stages'!P7:P50,BW482)</f>
        <v>0</v>
      </c>
      <c r="CL482" s="306">
        <f ca="1">COUNTIF('Knock Out Stages'!Q7:Q50,BW482)</f>
        <v>0</v>
      </c>
      <c r="CM482" s="306">
        <f ca="1">COUNTIF('Knock Out Stages'!R7:R50,BW482)</f>
        <v>0</v>
      </c>
      <c r="CN482" s="306">
        <f ca="1">IF(RIGHT('Group Stages'!$B$105,5)="T.com",SUM(BX482:CM482),0)</f>
        <v>0</v>
      </c>
      <c r="CO482" s="306">
        <f ca="1">RANK(CN482,CN3:CN834)+COUNTIF(CN3:CN482,CN482)-1</f>
        <v>480</v>
      </c>
      <c r="CP482" s="306" t="str">
        <f t="shared" ca="1" si="209"/>
        <v>Hugo Guillamón (Spain)</v>
      </c>
    </row>
    <row r="483" spans="72:94" x14ac:dyDescent="0.3">
      <c r="BT483" s="306" t="str">
        <f t="shared" ca="1" si="205"/>
        <v>Spain</v>
      </c>
      <c r="BU483" s="306">
        <f t="shared" si="206"/>
        <v>12</v>
      </c>
      <c r="BV483" s="306">
        <f t="shared" si="207"/>
        <v>17</v>
      </c>
      <c r="BW483" s="306" t="str">
        <f ca="1">OFFSET(C3,BU483,BV483)</f>
        <v>Jordi Alba</v>
      </c>
      <c r="BX483" s="306">
        <f ca="1">COUNTIF('Group Stages'!J7:J102,BW483)</f>
        <v>0</v>
      </c>
      <c r="BY483" s="306">
        <f ca="1">COUNTIF('Group Stages'!K7:K102,BW483)</f>
        <v>0</v>
      </c>
      <c r="BZ483" s="306">
        <f ca="1">COUNTIF('Group Stages'!L7:L102,BW483)</f>
        <v>0</v>
      </c>
      <c r="CA483" s="306">
        <f ca="1">COUNTIF('Group Stages'!M7:M102,BW483)</f>
        <v>0</v>
      </c>
      <c r="CB483" s="306">
        <f ca="1">COUNTIF('Group Stages'!N7:N102,BW483)</f>
        <v>0</v>
      </c>
      <c r="CC483" s="306">
        <f ca="1">COUNTIF('Group Stages'!O7:O102,BW483)</f>
        <v>0</v>
      </c>
      <c r="CD483" s="306">
        <f ca="1">COUNTIF('Group Stages'!P7:P102,BW483)</f>
        <v>0</v>
      </c>
      <c r="CE483" s="306">
        <f ca="1">COUNTIF('Group Stages'!Q7:Q102,BW483)</f>
        <v>0</v>
      </c>
      <c r="CF483" s="306">
        <f ca="1">COUNTIF('Knock Out Stages'!K7:K50,BW483)</f>
        <v>0</v>
      </c>
      <c r="CG483" s="306">
        <f ca="1">COUNTIF('Knock Out Stages'!L7:L50,BW483)</f>
        <v>0</v>
      </c>
      <c r="CH483" s="306">
        <f ca="1">COUNTIF('Knock Out Stages'!M7:M50,BW483)</f>
        <v>0</v>
      </c>
      <c r="CI483" s="306">
        <f ca="1">COUNTIF('Knock Out Stages'!N7:N50,BW483)</f>
        <v>0</v>
      </c>
      <c r="CJ483" s="306">
        <f ca="1">COUNTIF('Knock Out Stages'!O7:O50,BW483)</f>
        <v>0</v>
      </c>
      <c r="CK483" s="306">
        <f ca="1">COUNTIF('Knock Out Stages'!P7:P50,BW483)</f>
        <v>0</v>
      </c>
      <c r="CL483" s="306">
        <f ca="1">COUNTIF('Knock Out Stages'!Q7:Q50,BW483)</f>
        <v>0</v>
      </c>
      <c r="CM483" s="306">
        <f ca="1">COUNTIF('Knock Out Stages'!R7:R50,BW483)</f>
        <v>0</v>
      </c>
      <c r="CN483" s="306">
        <f ca="1">IF(RIGHT('Group Stages'!$B$105,5)="T.com",SUM(BX483:CM483),0)</f>
        <v>0</v>
      </c>
      <c r="CO483" s="306">
        <f ca="1">RANK(CN483,CN3:CN834)+COUNTIF(CN3:CN483,CN483)-1</f>
        <v>481</v>
      </c>
      <c r="CP483" s="306" t="str">
        <f t="shared" ca="1" si="209"/>
        <v>Jordi Alba (Spain)</v>
      </c>
    </row>
    <row r="484" spans="72:94" x14ac:dyDescent="0.3">
      <c r="BT484" s="306" t="str">
        <f t="shared" ca="1" si="205"/>
        <v>Spain</v>
      </c>
      <c r="BU484" s="306">
        <f t="shared" si="206"/>
        <v>13</v>
      </c>
      <c r="BV484" s="306">
        <f t="shared" si="207"/>
        <v>17</v>
      </c>
      <c r="BW484" s="306" t="str">
        <f ca="1">OFFSET(C3,BU484,BV484)</f>
        <v>José Gayà</v>
      </c>
      <c r="BX484" s="306">
        <f ca="1">COUNTIF('Group Stages'!J7:J102,BW484)</f>
        <v>0</v>
      </c>
      <c r="BY484" s="306">
        <f ca="1">COUNTIF('Group Stages'!K7:K102,BW484)</f>
        <v>0</v>
      </c>
      <c r="BZ484" s="306">
        <f ca="1">COUNTIF('Group Stages'!L7:L102,BW484)</f>
        <v>0</v>
      </c>
      <c r="CA484" s="306">
        <f ca="1">COUNTIF('Group Stages'!M7:M102,BW484)</f>
        <v>0</v>
      </c>
      <c r="CB484" s="306">
        <f ca="1">COUNTIF('Group Stages'!N7:N102,BW484)</f>
        <v>0</v>
      </c>
      <c r="CC484" s="306">
        <f ca="1">COUNTIF('Group Stages'!O7:O102,BW484)</f>
        <v>0</v>
      </c>
      <c r="CD484" s="306">
        <f ca="1">COUNTIF('Group Stages'!P7:P102,BW484)</f>
        <v>0</v>
      </c>
      <c r="CE484" s="306">
        <f ca="1">COUNTIF('Group Stages'!Q7:Q102,BW484)</f>
        <v>0</v>
      </c>
      <c r="CF484" s="306">
        <f ca="1">COUNTIF('Knock Out Stages'!K7:K50,BW484)</f>
        <v>0</v>
      </c>
      <c r="CG484" s="306">
        <f ca="1">COUNTIF('Knock Out Stages'!L7:L50,BW484)</f>
        <v>0</v>
      </c>
      <c r="CH484" s="306">
        <f ca="1">COUNTIF('Knock Out Stages'!M7:M50,BW484)</f>
        <v>0</v>
      </c>
      <c r="CI484" s="306">
        <f ca="1">COUNTIF('Knock Out Stages'!N7:N50,BW484)</f>
        <v>0</v>
      </c>
      <c r="CJ484" s="306">
        <f ca="1">COUNTIF('Knock Out Stages'!O7:O50,BW484)</f>
        <v>0</v>
      </c>
      <c r="CK484" s="306">
        <f ca="1">COUNTIF('Knock Out Stages'!P7:P50,BW484)</f>
        <v>0</v>
      </c>
      <c r="CL484" s="306">
        <f ca="1">COUNTIF('Knock Out Stages'!Q7:Q50,BW484)</f>
        <v>0</v>
      </c>
      <c r="CM484" s="306">
        <f ca="1">COUNTIF('Knock Out Stages'!R7:R50,BW484)</f>
        <v>0</v>
      </c>
      <c r="CN484" s="306">
        <f ca="1">IF(RIGHT('Group Stages'!$B$105,5)="T.com",SUM(BX484:CM484),0)</f>
        <v>0</v>
      </c>
      <c r="CO484" s="306">
        <f ca="1">RANK(CN484,CN3:CN834)+COUNTIF(CN3:CN484,CN484)-1</f>
        <v>482</v>
      </c>
      <c r="CP484" s="306" t="str">
        <f t="shared" ca="1" si="209"/>
        <v>José Gayà (Spain)</v>
      </c>
    </row>
    <row r="485" spans="72:94" x14ac:dyDescent="0.3">
      <c r="BT485" s="306" t="str">
        <f t="shared" ca="1" si="205"/>
        <v>Spain</v>
      </c>
      <c r="BU485" s="306">
        <f t="shared" si="206"/>
        <v>14</v>
      </c>
      <c r="BV485" s="306">
        <f t="shared" si="207"/>
        <v>17</v>
      </c>
      <c r="BW485" s="306" t="str">
        <f ca="1">OFFSET(C3,BU485,BV485)</f>
        <v>Koke</v>
      </c>
      <c r="BX485" s="306">
        <f ca="1">COUNTIF('Group Stages'!J7:J102,BW485)</f>
        <v>0</v>
      </c>
      <c r="BY485" s="306">
        <f ca="1">COUNTIF('Group Stages'!K7:K102,BW485)</f>
        <v>0</v>
      </c>
      <c r="BZ485" s="306">
        <f ca="1">COUNTIF('Group Stages'!L7:L102,BW485)</f>
        <v>0</v>
      </c>
      <c r="CA485" s="306">
        <f ca="1">COUNTIF('Group Stages'!M7:M102,BW485)</f>
        <v>0</v>
      </c>
      <c r="CB485" s="306">
        <f ca="1">COUNTIF('Group Stages'!N7:N102,BW485)</f>
        <v>0</v>
      </c>
      <c r="CC485" s="306">
        <f ca="1">COUNTIF('Group Stages'!O7:O102,BW485)</f>
        <v>0</v>
      </c>
      <c r="CD485" s="306">
        <f ca="1">COUNTIF('Group Stages'!P7:P102,BW485)</f>
        <v>0</v>
      </c>
      <c r="CE485" s="306">
        <f ca="1">COUNTIF('Group Stages'!Q7:Q102,BW485)</f>
        <v>0</v>
      </c>
      <c r="CF485" s="306">
        <f ca="1">COUNTIF('Knock Out Stages'!K7:K50,BW485)</f>
        <v>0</v>
      </c>
      <c r="CG485" s="306">
        <f ca="1">COUNTIF('Knock Out Stages'!L7:L50,BW485)</f>
        <v>0</v>
      </c>
      <c r="CH485" s="306">
        <f ca="1">COUNTIF('Knock Out Stages'!M7:M50,BW485)</f>
        <v>0</v>
      </c>
      <c r="CI485" s="306">
        <f ca="1">COUNTIF('Knock Out Stages'!N7:N50,BW485)</f>
        <v>0</v>
      </c>
      <c r="CJ485" s="306">
        <f ca="1">COUNTIF('Knock Out Stages'!O7:O50,BW485)</f>
        <v>0</v>
      </c>
      <c r="CK485" s="306">
        <f ca="1">COUNTIF('Knock Out Stages'!P7:P50,BW485)</f>
        <v>0</v>
      </c>
      <c r="CL485" s="306">
        <f ca="1">COUNTIF('Knock Out Stages'!Q7:Q50,BW485)</f>
        <v>0</v>
      </c>
      <c r="CM485" s="306">
        <f ca="1">COUNTIF('Knock Out Stages'!R7:R50,BW485)</f>
        <v>0</v>
      </c>
      <c r="CN485" s="306">
        <f ca="1">IF(RIGHT('Group Stages'!$B$105,5)="T.com",SUM(BX485:CM485),0)</f>
        <v>0</v>
      </c>
      <c r="CO485" s="306">
        <f ca="1">RANK(CN485,CN3:CN834)+COUNTIF(CN3:CN485,CN485)-1</f>
        <v>483</v>
      </c>
      <c r="CP485" s="306" t="str">
        <f t="shared" ca="1" si="209"/>
        <v>Koke (Spain)</v>
      </c>
    </row>
    <row r="486" spans="72:94" x14ac:dyDescent="0.3">
      <c r="BT486" s="306" t="str">
        <f t="shared" ca="1" si="205"/>
        <v>Spain</v>
      </c>
      <c r="BU486" s="306">
        <f t="shared" si="206"/>
        <v>15</v>
      </c>
      <c r="BV486" s="306">
        <f t="shared" si="207"/>
        <v>17</v>
      </c>
      <c r="BW486" s="306" t="str">
        <f ca="1">OFFSET(C3,BU486,BV486)</f>
        <v>Marco Asensio</v>
      </c>
      <c r="BX486" s="306">
        <f ca="1">COUNTIF('Group Stages'!J7:J102,BW486)</f>
        <v>0</v>
      </c>
      <c r="BY486" s="306">
        <f ca="1">COUNTIF('Group Stages'!K7:K102,BW486)</f>
        <v>0</v>
      </c>
      <c r="BZ486" s="306">
        <f ca="1">COUNTIF('Group Stages'!L7:L102,BW486)</f>
        <v>0</v>
      </c>
      <c r="CA486" s="306">
        <f ca="1">COUNTIF('Group Stages'!M7:M102,BW486)</f>
        <v>0</v>
      </c>
      <c r="CB486" s="306">
        <f ca="1">COUNTIF('Group Stages'!N7:N102,BW486)</f>
        <v>0</v>
      </c>
      <c r="CC486" s="306">
        <f ca="1">COUNTIF('Group Stages'!O7:O102,BW486)</f>
        <v>0</v>
      </c>
      <c r="CD486" s="306">
        <f ca="1">COUNTIF('Group Stages'!P7:P102,BW486)</f>
        <v>0</v>
      </c>
      <c r="CE486" s="306">
        <f ca="1">COUNTIF('Group Stages'!Q7:Q102,BW486)</f>
        <v>0</v>
      </c>
      <c r="CF486" s="306">
        <f ca="1">COUNTIF('Knock Out Stages'!K7:K50,BW486)</f>
        <v>0</v>
      </c>
      <c r="CG486" s="306">
        <f ca="1">COUNTIF('Knock Out Stages'!L7:L50,BW486)</f>
        <v>0</v>
      </c>
      <c r="CH486" s="306">
        <f ca="1">COUNTIF('Knock Out Stages'!M7:M50,BW486)</f>
        <v>0</v>
      </c>
      <c r="CI486" s="306">
        <f ca="1">COUNTIF('Knock Out Stages'!N7:N50,BW486)</f>
        <v>0</v>
      </c>
      <c r="CJ486" s="306">
        <f ca="1">COUNTIF('Knock Out Stages'!O7:O50,BW486)</f>
        <v>0</v>
      </c>
      <c r="CK486" s="306">
        <f ca="1">COUNTIF('Knock Out Stages'!P7:P50,BW486)</f>
        <v>0</v>
      </c>
      <c r="CL486" s="306">
        <f ca="1">COUNTIF('Knock Out Stages'!Q7:Q50,BW486)</f>
        <v>0</v>
      </c>
      <c r="CM486" s="306">
        <f ca="1">COUNTIF('Knock Out Stages'!R7:R50,BW486)</f>
        <v>0</v>
      </c>
      <c r="CN486" s="306">
        <f ca="1">IF(RIGHT('Group Stages'!$B$105,5)="T.com",SUM(BX486:CM486),0)</f>
        <v>0</v>
      </c>
      <c r="CO486" s="306">
        <f ca="1">RANK(CN486,CN3:CN834)+COUNTIF(CN3:CN486,CN486)-1</f>
        <v>484</v>
      </c>
      <c r="CP486" s="306" t="str">
        <f t="shared" ca="1" si="209"/>
        <v>Marco Asensio (Spain)</v>
      </c>
    </row>
    <row r="487" spans="72:94" x14ac:dyDescent="0.3">
      <c r="BT487" s="306" t="str">
        <f t="shared" ca="1" si="205"/>
        <v>Spain</v>
      </c>
      <c r="BU487" s="306">
        <f t="shared" si="206"/>
        <v>16</v>
      </c>
      <c r="BV487" s="306">
        <f t="shared" si="207"/>
        <v>17</v>
      </c>
      <c r="BW487" s="306" t="str">
        <f ca="1">OFFSET(C3,BU487,BV487)</f>
        <v>Marcos Llorente</v>
      </c>
      <c r="BX487" s="306">
        <f ca="1">COUNTIF('Group Stages'!J7:J102,BW487)</f>
        <v>0</v>
      </c>
      <c r="BY487" s="306">
        <f ca="1">COUNTIF('Group Stages'!K7:K102,BW487)</f>
        <v>0</v>
      </c>
      <c r="BZ487" s="306">
        <f ca="1">COUNTIF('Group Stages'!L7:L102,BW487)</f>
        <v>0</v>
      </c>
      <c r="CA487" s="306">
        <f ca="1">COUNTIF('Group Stages'!M7:M102,BW487)</f>
        <v>0</v>
      </c>
      <c r="CB487" s="306">
        <f ca="1">COUNTIF('Group Stages'!N7:N102,BW487)</f>
        <v>0</v>
      </c>
      <c r="CC487" s="306">
        <f ca="1">COUNTIF('Group Stages'!O7:O102,BW487)</f>
        <v>0</v>
      </c>
      <c r="CD487" s="306">
        <f ca="1">COUNTIF('Group Stages'!P7:P102,BW487)</f>
        <v>0</v>
      </c>
      <c r="CE487" s="306">
        <f ca="1">COUNTIF('Group Stages'!Q7:Q102,BW487)</f>
        <v>0</v>
      </c>
      <c r="CF487" s="306">
        <f ca="1">COUNTIF('Knock Out Stages'!K7:K50,BW487)</f>
        <v>0</v>
      </c>
      <c r="CG487" s="306">
        <f ca="1">COUNTIF('Knock Out Stages'!L7:L50,BW487)</f>
        <v>0</v>
      </c>
      <c r="CH487" s="306">
        <f ca="1">COUNTIF('Knock Out Stages'!M7:M50,BW487)</f>
        <v>0</v>
      </c>
      <c r="CI487" s="306">
        <f ca="1">COUNTIF('Knock Out Stages'!N7:N50,BW487)</f>
        <v>0</v>
      </c>
      <c r="CJ487" s="306">
        <f ca="1">COUNTIF('Knock Out Stages'!O7:O50,BW487)</f>
        <v>0</v>
      </c>
      <c r="CK487" s="306">
        <f ca="1">COUNTIF('Knock Out Stages'!P7:P50,BW487)</f>
        <v>0</v>
      </c>
      <c r="CL487" s="306">
        <f ca="1">COUNTIF('Knock Out Stages'!Q7:Q50,BW487)</f>
        <v>0</v>
      </c>
      <c r="CM487" s="306">
        <f ca="1">COUNTIF('Knock Out Stages'!R7:R50,BW487)</f>
        <v>0</v>
      </c>
      <c r="CN487" s="306">
        <f ca="1">IF(RIGHT('Group Stages'!$B$105,5)="T.com",SUM(BX487:CM487),0)</f>
        <v>0</v>
      </c>
      <c r="CO487" s="306">
        <f ca="1">RANK(CN487,CN3:CN834)+COUNTIF(CN3:CN487,CN487)-1</f>
        <v>485</v>
      </c>
      <c r="CP487" s="306" t="str">
        <f t="shared" ca="1" si="209"/>
        <v>Marcos Llorente (Spain)</v>
      </c>
    </row>
    <row r="488" spans="72:94" x14ac:dyDescent="0.3">
      <c r="BT488" s="306" t="str">
        <f t="shared" ca="1" si="205"/>
        <v>Spain</v>
      </c>
      <c r="BU488" s="306">
        <f t="shared" si="206"/>
        <v>17</v>
      </c>
      <c r="BV488" s="306">
        <f t="shared" si="207"/>
        <v>17</v>
      </c>
      <c r="BW488" s="306" t="str">
        <f ca="1">OFFSET(C3,BU488,BV488)</f>
        <v>Nico Williams</v>
      </c>
      <c r="BX488" s="306">
        <f ca="1">COUNTIF('Group Stages'!J7:J102,BW488)</f>
        <v>0</v>
      </c>
      <c r="BY488" s="306">
        <f ca="1">COUNTIF('Group Stages'!K7:K102,BW488)</f>
        <v>0</v>
      </c>
      <c r="BZ488" s="306">
        <f ca="1">COUNTIF('Group Stages'!L7:L102,BW488)</f>
        <v>0</v>
      </c>
      <c r="CA488" s="306">
        <f ca="1">COUNTIF('Group Stages'!M7:M102,BW488)</f>
        <v>0</v>
      </c>
      <c r="CB488" s="306">
        <f ca="1">COUNTIF('Group Stages'!N7:N102,BW488)</f>
        <v>0</v>
      </c>
      <c r="CC488" s="306">
        <f ca="1">COUNTIF('Group Stages'!O7:O102,BW488)</f>
        <v>0</v>
      </c>
      <c r="CD488" s="306">
        <f ca="1">COUNTIF('Group Stages'!P7:P102,BW488)</f>
        <v>0</v>
      </c>
      <c r="CE488" s="306">
        <f ca="1">COUNTIF('Group Stages'!Q7:Q102,BW488)</f>
        <v>0</v>
      </c>
      <c r="CF488" s="306">
        <f ca="1">COUNTIF('Knock Out Stages'!K7:K50,BW488)</f>
        <v>0</v>
      </c>
      <c r="CG488" s="306">
        <f ca="1">COUNTIF('Knock Out Stages'!L7:L50,BW488)</f>
        <v>0</v>
      </c>
      <c r="CH488" s="306">
        <f ca="1">COUNTIF('Knock Out Stages'!M7:M50,BW488)</f>
        <v>0</v>
      </c>
      <c r="CI488" s="306">
        <f ca="1">COUNTIF('Knock Out Stages'!N7:N50,BW488)</f>
        <v>0</v>
      </c>
      <c r="CJ488" s="306">
        <f ca="1">COUNTIF('Knock Out Stages'!O7:O50,BW488)</f>
        <v>0</v>
      </c>
      <c r="CK488" s="306">
        <f ca="1">COUNTIF('Knock Out Stages'!P7:P50,BW488)</f>
        <v>0</v>
      </c>
      <c r="CL488" s="306">
        <f ca="1">COUNTIF('Knock Out Stages'!Q7:Q50,BW488)</f>
        <v>0</v>
      </c>
      <c r="CM488" s="306">
        <f ca="1">COUNTIF('Knock Out Stages'!R7:R50,BW488)</f>
        <v>0</v>
      </c>
      <c r="CN488" s="306">
        <f ca="1">IF(RIGHT('Group Stages'!$B$105,5)="T.com",SUM(BX488:CM488),0)</f>
        <v>0</v>
      </c>
      <c r="CO488" s="306">
        <f ca="1">RANK(CN488,CN3:CN834)+COUNTIF(CN3:CN488,CN488)-1</f>
        <v>486</v>
      </c>
      <c r="CP488" s="306" t="str">
        <f t="shared" ca="1" si="209"/>
        <v>Nico Williams (Spain)</v>
      </c>
    </row>
    <row r="489" spans="72:94" x14ac:dyDescent="0.3">
      <c r="BT489" s="306" t="str">
        <f t="shared" ca="1" si="205"/>
        <v>Spain</v>
      </c>
      <c r="BU489" s="306">
        <f t="shared" si="206"/>
        <v>18</v>
      </c>
      <c r="BV489" s="306">
        <f t="shared" si="207"/>
        <v>17</v>
      </c>
      <c r="BW489" s="306" t="str">
        <f ca="1">OFFSET(C3,BU489,BV489)</f>
        <v>Pablo Sarabia</v>
      </c>
      <c r="BX489" s="306">
        <f ca="1">COUNTIF('Group Stages'!J7:J102,BW489)</f>
        <v>0</v>
      </c>
      <c r="BY489" s="306">
        <f ca="1">COUNTIF('Group Stages'!K7:K102,BW489)</f>
        <v>0</v>
      </c>
      <c r="BZ489" s="306">
        <f ca="1">COUNTIF('Group Stages'!L7:L102,BW489)</f>
        <v>0</v>
      </c>
      <c r="CA489" s="306">
        <f ca="1">COUNTIF('Group Stages'!M7:M102,BW489)</f>
        <v>0</v>
      </c>
      <c r="CB489" s="306">
        <f ca="1">COUNTIF('Group Stages'!N7:N102,BW489)</f>
        <v>0</v>
      </c>
      <c r="CC489" s="306">
        <f ca="1">COUNTIF('Group Stages'!O7:O102,BW489)</f>
        <v>0</v>
      </c>
      <c r="CD489" s="306">
        <f ca="1">COUNTIF('Group Stages'!P7:P102,BW489)</f>
        <v>0</v>
      </c>
      <c r="CE489" s="306">
        <f ca="1">COUNTIF('Group Stages'!Q7:Q102,BW489)</f>
        <v>0</v>
      </c>
      <c r="CF489" s="306">
        <f ca="1">COUNTIF('Knock Out Stages'!K7:K50,BW489)</f>
        <v>0</v>
      </c>
      <c r="CG489" s="306">
        <f ca="1">COUNTIF('Knock Out Stages'!L7:L50,BW489)</f>
        <v>0</v>
      </c>
      <c r="CH489" s="306">
        <f ca="1">COUNTIF('Knock Out Stages'!M7:M50,BW489)</f>
        <v>0</v>
      </c>
      <c r="CI489" s="306">
        <f ca="1">COUNTIF('Knock Out Stages'!N7:N50,BW489)</f>
        <v>0</v>
      </c>
      <c r="CJ489" s="306">
        <f ca="1">COUNTIF('Knock Out Stages'!O7:O50,BW489)</f>
        <v>0</v>
      </c>
      <c r="CK489" s="306">
        <f ca="1">COUNTIF('Knock Out Stages'!P7:P50,BW489)</f>
        <v>0</v>
      </c>
      <c r="CL489" s="306">
        <f ca="1">COUNTIF('Knock Out Stages'!Q7:Q50,BW489)</f>
        <v>0</v>
      </c>
      <c r="CM489" s="306">
        <f ca="1">COUNTIF('Knock Out Stages'!R7:R50,BW489)</f>
        <v>0</v>
      </c>
      <c r="CN489" s="306">
        <f ca="1">IF(RIGHT('Group Stages'!$B$105,5)="T.com",SUM(BX489:CM489),0)</f>
        <v>0</v>
      </c>
      <c r="CO489" s="306">
        <f ca="1">RANK(CN489,CN3:CN834)+COUNTIF(CN3:CN489,CN489)-1</f>
        <v>487</v>
      </c>
      <c r="CP489" s="306" t="str">
        <f t="shared" ca="1" si="209"/>
        <v>Pablo Sarabia (Spain)</v>
      </c>
    </row>
    <row r="490" spans="72:94" x14ac:dyDescent="0.3">
      <c r="BT490" s="306" t="str">
        <f t="shared" ca="1" si="205"/>
        <v>Spain</v>
      </c>
      <c r="BU490" s="306">
        <f t="shared" si="206"/>
        <v>19</v>
      </c>
      <c r="BV490" s="306">
        <f t="shared" si="207"/>
        <v>17</v>
      </c>
      <c r="BW490" s="306" t="str">
        <f ca="1">OFFSET(C3,BU490,BV490)</f>
        <v>Pau Torres</v>
      </c>
      <c r="BX490" s="306">
        <f ca="1">COUNTIF('Group Stages'!J7:J102,BW490)</f>
        <v>0</v>
      </c>
      <c r="BY490" s="306">
        <f ca="1">COUNTIF('Group Stages'!K7:K102,BW490)</f>
        <v>0</v>
      </c>
      <c r="BZ490" s="306">
        <f ca="1">COUNTIF('Group Stages'!L7:L102,BW490)</f>
        <v>0</v>
      </c>
      <c r="CA490" s="306">
        <f ca="1">COUNTIF('Group Stages'!M7:M102,BW490)</f>
        <v>0</v>
      </c>
      <c r="CB490" s="306">
        <f ca="1">COUNTIF('Group Stages'!N7:N102,BW490)</f>
        <v>0</v>
      </c>
      <c r="CC490" s="306">
        <f ca="1">COUNTIF('Group Stages'!O7:O102,BW490)</f>
        <v>0</v>
      </c>
      <c r="CD490" s="306">
        <f ca="1">COUNTIF('Group Stages'!P7:P102,BW490)</f>
        <v>0</v>
      </c>
      <c r="CE490" s="306">
        <f ca="1">COUNTIF('Group Stages'!Q7:Q102,BW490)</f>
        <v>0</v>
      </c>
      <c r="CF490" s="306">
        <f ca="1">COUNTIF('Knock Out Stages'!K7:K50,BW490)</f>
        <v>0</v>
      </c>
      <c r="CG490" s="306">
        <f ca="1">COUNTIF('Knock Out Stages'!L7:L50,BW490)</f>
        <v>0</v>
      </c>
      <c r="CH490" s="306">
        <f ca="1">COUNTIF('Knock Out Stages'!M7:M50,BW490)</f>
        <v>0</v>
      </c>
      <c r="CI490" s="306">
        <f ca="1">COUNTIF('Knock Out Stages'!N7:N50,BW490)</f>
        <v>0</v>
      </c>
      <c r="CJ490" s="306">
        <f ca="1">COUNTIF('Knock Out Stages'!O7:O50,BW490)</f>
        <v>0</v>
      </c>
      <c r="CK490" s="306">
        <f ca="1">COUNTIF('Knock Out Stages'!P7:P50,BW490)</f>
        <v>0</v>
      </c>
      <c r="CL490" s="306">
        <f ca="1">COUNTIF('Knock Out Stages'!Q7:Q50,BW490)</f>
        <v>0</v>
      </c>
      <c r="CM490" s="306">
        <f ca="1">COUNTIF('Knock Out Stages'!R7:R50,BW490)</f>
        <v>0</v>
      </c>
      <c r="CN490" s="306">
        <f ca="1">IF(RIGHT('Group Stages'!$B$105,5)="T.com",SUM(BX490:CM490),0)</f>
        <v>0</v>
      </c>
      <c r="CO490" s="306">
        <f ca="1">RANK(CN490,CN3:CN834)+COUNTIF(CN3:CN490,CN490)-1</f>
        <v>488</v>
      </c>
      <c r="CP490" s="306" t="str">
        <f t="shared" ca="1" si="209"/>
        <v>Pau Torres (Spain)</v>
      </c>
    </row>
    <row r="491" spans="72:94" x14ac:dyDescent="0.3">
      <c r="BT491" s="306" t="str">
        <f t="shared" ca="1" si="205"/>
        <v>Spain</v>
      </c>
      <c r="BU491" s="306">
        <f t="shared" si="206"/>
        <v>20</v>
      </c>
      <c r="BV491" s="306">
        <f t="shared" si="207"/>
        <v>17</v>
      </c>
      <c r="BW491" s="306" t="str">
        <f ca="1">OFFSET(C3,BU491,BV491)</f>
        <v>Pedri</v>
      </c>
      <c r="BX491" s="306">
        <f ca="1">COUNTIF('Group Stages'!J7:J102,BW491)</f>
        <v>0</v>
      </c>
      <c r="BY491" s="306">
        <f ca="1">COUNTIF('Group Stages'!K7:K102,BW491)</f>
        <v>0</v>
      </c>
      <c r="BZ491" s="306">
        <f ca="1">COUNTIF('Group Stages'!L7:L102,BW491)</f>
        <v>0</v>
      </c>
      <c r="CA491" s="306">
        <f ca="1">COUNTIF('Group Stages'!M7:M102,BW491)</f>
        <v>0</v>
      </c>
      <c r="CB491" s="306">
        <f ca="1">COUNTIF('Group Stages'!N7:N102,BW491)</f>
        <v>0</v>
      </c>
      <c r="CC491" s="306">
        <f ca="1">COUNTIF('Group Stages'!O7:O102,BW491)</f>
        <v>0</v>
      </c>
      <c r="CD491" s="306">
        <f ca="1">COUNTIF('Group Stages'!P7:P102,BW491)</f>
        <v>0</v>
      </c>
      <c r="CE491" s="306">
        <f ca="1">COUNTIF('Group Stages'!Q7:Q102,BW491)</f>
        <v>0</v>
      </c>
      <c r="CF491" s="306">
        <f ca="1">COUNTIF('Knock Out Stages'!K7:K50,BW491)</f>
        <v>0</v>
      </c>
      <c r="CG491" s="306">
        <f ca="1">COUNTIF('Knock Out Stages'!L7:L50,BW491)</f>
        <v>0</v>
      </c>
      <c r="CH491" s="306">
        <f ca="1">COUNTIF('Knock Out Stages'!M7:M50,BW491)</f>
        <v>0</v>
      </c>
      <c r="CI491" s="306">
        <f ca="1">COUNTIF('Knock Out Stages'!N7:N50,BW491)</f>
        <v>0</v>
      </c>
      <c r="CJ491" s="306">
        <f ca="1">COUNTIF('Knock Out Stages'!O7:O50,BW491)</f>
        <v>0</v>
      </c>
      <c r="CK491" s="306">
        <f ca="1">COUNTIF('Knock Out Stages'!P7:P50,BW491)</f>
        <v>0</v>
      </c>
      <c r="CL491" s="306">
        <f ca="1">COUNTIF('Knock Out Stages'!Q7:Q50,BW491)</f>
        <v>0</v>
      </c>
      <c r="CM491" s="306">
        <f ca="1">COUNTIF('Knock Out Stages'!R7:R50,BW491)</f>
        <v>0</v>
      </c>
      <c r="CN491" s="306">
        <f ca="1">IF(RIGHT('Group Stages'!$B$105,5)="T.com",SUM(BX491:CM491),0)</f>
        <v>0</v>
      </c>
      <c r="CO491" s="306">
        <f ca="1">RANK(CN491,CN3:CN834)+COUNTIF(CN3:CN491,CN491)-1</f>
        <v>489</v>
      </c>
      <c r="CP491" s="306" t="str">
        <f t="shared" ca="1" si="209"/>
        <v>Pedri (Spain)</v>
      </c>
    </row>
    <row r="492" spans="72:94" x14ac:dyDescent="0.3">
      <c r="BT492" s="306" t="str">
        <f t="shared" ca="1" si="205"/>
        <v>Spain</v>
      </c>
      <c r="BU492" s="306">
        <f t="shared" si="206"/>
        <v>21</v>
      </c>
      <c r="BV492" s="306">
        <f t="shared" si="207"/>
        <v>17</v>
      </c>
      <c r="BW492" s="306" t="str">
        <f ca="1">OFFSET(C3,BU492,BV492)</f>
        <v>Robert Sánchez</v>
      </c>
      <c r="BX492" s="306">
        <f ca="1">COUNTIF('Group Stages'!J7:J102,BW492)</f>
        <v>0</v>
      </c>
      <c r="BY492" s="306">
        <f ca="1">COUNTIF('Group Stages'!K7:K102,BW492)</f>
        <v>0</v>
      </c>
      <c r="BZ492" s="306">
        <f ca="1">COUNTIF('Group Stages'!L7:L102,BW492)</f>
        <v>0</v>
      </c>
      <c r="CA492" s="306">
        <f ca="1">COUNTIF('Group Stages'!M7:M102,BW492)</f>
        <v>0</v>
      </c>
      <c r="CB492" s="306">
        <f ca="1">COUNTIF('Group Stages'!N7:N102,BW492)</f>
        <v>0</v>
      </c>
      <c r="CC492" s="306">
        <f ca="1">COUNTIF('Group Stages'!O7:O102,BW492)</f>
        <v>0</v>
      </c>
      <c r="CD492" s="306">
        <f ca="1">COUNTIF('Group Stages'!P7:P102,BW492)</f>
        <v>0</v>
      </c>
      <c r="CE492" s="306">
        <f ca="1">COUNTIF('Group Stages'!Q7:Q102,BW492)</f>
        <v>0</v>
      </c>
      <c r="CF492" s="306">
        <f ca="1">COUNTIF('Knock Out Stages'!K7:K50,BW492)</f>
        <v>0</v>
      </c>
      <c r="CG492" s="306">
        <f ca="1">COUNTIF('Knock Out Stages'!L7:L50,BW492)</f>
        <v>0</v>
      </c>
      <c r="CH492" s="306">
        <f ca="1">COUNTIF('Knock Out Stages'!M7:M50,BW492)</f>
        <v>0</v>
      </c>
      <c r="CI492" s="306">
        <f ca="1">COUNTIF('Knock Out Stages'!N7:N50,BW492)</f>
        <v>0</v>
      </c>
      <c r="CJ492" s="306">
        <f ca="1">COUNTIF('Knock Out Stages'!O7:O50,BW492)</f>
        <v>0</v>
      </c>
      <c r="CK492" s="306">
        <f ca="1">COUNTIF('Knock Out Stages'!P7:P50,BW492)</f>
        <v>0</v>
      </c>
      <c r="CL492" s="306">
        <f ca="1">COUNTIF('Knock Out Stages'!Q7:Q50,BW492)</f>
        <v>0</v>
      </c>
      <c r="CM492" s="306">
        <f ca="1">COUNTIF('Knock Out Stages'!R7:R50,BW492)</f>
        <v>0</v>
      </c>
      <c r="CN492" s="306">
        <f ca="1">IF(RIGHT('Group Stages'!$B$105,5)="T.com",SUM(BX492:CM492),0)</f>
        <v>0</v>
      </c>
      <c r="CO492" s="306">
        <f ca="1">RANK(CN492,CN3:CN834)+COUNTIF(CN3:CN492,CN492)-1</f>
        <v>490</v>
      </c>
      <c r="CP492" s="306" t="str">
        <f t="shared" ca="1" si="209"/>
        <v>Robert Sánchez (Spain)</v>
      </c>
    </row>
    <row r="493" spans="72:94" x14ac:dyDescent="0.3">
      <c r="BT493" s="306" t="str">
        <f t="shared" ca="1" si="205"/>
        <v>Spain</v>
      </c>
      <c r="BU493" s="306">
        <f t="shared" si="206"/>
        <v>22</v>
      </c>
      <c r="BV493" s="306">
        <f t="shared" si="207"/>
        <v>17</v>
      </c>
      <c r="BW493" s="306" t="str">
        <f ca="1">OFFSET(C3,BU493,BV493)</f>
        <v>Rodri</v>
      </c>
      <c r="BX493" s="306">
        <f ca="1">COUNTIF('Group Stages'!J7:J102,BW493)</f>
        <v>0</v>
      </c>
      <c r="BY493" s="306">
        <f ca="1">COUNTIF('Group Stages'!K7:K102,BW493)</f>
        <v>0</v>
      </c>
      <c r="BZ493" s="306">
        <f ca="1">COUNTIF('Group Stages'!L7:L102,BW493)</f>
        <v>0</v>
      </c>
      <c r="CA493" s="306">
        <f ca="1">COUNTIF('Group Stages'!M7:M102,BW493)</f>
        <v>0</v>
      </c>
      <c r="CB493" s="306">
        <f ca="1">COUNTIF('Group Stages'!N7:N102,BW493)</f>
        <v>0</v>
      </c>
      <c r="CC493" s="306">
        <f ca="1">COUNTIF('Group Stages'!O7:O102,BW493)</f>
        <v>0</v>
      </c>
      <c r="CD493" s="306">
        <f ca="1">COUNTIF('Group Stages'!P7:P102,BW493)</f>
        <v>0</v>
      </c>
      <c r="CE493" s="306">
        <f ca="1">COUNTIF('Group Stages'!Q7:Q102,BW493)</f>
        <v>0</v>
      </c>
      <c r="CF493" s="306">
        <f ca="1">COUNTIF('Knock Out Stages'!K7:K50,BW493)</f>
        <v>0</v>
      </c>
      <c r="CG493" s="306">
        <f ca="1">COUNTIF('Knock Out Stages'!L7:L50,BW493)</f>
        <v>0</v>
      </c>
      <c r="CH493" s="306">
        <f ca="1">COUNTIF('Knock Out Stages'!M7:M50,BW493)</f>
        <v>0</v>
      </c>
      <c r="CI493" s="306">
        <f ca="1">COUNTIF('Knock Out Stages'!N7:N50,BW493)</f>
        <v>0</v>
      </c>
      <c r="CJ493" s="306">
        <f ca="1">COUNTIF('Knock Out Stages'!O7:O50,BW493)</f>
        <v>0</v>
      </c>
      <c r="CK493" s="306">
        <f ca="1">COUNTIF('Knock Out Stages'!P7:P50,BW493)</f>
        <v>0</v>
      </c>
      <c r="CL493" s="306">
        <f ca="1">COUNTIF('Knock Out Stages'!Q7:Q50,BW493)</f>
        <v>0</v>
      </c>
      <c r="CM493" s="306">
        <f ca="1">COUNTIF('Knock Out Stages'!R7:R50,BW493)</f>
        <v>0</v>
      </c>
      <c r="CN493" s="306">
        <f ca="1">IF(RIGHT('Group Stages'!$B$105,5)="T.com",SUM(BX493:CM493),0)</f>
        <v>0</v>
      </c>
      <c r="CO493" s="306">
        <f ca="1">RANK(CN493,CN3:CN834)+COUNTIF(CN3:CN493,CN493)-1</f>
        <v>491</v>
      </c>
      <c r="CP493" s="306" t="str">
        <f t="shared" ca="1" si="209"/>
        <v>Rodri (Spain)</v>
      </c>
    </row>
    <row r="494" spans="72:94" x14ac:dyDescent="0.3">
      <c r="BT494" s="306" t="str">
        <f t="shared" ca="1" si="205"/>
        <v>Spain</v>
      </c>
      <c r="BU494" s="306">
        <f t="shared" si="206"/>
        <v>23</v>
      </c>
      <c r="BV494" s="306">
        <f t="shared" si="207"/>
        <v>17</v>
      </c>
      <c r="BW494" s="306" t="str">
        <f ca="1">OFFSET(C3,BU494,BV494)</f>
        <v>Sergio Busquets</v>
      </c>
      <c r="BX494" s="306">
        <f ca="1">COUNTIF('Group Stages'!J7:J102,BW494)</f>
        <v>0</v>
      </c>
      <c r="BY494" s="306">
        <f ca="1">COUNTIF('Group Stages'!K7:K102,BW494)</f>
        <v>0</v>
      </c>
      <c r="BZ494" s="306">
        <f ca="1">COUNTIF('Group Stages'!L7:L102,BW494)</f>
        <v>0</v>
      </c>
      <c r="CA494" s="306">
        <f ca="1">COUNTIF('Group Stages'!M7:M102,BW494)</f>
        <v>0</v>
      </c>
      <c r="CB494" s="306">
        <f ca="1">COUNTIF('Group Stages'!N7:N102,BW494)</f>
        <v>0</v>
      </c>
      <c r="CC494" s="306">
        <f ca="1">COUNTIF('Group Stages'!O7:O102,BW494)</f>
        <v>0</v>
      </c>
      <c r="CD494" s="306">
        <f ca="1">COUNTIF('Group Stages'!P7:P102,BW494)</f>
        <v>0</v>
      </c>
      <c r="CE494" s="306">
        <f ca="1">COUNTIF('Group Stages'!Q7:Q102,BW494)</f>
        <v>0</v>
      </c>
      <c r="CF494" s="306">
        <f ca="1">COUNTIF('Knock Out Stages'!K7:K50,BW494)</f>
        <v>0</v>
      </c>
      <c r="CG494" s="306">
        <f ca="1">COUNTIF('Knock Out Stages'!L7:L50,BW494)</f>
        <v>0</v>
      </c>
      <c r="CH494" s="306">
        <f ca="1">COUNTIF('Knock Out Stages'!M7:M50,BW494)</f>
        <v>0</v>
      </c>
      <c r="CI494" s="306">
        <f ca="1">COUNTIF('Knock Out Stages'!N7:N50,BW494)</f>
        <v>0</v>
      </c>
      <c r="CJ494" s="306">
        <f ca="1">COUNTIF('Knock Out Stages'!O7:O50,BW494)</f>
        <v>0</v>
      </c>
      <c r="CK494" s="306">
        <f ca="1">COUNTIF('Knock Out Stages'!P7:P50,BW494)</f>
        <v>0</v>
      </c>
      <c r="CL494" s="306">
        <f ca="1">COUNTIF('Knock Out Stages'!Q7:Q50,BW494)</f>
        <v>0</v>
      </c>
      <c r="CM494" s="306">
        <f ca="1">COUNTIF('Knock Out Stages'!R7:R50,BW494)</f>
        <v>0</v>
      </c>
      <c r="CN494" s="306">
        <f ca="1">IF(RIGHT('Group Stages'!$B$105,5)="T.com",SUM(BX494:CM494),0)</f>
        <v>0</v>
      </c>
      <c r="CO494" s="306">
        <f ca="1">RANK(CN494,CN3:CN834)+COUNTIF(CN3:CN494,CN494)-1</f>
        <v>492</v>
      </c>
      <c r="CP494" s="306" t="str">
        <f t="shared" ca="1" si="209"/>
        <v>Sergio Busquets (Spain)</v>
      </c>
    </row>
    <row r="495" spans="72:94" x14ac:dyDescent="0.3">
      <c r="BT495" s="306" t="str">
        <f t="shared" ca="1" si="205"/>
        <v>Spain</v>
      </c>
      <c r="BU495" s="306">
        <f t="shared" si="206"/>
        <v>24</v>
      </c>
      <c r="BV495" s="306">
        <f t="shared" si="207"/>
        <v>17</v>
      </c>
      <c r="BW495" s="306" t="str">
        <f ca="1">OFFSET(C3,BU495,BV495)</f>
        <v>Unai Simón</v>
      </c>
      <c r="BX495" s="306">
        <f ca="1">COUNTIF('Group Stages'!J7:J102,BW495)</f>
        <v>0</v>
      </c>
      <c r="BY495" s="306">
        <f ca="1">COUNTIF('Group Stages'!K7:K102,BW495)</f>
        <v>0</v>
      </c>
      <c r="BZ495" s="306">
        <f ca="1">COUNTIF('Group Stages'!L7:L102,BW495)</f>
        <v>0</v>
      </c>
      <c r="CA495" s="306">
        <f ca="1">COUNTIF('Group Stages'!M7:M102,BW495)</f>
        <v>0</v>
      </c>
      <c r="CB495" s="306">
        <f ca="1">COUNTIF('Group Stages'!N7:N102,BW495)</f>
        <v>0</v>
      </c>
      <c r="CC495" s="306">
        <f ca="1">COUNTIF('Group Stages'!O7:O102,BW495)</f>
        <v>0</v>
      </c>
      <c r="CD495" s="306">
        <f ca="1">COUNTIF('Group Stages'!P7:P102,BW495)</f>
        <v>0</v>
      </c>
      <c r="CE495" s="306">
        <f ca="1">COUNTIF('Group Stages'!Q7:Q102,BW495)</f>
        <v>0</v>
      </c>
      <c r="CF495" s="306">
        <f ca="1">COUNTIF('Knock Out Stages'!K7:K50,BW495)</f>
        <v>0</v>
      </c>
      <c r="CG495" s="306">
        <f ca="1">COUNTIF('Knock Out Stages'!L7:L50,BW495)</f>
        <v>0</v>
      </c>
      <c r="CH495" s="306">
        <f ca="1">COUNTIF('Knock Out Stages'!M7:M50,BW495)</f>
        <v>0</v>
      </c>
      <c r="CI495" s="306">
        <f ca="1">COUNTIF('Knock Out Stages'!N7:N50,BW495)</f>
        <v>0</v>
      </c>
      <c r="CJ495" s="306">
        <f ca="1">COUNTIF('Knock Out Stages'!O7:O50,BW495)</f>
        <v>0</v>
      </c>
      <c r="CK495" s="306">
        <f ca="1">COUNTIF('Knock Out Stages'!P7:P50,BW495)</f>
        <v>0</v>
      </c>
      <c r="CL495" s="306">
        <f ca="1">COUNTIF('Knock Out Stages'!Q7:Q50,BW495)</f>
        <v>0</v>
      </c>
      <c r="CM495" s="306">
        <f ca="1">COUNTIF('Knock Out Stages'!R7:R50,BW495)</f>
        <v>0</v>
      </c>
      <c r="CN495" s="306">
        <f ca="1">IF(RIGHT('Group Stages'!$B$105,5)="T.com",SUM(BX495:CM495),0)</f>
        <v>0</v>
      </c>
      <c r="CO495" s="306">
        <f ca="1">RANK(CN495,CN3:CN834)+COUNTIF(CN3:CN495,CN495)-1</f>
        <v>493</v>
      </c>
      <c r="CP495" s="306" t="str">
        <f t="shared" ca="1" si="209"/>
        <v>Unai Simón (Spain)</v>
      </c>
    </row>
    <row r="496" spans="72:94" x14ac:dyDescent="0.3">
      <c r="BT496" s="306" t="str">
        <f t="shared" ca="1" si="205"/>
        <v>Spain</v>
      </c>
      <c r="BU496" s="306">
        <f t="shared" si="206"/>
        <v>25</v>
      </c>
      <c r="BV496" s="306">
        <f t="shared" si="207"/>
        <v>17</v>
      </c>
      <c r="BW496" s="306" t="str">
        <f ca="1">OFFSET(C3,BU496,BV496)</f>
        <v>Yeremy Pino</v>
      </c>
      <c r="BX496" s="306">
        <f ca="1">COUNTIF('Group Stages'!J7:J102,BW496)</f>
        <v>0</v>
      </c>
      <c r="BY496" s="306">
        <f ca="1">COUNTIF('Group Stages'!K7:K102,BW496)</f>
        <v>0</v>
      </c>
      <c r="BZ496" s="306">
        <f ca="1">COUNTIF('Group Stages'!L7:L102,BW496)</f>
        <v>0</v>
      </c>
      <c r="CA496" s="306">
        <f ca="1">COUNTIF('Group Stages'!M7:M102,BW496)</f>
        <v>0</v>
      </c>
      <c r="CB496" s="306">
        <f ca="1">COUNTIF('Group Stages'!N7:N102,BW496)</f>
        <v>0</v>
      </c>
      <c r="CC496" s="306">
        <f ca="1">COUNTIF('Group Stages'!O7:O102,BW496)</f>
        <v>0</v>
      </c>
      <c r="CD496" s="306">
        <f ca="1">COUNTIF('Group Stages'!P7:P102,BW496)</f>
        <v>0</v>
      </c>
      <c r="CE496" s="306">
        <f ca="1">COUNTIF('Group Stages'!Q7:Q102,BW496)</f>
        <v>0</v>
      </c>
      <c r="CF496" s="306">
        <f ca="1">COUNTIF('Knock Out Stages'!K7:K50,BW496)</f>
        <v>0</v>
      </c>
      <c r="CG496" s="306">
        <f ca="1">COUNTIF('Knock Out Stages'!L7:L50,BW496)</f>
        <v>0</v>
      </c>
      <c r="CH496" s="306">
        <f ca="1">COUNTIF('Knock Out Stages'!M7:M50,BW496)</f>
        <v>0</v>
      </c>
      <c r="CI496" s="306">
        <f ca="1">COUNTIF('Knock Out Stages'!N7:N50,BW496)</f>
        <v>0</v>
      </c>
      <c r="CJ496" s="306">
        <f ca="1">COUNTIF('Knock Out Stages'!O7:O50,BW496)</f>
        <v>0</v>
      </c>
      <c r="CK496" s="306">
        <f ca="1">COUNTIF('Knock Out Stages'!P7:P50,BW496)</f>
        <v>0</v>
      </c>
      <c r="CL496" s="306">
        <f ca="1">COUNTIF('Knock Out Stages'!Q7:Q50,BW496)</f>
        <v>0</v>
      </c>
      <c r="CM496" s="306">
        <f ca="1">COUNTIF('Knock Out Stages'!R7:R50,BW496)</f>
        <v>0</v>
      </c>
      <c r="CN496" s="306">
        <f ca="1">IF(RIGHT('Group Stages'!$B$105,5)="T.com",SUM(BX496:CM496),0)</f>
        <v>0</v>
      </c>
      <c r="CO496" s="306">
        <f ca="1">RANK(CN496,CN3:CN834)+COUNTIF(CN3:CN496,CN496)-1</f>
        <v>494</v>
      </c>
      <c r="CP496" s="306" t="str">
        <f t="shared" ca="1" si="209"/>
        <v>Yeremy Pino (Spain)</v>
      </c>
    </row>
    <row r="497" spans="72:94" x14ac:dyDescent="0.3">
      <c r="BT497" s="306" t="str">
        <f ca="1">OFFSET(C2,BU497,BV497)</f>
        <v>Costa Rica</v>
      </c>
      <c r="BU497" s="306">
        <f t="shared" si="206"/>
        <v>0</v>
      </c>
      <c r="BV497" s="306">
        <f t="shared" si="207"/>
        <v>18</v>
      </c>
      <c r="BW497" s="306" t="str">
        <f ca="1">OFFSET(C3,BU497,BV497)</f>
        <v>Álvaro Zamora</v>
      </c>
      <c r="BX497" s="306">
        <f ca="1">COUNTIF('Group Stages'!J7:J102,BW497)</f>
        <v>0</v>
      </c>
      <c r="BY497" s="306">
        <f ca="1">COUNTIF('Group Stages'!K7:K102,BW497)</f>
        <v>0</v>
      </c>
      <c r="BZ497" s="306">
        <f ca="1">COUNTIF('Group Stages'!L7:L102,BW497)</f>
        <v>0</v>
      </c>
      <c r="CA497" s="306">
        <f ca="1">COUNTIF('Group Stages'!M7:M102,BW497)</f>
        <v>0</v>
      </c>
      <c r="CB497" s="306">
        <f ca="1">COUNTIF('Group Stages'!N7:N102,BW497)</f>
        <v>0</v>
      </c>
      <c r="CC497" s="306">
        <f ca="1">COUNTIF('Group Stages'!O7:O102,BW497)</f>
        <v>0</v>
      </c>
      <c r="CD497" s="306">
        <f ca="1">COUNTIF('Group Stages'!P7:P102,BW497)</f>
        <v>0</v>
      </c>
      <c r="CE497" s="306">
        <f ca="1">COUNTIF('Group Stages'!Q7:Q102,BW497)</f>
        <v>0</v>
      </c>
      <c r="CF497" s="306">
        <f ca="1">COUNTIF('Knock Out Stages'!K7:K50,BW497)</f>
        <v>0</v>
      </c>
      <c r="CG497" s="306">
        <f ca="1">COUNTIF('Knock Out Stages'!L7:L50,BW497)</f>
        <v>0</v>
      </c>
      <c r="CH497" s="306">
        <f ca="1">COUNTIF('Knock Out Stages'!M7:M50,BW497)</f>
        <v>0</v>
      </c>
      <c r="CI497" s="306">
        <f ca="1">COUNTIF('Knock Out Stages'!N7:N50,BW497)</f>
        <v>0</v>
      </c>
      <c r="CJ497" s="306">
        <f ca="1">COUNTIF('Knock Out Stages'!O7:O50,BW497)</f>
        <v>0</v>
      </c>
      <c r="CK497" s="306">
        <f ca="1">COUNTIF('Knock Out Stages'!P7:P50,BW497)</f>
        <v>0</v>
      </c>
      <c r="CL497" s="306">
        <f ca="1">COUNTIF('Knock Out Stages'!Q7:Q50,BW497)</f>
        <v>0</v>
      </c>
      <c r="CM497" s="306">
        <f ca="1">COUNTIF('Knock Out Stages'!R7:R50,BW497)</f>
        <v>0</v>
      </c>
      <c r="CN497" s="306">
        <f ca="1">IF(RIGHT('Group Stages'!$B$105,5)="T.com",SUM(BX497:CM497),0)</f>
        <v>0</v>
      </c>
      <c r="CO497" s="306">
        <f ca="1">RANK(CN497,CN3:CN834)+COUNTIF(CN3:CN497,CN497)-1</f>
        <v>495</v>
      </c>
      <c r="CP497" s="306" t="str">
        <f t="shared" ca="1" si="209"/>
        <v>Álvaro Zamora (Costa Rica)</v>
      </c>
    </row>
    <row r="498" spans="72:94" x14ac:dyDescent="0.3">
      <c r="BT498" s="306" t="str">
        <f t="shared" ref="BT498" ca="1" si="211">BT497</f>
        <v>Costa Rica</v>
      </c>
      <c r="BU498" s="306">
        <f t="shared" si="206"/>
        <v>1</v>
      </c>
      <c r="BV498" s="306">
        <f t="shared" si="207"/>
        <v>18</v>
      </c>
      <c r="BW498" s="306" t="str">
        <f ca="1">OFFSET(C3,BU498,BV498)</f>
        <v>Anthony Contreras</v>
      </c>
      <c r="BX498" s="306">
        <f ca="1">COUNTIF('Group Stages'!J7:J102,BW498)</f>
        <v>0</v>
      </c>
      <c r="BY498" s="306">
        <f ca="1">COUNTIF('Group Stages'!K7:K102,BW498)</f>
        <v>0</v>
      </c>
      <c r="BZ498" s="306">
        <f ca="1">COUNTIF('Group Stages'!L7:L102,BW498)</f>
        <v>0</v>
      </c>
      <c r="CA498" s="306">
        <f ca="1">COUNTIF('Group Stages'!M7:M102,BW498)</f>
        <v>0</v>
      </c>
      <c r="CB498" s="306">
        <f ca="1">COUNTIF('Group Stages'!N7:N102,BW498)</f>
        <v>0</v>
      </c>
      <c r="CC498" s="306">
        <f ca="1">COUNTIF('Group Stages'!O7:O102,BW498)</f>
        <v>0</v>
      </c>
      <c r="CD498" s="306">
        <f ca="1">COUNTIF('Group Stages'!P7:P102,BW498)</f>
        <v>0</v>
      </c>
      <c r="CE498" s="306">
        <f ca="1">COUNTIF('Group Stages'!Q7:Q102,BW498)</f>
        <v>0</v>
      </c>
      <c r="CF498" s="306">
        <f ca="1">COUNTIF('Knock Out Stages'!K7:K50,BW498)</f>
        <v>0</v>
      </c>
      <c r="CG498" s="306">
        <f ca="1">COUNTIF('Knock Out Stages'!L7:L50,BW498)</f>
        <v>0</v>
      </c>
      <c r="CH498" s="306">
        <f ca="1">COUNTIF('Knock Out Stages'!M7:M50,BW498)</f>
        <v>0</v>
      </c>
      <c r="CI498" s="306">
        <f ca="1">COUNTIF('Knock Out Stages'!N7:N50,BW498)</f>
        <v>0</v>
      </c>
      <c r="CJ498" s="306">
        <f ca="1">COUNTIF('Knock Out Stages'!O7:O50,BW498)</f>
        <v>0</v>
      </c>
      <c r="CK498" s="306">
        <f ca="1">COUNTIF('Knock Out Stages'!P7:P50,BW498)</f>
        <v>0</v>
      </c>
      <c r="CL498" s="306">
        <f ca="1">COUNTIF('Knock Out Stages'!Q7:Q50,BW498)</f>
        <v>0</v>
      </c>
      <c r="CM498" s="306">
        <f ca="1">COUNTIF('Knock Out Stages'!R7:R50,BW498)</f>
        <v>0</v>
      </c>
      <c r="CN498" s="306">
        <f ca="1">IF(RIGHT('Group Stages'!$B$105,5)="T.com",SUM(BX498:CM498),0)</f>
        <v>0</v>
      </c>
      <c r="CO498" s="306">
        <f ca="1">RANK(CN498,CN3:CN834)+COUNTIF(CN3:CN498,CN498)-1</f>
        <v>496</v>
      </c>
      <c r="CP498" s="306" t="str">
        <f t="shared" ca="1" si="209"/>
        <v>Anthony Contreras (Costa Rica)</v>
      </c>
    </row>
    <row r="499" spans="72:94" x14ac:dyDescent="0.3">
      <c r="BT499" s="306" t="str">
        <f t="shared" ca="1" si="205"/>
        <v>Costa Rica</v>
      </c>
      <c r="BU499" s="306">
        <f t="shared" si="206"/>
        <v>2</v>
      </c>
      <c r="BV499" s="306">
        <f t="shared" si="207"/>
        <v>18</v>
      </c>
      <c r="BW499" s="306" t="str">
        <f ca="1">OFFSET(C3,BU499,BV499)</f>
        <v>Anthony Hernández</v>
      </c>
      <c r="BX499" s="306">
        <f ca="1">COUNTIF('Group Stages'!J7:J102,BW499)</f>
        <v>0</v>
      </c>
      <c r="BY499" s="306">
        <f ca="1">COUNTIF('Group Stages'!K7:K102,BW499)</f>
        <v>0</v>
      </c>
      <c r="BZ499" s="306">
        <f ca="1">COUNTIF('Group Stages'!L7:L102,BW499)</f>
        <v>0</v>
      </c>
      <c r="CA499" s="306">
        <f ca="1">COUNTIF('Group Stages'!M7:M102,BW499)</f>
        <v>0</v>
      </c>
      <c r="CB499" s="306">
        <f ca="1">COUNTIF('Group Stages'!N7:N102,BW499)</f>
        <v>0</v>
      </c>
      <c r="CC499" s="306">
        <f ca="1">COUNTIF('Group Stages'!O7:O102,BW499)</f>
        <v>0</v>
      </c>
      <c r="CD499" s="306">
        <f ca="1">COUNTIF('Group Stages'!P7:P102,BW499)</f>
        <v>0</v>
      </c>
      <c r="CE499" s="306">
        <f ca="1">COUNTIF('Group Stages'!Q7:Q102,BW499)</f>
        <v>0</v>
      </c>
      <c r="CF499" s="306">
        <f ca="1">COUNTIF('Knock Out Stages'!K7:K50,BW499)</f>
        <v>0</v>
      </c>
      <c r="CG499" s="306">
        <f ca="1">COUNTIF('Knock Out Stages'!L7:L50,BW499)</f>
        <v>0</v>
      </c>
      <c r="CH499" s="306">
        <f ca="1">COUNTIF('Knock Out Stages'!M7:M50,BW499)</f>
        <v>0</v>
      </c>
      <c r="CI499" s="306">
        <f ca="1">COUNTIF('Knock Out Stages'!N7:N50,BW499)</f>
        <v>0</v>
      </c>
      <c r="CJ499" s="306">
        <f ca="1">COUNTIF('Knock Out Stages'!O7:O50,BW499)</f>
        <v>0</v>
      </c>
      <c r="CK499" s="306">
        <f ca="1">COUNTIF('Knock Out Stages'!P7:P50,BW499)</f>
        <v>0</v>
      </c>
      <c r="CL499" s="306">
        <f ca="1">COUNTIF('Knock Out Stages'!Q7:Q50,BW499)</f>
        <v>0</v>
      </c>
      <c r="CM499" s="306">
        <f ca="1">COUNTIF('Knock Out Stages'!R7:R50,BW499)</f>
        <v>0</v>
      </c>
      <c r="CN499" s="306">
        <f ca="1">IF(RIGHT('Group Stages'!$B$105,5)="T.com",SUM(BX499:CM499),0)</f>
        <v>0</v>
      </c>
      <c r="CO499" s="306">
        <f ca="1">RANK(CN499,CN3:CN834)+COUNTIF(CN3:CN499,CN499)-1</f>
        <v>497</v>
      </c>
      <c r="CP499" s="306" t="str">
        <f t="shared" ca="1" si="209"/>
        <v>Anthony Hernández (Costa Rica)</v>
      </c>
    </row>
    <row r="500" spans="72:94" x14ac:dyDescent="0.3">
      <c r="BT500" s="306" t="str">
        <f t="shared" ca="1" si="205"/>
        <v>Costa Rica</v>
      </c>
      <c r="BU500" s="306">
        <f t="shared" si="206"/>
        <v>3</v>
      </c>
      <c r="BV500" s="306">
        <f t="shared" si="207"/>
        <v>18</v>
      </c>
      <c r="BW500" s="306" t="str">
        <f ca="1">OFFSET(C3,BU500,BV500)</f>
        <v>Brandon Aguilera</v>
      </c>
      <c r="BX500" s="306">
        <f ca="1">COUNTIF('Group Stages'!J7:J102,BW500)</f>
        <v>0</v>
      </c>
      <c r="BY500" s="306">
        <f ca="1">COUNTIF('Group Stages'!K7:K102,BW500)</f>
        <v>0</v>
      </c>
      <c r="BZ500" s="306">
        <f ca="1">COUNTIF('Group Stages'!L7:L102,BW500)</f>
        <v>0</v>
      </c>
      <c r="CA500" s="306">
        <f ca="1">COUNTIF('Group Stages'!M7:M102,BW500)</f>
        <v>0</v>
      </c>
      <c r="CB500" s="306">
        <f ca="1">COUNTIF('Group Stages'!N7:N102,BW500)</f>
        <v>0</v>
      </c>
      <c r="CC500" s="306">
        <f ca="1">COUNTIF('Group Stages'!O7:O102,BW500)</f>
        <v>0</v>
      </c>
      <c r="CD500" s="306">
        <f ca="1">COUNTIF('Group Stages'!P7:P102,BW500)</f>
        <v>0</v>
      </c>
      <c r="CE500" s="306">
        <f ca="1">COUNTIF('Group Stages'!Q7:Q102,BW500)</f>
        <v>0</v>
      </c>
      <c r="CF500" s="306">
        <f ca="1">COUNTIF('Knock Out Stages'!K7:K50,BW500)</f>
        <v>0</v>
      </c>
      <c r="CG500" s="306">
        <f ca="1">COUNTIF('Knock Out Stages'!L7:L50,BW500)</f>
        <v>0</v>
      </c>
      <c r="CH500" s="306">
        <f ca="1">COUNTIF('Knock Out Stages'!M7:M50,BW500)</f>
        <v>0</v>
      </c>
      <c r="CI500" s="306">
        <f ca="1">COUNTIF('Knock Out Stages'!N7:N50,BW500)</f>
        <v>0</v>
      </c>
      <c r="CJ500" s="306">
        <f ca="1">COUNTIF('Knock Out Stages'!O7:O50,BW500)</f>
        <v>0</v>
      </c>
      <c r="CK500" s="306">
        <f ca="1">COUNTIF('Knock Out Stages'!P7:P50,BW500)</f>
        <v>0</v>
      </c>
      <c r="CL500" s="306">
        <f ca="1">COUNTIF('Knock Out Stages'!Q7:Q50,BW500)</f>
        <v>0</v>
      </c>
      <c r="CM500" s="306">
        <f ca="1">COUNTIF('Knock Out Stages'!R7:R50,BW500)</f>
        <v>0</v>
      </c>
      <c r="CN500" s="306">
        <f ca="1">IF(RIGHT('Group Stages'!$B$105,5)="T.com",SUM(BX500:CM500),0)</f>
        <v>0</v>
      </c>
      <c r="CO500" s="306">
        <f ca="1">RANK(CN500,CN3:CN834)+COUNTIF(CN3:CN500,CN500)-1</f>
        <v>498</v>
      </c>
      <c r="CP500" s="306" t="str">
        <f t="shared" ca="1" si="209"/>
        <v>Brandon Aguilera (Costa Rica)</v>
      </c>
    </row>
    <row r="501" spans="72:94" x14ac:dyDescent="0.3">
      <c r="BT501" s="306" t="str">
        <f t="shared" ca="1" si="205"/>
        <v>Costa Rica</v>
      </c>
      <c r="BU501" s="306">
        <f t="shared" si="206"/>
        <v>4</v>
      </c>
      <c r="BV501" s="306">
        <f t="shared" si="207"/>
        <v>18</v>
      </c>
      <c r="BW501" s="306" t="str">
        <f ca="1">OFFSET(C3,BU501,BV501)</f>
        <v>Bryan Oviedo</v>
      </c>
      <c r="BX501" s="306">
        <f ca="1">COUNTIF('Group Stages'!J7:J102,BW501)</f>
        <v>0</v>
      </c>
      <c r="BY501" s="306">
        <f ca="1">COUNTIF('Group Stages'!K7:K102,BW501)</f>
        <v>0</v>
      </c>
      <c r="BZ501" s="306">
        <f ca="1">COUNTIF('Group Stages'!L7:L102,BW501)</f>
        <v>0</v>
      </c>
      <c r="CA501" s="306">
        <f ca="1">COUNTIF('Group Stages'!M7:M102,BW501)</f>
        <v>0</v>
      </c>
      <c r="CB501" s="306">
        <f ca="1">COUNTIF('Group Stages'!N7:N102,BW501)</f>
        <v>0</v>
      </c>
      <c r="CC501" s="306">
        <f ca="1">COUNTIF('Group Stages'!O7:O102,BW501)</f>
        <v>0</v>
      </c>
      <c r="CD501" s="306">
        <f ca="1">COUNTIF('Group Stages'!P7:P102,BW501)</f>
        <v>0</v>
      </c>
      <c r="CE501" s="306">
        <f ca="1">COUNTIF('Group Stages'!Q7:Q102,BW501)</f>
        <v>0</v>
      </c>
      <c r="CF501" s="306">
        <f ca="1">COUNTIF('Knock Out Stages'!K7:K50,BW501)</f>
        <v>0</v>
      </c>
      <c r="CG501" s="306">
        <f ca="1">COUNTIF('Knock Out Stages'!L7:L50,BW501)</f>
        <v>0</v>
      </c>
      <c r="CH501" s="306">
        <f ca="1">COUNTIF('Knock Out Stages'!M7:M50,BW501)</f>
        <v>0</v>
      </c>
      <c r="CI501" s="306">
        <f ca="1">COUNTIF('Knock Out Stages'!N7:N50,BW501)</f>
        <v>0</v>
      </c>
      <c r="CJ501" s="306">
        <f ca="1">COUNTIF('Knock Out Stages'!O7:O50,BW501)</f>
        <v>0</v>
      </c>
      <c r="CK501" s="306">
        <f ca="1">COUNTIF('Knock Out Stages'!P7:P50,BW501)</f>
        <v>0</v>
      </c>
      <c r="CL501" s="306">
        <f ca="1">COUNTIF('Knock Out Stages'!Q7:Q50,BW501)</f>
        <v>0</v>
      </c>
      <c r="CM501" s="306">
        <f ca="1">COUNTIF('Knock Out Stages'!R7:R50,BW501)</f>
        <v>0</v>
      </c>
      <c r="CN501" s="306">
        <f ca="1">IF(RIGHT('Group Stages'!$B$105,5)="T.com",SUM(BX501:CM501),0)</f>
        <v>0</v>
      </c>
      <c r="CO501" s="306">
        <f ca="1">RANK(CN501,CN3:CN834)+COUNTIF(CN3:CN501,CN501)-1</f>
        <v>499</v>
      </c>
      <c r="CP501" s="306" t="str">
        <f t="shared" ca="1" si="209"/>
        <v>Bryan Oviedo (Costa Rica)</v>
      </c>
    </row>
    <row r="502" spans="72:94" x14ac:dyDescent="0.3">
      <c r="BT502" s="306" t="str">
        <f t="shared" ca="1" si="205"/>
        <v>Costa Rica</v>
      </c>
      <c r="BU502" s="306">
        <f t="shared" si="206"/>
        <v>5</v>
      </c>
      <c r="BV502" s="306">
        <f t="shared" si="207"/>
        <v>18</v>
      </c>
      <c r="BW502" s="306" t="str">
        <f ca="1">OFFSET(C3,BU502,BV502)</f>
        <v>Bryan Ruiz</v>
      </c>
      <c r="BX502" s="306">
        <f ca="1">COUNTIF('Group Stages'!J7:J102,BW502)</f>
        <v>0</v>
      </c>
      <c r="BY502" s="306">
        <f ca="1">COUNTIF('Group Stages'!K7:K102,BW502)</f>
        <v>0</v>
      </c>
      <c r="BZ502" s="306">
        <f ca="1">COUNTIF('Group Stages'!L7:L102,BW502)</f>
        <v>0</v>
      </c>
      <c r="CA502" s="306">
        <f ca="1">COUNTIF('Group Stages'!M7:M102,BW502)</f>
        <v>0</v>
      </c>
      <c r="CB502" s="306">
        <f ca="1">COUNTIF('Group Stages'!N7:N102,BW502)</f>
        <v>0</v>
      </c>
      <c r="CC502" s="306">
        <f ca="1">COUNTIF('Group Stages'!O7:O102,BW502)</f>
        <v>0</v>
      </c>
      <c r="CD502" s="306">
        <f ca="1">COUNTIF('Group Stages'!P7:P102,BW502)</f>
        <v>0</v>
      </c>
      <c r="CE502" s="306">
        <f ca="1">COUNTIF('Group Stages'!Q7:Q102,BW502)</f>
        <v>0</v>
      </c>
      <c r="CF502" s="306">
        <f ca="1">COUNTIF('Knock Out Stages'!K7:K50,BW502)</f>
        <v>0</v>
      </c>
      <c r="CG502" s="306">
        <f ca="1">COUNTIF('Knock Out Stages'!L7:L50,BW502)</f>
        <v>0</v>
      </c>
      <c r="CH502" s="306">
        <f ca="1">COUNTIF('Knock Out Stages'!M7:M50,BW502)</f>
        <v>0</v>
      </c>
      <c r="CI502" s="306">
        <f ca="1">COUNTIF('Knock Out Stages'!N7:N50,BW502)</f>
        <v>0</v>
      </c>
      <c r="CJ502" s="306">
        <f ca="1">COUNTIF('Knock Out Stages'!O7:O50,BW502)</f>
        <v>0</v>
      </c>
      <c r="CK502" s="306">
        <f ca="1">COUNTIF('Knock Out Stages'!P7:P50,BW502)</f>
        <v>0</v>
      </c>
      <c r="CL502" s="306">
        <f ca="1">COUNTIF('Knock Out Stages'!Q7:Q50,BW502)</f>
        <v>0</v>
      </c>
      <c r="CM502" s="306">
        <f ca="1">COUNTIF('Knock Out Stages'!R7:R50,BW502)</f>
        <v>0</v>
      </c>
      <c r="CN502" s="306">
        <f ca="1">IF(RIGHT('Group Stages'!$B$105,5)="T.com",SUM(BX502:CM502),0)</f>
        <v>0</v>
      </c>
      <c r="CO502" s="306">
        <f ca="1">RANK(CN502,CN3:CN834)+COUNTIF(CN3:CN502,CN502)-1</f>
        <v>500</v>
      </c>
      <c r="CP502" s="306" t="str">
        <f t="shared" ca="1" si="209"/>
        <v>Bryan Ruiz (Costa Rica)</v>
      </c>
    </row>
    <row r="503" spans="72:94" x14ac:dyDescent="0.3">
      <c r="BT503" s="306" t="str">
        <f t="shared" ca="1" si="205"/>
        <v>Costa Rica</v>
      </c>
      <c r="BU503" s="306">
        <f t="shared" si="206"/>
        <v>6</v>
      </c>
      <c r="BV503" s="306">
        <f t="shared" si="207"/>
        <v>18</v>
      </c>
      <c r="BW503" s="306" t="str">
        <f ca="1">OFFSET(C3,BU503,BV503)</f>
        <v>Carlos Martínez</v>
      </c>
      <c r="BX503" s="306">
        <f ca="1">COUNTIF('Group Stages'!J7:J102,BW503)</f>
        <v>0</v>
      </c>
      <c r="BY503" s="306">
        <f ca="1">COUNTIF('Group Stages'!K7:K102,BW503)</f>
        <v>0</v>
      </c>
      <c r="BZ503" s="306">
        <f ca="1">COUNTIF('Group Stages'!L7:L102,BW503)</f>
        <v>0</v>
      </c>
      <c r="CA503" s="306">
        <f ca="1">COUNTIF('Group Stages'!M7:M102,BW503)</f>
        <v>0</v>
      </c>
      <c r="CB503" s="306">
        <f ca="1">COUNTIF('Group Stages'!N7:N102,BW503)</f>
        <v>0</v>
      </c>
      <c r="CC503" s="306">
        <f ca="1">COUNTIF('Group Stages'!O7:O102,BW503)</f>
        <v>0</v>
      </c>
      <c r="CD503" s="306">
        <f ca="1">COUNTIF('Group Stages'!P7:P102,BW503)</f>
        <v>0</v>
      </c>
      <c r="CE503" s="306">
        <f ca="1">COUNTIF('Group Stages'!Q7:Q102,BW503)</f>
        <v>0</v>
      </c>
      <c r="CF503" s="306">
        <f ca="1">COUNTIF('Knock Out Stages'!K7:K50,BW503)</f>
        <v>0</v>
      </c>
      <c r="CG503" s="306">
        <f ca="1">COUNTIF('Knock Out Stages'!L7:L50,BW503)</f>
        <v>0</v>
      </c>
      <c r="CH503" s="306">
        <f ca="1">COUNTIF('Knock Out Stages'!M7:M50,BW503)</f>
        <v>0</v>
      </c>
      <c r="CI503" s="306">
        <f ca="1">COUNTIF('Knock Out Stages'!N7:N50,BW503)</f>
        <v>0</v>
      </c>
      <c r="CJ503" s="306">
        <f ca="1">COUNTIF('Knock Out Stages'!O7:O50,BW503)</f>
        <v>0</v>
      </c>
      <c r="CK503" s="306">
        <f ca="1">COUNTIF('Knock Out Stages'!P7:P50,BW503)</f>
        <v>0</v>
      </c>
      <c r="CL503" s="306">
        <f ca="1">COUNTIF('Knock Out Stages'!Q7:Q50,BW503)</f>
        <v>0</v>
      </c>
      <c r="CM503" s="306">
        <f ca="1">COUNTIF('Knock Out Stages'!R7:R50,BW503)</f>
        <v>0</v>
      </c>
      <c r="CN503" s="306">
        <f ca="1">IF(RIGHT('Group Stages'!$B$105,5)="T.com",SUM(BX503:CM503),0)</f>
        <v>0</v>
      </c>
      <c r="CO503" s="306">
        <f ca="1">RANK(CN503,CN3:CN834)+COUNTIF(CN3:CN503,CN503)-1</f>
        <v>501</v>
      </c>
      <c r="CP503" s="306" t="str">
        <f t="shared" ca="1" si="209"/>
        <v>Carlos Martínez (Costa Rica)</v>
      </c>
    </row>
    <row r="504" spans="72:94" x14ac:dyDescent="0.3">
      <c r="BT504" s="306" t="str">
        <f t="shared" ref="BT504:BT567" ca="1" si="212">BT503</f>
        <v>Costa Rica</v>
      </c>
      <c r="BU504" s="306">
        <f t="shared" ref="BU504:BU567" si="213">BU478</f>
        <v>7</v>
      </c>
      <c r="BV504" s="306">
        <f t="shared" ref="BV504:BV567" si="214">BV478+1</f>
        <v>18</v>
      </c>
      <c r="BW504" s="306" t="str">
        <f ca="1">OFFSET(C3,BU504,BV504)</f>
        <v>Celso Borges</v>
      </c>
      <c r="BX504" s="306">
        <f ca="1">COUNTIF('Group Stages'!J7:J102,BW504)</f>
        <v>0</v>
      </c>
      <c r="BY504" s="306">
        <f ca="1">COUNTIF('Group Stages'!K7:K102,BW504)</f>
        <v>0</v>
      </c>
      <c r="BZ504" s="306">
        <f ca="1">COUNTIF('Group Stages'!L7:L102,BW504)</f>
        <v>0</v>
      </c>
      <c r="CA504" s="306">
        <f ca="1">COUNTIF('Group Stages'!M7:M102,BW504)</f>
        <v>0</v>
      </c>
      <c r="CB504" s="306">
        <f ca="1">COUNTIF('Group Stages'!N7:N102,BW504)</f>
        <v>0</v>
      </c>
      <c r="CC504" s="306">
        <f ca="1">COUNTIF('Group Stages'!O7:O102,BW504)</f>
        <v>0</v>
      </c>
      <c r="CD504" s="306">
        <f ca="1">COUNTIF('Group Stages'!P7:P102,BW504)</f>
        <v>0</v>
      </c>
      <c r="CE504" s="306">
        <f ca="1">COUNTIF('Group Stages'!Q7:Q102,BW504)</f>
        <v>0</v>
      </c>
      <c r="CF504" s="306">
        <f ca="1">COUNTIF('Knock Out Stages'!K7:K50,BW504)</f>
        <v>0</v>
      </c>
      <c r="CG504" s="306">
        <f ca="1">COUNTIF('Knock Out Stages'!L7:L50,BW504)</f>
        <v>0</v>
      </c>
      <c r="CH504" s="306">
        <f ca="1">COUNTIF('Knock Out Stages'!M7:M50,BW504)</f>
        <v>0</v>
      </c>
      <c r="CI504" s="306">
        <f ca="1">COUNTIF('Knock Out Stages'!N7:N50,BW504)</f>
        <v>0</v>
      </c>
      <c r="CJ504" s="306">
        <f ca="1">COUNTIF('Knock Out Stages'!O7:O50,BW504)</f>
        <v>0</v>
      </c>
      <c r="CK504" s="306">
        <f ca="1">COUNTIF('Knock Out Stages'!P7:P50,BW504)</f>
        <v>0</v>
      </c>
      <c r="CL504" s="306">
        <f ca="1">COUNTIF('Knock Out Stages'!Q7:Q50,BW504)</f>
        <v>0</v>
      </c>
      <c r="CM504" s="306">
        <f ca="1">COUNTIF('Knock Out Stages'!R7:R50,BW504)</f>
        <v>0</v>
      </c>
      <c r="CN504" s="306">
        <f ca="1">IF(RIGHT('Group Stages'!$B$105,5)="T.com",SUM(BX504:CM504),0)</f>
        <v>0</v>
      </c>
      <c r="CO504" s="306">
        <f ca="1">RANK(CN504,CN3:CN834)+COUNTIF(CN3:CN504,CN504)-1</f>
        <v>502</v>
      </c>
      <c r="CP504" s="306" t="str">
        <f t="shared" ca="1" si="209"/>
        <v>Celso Borges (Costa Rica)</v>
      </c>
    </row>
    <row r="505" spans="72:94" x14ac:dyDescent="0.3">
      <c r="BT505" s="306" t="str">
        <f t="shared" ca="1" si="212"/>
        <v>Costa Rica</v>
      </c>
      <c r="BU505" s="306">
        <f t="shared" si="213"/>
        <v>8</v>
      </c>
      <c r="BV505" s="306">
        <f t="shared" si="214"/>
        <v>18</v>
      </c>
      <c r="BW505" s="306" t="str">
        <f ca="1">OFFSET(C3,BU505,BV505)</f>
        <v>Daniel Chacón</v>
      </c>
      <c r="BX505" s="306">
        <f ca="1">COUNTIF('Group Stages'!J7:J102,BW505)</f>
        <v>0</v>
      </c>
      <c r="BY505" s="306">
        <f ca="1">COUNTIF('Group Stages'!K7:K102,BW505)</f>
        <v>0</v>
      </c>
      <c r="BZ505" s="306">
        <f ca="1">COUNTIF('Group Stages'!L7:L102,BW505)</f>
        <v>0</v>
      </c>
      <c r="CA505" s="306">
        <f ca="1">COUNTIF('Group Stages'!M7:M102,BW505)</f>
        <v>0</v>
      </c>
      <c r="CB505" s="306">
        <f ca="1">COUNTIF('Group Stages'!N7:N102,BW505)</f>
        <v>0</v>
      </c>
      <c r="CC505" s="306">
        <f ca="1">COUNTIF('Group Stages'!O7:O102,BW505)</f>
        <v>0</v>
      </c>
      <c r="CD505" s="306">
        <f ca="1">COUNTIF('Group Stages'!P7:P102,BW505)</f>
        <v>0</v>
      </c>
      <c r="CE505" s="306">
        <f ca="1">COUNTIF('Group Stages'!Q7:Q102,BW505)</f>
        <v>0</v>
      </c>
      <c r="CF505" s="306">
        <f ca="1">COUNTIF('Knock Out Stages'!K7:K50,BW505)</f>
        <v>0</v>
      </c>
      <c r="CG505" s="306">
        <f ca="1">COUNTIF('Knock Out Stages'!L7:L50,BW505)</f>
        <v>0</v>
      </c>
      <c r="CH505" s="306">
        <f ca="1">COUNTIF('Knock Out Stages'!M7:M50,BW505)</f>
        <v>0</v>
      </c>
      <c r="CI505" s="306">
        <f ca="1">COUNTIF('Knock Out Stages'!N7:N50,BW505)</f>
        <v>0</v>
      </c>
      <c r="CJ505" s="306">
        <f ca="1">COUNTIF('Knock Out Stages'!O7:O50,BW505)</f>
        <v>0</v>
      </c>
      <c r="CK505" s="306">
        <f ca="1">COUNTIF('Knock Out Stages'!P7:P50,BW505)</f>
        <v>0</v>
      </c>
      <c r="CL505" s="306">
        <f ca="1">COUNTIF('Knock Out Stages'!Q7:Q50,BW505)</f>
        <v>0</v>
      </c>
      <c r="CM505" s="306">
        <f ca="1">COUNTIF('Knock Out Stages'!R7:R50,BW505)</f>
        <v>0</v>
      </c>
      <c r="CN505" s="306">
        <f ca="1">IF(RIGHT('Group Stages'!$B$105,5)="T.com",SUM(BX505:CM505),0)</f>
        <v>0</v>
      </c>
      <c r="CO505" s="306">
        <f ca="1">RANK(CN505,CN3:CN834)+COUNTIF(CN3:CN505,CN505)-1</f>
        <v>503</v>
      </c>
      <c r="CP505" s="306" t="str">
        <f t="shared" ca="1" si="209"/>
        <v>Daniel Chacón (Costa Rica)</v>
      </c>
    </row>
    <row r="506" spans="72:94" x14ac:dyDescent="0.3">
      <c r="BT506" s="306" t="str">
        <f t="shared" ca="1" si="212"/>
        <v>Costa Rica</v>
      </c>
      <c r="BU506" s="306">
        <f t="shared" si="213"/>
        <v>9</v>
      </c>
      <c r="BV506" s="306">
        <f t="shared" si="214"/>
        <v>18</v>
      </c>
      <c r="BW506" s="306" t="str">
        <f ca="1">OFFSET(C3,BU506,BV506)</f>
        <v>Douglas López</v>
      </c>
      <c r="BX506" s="306">
        <f ca="1">COUNTIF('Group Stages'!J7:J102,BW506)</f>
        <v>0</v>
      </c>
      <c r="BY506" s="306">
        <f ca="1">COUNTIF('Group Stages'!K7:K102,BW506)</f>
        <v>0</v>
      </c>
      <c r="BZ506" s="306">
        <f ca="1">COUNTIF('Group Stages'!L7:L102,BW506)</f>
        <v>0</v>
      </c>
      <c r="CA506" s="306">
        <f ca="1">COUNTIF('Group Stages'!M7:M102,BW506)</f>
        <v>0</v>
      </c>
      <c r="CB506" s="306">
        <f ca="1">COUNTIF('Group Stages'!N7:N102,BW506)</f>
        <v>0</v>
      </c>
      <c r="CC506" s="306">
        <f ca="1">COUNTIF('Group Stages'!O7:O102,BW506)</f>
        <v>0</v>
      </c>
      <c r="CD506" s="306">
        <f ca="1">COUNTIF('Group Stages'!P7:P102,BW506)</f>
        <v>0</v>
      </c>
      <c r="CE506" s="306">
        <f ca="1">COUNTIF('Group Stages'!Q7:Q102,BW506)</f>
        <v>0</v>
      </c>
      <c r="CF506" s="306">
        <f ca="1">COUNTIF('Knock Out Stages'!K7:K50,BW506)</f>
        <v>0</v>
      </c>
      <c r="CG506" s="306">
        <f ca="1">COUNTIF('Knock Out Stages'!L7:L50,BW506)</f>
        <v>0</v>
      </c>
      <c r="CH506" s="306">
        <f ca="1">COUNTIF('Knock Out Stages'!M7:M50,BW506)</f>
        <v>0</v>
      </c>
      <c r="CI506" s="306">
        <f ca="1">COUNTIF('Knock Out Stages'!N7:N50,BW506)</f>
        <v>0</v>
      </c>
      <c r="CJ506" s="306">
        <f ca="1">COUNTIF('Knock Out Stages'!O7:O50,BW506)</f>
        <v>0</v>
      </c>
      <c r="CK506" s="306">
        <f ca="1">COUNTIF('Knock Out Stages'!P7:P50,BW506)</f>
        <v>0</v>
      </c>
      <c r="CL506" s="306">
        <f ca="1">COUNTIF('Knock Out Stages'!Q7:Q50,BW506)</f>
        <v>0</v>
      </c>
      <c r="CM506" s="306">
        <f ca="1">COUNTIF('Knock Out Stages'!R7:R50,BW506)</f>
        <v>0</v>
      </c>
      <c r="CN506" s="306">
        <f ca="1">IF(RIGHT('Group Stages'!$B$105,5)="T.com",SUM(BX506:CM506),0)</f>
        <v>0</v>
      </c>
      <c r="CO506" s="306">
        <f ca="1">RANK(CN506,CN3:CN834)+COUNTIF(CN3:CN506,CN506)-1</f>
        <v>504</v>
      </c>
      <c r="CP506" s="306" t="str">
        <f t="shared" ca="1" si="209"/>
        <v>Douglas López (Costa Rica)</v>
      </c>
    </row>
    <row r="507" spans="72:94" x14ac:dyDescent="0.3">
      <c r="BT507" s="306" t="str">
        <f t="shared" ca="1" si="212"/>
        <v>Costa Rica</v>
      </c>
      <c r="BU507" s="306">
        <f t="shared" si="213"/>
        <v>10</v>
      </c>
      <c r="BV507" s="306">
        <f t="shared" si="214"/>
        <v>18</v>
      </c>
      <c r="BW507" s="306" t="str">
        <f ca="1">OFFSET(C3,BU507,BV507)</f>
        <v>Esteban Alvarado</v>
      </c>
      <c r="BX507" s="306">
        <f ca="1">COUNTIF('Group Stages'!J7:J102,BW507)</f>
        <v>0</v>
      </c>
      <c r="BY507" s="306">
        <f ca="1">COUNTIF('Group Stages'!K7:K102,BW507)</f>
        <v>0</v>
      </c>
      <c r="BZ507" s="306">
        <f ca="1">COUNTIF('Group Stages'!L7:L102,BW507)</f>
        <v>0</v>
      </c>
      <c r="CA507" s="306">
        <f ca="1">COUNTIF('Group Stages'!M7:M102,BW507)</f>
        <v>0</v>
      </c>
      <c r="CB507" s="306">
        <f ca="1">COUNTIF('Group Stages'!N7:N102,BW507)</f>
        <v>0</v>
      </c>
      <c r="CC507" s="306">
        <f ca="1">COUNTIF('Group Stages'!O7:O102,BW507)</f>
        <v>0</v>
      </c>
      <c r="CD507" s="306">
        <f ca="1">COUNTIF('Group Stages'!P7:P102,BW507)</f>
        <v>0</v>
      </c>
      <c r="CE507" s="306">
        <f ca="1">COUNTIF('Group Stages'!Q7:Q102,BW507)</f>
        <v>0</v>
      </c>
      <c r="CF507" s="306">
        <f ca="1">COUNTIF('Knock Out Stages'!K7:K50,BW507)</f>
        <v>0</v>
      </c>
      <c r="CG507" s="306">
        <f ca="1">COUNTIF('Knock Out Stages'!L7:L50,BW507)</f>
        <v>0</v>
      </c>
      <c r="CH507" s="306">
        <f ca="1">COUNTIF('Knock Out Stages'!M7:M50,BW507)</f>
        <v>0</v>
      </c>
      <c r="CI507" s="306">
        <f ca="1">COUNTIF('Knock Out Stages'!N7:N50,BW507)</f>
        <v>0</v>
      </c>
      <c r="CJ507" s="306">
        <f ca="1">COUNTIF('Knock Out Stages'!O7:O50,BW507)</f>
        <v>0</v>
      </c>
      <c r="CK507" s="306">
        <f ca="1">COUNTIF('Knock Out Stages'!P7:P50,BW507)</f>
        <v>0</v>
      </c>
      <c r="CL507" s="306">
        <f ca="1">COUNTIF('Knock Out Stages'!Q7:Q50,BW507)</f>
        <v>0</v>
      </c>
      <c r="CM507" s="306">
        <f ca="1">COUNTIF('Knock Out Stages'!R7:R50,BW507)</f>
        <v>0</v>
      </c>
      <c r="CN507" s="306">
        <f ca="1">IF(RIGHT('Group Stages'!$B$105,5)="T.com",SUM(BX507:CM507),0)</f>
        <v>0</v>
      </c>
      <c r="CO507" s="306">
        <f ca="1">RANK(CN507,CN3:CN834)+COUNTIF(CN3:CN507,CN507)-1</f>
        <v>505</v>
      </c>
      <c r="CP507" s="306" t="str">
        <f t="shared" ca="1" si="209"/>
        <v>Esteban Alvarado (Costa Rica)</v>
      </c>
    </row>
    <row r="508" spans="72:94" x14ac:dyDescent="0.3">
      <c r="BT508" s="306" t="str">
        <f t="shared" ca="1" si="212"/>
        <v>Costa Rica</v>
      </c>
      <c r="BU508" s="306">
        <f t="shared" si="213"/>
        <v>11</v>
      </c>
      <c r="BV508" s="306">
        <f t="shared" si="214"/>
        <v>18</v>
      </c>
      <c r="BW508" s="306" t="str">
        <f ca="1">OFFSET(C3,BU508,BV508)</f>
        <v>Francisco Calvo</v>
      </c>
      <c r="BX508" s="306">
        <f ca="1">COUNTIF('Group Stages'!J7:J102,BW508)</f>
        <v>0</v>
      </c>
      <c r="BY508" s="306">
        <f ca="1">COUNTIF('Group Stages'!K7:K102,BW508)</f>
        <v>0</v>
      </c>
      <c r="BZ508" s="306">
        <f ca="1">COUNTIF('Group Stages'!L7:L102,BW508)</f>
        <v>0</v>
      </c>
      <c r="CA508" s="306">
        <f ca="1">COUNTIF('Group Stages'!M7:M102,BW508)</f>
        <v>0</v>
      </c>
      <c r="CB508" s="306">
        <f ca="1">COUNTIF('Group Stages'!N7:N102,BW508)</f>
        <v>0</v>
      </c>
      <c r="CC508" s="306">
        <f ca="1">COUNTIF('Group Stages'!O7:O102,BW508)</f>
        <v>0</v>
      </c>
      <c r="CD508" s="306">
        <f ca="1">COUNTIF('Group Stages'!P7:P102,BW508)</f>
        <v>0</v>
      </c>
      <c r="CE508" s="306">
        <f ca="1">COUNTIF('Group Stages'!Q7:Q102,BW508)</f>
        <v>0</v>
      </c>
      <c r="CF508" s="306">
        <f ca="1">COUNTIF('Knock Out Stages'!K7:K50,BW508)</f>
        <v>0</v>
      </c>
      <c r="CG508" s="306">
        <f ca="1">COUNTIF('Knock Out Stages'!L7:L50,BW508)</f>
        <v>0</v>
      </c>
      <c r="CH508" s="306">
        <f ca="1">COUNTIF('Knock Out Stages'!M7:M50,BW508)</f>
        <v>0</v>
      </c>
      <c r="CI508" s="306">
        <f ca="1">COUNTIF('Knock Out Stages'!N7:N50,BW508)</f>
        <v>0</v>
      </c>
      <c r="CJ508" s="306">
        <f ca="1">COUNTIF('Knock Out Stages'!O7:O50,BW508)</f>
        <v>0</v>
      </c>
      <c r="CK508" s="306">
        <f ca="1">COUNTIF('Knock Out Stages'!P7:P50,BW508)</f>
        <v>0</v>
      </c>
      <c r="CL508" s="306">
        <f ca="1">COUNTIF('Knock Out Stages'!Q7:Q50,BW508)</f>
        <v>0</v>
      </c>
      <c r="CM508" s="306">
        <f ca="1">COUNTIF('Knock Out Stages'!R7:R50,BW508)</f>
        <v>0</v>
      </c>
      <c r="CN508" s="306">
        <f ca="1">IF(RIGHT('Group Stages'!$B$105,5)="T.com",SUM(BX508:CM508),0)</f>
        <v>0</v>
      </c>
      <c r="CO508" s="306">
        <f ca="1">RANK(CN508,CN3:CN834)+COUNTIF(CN3:CN508,CN508)-1</f>
        <v>506</v>
      </c>
      <c r="CP508" s="306" t="str">
        <f t="shared" ca="1" si="209"/>
        <v>Francisco Calvo (Costa Rica)</v>
      </c>
    </row>
    <row r="509" spans="72:94" x14ac:dyDescent="0.3">
      <c r="BT509" s="306" t="str">
        <f t="shared" ca="1" si="212"/>
        <v>Costa Rica</v>
      </c>
      <c r="BU509" s="306">
        <f t="shared" si="213"/>
        <v>12</v>
      </c>
      <c r="BV509" s="306">
        <f t="shared" si="214"/>
        <v>18</v>
      </c>
      <c r="BW509" s="306" t="str">
        <f ca="1">OFFSET(C3,BU509,BV509)</f>
        <v>Gerson Torres</v>
      </c>
      <c r="BX509" s="306">
        <f ca="1">COUNTIF('Group Stages'!J7:J102,BW509)</f>
        <v>0</v>
      </c>
      <c r="BY509" s="306">
        <f ca="1">COUNTIF('Group Stages'!K7:K102,BW509)</f>
        <v>0</v>
      </c>
      <c r="BZ509" s="306">
        <f ca="1">COUNTIF('Group Stages'!L7:L102,BW509)</f>
        <v>0</v>
      </c>
      <c r="CA509" s="306">
        <f ca="1">COUNTIF('Group Stages'!M7:M102,BW509)</f>
        <v>0</v>
      </c>
      <c r="CB509" s="306">
        <f ca="1">COUNTIF('Group Stages'!N7:N102,BW509)</f>
        <v>0</v>
      </c>
      <c r="CC509" s="306">
        <f ca="1">COUNTIF('Group Stages'!O7:O102,BW509)</f>
        <v>0</v>
      </c>
      <c r="CD509" s="306">
        <f ca="1">COUNTIF('Group Stages'!P7:P102,BW509)</f>
        <v>0</v>
      </c>
      <c r="CE509" s="306">
        <f ca="1">COUNTIF('Group Stages'!Q7:Q102,BW509)</f>
        <v>0</v>
      </c>
      <c r="CF509" s="306">
        <f ca="1">COUNTIF('Knock Out Stages'!K7:K50,BW509)</f>
        <v>0</v>
      </c>
      <c r="CG509" s="306">
        <f ca="1">COUNTIF('Knock Out Stages'!L7:L50,BW509)</f>
        <v>0</v>
      </c>
      <c r="CH509" s="306">
        <f ca="1">COUNTIF('Knock Out Stages'!M7:M50,BW509)</f>
        <v>0</v>
      </c>
      <c r="CI509" s="306">
        <f ca="1">COUNTIF('Knock Out Stages'!N7:N50,BW509)</f>
        <v>0</v>
      </c>
      <c r="CJ509" s="306">
        <f ca="1">COUNTIF('Knock Out Stages'!O7:O50,BW509)</f>
        <v>0</v>
      </c>
      <c r="CK509" s="306">
        <f ca="1">COUNTIF('Knock Out Stages'!P7:P50,BW509)</f>
        <v>0</v>
      </c>
      <c r="CL509" s="306">
        <f ca="1">COUNTIF('Knock Out Stages'!Q7:Q50,BW509)</f>
        <v>0</v>
      </c>
      <c r="CM509" s="306">
        <f ca="1">COUNTIF('Knock Out Stages'!R7:R50,BW509)</f>
        <v>0</v>
      </c>
      <c r="CN509" s="306">
        <f ca="1">IF(RIGHT('Group Stages'!$B$105,5)="T.com",SUM(BX509:CM509),0)</f>
        <v>0</v>
      </c>
      <c r="CO509" s="306">
        <f ca="1">RANK(CN509,CN3:CN834)+COUNTIF(CN3:CN509,CN509)-1</f>
        <v>507</v>
      </c>
      <c r="CP509" s="306" t="str">
        <f t="shared" ca="1" si="209"/>
        <v>Gerson Torres (Costa Rica)</v>
      </c>
    </row>
    <row r="510" spans="72:94" x14ac:dyDescent="0.3">
      <c r="BT510" s="306" t="str">
        <f t="shared" ca="1" si="212"/>
        <v>Costa Rica</v>
      </c>
      <c r="BU510" s="306">
        <f t="shared" si="213"/>
        <v>13</v>
      </c>
      <c r="BV510" s="306">
        <f t="shared" si="214"/>
        <v>18</v>
      </c>
      <c r="BW510" s="306" t="str">
        <f ca="1">OFFSET(C3,BU510,BV510)</f>
        <v>Jewison Bennette</v>
      </c>
      <c r="BX510" s="306">
        <f ca="1">COUNTIF('Group Stages'!J7:J102,BW510)</f>
        <v>0</v>
      </c>
      <c r="BY510" s="306">
        <f ca="1">COUNTIF('Group Stages'!K7:K102,BW510)</f>
        <v>0</v>
      </c>
      <c r="BZ510" s="306">
        <f ca="1">COUNTIF('Group Stages'!L7:L102,BW510)</f>
        <v>0</v>
      </c>
      <c r="CA510" s="306">
        <f ca="1">COUNTIF('Group Stages'!M7:M102,BW510)</f>
        <v>0</v>
      </c>
      <c r="CB510" s="306">
        <f ca="1">COUNTIF('Group Stages'!N7:N102,BW510)</f>
        <v>0</v>
      </c>
      <c r="CC510" s="306">
        <f ca="1">COUNTIF('Group Stages'!O7:O102,BW510)</f>
        <v>0</v>
      </c>
      <c r="CD510" s="306">
        <f ca="1">COUNTIF('Group Stages'!P7:P102,BW510)</f>
        <v>0</v>
      </c>
      <c r="CE510" s="306">
        <f ca="1">COUNTIF('Group Stages'!Q7:Q102,BW510)</f>
        <v>0</v>
      </c>
      <c r="CF510" s="306">
        <f ca="1">COUNTIF('Knock Out Stages'!K7:K50,BW510)</f>
        <v>0</v>
      </c>
      <c r="CG510" s="306">
        <f ca="1">COUNTIF('Knock Out Stages'!L7:L50,BW510)</f>
        <v>0</v>
      </c>
      <c r="CH510" s="306">
        <f ca="1">COUNTIF('Knock Out Stages'!M7:M50,BW510)</f>
        <v>0</v>
      </c>
      <c r="CI510" s="306">
        <f ca="1">COUNTIF('Knock Out Stages'!N7:N50,BW510)</f>
        <v>0</v>
      </c>
      <c r="CJ510" s="306">
        <f ca="1">COUNTIF('Knock Out Stages'!O7:O50,BW510)</f>
        <v>0</v>
      </c>
      <c r="CK510" s="306">
        <f ca="1">COUNTIF('Knock Out Stages'!P7:P50,BW510)</f>
        <v>0</v>
      </c>
      <c r="CL510" s="306">
        <f ca="1">COUNTIF('Knock Out Stages'!Q7:Q50,BW510)</f>
        <v>0</v>
      </c>
      <c r="CM510" s="306">
        <f ca="1">COUNTIF('Knock Out Stages'!R7:R50,BW510)</f>
        <v>0</v>
      </c>
      <c r="CN510" s="306">
        <f ca="1">IF(RIGHT('Group Stages'!$B$105,5)="T.com",SUM(BX510:CM510),0)</f>
        <v>0</v>
      </c>
      <c r="CO510" s="306">
        <f ca="1">RANK(CN510,CN3:CN834)+COUNTIF(CN3:CN510,CN510)-1</f>
        <v>508</v>
      </c>
      <c r="CP510" s="306" t="str">
        <f t="shared" ca="1" si="209"/>
        <v>Jewison Bennette (Costa Rica)</v>
      </c>
    </row>
    <row r="511" spans="72:94" x14ac:dyDescent="0.3">
      <c r="BT511" s="306" t="str">
        <f t="shared" ca="1" si="212"/>
        <v>Costa Rica</v>
      </c>
      <c r="BU511" s="306">
        <f t="shared" si="213"/>
        <v>14</v>
      </c>
      <c r="BV511" s="306">
        <f t="shared" si="214"/>
        <v>18</v>
      </c>
      <c r="BW511" s="306" t="str">
        <f ca="1">OFFSET(C3,BU511,BV511)</f>
        <v>Joel Campbell</v>
      </c>
      <c r="BX511" s="306">
        <f ca="1">COUNTIF('Group Stages'!J7:J102,BW511)</f>
        <v>0</v>
      </c>
      <c r="BY511" s="306">
        <f ca="1">COUNTIF('Group Stages'!K7:K102,BW511)</f>
        <v>0</v>
      </c>
      <c r="BZ511" s="306">
        <f ca="1">COUNTIF('Group Stages'!L7:L102,BW511)</f>
        <v>0</v>
      </c>
      <c r="CA511" s="306">
        <f ca="1">COUNTIF('Group Stages'!M7:M102,BW511)</f>
        <v>0</v>
      </c>
      <c r="CB511" s="306">
        <f ca="1">COUNTIF('Group Stages'!N7:N102,BW511)</f>
        <v>0</v>
      </c>
      <c r="CC511" s="306">
        <f ca="1">COUNTIF('Group Stages'!O7:O102,BW511)</f>
        <v>0</v>
      </c>
      <c r="CD511" s="306">
        <f ca="1">COUNTIF('Group Stages'!P7:P102,BW511)</f>
        <v>0</v>
      </c>
      <c r="CE511" s="306">
        <f ca="1">COUNTIF('Group Stages'!Q7:Q102,BW511)</f>
        <v>0</v>
      </c>
      <c r="CF511" s="306">
        <f ca="1">COUNTIF('Knock Out Stages'!K7:K50,BW511)</f>
        <v>0</v>
      </c>
      <c r="CG511" s="306">
        <f ca="1">COUNTIF('Knock Out Stages'!L7:L50,BW511)</f>
        <v>0</v>
      </c>
      <c r="CH511" s="306">
        <f ca="1">COUNTIF('Knock Out Stages'!M7:M50,BW511)</f>
        <v>0</v>
      </c>
      <c r="CI511" s="306">
        <f ca="1">COUNTIF('Knock Out Stages'!N7:N50,BW511)</f>
        <v>0</v>
      </c>
      <c r="CJ511" s="306">
        <f ca="1">COUNTIF('Knock Out Stages'!O7:O50,BW511)</f>
        <v>0</v>
      </c>
      <c r="CK511" s="306">
        <f ca="1">COUNTIF('Knock Out Stages'!P7:P50,BW511)</f>
        <v>0</v>
      </c>
      <c r="CL511" s="306">
        <f ca="1">COUNTIF('Knock Out Stages'!Q7:Q50,BW511)</f>
        <v>0</v>
      </c>
      <c r="CM511" s="306">
        <f ca="1">COUNTIF('Knock Out Stages'!R7:R50,BW511)</f>
        <v>0</v>
      </c>
      <c r="CN511" s="306">
        <f ca="1">IF(RIGHT('Group Stages'!$B$105,5)="T.com",SUM(BX511:CM511),0)</f>
        <v>0</v>
      </c>
      <c r="CO511" s="306">
        <f ca="1">RANK(CN511,CN3:CN834)+COUNTIF(CN3:CN511,CN511)-1</f>
        <v>509</v>
      </c>
      <c r="CP511" s="306" t="str">
        <f t="shared" ca="1" si="209"/>
        <v>Joel Campbell (Costa Rica)</v>
      </c>
    </row>
    <row r="512" spans="72:94" x14ac:dyDescent="0.3">
      <c r="BT512" s="306" t="str">
        <f t="shared" ca="1" si="212"/>
        <v>Costa Rica</v>
      </c>
      <c r="BU512" s="306">
        <f t="shared" si="213"/>
        <v>15</v>
      </c>
      <c r="BV512" s="306">
        <f t="shared" si="214"/>
        <v>18</v>
      </c>
      <c r="BW512" s="306" t="str">
        <f ca="1">OFFSET(C3,BU512,BV512)</f>
        <v>Johan Venegas</v>
      </c>
      <c r="BX512" s="306">
        <f ca="1">COUNTIF('Group Stages'!J7:J102,BW512)</f>
        <v>0</v>
      </c>
      <c r="BY512" s="306">
        <f ca="1">COUNTIF('Group Stages'!K7:K102,BW512)</f>
        <v>0</v>
      </c>
      <c r="BZ512" s="306">
        <f ca="1">COUNTIF('Group Stages'!L7:L102,BW512)</f>
        <v>0</v>
      </c>
      <c r="CA512" s="306">
        <f ca="1">COUNTIF('Group Stages'!M7:M102,BW512)</f>
        <v>0</v>
      </c>
      <c r="CB512" s="306">
        <f ca="1">COUNTIF('Group Stages'!N7:N102,BW512)</f>
        <v>0</v>
      </c>
      <c r="CC512" s="306">
        <f ca="1">COUNTIF('Group Stages'!O7:O102,BW512)</f>
        <v>0</v>
      </c>
      <c r="CD512" s="306">
        <f ca="1">COUNTIF('Group Stages'!P7:P102,BW512)</f>
        <v>0</v>
      </c>
      <c r="CE512" s="306">
        <f ca="1">COUNTIF('Group Stages'!Q7:Q102,BW512)</f>
        <v>0</v>
      </c>
      <c r="CF512" s="306">
        <f ca="1">COUNTIF('Knock Out Stages'!K7:K50,BW512)</f>
        <v>0</v>
      </c>
      <c r="CG512" s="306">
        <f ca="1">COUNTIF('Knock Out Stages'!L7:L50,BW512)</f>
        <v>0</v>
      </c>
      <c r="CH512" s="306">
        <f ca="1">COUNTIF('Knock Out Stages'!M7:M50,BW512)</f>
        <v>0</v>
      </c>
      <c r="CI512" s="306">
        <f ca="1">COUNTIF('Knock Out Stages'!N7:N50,BW512)</f>
        <v>0</v>
      </c>
      <c r="CJ512" s="306">
        <f ca="1">COUNTIF('Knock Out Stages'!O7:O50,BW512)</f>
        <v>0</v>
      </c>
      <c r="CK512" s="306">
        <f ca="1">COUNTIF('Knock Out Stages'!P7:P50,BW512)</f>
        <v>0</v>
      </c>
      <c r="CL512" s="306">
        <f ca="1">COUNTIF('Knock Out Stages'!Q7:Q50,BW512)</f>
        <v>0</v>
      </c>
      <c r="CM512" s="306">
        <f ca="1">COUNTIF('Knock Out Stages'!R7:R50,BW512)</f>
        <v>0</v>
      </c>
      <c r="CN512" s="306">
        <f ca="1">IF(RIGHT('Group Stages'!$B$105,5)="T.com",SUM(BX512:CM512),0)</f>
        <v>0</v>
      </c>
      <c r="CO512" s="306">
        <f ca="1">RANK(CN512,CN3:CN834)+COUNTIF(CN3:CN512,CN512)-1</f>
        <v>510</v>
      </c>
      <c r="CP512" s="306" t="str">
        <f t="shared" ca="1" si="209"/>
        <v>Johan Venegas (Costa Rica)</v>
      </c>
    </row>
    <row r="513" spans="72:94" x14ac:dyDescent="0.3">
      <c r="BT513" s="306" t="str">
        <f t="shared" ca="1" si="212"/>
        <v>Costa Rica</v>
      </c>
      <c r="BU513" s="306">
        <f t="shared" si="213"/>
        <v>16</v>
      </c>
      <c r="BV513" s="306">
        <f t="shared" si="214"/>
        <v>18</v>
      </c>
      <c r="BW513" s="306" t="str">
        <f ca="1">OFFSET(C3,BU513,BV513)</f>
        <v>Juan Pablo Vargas</v>
      </c>
      <c r="BX513" s="306">
        <f ca="1">COUNTIF('Group Stages'!J7:J102,BW513)</f>
        <v>0</v>
      </c>
      <c r="BY513" s="306">
        <f ca="1">COUNTIF('Group Stages'!K7:K102,BW513)</f>
        <v>0</v>
      </c>
      <c r="BZ513" s="306">
        <f ca="1">COUNTIF('Group Stages'!L7:L102,BW513)</f>
        <v>0</v>
      </c>
      <c r="CA513" s="306">
        <f ca="1">COUNTIF('Group Stages'!M7:M102,BW513)</f>
        <v>0</v>
      </c>
      <c r="CB513" s="306">
        <f ca="1">COUNTIF('Group Stages'!N7:N102,BW513)</f>
        <v>0</v>
      </c>
      <c r="CC513" s="306">
        <f ca="1">COUNTIF('Group Stages'!O7:O102,BW513)</f>
        <v>0</v>
      </c>
      <c r="CD513" s="306">
        <f ca="1">COUNTIF('Group Stages'!P7:P102,BW513)</f>
        <v>0</v>
      </c>
      <c r="CE513" s="306">
        <f ca="1">COUNTIF('Group Stages'!Q7:Q102,BW513)</f>
        <v>0</v>
      </c>
      <c r="CF513" s="306">
        <f ca="1">COUNTIF('Knock Out Stages'!K7:K50,BW513)</f>
        <v>0</v>
      </c>
      <c r="CG513" s="306">
        <f ca="1">COUNTIF('Knock Out Stages'!L7:L50,BW513)</f>
        <v>0</v>
      </c>
      <c r="CH513" s="306">
        <f ca="1">COUNTIF('Knock Out Stages'!M7:M50,BW513)</f>
        <v>0</v>
      </c>
      <c r="CI513" s="306">
        <f ca="1">COUNTIF('Knock Out Stages'!N7:N50,BW513)</f>
        <v>0</v>
      </c>
      <c r="CJ513" s="306">
        <f ca="1">COUNTIF('Knock Out Stages'!O7:O50,BW513)</f>
        <v>0</v>
      </c>
      <c r="CK513" s="306">
        <f ca="1">COUNTIF('Knock Out Stages'!P7:P50,BW513)</f>
        <v>0</v>
      </c>
      <c r="CL513" s="306">
        <f ca="1">COUNTIF('Knock Out Stages'!Q7:Q50,BW513)</f>
        <v>0</v>
      </c>
      <c r="CM513" s="306">
        <f ca="1">COUNTIF('Knock Out Stages'!R7:R50,BW513)</f>
        <v>0</v>
      </c>
      <c r="CN513" s="306">
        <f ca="1">IF(RIGHT('Group Stages'!$B$105,5)="T.com",SUM(BX513:CM513),0)</f>
        <v>0</v>
      </c>
      <c r="CO513" s="306">
        <f ca="1">RANK(CN513,CN3:CN834)+COUNTIF(CN3:CN513,CN513)-1</f>
        <v>511</v>
      </c>
      <c r="CP513" s="306" t="str">
        <f t="shared" ca="1" si="209"/>
        <v>Juan Pablo Vargas (Costa Rica)</v>
      </c>
    </row>
    <row r="514" spans="72:94" x14ac:dyDescent="0.3">
      <c r="BT514" s="306" t="str">
        <f t="shared" ca="1" si="212"/>
        <v>Costa Rica</v>
      </c>
      <c r="BU514" s="306">
        <f t="shared" si="213"/>
        <v>17</v>
      </c>
      <c r="BV514" s="306">
        <f t="shared" si="214"/>
        <v>18</v>
      </c>
      <c r="BW514" s="306" t="str">
        <f ca="1">OFFSET(C3,BU514,BV514)</f>
        <v>Kendall Waston</v>
      </c>
      <c r="BX514" s="306">
        <f ca="1">COUNTIF('Group Stages'!J7:J102,BW514)</f>
        <v>0</v>
      </c>
      <c r="BY514" s="306">
        <f ca="1">COUNTIF('Group Stages'!K7:K102,BW514)</f>
        <v>0</v>
      </c>
      <c r="BZ514" s="306">
        <f ca="1">COUNTIF('Group Stages'!L7:L102,BW514)</f>
        <v>0</v>
      </c>
      <c r="CA514" s="306">
        <f ca="1">COUNTIF('Group Stages'!M7:M102,BW514)</f>
        <v>0</v>
      </c>
      <c r="CB514" s="306">
        <f ca="1">COUNTIF('Group Stages'!N7:N102,BW514)</f>
        <v>0</v>
      </c>
      <c r="CC514" s="306">
        <f ca="1">COUNTIF('Group Stages'!O7:O102,BW514)</f>
        <v>0</v>
      </c>
      <c r="CD514" s="306">
        <f ca="1">COUNTIF('Group Stages'!P7:P102,BW514)</f>
        <v>0</v>
      </c>
      <c r="CE514" s="306">
        <f ca="1">COUNTIF('Group Stages'!Q7:Q102,BW514)</f>
        <v>0</v>
      </c>
      <c r="CF514" s="306">
        <f ca="1">COUNTIF('Knock Out Stages'!K7:K50,BW514)</f>
        <v>0</v>
      </c>
      <c r="CG514" s="306">
        <f ca="1">COUNTIF('Knock Out Stages'!L7:L50,BW514)</f>
        <v>0</v>
      </c>
      <c r="CH514" s="306">
        <f ca="1">COUNTIF('Knock Out Stages'!M7:M50,BW514)</f>
        <v>0</v>
      </c>
      <c r="CI514" s="306">
        <f ca="1">COUNTIF('Knock Out Stages'!N7:N50,BW514)</f>
        <v>0</v>
      </c>
      <c r="CJ514" s="306">
        <f ca="1">COUNTIF('Knock Out Stages'!O7:O50,BW514)</f>
        <v>0</v>
      </c>
      <c r="CK514" s="306">
        <f ca="1">COUNTIF('Knock Out Stages'!P7:P50,BW514)</f>
        <v>0</v>
      </c>
      <c r="CL514" s="306">
        <f ca="1">COUNTIF('Knock Out Stages'!Q7:Q50,BW514)</f>
        <v>0</v>
      </c>
      <c r="CM514" s="306">
        <f ca="1">COUNTIF('Knock Out Stages'!R7:R50,BW514)</f>
        <v>0</v>
      </c>
      <c r="CN514" s="306">
        <f ca="1">IF(RIGHT('Group Stages'!$B$105,5)="T.com",SUM(BX514:CM514),0)</f>
        <v>0</v>
      </c>
      <c r="CO514" s="306">
        <f ca="1">RANK(CN514,CN3:CN834)+COUNTIF(CN3:CN514,CN514)-1</f>
        <v>512</v>
      </c>
      <c r="CP514" s="306" t="str">
        <f t="shared" ca="1" si="209"/>
        <v>Kendall Waston (Costa Rica)</v>
      </c>
    </row>
    <row r="515" spans="72:94" x14ac:dyDescent="0.3">
      <c r="BT515" s="306" t="str">
        <f t="shared" ca="1" si="212"/>
        <v>Costa Rica</v>
      </c>
      <c r="BU515" s="306">
        <f t="shared" si="213"/>
        <v>18</v>
      </c>
      <c r="BV515" s="306">
        <f t="shared" si="214"/>
        <v>18</v>
      </c>
      <c r="BW515" s="306" t="str">
        <f ca="1">OFFSET(C3,BU515,BV515)</f>
        <v>Keylor Navas</v>
      </c>
      <c r="BX515" s="306">
        <f ca="1">COUNTIF('Group Stages'!J7:J102,BW515)</f>
        <v>0</v>
      </c>
      <c r="BY515" s="306">
        <f ca="1">COUNTIF('Group Stages'!K7:K102,BW515)</f>
        <v>0</v>
      </c>
      <c r="BZ515" s="306">
        <f ca="1">COUNTIF('Group Stages'!L7:L102,BW515)</f>
        <v>0</v>
      </c>
      <c r="CA515" s="306">
        <f ca="1">COUNTIF('Group Stages'!M7:M102,BW515)</f>
        <v>0</v>
      </c>
      <c r="CB515" s="306">
        <f ca="1">COUNTIF('Group Stages'!N7:N102,BW515)</f>
        <v>0</v>
      </c>
      <c r="CC515" s="306">
        <f ca="1">COUNTIF('Group Stages'!O7:O102,BW515)</f>
        <v>0</v>
      </c>
      <c r="CD515" s="306">
        <f ca="1">COUNTIF('Group Stages'!P7:P102,BW515)</f>
        <v>0</v>
      </c>
      <c r="CE515" s="306">
        <f ca="1">COUNTIF('Group Stages'!Q7:Q102,BW515)</f>
        <v>0</v>
      </c>
      <c r="CF515" s="306">
        <f ca="1">COUNTIF('Knock Out Stages'!K7:K50,BW515)</f>
        <v>0</v>
      </c>
      <c r="CG515" s="306">
        <f ca="1">COUNTIF('Knock Out Stages'!L7:L50,BW515)</f>
        <v>0</v>
      </c>
      <c r="CH515" s="306">
        <f ca="1">COUNTIF('Knock Out Stages'!M7:M50,BW515)</f>
        <v>0</v>
      </c>
      <c r="CI515" s="306">
        <f ca="1">COUNTIF('Knock Out Stages'!N7:N50,BW515)</f>
        <v>0</v>
      </c>
      <c r="CJ515" s="306">
        <f ca="1">COUNTIF('Knock Out Stages'!O7:O50,BW515)</f>
        <v>0</v>
      </c>
      <c r="CK515" s="306">
        <f ca="1">COUNTIF('Knock Out Stages'!P7:P50,BW515)</f>
        <v>0</v>
      </c>
      <c r="CL515" s="306">
        <f ca="1">COUNTIF('Knock Out Stages'!Q7:Q50,BW515)</f>
        <v>0</v>
      </c>
      <c r="CM515" s="306">
        <f ca="1">COUNTIF('Knock Out Stages'!R7:R50,BW515)</f>
        <v>0</v>
      </c>
      <c r="CN515" s="306">
        <f ca="1">IF(RIGHT('Group Stages'!$B$105,5)="T.com",SUM(BX515:CM515),0)</f>
        <v>0</v>
      </c>
      <c r="CO515" s="306">
        <f ca="1">RANK(CN515,CN3:CN834)+COUNTIF(CN3:CN515,CN515)-1</f>
        <v>513</v>
      </c>
      <c r="CP515" s="306" t="str">
        <f t="shared" ca="1" si="209"/>
        <v>Keylor Navas (Costa Rica)</v>
      </c>
    </row>
    <row r="516" spans="72:94" x14ac:dyDescent="0.3">
      <c r="BT516" s="306" t="str">
        <f t="shared" ca="1" si="212"/>
        <v>Costa Rica</v>
      </c>
      <c r="BU516" s="306">
        <f t="shared" si="213"/>
        <v>19</v>
      </c>
      <c r="BV516" s="306">
        <f t="shared" si="214"/>
        <v>18</v>
      </c>
      <c r="BW516" s="306" t="str">
        <f ca="1">OFFSET(C3,BU516,BV516)</f>
        <v>Keysher Fuller</v>
      </c>
      <c r="BX516" s="306">
        <f ca="1">COUNTIF('Group Stages'!J7:J102,BW516)</f>
        <v>0</v>
      </c>
      <c r="BY516" s="306">
        <f ca="1">COUNTIF('Group Stages'!K7:K102,BW516)</f>
        <v>0</v>
      </c>
      <c r="BZ516" s="306">
        <f ca="1">COUNTIF('Group Stages'!L7:L102,BW516)</f>
        <v>0</v>
      </c>
      <c r="CA516" s="306">
        <f ca="1">COUNTIF('Group Stages'!M7:M102,BW516)</f>
        <v>0</v>
      </c>
      <c r="CB516" s="306">
        <f ca="1">COUNTIF('Group Stages'!N7:N102,BW516)</f>
        <v>0</v>
      </c>
      <c r="CC516" s="306">
        <f ca="1">COUNTIF('Group Stages'!O7:O102,BW516)</f>
        <v>0</v>
      </c>
      <c r="CD516" s="306">
        <f ca="1">COUNTIF('Group Stages'!P7:P102,BW516)</f>
        <v>0</v>
      </c>
      <c r="CE516" s="306">
        <f ca="1">COUNTIF('Group Stages'!Q7:Q102,BW516)</f>
        <v>0</v>
      </c>
      <c r="CF516" s="306">
        <f ca="1">COUNTIF('Knock Out Stages'!K7:K50,BW516)</f>
        <v>0</v>
      </c>
      <c r="CG516" s="306">
        <f ca="1">COUNTIF('Knock Out Stages'!L7:L50,BW516)</f>
        <v>0</v>
      </c>
      <c r="CH516" s="306">
        <f ca="1">COUNTIF('Knock Out Stages'!M7:M50,BW516)</f>
        <v>0</v>
      </c>
      <c r="CI516" s="306">
        <f ca="1">COUNTIF('Knock Out Stages'!N7:N50,BW516)</f>
        <v>0</v>
      </c>
      <c r="CJ516" s="306">
        <f ca="1">COUNTIF('Knock Out Stages'!O7:O50,BW516)</f>
        <v>0</v>
      </c>
      <c r="CK516" s="306">
        <f ca="1">COUNTIF('Knock Out Stages'!P7:P50,BW516)</f>
        <v>0</v>
      </c>
      <c r="CL516" s="306">
        <f ca="1">COUNTIF('Knock Out Stages'!Q7:Q50,BW516)</f>
        <v>0</v>
      </c>
      <c r="CM516" s="306">
        <f ca="1">COUNTIF('Knock Out Stages'!R7:R50,BW516)</f>
        <v>0</v>
      </c>
      <c r="CN516" s="306">
        <f ca="1">IF(RIGHT('Group Stages'!$B$105,5)="T.com",SUM(BX516:CM516),0)</f>
        <v>0</v>
      </c>
      <c r="CO516" s="306">
        <f ca="1">RANK(CN516,CN3:CN834)+COUNTIF(CN3:CN516,CN516)-1</f>
        <v>514</v>
      </c>
      <c r="CP516" s="306" t="str">
        <f t="shared" ref="CP516:CP579" ca="1" si="215">BW516&amp;" ("&amp;BT516&amp;")"</f>
        <v>Keysher Fuller (Costa Rica)</v>
      </c>
    </row>
    <row r="517" spans="72:94" x14ac:dyDescent="0.3">
      <c r="BT517" s="306" t="str">
        <f t="shared" ca="1" si="212"/>
        <v>Costa Rica</v>
      </c>
      <c r="BU517" s="306">
        <f t="shared" si="213"/>
        <v>20</v>
      </c>
      <c r="BV517" s="306">
        <f t="shared" si="214"/>
        <v>18</v>
      </c>
      <c r="BW517" s="306" t="str">
        <f ca="1">OFFSET(C3,BU517,BV517)</f>
        <v>Óscar Duarte</v>
      </c>
      <c r="BX517" s="306">
        <f ca="1">COUNTIF('Group Stages'!J7:J102,BW517)</f>
        <v>0</v>
      </c>
      <c r="BY517" s="306">
        <f ca="1">COUNTIF('Group Stages'!K7:K102,BW517)</f>
        <v>0</v>
      </c>
      <c r="BZ517" s="306">
        <f ca="1">COUNTIF('Group Stages'!L7:L102,BW517)</f>
        <v>0</v>
      </c>
      <c r="CA517" s="306">
        <f ca="1">COUNTIF('Group Stages'!M7:M102,BW517)</f>
        <v>0</v>
      </c>
      <c r="CB517" s="306">
        <f ca="1">COUNTIF('Group Stages'!N7:N102,BW517)</f>
        <v>0</v>
      </c>
      <c r="CC517" s="306">
        <f ca="1">COUNTIF('Group Stages'!O7:O102,BW517)</f>
        <v>0</v>
      </c>
      <c r="CD517" s="306">
        <f ca="1">COUNTIF('Group Stages'!P7:P102,BW517)</f>
        <v>0</v>
      </c>
      <c r="CE517" s="306">
        <f ca="1">COUNTIF('Group Stages'!Q7:Q102,BW517)</f>
        <v>0</v>
      </c>
      <c r="CF517" s="306">
        <f ca="1">COUNTIF('Knock Out Stages'!K7:K50,BW517)</f>
        <v>0</v>
      </c>
      <c r="CG517" s="306">
        <f ca="1">COUNTIF('Knock Out Stages'!L7:L50,BW517)</f>
        <v>0</v>
      </c>
      <c r="CH517" s="306">
        <f ca="1">COUNTIF('Knock Out Stages'!M7:M50,BW517)</f>
        <v>0</v>
      </c>
      <c r="CI517" s="306">
        <f ca="1">COUNTIF('Knock Out Stages'!N7:N50,BW517)</f>
        <v>0</v>
      </c>
      <c r="CJ517" s="306">
        <f ca="1">COUNTIF('Knock Out Stages'!O7:O50,BW517)</f>
        <v>0</v>
      </c>
      <c r="CK517" s="306">
        <f ca="1">COUNTIF('Knock Out Stages'!P7:P50,BW517)</f>
        <v>0</v>
      </c>
      <c r="CL517" s="306">
        <f ca="1">COUNTIF('Knock Out Stages'!Q7:Q50,BW517)</f>
        <v>0</v>
      </c>
      <c r="CM517" s="306">
        <f ca="1">COUNTIF('Knock Out Stages'!R7:R50,BW517)</f>
        <v>0</v>
      </c>
      <c r="CN517" s="306">
        <f ca="1">IF(RIGHT('Group Stages'!$B$105,5)="T.com",SUM(BX517:CM517),0)</f>
        <v>0</v>
      </c>
      <c r="CO517" s="306">
        <f ca="1">RANK(CN517,CN3:CN834)+COUNTIF(CN3:CN517,CN517)-1</f>
        <v>515</v>
      </c>
      <c r="CP517" s="306" t="str">
        <f t="shared" ca="1" si="215"/>
        <v>Óscar Duarte (Costa Rica)</v>
      </c>
    </row>
    <row r="518" spans="72:94" x14ac:dyDescent="0.3">
      <c r="BT518" s="306" t="str">
        <f t="shared" ca="1" si="212"/>
        <v>Costa Rica</v>
      </c>
      <c r="BU518" s="306">
        <f t="shared" si="213"/>
        <v>21</v>
      </c>
      <c r="BV518" s="306">
        <f t="shared" si="214"/>
        <v>18</v>
      </c>
      <c r="BW518" s="306" t="str">
        <f ca="1">OFFSET(C3,BU518,BV518)</f>
        <v>Patrick Sequeira</v>
      </c>
      <c r="BX518" s="306">
        <f ca="1">COUNTIF('Group Stages'!J7:J102,BW518)</f>
        <v>0</v>
      </c>
      <c r="BY518" s="306">
        <f ca="1">COUNTIF('Group Stages'!K7:K102,BW518)</f>
        <v>0</v>
      </c>
      <c r="BZ518" s="306">
        <f ca="1">COUNTIF('Group Stages'!L7:L102,BW518)</f>
        <v>0</v>
      </c>
      <c r="CA518" s="306">
        <f ca="1">COUNTIF('Group Stages'!M7:M102,BW518)</f>
        <v>0</v>
      </c>
      <c r="CB518" s="306">
        <f ca="1">COUNTIF('Group Stages'!N7:N102,BW518)</f>
        <v>0</v>
      </c>
      <c r="CC518" s="306">
        <f ca="1">COUNTIF('Group Stages'!O7:O102,BW518)</f>
        <v>0</v>
      </c>
      <c r="CD518" s="306">
        <f ca="1">COUNTIF('Group Stages'!P7:P102,BW518)</f>
        <v>0</v>
      </c>
      <c r="CE518" s="306">
        <f ca="1">COUNTIF('Group Stages'!Q7:Q102,BW518)</f>
        <v>0</v>
      </c>
      <c r="CF518" s="306">
        <f ca="1">COUNTIF('Knock Out Stages'!K7:K50,BW518)</f>
        <v>0</v>
      </c>
      <c r="CG518" s="306">
        <f ca="1">COUNTIF('Knock Out Stages'!L7:L50,BW518)</f>
        <v>0</v>
      </c>
      <c r="CH518" s="306">
        <f ca="1">COUNTIF('Knock Out Stages'!M7:M50,BW518)</f>
        <v>0</v>
      </c>
      <c r="CI518" s="306">
        <f ca="1">COUNTIF('Knock Out Stages'!N7:N50,BW518)</f>
        <v>0</v>
      </c>
      <c r="CJ518" s="306">
        <f ca="1">COUNTIF('Knock Out Stages'!O7:O50,BW518)</f>
        <v>0</v>
      </c>
      <c r="CK518" s="306">
        <f ca="1">COUNTIF('Knock Out Stages'!P7:P50,BW518)</f>
        <v>0</v>
      </c>
      <c r="CL518" s="306">
        <f ca="1">COUNTIF('Knock Out Stages'!Q7:Q50,BW518)</f>
        <v>0</v>
      </c>
      <c r="CM518" s="306">
        <f ca="1">COUNTIF('Knock Out Stages'!R7:R50,BW518)</f>
        <v>0</v>
      </c>
      <c r="CN518" s="306">
        <f ca="1">IF(RIGHT('Group Stages'!$B$105,5)="T.com",SUM(BX518:CM518),0)</f>
        <v>0</v>
      </c>
      <c r="CO518" s="306">
        <f ca="1">RANK(CN518,CN3:CN834)+COUNTIF(CN3:CN518,CN518)-1</f>
        <v>516</v>
      </c>
      <c r="CP518" s="306" t="str">
        <f t="shared" ca="1" si="215"/>
        <v>Patrick Sequeira (Costa Rica)</v>
      </c>
    </row>
    <row r="519" spans="72:94" x14ac:dyDescent="0.3">
      <c r="BT519" s="306" t="str">
        <f t="shared" ca="1" si="212"/>
        <v>Costa Rica</v>
      </c>
      <c r="BU519" s="306">
        <f t="shared" si="213"/>
        <v>22</v>
      </c>
      <c r="BV519" s="306">
        <f t="shared" si="214"/>
        <v>18</v>
      </c>
      <c r="BW519" s="306" t="str">
        <f ca="1">OFFSET(C3,BU519,BV519)</f>
        <v>Roan Wilson</v>
      </c>
      <c r="BX519" s="306">
        <f ca="1">COUNTIF('Group Stages'!J7:J102,BW519)</f>
        <v>0</v>
      </c>
      <c r="BY519" s="306">
        <f ca="1">COUNTIF('Group Stages'!K7:K102,BW519)</f>
        <v>0</v>
      </c>
      <c r="BZ519" s="306">
        <f ca="1">COUNTIF('Group Stages'!L7:L102,BW519)</f>
        <v>0</v>
      </c>
      <c r="CA519" s="306">
        <f ca="1">COUNTIF('Group Stages'!M7:M102,BW519)</f>
        <v>0</v>
      </c>
      <c r="CB519" s="306">
        <f ca="1">COUNTIF('Group Stages'!N7:N102,BW519)</f>
        <v>0</v>
      </c>
      <c r="CC519" s="306">
        <f ca="1">COUNTIF('Group Stages'!O7:O102,BW519)</f>
        <v>0</v>
      </c>
      <c r="CD519" s="306">
        <f ca="1">COUNTIF('Group Stages'!P7:P102,BW519)</f>
        <v>0</v>
      </c>
      <c r="CE519" s="306">
        <f ca="1">COUNTIF('Group Stages'!Q7:Q102,BW519)</f>
        <v>0</v>
      </c>
      <c r="CF519" s="306">
        <f ca="1">COUNTIF('Knock Out Stages'!K7:K50,BW519)</f>
        <v>0</v>
      </c>
      <c r="CG519" s="306">
        <f ca="1">COUNTIF('Knock Out Stages'!L7:L50,BW519)</f>
        <v>0</v>
      </c>
      <c r="CH519" s="306">
        <f ca="1">COUNTIF('Knock Out Stages'!M7:M50,BW519)</f>
        <v>0</v>
      </c>
      <c r="CI519" s="306">
        <f ca="1">COUNTIF('Knock Out Stages'!N7:N50,BW519)</f>
        <v>0</v>
      </c>
      <c r="CJ519" s="306">
        <f ca="1">COUNTIF('Knock Out Stages'!O7:O50,BW519)</f>
        <v>0</v>
      </c>
      <c r="CK519" s="306">
        <f ca="1">COUNTIF('Knock Out Stages'!P7:P50,BW519)</f>
        <v>0</v>
      </c>
      <c r="CL519" s="306">
        <f ca="1">COUNTIF('Knock Out Stages'!Q7:Q50,BW519)</f>
        <v>0</v>
      </c>
      <c r="CM519" s="306">
        <f ca="1">COUNTIF('Knock Out Stages'!R7:R50,BW519)</f>
        <v>0</v>
      </c>
      <c r="CN519" s="306">
        <f ca="1">IF(RIGHT('Group Stages'!$B$105,5)="T.com",SUM(BX519:CM519),0)</f>
        <v>0</v>
      </c>
      <c r="CO519" s="306">
        <f ca="1">RANK(CN519,CN3:CN834)+COUNTIF(CN3:CN519,CN519)-1</f>
        <v>517</v>
      </c>
      <c r="CP519" s="306" t="str">
        <f t="shared" ca="1" si="215"/>
        <v>Roan Wilson (Costa Rica)</v>
      </c>
    </row>
    <row r="520" spans="72:94" x14ac:dyDescent="0.3">
      <c r="BT520" s="306" t="str">
        <f t="shared" ca="1" si="212"/>
        <v>Costa Rica</v>
      </c>
      <c r="BU520" s="306">
        <f t="shared" si="213"/>
        <v>23</v>
      </c>
      <c r="BV520" s="306">
        <f t="shared" si="214"/>
        <v>18</v>
      </c>
      <c r="BW520" s="306" t="str">
        <f ca="1">OFFSET(C3,BU520,BV520)</f>
        <v>Rónald Matarrita</v>
      </c>
      <c r="BX520" s="306">
        <f ca="1">COUNTIF('Group Stages'!J7:J102,BW520)</f>
        <v>0</v>
      </c>
      <c r="BY520" s="306">
        <f ca="1">COUNTIF('Group Stages'!K7:K102,BW520)</f>
        <v>0</v>
      </c>
      <c r="BZ520" s="306">
        <f ca="1">COUNTIF('Group Stages'!L7:L102,BW520)</f>
        <v>0</v>
      </c>
      <c r="CA520" s="306">
        <f ca="1">COUNTIF('Group Stages'!M7:M102,BW520)</f>
        <v>0</v>
      </c>
      <c r="CB520" s="306">
        <f ca="1">COUNTIF('Group Stages'!N7:N102,BW520)</f>
        <v>0</v>
      </c>
      <c r="CC520" s="306">
        <f ca="1">COUNTIF('Group Stages'!O7:O102,BW520)</f>
        <v>0</v>
      </c>
      <c r="CD520" s="306">
        <f ca="1">COUNTIF('Group Stages'!P7:P102,BW520)</f>
        <v>0</v>
      </c>
      <c r="CE520" s="306">
        <f ca="1">COUNTIF('Group Stages'!Q7:Q102,BW520)</f>
        <v>0</v>
      </c>
      <c r="CF520" s="306">
        <f ca="1">COUNTIF('Knock Out Stages'!K7:K50,BW520)</f>
        <v>0</v>
      </c>
      <c r="CG520" s="306">
        <f ca="1">COUNTIF('Knock Out Stages'!L7:L50,BW520)</f>
        <v>0</v>
      </c>
      <c r="CH520" s="306">
        <f ca="1">COUNTIF('Knock Out Stages'!M7:M50,BW520)</f>
        <v>0</v>
      </c>
      <c r="CI520" s="306">
        <f ca="1">COUNTIF('Knock Out Stages'!N7:N50,BW520)</f>
        <v>0</v>
      </c>
      <c r="CJ520" s="306">
        <f ca="1">COUNTIF('Knock Out Stages'!O7:O50,BW520)</f>
        <v>0</v>
      </c>
      <c r="CK520" s="306">
        <f ca="1">COUNTIF('Knock Out Stages'!P7:P50,BW520)</f>
        <v>0</v>
      </c>
      <c r="CL520" s="306">
        <f ca="1">COUNTIF('Knock Out Stages'!Q7:Q50,BW520)</f>
        <v>0</v>
      </c>
      <c r="CM520" s="306">
        <f ca="1">COUNTIF('Knock Out Stages'!R7:R50,BW520)</f>
        <v>0</v>
      </c>
      <c r="CN520" s="306">
        <f ca="1">IF(RIGHT('Group Stages'!$B$105,5)="T.com",SUM(BX520:CM520),0)</f>
        <v>0</v>
      </c>
      <c r="CO520" s="306">
        <f ca="1">RANK(CN520,CN3:CN834)+COUNTIF(CN3:CN520,CN520)-1</f>
        <v>518</v>
      </c>
      <c r="CP520" s="306" t="str">
        <f t="shared" ca="1" si="215"/>
        <v>Rónald Matarrita (Costa Rica)</v>
      </c>
    </row>
    <row r="521" spans="72:94" x14ac:dyDescent="0.3">
      <c r="BT521" s="306" t="str">
        <f t="shared" ca="1" si="212"/>
        <v>Costa Rica</v>
      </c>
      <c r="BU521" s="306">
        <f t="shared" si="213"/>
        <v>24</v>
      </c>
      <c r="BV521" s="306">
        <f t="shared" si="214"/>
        <v>18</v>
      </c>
      <c r="BW521" s="306" t="str">
        <f ca="1">OFFSET(C3,BU521,BV521)</f>
        <v>Yeltsin Tejeda</v>
      </c>
      <c r="BX521" s="306">
        <f ca="1">COUNTIF('Group Stages'!J7:J102,BW521)</f>
        <v>0</v>
      </c>
      <c r="BY521" s="306">
        <f ca="1">COUNTIF('Group Stages'!K7:K102,BW521)</f>
        <v>0</v>
      </c>
      <c r="BZ521" s="306">
        <f ca="1">COUNTIF('Group Stages'!L7:L102,BW521)</f>
        <v>0</v>
      </c>
      <c r="CA521" s="306">
        <f ca="1">COUNTIF('Group Stages'!M7:M102,BW521)</f>
        <v>0</v>
      </c>
      <c r="CB521" s="306">
        <f ca="1">COUNTIF('Group Stages'!N7:N102,BW521)</f>
        <v>0</v>
      </c>
      <c r="CC521" s="306">
        <f ca="1">COUNTIF('Group Stages'!O7:O102,BW521)</f>
        <v>0</v>
      </c>
      <c r="CD521" s="306">
        <f ca="1">COUNTIF('Group Stages'!P7:P102,BW521)</f>
        <v>0</v>
      </c>
      <c r="CE521" s="306">
        <f ca="1">COUNTIF('Group Stages'!Q7:Q102,BW521)</f>
        <v>0</v>
      </c>
      <c r="CF521" s="306">
        <f ca="1">COUNTIF('Knock Out Stages'!K7:K50,BW521)</f>
        <v>0</v>
      </c>
      <c r="CG521" s="306">
        <f ca="1">COUNTIF('Knock Out Stages'!L7:L50,BW521)</f>
        <v>0</v>
      </c>
      <c r="CH521" s="306">
        <f ca="1">COUNTIF('Knock Out Stages'!M7:M50,BW521)</f>
        <v>0</v>
      </c>
      <c r="CI521" s="306">
        <f ca="1">COUNTIF('Knock Out Stages'!N7:N50,BW521)</f>
        <v>0</v>
      </c>
      <c r="CJ521" s="306">
        <f ca="1">COUNTIF('Knock Out Stages'!O7:O50,BW521)</f>
        <v>0</v>
      </c>
      <c r="CK521" s="306">
        <f ca="1">COUNTIF('Knock Out Stages'!P7:P50,BW521)</f>
        <v>0</v>
      </c>
      <c r="CL521" s="306">
        <f ca="1">COUNTIF('Knock Out Stages'!Q7:Q50,BW521)</f>
        <v>0</v>
      </c>
      <c r="CM521" s="306">
        <f ca="1">COUNTIF('Knock Out Stages'!R7:R50,BW521)</f>
        <v>0</v>
      </c>
      <c r="CN521" s="306">
        <f ca="1">IF(RIGHT('Group Stages'!$B$105,5)="T.com",SUM(BX521:CM521),0)</f>
        <v>0</v>
      </c>
      <c r="CO521" s="306">
        <f ca="1">RANK(CN521,CN3:CN834)+COUNTIF(CN3:CN521,CN521)-1</f>
        <v>519</v>
      </c>
      <c r="CP521" s="306" t="str">
        <f t="shared" ca="1" si="215"/>
        <v>Yeltsin Tejeda (Costa Rica)</v>
      </c>
    </row>
    <row r="522" spans="72:94" x14ac:dyDescent="0.3">
      <c r="BT522" s="306" t="str">
        <f t="shared" ca="1" si="212"/>
        <v>Costa Rica</v>
      </c>
      <c r="BU522" s="306">
        <f t="shared" si="213"/>
        <v>25</v>
      </c>
      <c r="BV522" s="306">
        <f t="shared" si="214"/>
        <v>18</v>
      </c>
      <c r="BW522" s="306" t="str">
        <f ca="1">OFFSET(C3,BU522,BV522)</f>
        <v>Youstin Salas</v>
      </c>
      <c r="BX522" s="306">
        <f ca="1">COUNTIF('Group Stages'!J7:J102,BW522)</f>
        <v>0</v>
      </c>
      <c r="BY522" s="306">
        <f ca="1">COUNTIF('Group Stages'!K7:K102,BW522)</f>
        <v>0</v>
      </c>
      <c r="BZ522" s="306">
        <f ca="1">COUNTIF('Group Stages'!L7:L102,BW522)</f>
        <v>0</v>
      </c>
      <c r="CA522" s="306">
        <f ca="1">COUNTIF('Group Stages'!M7:M102,BW522)</f>
        <v>0</v>
      </c>
      <c r="CB522" s="306">
        <f ca="1">COUNTIF('Group Stages'!N7:N102,BW522)</f>
        <v>0</v>
      </c>
      <c r="CC522" s="306">
        <f ca="1">COUNTIF('Group Stages'!O7:O102,BW522)</f>
        <v>0</v>
      </c>
      <c r="CD522" s="306">
        <f ca="1">COUNTIF('Group Stages'!P7:P102,BW522)</f>
        <v>0</v>
      </c>
      <c r="CE522" s="306">
        <f ca="1">COUNTIF('Group Stages'!Q7:Q102,BW522)</f>
        <v>0</v>
      </c>
      <c r="CF522" s="306">
        <f ca="1">COUNTIF('Knock Out Stages'!K7:K50,BW522)</f>
        <v>0</v>
      </c>
      <c r="CG522" s="306">
        <f ca="1">COUNTIF('Knock Out Stages'!L7:L50,BW522)</f>
        <v>0</v>
      </c>
      <c r="CH522" s="306">
        <f ca="1">COUNTIF('Knock Out Stages'!M7:M50,BW522)</f>
        <v>0</v>
      </c>
      <c r="CI522" s="306">
        <f ca="1">COUNTIF('Knock Out Stages'!N7:N50,BW522)</f>
        <v>0</v>
      </c>
      <c r="CJ522" s="306">
        <f ca="1">COUNTIF('Knock Out Stages'!O7:O50,BW522)</f>
        <v>0</v>
      </c>
      <c r="CK522" s="306">
        <f ca="1">COUNTIF('Knock Out Stages'!P7:P50,BW522)</f>
        <v>0</v>
      </c>
      <c r="CL522" s="306">
        <f ca="1">COUNTIF('Knock Out Stages'!Q7:Q50,BW522)</f>
        <v>0</v>
      </c>
      <c r="CM522" s="306">
        <f ca="1">COUNTIF('Knock Out Stages'!R7:R50,BW522)</f>
        <v>0</v>
      </c>
      <c r="CN522" s="306">
        <f ca="1">IF(RIGHT('Group Stages'!$B$105,5)="T.com",SUM(BX522:CM522),0)</f>
        <v>0</v>
      </c>
      <c r="CO522" s="306">
        <f ca="1">RANK(CN522,CN3:CN834)+COUNTIF(CN3:CN522,CN522)-1</f>
        <v>520</v>
      </c>
      <c r="CP522" s="306" t="str">
        <f t="shared" ca="1" si="215"/>
        <v>Youstin Salas (Costa Rica)</v>
      </c>
    </row>
    <row r="523" spans="72:94" x14ac:dyDescent="0.3">
      <c r="BT523" s="306" t="str">
        <f ca="1">OFFSET(C2,BU523,BV523)</f>
        <v>Morocco</v>
      </c>
      <c r="BU523" s="306">
        <f t="shared" si="213"/>
        <v>0</v>
      </c>
      <c r="BV523" s="306">
        <f t="shared" si="214"/>
        <v>19</v>
      </c>
      <c r="BW523" s="306" t="str">
        <f ca="1">OFFSET(C3,BU523,BV523)</f>
        <v>Abde Ezzalzouli</v>
      </c>
      <c r="BX523" s="306">
        <f ca="1">COUNTIF('Group Stages'!J7:J102,BW523)</f>
        <v>0</v>
      </c>
      <c r="BY523" s="306">
        <f ca="1">COUNTIF('Group Stages'!K7:K102,BW523)</f>
        <v>0</v>
      </c>
      <c r="BZ523" s="306">
        <f ca="1">COUNTIF('Group Stages'!L7:L102,BW523)</f>
        <v>0</v>
      </c>
      <c r="CA523" s="306">
        <f ca="1">COUNTIF('Group Stages'!M7:M102,BW523)</f>
        <v>0</v>
      </c>
      <c r="CB523" s="306">
        <f ca="1">COUNTIF('Group Stages'!N7:N102,BW523)</f>
        <v>0</v>
      </c>
      <c r="CC523" s="306">
        <f ca="1">COUNTIF('Group Stages'!O7:O102,BW523)</f>
        <v>0</v>
      </c>
      <c r="CD523" s="306">
        <f ca="1">COUNTIF('Group Stages'!P7:P102,BW523)</f>
        <v>0</v>
      </c>
      <c r="CE523" s="306">
        <f ca="1">COUNTIF('Group Stages'!Q7:Q102,BW523)</f>
        <v>0</v>
      </c>
      <c r="CF523" s="306">
        <f ca="1">COUNTIF('Knock Out Stages'!K7:K50,BW523)</f>
        <v>0</v>
      </c>
      <c r="CG523" s="306">
        <f ca="1">COUNTIF('Knock Out Stages'!L7:L50,BW523)</f>
        <v>0</v>
      </c>
      <c r="CH523" s="306">
        <f ca="1">COUNTIF('Knock Out Stages'!M7:M50,BW523)</f>
        <v>0</v>
      </c>
      <c r="CI523" s="306">
        <f ca="1">COUNTIF('Knock Out Stages'!N7:N50,BW523)</f>
        <v>0</v>
      </c>
      <c r="CJ523" s="306">
        <f ca="1">COUNTIF('Knock Out Stages'!O7:O50,BW523)</f>
        <v>0</v>
      </c>
      <c r="CK523" s="306">
        <f ca="1">COUNTIF('Knock Out Stages'!P7:P50,BW523)</f>
        <v>0</v>
      </c>
      <c r="CL523" s="306">
        <f ca="1">COUNTIF('Knock Out Stages'!Q7:Q50,BW523)</f>
        <v>0</v>
      </c>
      <c r="CM523" s="306">
        <f ca="1">COUNTIF('Knock Out Stages'!R7:R50,BW523)</f>
        <v>0</v>
      </c>
      <c r="CN523" s="306">
        <f ca="1">IF(RIGHT('Group Stages'!$B$105,5)="T.com",SUM(BX523:CM523),0)</f>
        <v>0</v>
      </c>
      <c r="CO523" s="306">
        <f ca="1">RANK(CN523,CN3:CN834)+COUNTIF(CN3:CN523,CN523)-1</f>
        <v>521</v>
      </c>
      <c r="CP523" s="306" t="str">
        <f t="shared" ca="1" si="215"/>
        <v>Abde Ezzalzouli (Morocco)</v>
      </c>
    </row>
    <row r="524" spans="72:94" x14ac:dyDescent="0.3">
      <c r="BT524" s="306" t="str">
        <f t="shared" ref="BT524" ca="1" si="216">BT523</f>
        <v>Morocco</v>
      </c>
      <c r="BU524" s="306">
        <f t="shared" si="213"/>
        <v>1</v>
      </c>
      <c r="BV524" s="306">
        <f t="shared" si="214"/>
        <v>19</v>
      </c>
      <c r="BW524" s="306" t="str">
        <f ca="1">OFFSET(C3,BU524,BV524)</f>
        <v>Abdelhamid Sabiri</v>
      </c>
      <c r="BX524" s="306">
        <f ca="1">COUNTIF('Group Stages'!J7:J102,BW524)</f>
        <v>0</v>
      </c>
      <c r="BY524" s="306">
        <f ca="1">COUNTIF('Group Stages'!K7:K102,BW524)</f>
        <v>0</v>
      </c>
      <c r="BZ524" s="306">
        <f ca="1">COUNTIF('Group Stages'!L7:L102,BW524)</f>
        <v>0</v>
      </c>
      <c r="CA524" s="306">
        <f ca="1">COUNTIF('Group Stages'!M7:M102,BW524)</f>
        <v>0</v>
      </c>
      <c r="CB524" s="306">
        <f ca="1">COUNTIF('Group Stages'!N7:N102,BW524)</f>
        <v>0</v>
      </c>
      <c r="CC524" s="306">
        <f ca="1">COUNTIF('Group Stages'!O7:O102,BW524)</f>
        <v>0</v>
      </c>
      <c r="CD524" s="306">
        <f ca="1">COUNTIF('Group Stages'!P7:P102,BW524)</f>
        <v>0</v>
      </c>
      <c r="CE524" s="306">
        <f ca="1">COUNTIF('Group Stages'!Q7:Q102,BW524)</f>
        <v>0</v>
      </c>
      <c r="CF524" s="306">
        <f ca="1">COUNTIF('Knock Out Stages'!K7:K50,BW524)</f>
        <v>0</v>
      </c>
      <c r="CG524" s="306">
        <f ca="1">COUNTIF('Knock Out Stages'!L7:L50,BW524)</f>
        <v>0</v>
      </c>
      <c r="CH524" s="306">
        <f ca="1">COUNTIF('Knock Out Stages'!M7:M50,BW524)</f>
        <v>0</v>
      </c>
      <c r="CI524" s="306">
        <f ca="1">COUNTIF('Knock Out Stages'!N7:N50,BW524)</f>
        <v>0</v>
      </c>
      <c r="CJ524" s="306">
        <f ca="1">COUNTIF('Knock Out Stages'!O7:O50,BW524)</f>
        <v>0</v>
      </c>
      <c r="CK524" s="306">
        <f ca="1">COUNTIF('Knock Out Stages'!P7:P50,BW524)</f>
        <v>0</v>
      </c>
      <c r="CL524" s="306">
        <f ca="1">COUNTIF('Knock Out Stages'!Q7:Q50,BW524)</f>
        <v>0</v>
      </c>
      <c r="CM524" s="306">
        <f ca="1">COUNTIF('Knock Out Stages'!R7:R50,BW524)</f>
        <v>0</v>
      </c>
      <c r="CN524" s="306">
        <f ca="1">IF(RIGHT('Group Stages'!$B$105,5)="T.com",SUM(BX524:CM524),0)</f>
        <v>0</v>
      </c>
      <c r="CO524" s="306">
        <f ca="1">RANK(CN524,CN3:CN834)+COUNTIF(CN3:CN524,CN524)-1</f>
        <v>522</v>
      </c>
      <c r="CP524" s="306" t="str">
        <f t="shared" ca="1" si="215"/>
        <v>Abdelhamid Sabiri (Morocco)</v>
      </c>
    </row>
    <row r="525" spans="72:94" x14ac:dyDescent="0.3">
      <c r="BT525" s="306" t="str">
        <f t="shared" ca="1" si="212"/>
        <v>Morocco</v>
      </c>
      <c r="BU525" s="306">
        <f t="shared" si="213"/>
        <v>2</v>
      </c>
      <c r="BV525" s="306">
        <f t="shared" si="214"/>
        <v>19</v>
      </c>
      <c r="BW525" s="306" t="str">
        <f ca="1">OFFSET(C3,BU525,BV525)</f>
        <v>Abderrazak Hamdallah</v>
      </c>
      <c r="BX525" s="306">
        <f ca="1">COUNTIF('Group Stages'!J7:J102,BW525)</f>
        <v>0</v>
      </c>
      <c r="BY525" s="306">
        <f ca="1">COUNTIF('Group Stages'!K7:K102,BW525)</f>
        <v>0</v>
      </c>
      <c r="BZ525" s="306">
        <f ca="1">COUNTIF('Group Stages'!L7:L102,BW525)</f>
        <v>0</v>
      </c>
      <c r="CA525" s="306">
        <f ca="1">COUNTIF('Group Stages'!M7:M102,BW525)</f>
        <v>0</v>
      </c>
      <c r="CB525" s="306">
        <f ca="1">COUNTIF('Group Stages'!N7:N102,BW525)</f>
        <v>0</v>
      </c>
      <c r="CC525" s="306">
        <f ca="1">COUNTIF('Group Stages'!O7:O102,BW525)</f>
        <v>0</v>
      </c>
      <c r="CD525" s="306">
        <f ca="1">COUNTIF('Group Stages'!P7:P102,BW525)</f>
        <v>0</v>
      </c>
      <c r="CE525" s="306">
        <f ca="1">COUNTIF('Group Stages'!Q7:Q102,BW525)</f>
        <v>0</v>
      </c>
      <c r="CF525" s="306">
        <f ca="1">COUNTIF('Knock Out Stages'!K7:K50,BW525)</f>
        <v>0</v>
      </c>
      <c r="CG525" s="306">
        <f ca="1">COUNTIF('Knock Out Stages'!L7:L50,BW525)</f>
        <v>0</v>
      </c>
      <c r="CH525" s="306">
        <f ca="1">COUNTIF('Knock Out Stages'!M7:M50,BW525)</f>
        <v>0</v>
      </c>
      <c r="CI525" s="306">
        <f ca="1">COUNTIF('Knock Out Stages'!N7:N50,BW525)</f>
        <v>0</v>
      </c>
      <c r="CJ525" s="306">
        <f ca="1">COUNTIF('Knock Out Stages'!O7:O50,BW525)</f>
        <v>0</v>
      </c>
      <c r="CK525" s="306">
        <f ca="1">COUNTIF('Knock Out Stages'!P7:P50,BW525)</f>
        <v>0</v>
      </c>
      <c r="CL525" s="306">
        <f ca="1">COUNTIF('Knock Out Stages'!Q7:Q50,BW525)</f>
        <v>0</v>
      </c>
      <c r="CM525" s="306">
        <f ca="1">COUNTIF('Knock Out Stages'!R7:R50,BW525)</f>
        <v>0</v>
      </c>
      <c r="CN525" s="306">
        <f ca="1">IF(RIGHT('Group Stages'!$B$105,5)="T.com",SUM(BX525:CM525),0)</f>
        <v>0</v>
      </c>
      <c r="CO525" s="306">
        <f ca="1">RANK(CN525,CN3:CN834)+COUNTIF(CN3:CN525,CN525)-1</f>
        <v>523</v>
      </c>
      <c r="CP525" s="306" t="str">
        <f t="shared" ca="1" si="215"/>
        <v>Abderrazak Hamdallah (Morocco)</v>
      </c>
    </row>
    <row r="526" spans="72:94" x14ac:dyDescent="0.3">
      <c r="BT526" s="306" t="str">
        <f t="shared" ca="1" si="212"/>
        <v>Morocco</v>
      </c>
      <c r="BU526" s="306">
        <f t="shared" si="213"/>
        <v>3</v>
      </c>
      <c r="BV526" s="306">
        <f t="shared" si="214"/>
        <v>19</v>
      </c>
      <c r="BW526" s="306" t="str">
        <f ca="1">OFFSET(C3,BU526,BV526)</f>
        <v>Achraf Dari</v>
      </c>
      <c r="BX526" s="306">
        <f ca="1">COUNTIF('Group Stages'!J7:J102,BW526)</f>
        <v>0</v>
      </c>
      <c r="BY526" s="306">
        <f ca="1">COUNTIF('Group Stages'!K7:K102,BW526)</f>
        <v>0</v>
      </c>
      <c r="BZ526" s="306">
        <f ca="1">COUNTIF('Group Stages'!L7:L102,BW526)</f>
        <v>0</v>
      </c>
      <c r="CA526" s="306">
        <f ca="1">COUNTIF('Group Stages'!M7:M102,BW526)</f>
        <v>0</v>
      </c>
      <c r="CB526" s="306">
        <f ca="1">COUNTIF('Group Stages'!N7:N102,BW526)</f>
        <v>0</v>
      </c>
      <c r="CC526" s="306">
        <f ca="1">COUNTIF('Group Stages'!O7:O102,BW526)</f>
        <v>0</v>
      </c>
      <c r="CD526" s="306">
        <f ca="1">COUNTIF('Group Stages'!P7:P102,BW526)</f>
        <v>0</v>
      </c>
      <c r="CE526" s="306">
        <f ca="1">COUNTIF('Group Stages'!Q7:Q102,BW526)</f>
        <v>0</v>
      </c>
      <c r="CF526" s="306">
        <f ca="1">COUNTIF('Knock Out Stages'!K7:K50,BW526)</f>
        <v>0</v>
      </c>
      <c r="CG526" s="306">
        <f ca="1">COUNTIF('Knock Out Stages'!L7:L50,BW526)</f>
        <v>0</v>
      </c>
      <c r="CH526" s="306">
        <f ca="1">COUNTIF('Knock Out Stages'!M7:M50,BW526)</f>
        <v>0</v>
      </c>
      <c r="CI526" s="306">
        <f ca="1">COUNTIF('Knock Out Stages'!N7:N50,BW526)</f>
        <v>0</v>
      </c>
      <c r="CJ526" s="306">
        <f ca="1">COUNTIF('Knock Out Stages'!O7:O50,BW526)</f>
        <v>0</v>
      </c>
      <c r="CK526" s="306">
        <f ca="1">COUNTIF('Knock Out Stages'!P7:P50,BW526)</f>
        <v>0</v>
      </c>
      <c r="CL526" s="306">
        <f ca="1">COUNTIF('Knock Out Stages'!Q7:Q50,BW526)</f>
        <v>0</v>
      </c>
      <c r="CM526" s="306">
        <f ca="1">COUNTIF('Knock Out Stages'!R7:R50,BW526)</f>
        <v>0</v>
      </c>
      <c r="CN526" s="306">
        <f ca="1">IF(RIGHT('Group Stages'!$B$105,5)="T.com",SUM(BX526:CM526),0)</f>
        <v>0</v>
      </c>
      <c r="CO526" s="306">
        <f ca="1">RANK(CN526,CN3:CN834)+COUNTIF(CN3:CN526,CN526)-1</f>
        <v>524</v>
      </c>
      <c r="CP526" s="306" t="str">
        <f t="shared" ca="1" si="215"/>
        <v>Achraf Dari (Morocco)</v>
      </c>
    </row>
    <row r="527" spans="72:94" x14ac:dyDescent="0.3">
      <c r="BT527" s="306" t="str">
        <f t="shared" ca="1" si="212"/>
        <v>Morocco</v>
      </c>
      <c r="BU527" s="306">
        <f t="shared" si="213"/>
        <v>4</v>
      </c>
      <c r="BV527" s="306">
        <f t="shared" si="214"/>
        <v>19</v>
      </c>
      <c r="BW527" s="306" t="str">
        <f ca="1">OFFSET(C3,BU527,BV527)</f>
        <v>Achraf Hakimi</v>
      </c>
      <c r="BX527" s="306">
        <f ca="1">COUNTIF('Group Stages'!J7:J102,BW527)</f>
        <v>0</v>
      </c>
      <c r="BY527" s="306">
        <f ca="1">COUNTIF('Group Stages'!K7:K102,BW527)</f>
        <v>0</v>
      </c>
      <c r="BZ527" s="306">
        <f ca="1">COUNTIF('Group Stages'!L7:L102,BW527)</f>
        <v>0</v>
      </c>
      <c r="CA527" s="306">
        <f ca="1">COUNTIF('Group Stages'!M7:M102,BW527)</f>
        <v>0</v>
      </c>
      <c r="CB527" s="306">
        <f ca="1">COUNTIF('Group Stages'!N7:N102,BW527)</f>
        <v>0</v>
      </c>
      <c r="CC527" s="306">
        <f ca="1">COUNTIF('Group Stages'!O7:O102,BW527)</f>
        <v>0</v>
      </c>
      <c r="CD527" s="306">
        <f ca="1">COUNTIF('Group Stages'!P7:P102,BW527)</f>
        <v>0</v>
      </c>
      <c r="CE527" s="306">
        <f ca="1">COUNTIF('Group Stages'!Q7:Q102,BW527)</f>
        <v>0</v>
      </c>
      <c r="CF527" s="306">
        <f ca="1">COUNTIF('Knock Out Stages'!K7:K50,BW527)</f>
        <v>0</v>
      </c>
      <c r="CG527" s="306">
        <f ca="1">COUNTIF('Knock Out Stages'!L7:L50,BW527)</f>
        <v>0</v>
      </c>
      <c r="CH527" s="306">
        <f ca="1">COUNTIF('Knock Out Stages'!M7:M50,BW527)</f>
        <v>0</v>
      </c>
      <c r="CI527" s="306">
        <f ca="1">COUNTIF('Knock Out Stages'!N7:N50,BW527)</f>
        <v>0</v>
      </c>
      <c r="CJ527" s="306">
        <f ca="1">COUNTIF('Knock Out Stages'!O7:O50,BW527)</f>
        <v>0</v>
      </c>
      <c r="CK527" s="306">
        <f ca="1">COUNTIF('Knock Out Stages'!P7:P50,BW527)</f>
        <v>0</v>
      </c>
      <c r="CL527" s="306">
        <f ca="1">COUNTIF('Knock Out Stages'!Q7:Q50,BW527)</f>
        <v>0</v>
      </c>
      <c r="CM527" s="306">
        <f ca="1">COUNTIF('Knock Out Stages'!R7:R50,BW527)</f>
        <v>0</v>
      </c>
      <c r="CN527" s="306">
        <f ca="1">IF(RIGHT('Group Stages'!$B$105,5)="T.com",SUM(BX527:CM527),0)</f>
        <v>0</v>
      </c>
      <c r="CO527" s="306">
        <f ca="1">RANK(CN527,CN3:CN834)+COUNTIF(CN3:CN527,CN527)-1</f>
        <v>525</v>
      </c>
      <c r="CP527" s="306" t="str">
        <f t="shared" ca="1" si="215"/>
        <v>Achraf Hakimi (Morocco)</v>
      </c>
    </row>
    <row r="528" spans="72:94" x14ac:dyDescent="0.3">
      <c r="BT528" s="306" t="str">
        <f t="shared" ca="1" si="212"/>
        <v>Morocco</v>
      </c>
      <c r="BU528" s="306">
        <f t="shared" si="213"/>
        <v>5</v>
      </c>
      <c r="BV528" s="306">
        <f t="shared" si="214"/>
        <v>19</v>
      </c>
      <c r="BW528" s="306" t="str">
        <f ca="1">OFFSET(C3,BU528,BV528)</f>
        <v>Ahmed Reda Tagnaouti</v>
      </c>
      <c r="BX528" s="306">
        <f ca="1">COUNTIF('Group Stages'!J7:J102,BW528)</f>
        <v>0</v>
      </c>
      <c r="BY528" s="306">
        <f ca="1">COUNTIF('Group Stages'!K7:K102,BW528)</f>
        <v>0</v>
      </c>
      <c r="BZ528" s="306">
        <f ca="1">COUNTIF('Group Stages'!L7:L102,BW528)</f>
        <v>0</v>
      </c>
      <c r="CA528" s="306">
        <f ca="1">COUNTIF('Group Stages'!M7:M102,BW528)</f>
        <v>0</v>
      </c>
      <c r="CB528" s="306">
        <f ca="1">COUNTIF('Group Stages'!N7:N102,BW528)</f>
        <v>0</v>
      </c>
      <c r="CC528" s="306">
        <f ca="1">COUNTIF('Group Stages'!O7:O102,BW528)</f>
        <v>0</v>
      </c>
      <c r="CD528" s="306">
        <f ca="1">COUNTIF('Group Stages'!P7:P102,BW528)</f>
        <v>0</v>
      </c>
      <c r="CE528" s="306">
        <f ca="1">COUNTIF('Group Stages'!Q7:Q102,BW528)</f>
        <v>0</v>
      </c>
      <c r="CF528" s="306">
        <f ca="1">COUNTIF('Knock Out Stages'!K7:K50,BW528)</f>
        <v>0</v>
      </c>
      <c r="CG528" s="306">
        <f ca="1">COUNTIF('Knock Out Stages'!L7:L50,BW528)</f>
        <v>0</v>
      </c>
      <c r="CH528" s="306">
        <f ca="1">COUNTIF('Knock Out Stages'!M7:M50,BW528)</f>
        <v>0</v>
      </c>
      <c r="CI528" s="306">
        <f ca="1">COUNTIF('Knock Out Stages'!N7:N50,BW528)</f>
        <v>0</v>
      </c>
      <c r="CJ528" s="306">
        <f ca="1">COUNTIF('Knock Out Stages'!O7:O50,BW528)</f>
        <v>0</v>
      </c>
      <c r="CK528" s="306">
        <f ca="1">COUNTIF('Knock Out Stages'!P7:P50,BW528)</f>
        <v>0</v>
      </c>
      <c r="CL528" s="306">
        <f ca="1">COUNTIF('Knock Out Stages'!Q7:Q50,BW528)</f>
        <v>0</v>
      </c>
      <c r="CM528" s="306">
        <f ca="1">COUNTIF('Knock Out Stages'!R7:R50,BW528)</f>
        <v>0</v>
      </c>
      <c r="CN528" s="306">
        <f ca="1">IF(RIGHT('Group Stages'!$B$105,5)="T.com",SUM(BX528:CM528),0)</f>
        <v>0</v>
      </c>
      <c r="CO528" s="306">
        <f ca="1">RANK(CN528,CN3:CN834)+COUNTIF(CN3:CN528,CN528)-1</f>
        <v>526</v>
      </c>
      <c r="CP528" s="306" t="str">
        <f t="shared" ca="1" si="215"/>
        <v>Ahmed Reda Tagnaouti (Morocco)</v>
      </c>
    </row>
    <row r="529" spans="72:94" x14ac:dyDescent="0.3">
      <c r="BT529" s="306" t="str">
        <f t="shared" ca="1" si="212"/>
        <v>Morocco</v>
      </c>
      <c r="BU529" s="306">
        <f t="shared" si="213"/>
        <v>6</v>
      </c>
      <c r="BV529" s="306">
        <f t="shared" si="214"/>
        <v>19</v>
      </c>
      <c r="BW529" s="306" t="str">
        <f ca="1">OFFSET(C3,BU529,BV529)</f>
        <v>Amine Harit</v>
      </c>
      <c r="BX529" s="306">
        <f ca="1">COUNTIF('Group Stages'!J7:J102,BW529)</f>
        <v>0</v>
      </c>
      <c r="BY529" s="306">
        <f ca="1">COUNTIF('Group Stages'!K7:K102,BW529)</f>
        <v>0</v>
      </c>
      <c r="BZ529" s="306">
        <f ca="1">COUNTIF('Group Stages'!L7:L102,BW529)</f>
        <v>0</v>
      </c>
      <c r="CA529" s="306">
        <f ca="1">COUNTIF('Group Stages'!M7:M102,BW529)</f>
        <v>0</v>
      </c>
      <c r="CB529" s="306">
        <f ca="1">COUNTIF('Group Stages'!N7:N102,BW529)</f>
        <v>0</v>
      </c>
      <c r="CC529" s="306">
        <f ca="1">COUNTIF('Group Stages'!O7:O102,BW529)</f>
        <v>0</v>
      </c>
      <c r="CD529" s="306">
        <f ca="1">COUNTIF('Group Stages'!P7:P102,BW529)</f>
        <v>0</v>
      </c>
      <c r="CE529" s="306">
        <f ca="1">COUNTIF('Group Stages'!Q7:Q102,BW529)</f>
        <v>0</v>
      </c>
      <c r="CF529" s="306">
        <f ca="1">COUNTIF('Knock Out Stages'!K7:K50,BW529)</f>
        <v>0</v>
      </c>
      <c r="CG529" s="306">
        <f ca="1">COUNTIF('Knock Out Stages'!L7:L50,BW529)</f>
        <v>0</v>
      </c>
      <c r="CH529" s="306">
        <f ca="1">COUNTIF('Knock Out Stages'!M7:M50,BW529)</f>
        <v>0</v>
      </c>
      <c r="CI529" s="306">
        <f ca="1">COUNTIF('Knock Out Stages'!N7:N50,BW529)</f>
        <v>0</v>
      </c>
      <c r="CJ529" s="306">
        <f ca="1">COUNTIF('Knock Out Stages'!O7:O50,BW529)</f>
        <v>0</v>
      </c>
      <c r="CK529" s="306">
        <f ca="1">COUNTIF('Knock Out Stages'!P7:P50,BW529)</f>
        <v>0</v>
      </c>
      <c r="CL529" s="306">
        <f ca="1">COUNTIF('Knock Out Stages'!Q7:Q50,BW529)</f>
        <v>0</v>
      </c>
      <c r="CM529" s="306">
        <f ca="1">COUNTIF('Knock Out Stages'!R7:R50,BW529)</f>
        <v>0</v>
      </c>
      <c r="CN529" s="306">
        <f ca="1">IF(RIGHT('Group Stages'!$B$105,5)="T.com",SUM(BX529:CM529),0)</f>
        <v>0</v>
      </c>
      <c r="CO529" s="306">
        <f ca="1">RANK(CN529,CN3:CN834)+COUNTIF(CN3:CN529,CN529)-1</f>
        <v>527</v>
      </c>
      <c r="CP529" s="306" t="str">
        <f t="shared" ca="1" si="215"/>
        <v>Amine Harit (Morocco)</v>
      </c>
    </row>
    <row r="530" spans="72:94" x14ac:dyDescent="0.3">
      <c r="BT530" s="306" t="str">
        <f t="shared" ca="1" si="212"/>
        <v>Morocco</v>
      </c>
      <c r="BU530" s="306">
        <f t="shared" si="213"/>
        <v>7</v>
      </c>
      <c r="BV530" s="306">
        <f t="shared" si="214"/>
        <v>19</v>
      </c>
      <c r="BW530" s="306" t="str">
        <f ca="1">OFFSET(C3,BU530,BV530)</f>
        <v>Azzedine Ounahi</v>
      </c>
      <c r="BX530" s="306">
        <f ca="1">COUNTIF('Group Stages'!J7:J102,BW530)</f>
        <v>0</v>
      </c>
      <c r="BY530" s="306">
        <f ca="1">COUNTIF('Group Stages'!K7:K102,BW530)</f>
        <v>0</v>
      </c>
      <c r="BZ530" s="306">
        <f ca="1">COUNTIF('Group Stages'!L7:L102,BW530)</f>
        <v>0</v>
      </c>
      <c r="CA530" s="306">
        <f ca="1">COUNTIF('Group Stages'!M7:M102,BW530)</f>
        <v>0</v>
      </c>
      <c r="CB530" s="306">
        <f ca="1">COUNTIF('Group Stages'!N7:N102,BW530)</f>
        <v>0</v>
      </c>
      <c r="CC530" s="306">
        <f ca="1">COUNTIF('Group Stages'!O7:O102,BW530)</f>
        <v>0</v>
      </c>
      <c r="CD530" s="306">
        <f ca="1">COUNTIF('Group Stages'!P7:P102,BW530)</f>
        <v>0</v>
      </c>
      <c r="CE530" s="306">
        <f ca="1">COUNTIF('Group Stages'!Q7:Q102,BW530)</f>
        <v>0</v>
      </c>
      <c r="CF530" s="306">
        <f ca="1">COUNTIF('Knock Out Stages'!K7:K50,BW530)</f>
        <v>0</v>
      </c>
      <c r="CG530" s="306">
        <f ca="1">COUNTIF('Knock Out Stages'!L7:L50,BW530)</f>
        <v>0</v>
      </c>
      <c r="CH530" s="306">
        <f ca="1">COUNTIF('Knock Out Stages'!M7:M50,BW530)</f>
        <v>0</v>
      </c>
      <c r="CI530" s="306">
        <f ca="1">COUNTIF('Knock Out Stages'!N7:N50,BW530)</f>
        <v>0</v>
      </c>
      <c r="CJ530" s="306">
        <f ca="1">COUNTIF('Knock Out Stages'!O7:O50,BW530)</f>
        <v>0</v>
      </c>
      <c r="CK530" s="306">
        <f ca="1">COUNTIF('Knock Out Stages'!P7:P50,BW530)</f>
        <v>0</v>
      </c>
      <c r="CL530" s="306">
        <f ca="1">COUNTIF('Knock Out Stages'!Q7:Q50,BW530)</f>
        <v>0</v>
      </c>
      <c r="CM530" s="306">
        <f ca="1">COUNTIF('Knock Out Stages'!R7:R50,BW530)</f>
        <v>0</v>
      </c>
      <c r="CN530" s="306">
        <f ca="1">IF(RIGHT('Group Stages'!$B$105,5)="T.com",SUM(BX530:CM530),0)</f>
        <v>0</v>
      </c>
      <c r="CO530" s="306">
        <f ca="1">RANK(CN530,CN3:CN834)+COUNTIF(CN3:CN530,CN530)-1</f>
        <v>528</v>
      </c>
      <c r="CP530" s="306" t="str">
        <f t="shared" ca="1" si="215"/>
        <v>Azzedine Ounahi (Morocco)</v>
      </c>
    </row>
    <row r="531" spans="72:94" x14ac:dyDescent="0.3">
      <c r="BT531" s="306" t="str">
        <f t="shared" ca="1" si="212"/>
        <v>Morocco</v>
      </c>
      <c r="BU531" s="306">
        <f t="shared" si="213"/>
        <v>8</v>
      </c>
      <c r="BV531" s="306">
        <f t="shared" si="214"/>
        <v>19</v>
      </c>
      <c r="BW531" s="306" t="str">
        <f ca="1">OFFSET(C3,BU531,BV531)</f>
        <v>Badr Benoun</v>
      </c>
      <c r="BX531" s="306">
        <f ca="1">COUNTIF('Group Stages'!J7:J102,BW531)</f>
        <v>0</v>
      </c>
      <c r="BY531" s="306">
        <f ca="1">COUNTIF('Group Stages'!K7:K102,BW531)</f>
        <v>0</v>
      </c>
      <c r="BZ531" s="306">
        <f ca="1">COUNTIF('Group Stages'!L7:L102,BW531)</f>
        <v>0</v>
      </c>
      <c r="CA531" s="306">
        <f ca="1">COUNTIF('Group Stages'!M7:M102,BW531)</f>
        <v>0</v>
      </c>
      <c r="CB531" s="306">
        <f ca="1">COUNTIF('Group Stages'!N7:N102,BW531)</f>
        <v>0</v>
      </c>
      <c r="CC531" s="306">
        <f ca="1">COUNTIF('Group Stages'!O7:O102,BW531)</f>
        <v>0</v>
      </c>
      <c r="CD531" s="306">
        <f ca="1">COUNTIF('Group Stages'!P7:P102,BW531)</f>
        <v>0</v>
      </c>
      <c r="CE531" s="306">
        <f ca="1">COUNTIF('Group Stages'!Q7:Q102,BW531)</f>
        <v>0</v>
      </c>
      <c r="CF531" s="306">
        <f ca="1">COUNTIF('Knock Out Stages'!K7:K50,BW531)</f>
        <v>0</v>
      </c>
      <c r="CG531" s="306">
        <f ca="1">COUNTIF('Knock Out Stages'!L7:L50,BW531)</f>
        <v>0</v>
      </c>
      <c r="CH531" s="306">
        <f ca="1">COUNTIF('Knock Out Stages'!M7:M50,BW531)</f>
        <v>0</v>
      </c>
      <c r="CI531" s="306">
        <f ca="1">COUNTIF('Knock Out Stages'!N7:N50,BW531)</f>
        <v>0</v>
      </c>
      <c r="CJ531" s="306">
        <f ca="1">COUNTIF('Knock Out Stages'!O7:O50,BW531)</f>
        <v>0</v>
      </c>
      <c r="CK531" s="306">
        <f ca="1">COUNTIF('Knock Out Stages'!P7:P50,BW531)</f>
        <v>0</v>
      </c>
      <c r="CL531" s="306">
        <f ca="1">COUNTIF('Knock Out Stages'!Q7:Q50,BW531)</f>
        <v>0</v>
      </c>
      <c r="CM531" s="306">
        <f ca="1">COUNTIF('Knock Out Stages'!R7:R50,BW531)</f>
        <v>0</v>
      </c>
      <c r="CN531" s="306">
        <f ca="1">IF(RIGHT('Group Stages'!$B$105,5)="T.com",SUM(BX531:CM531),0)</f>
        <v>0</v>
      </c>
      <c r="CO531" s="306">
        <f ca="1">RANK(CN531,CN3:CN834)+COUNTIF(CN3:CN531,CN531)-1</f>
        <v>529</v>
      </c>
      <c r="CP531" s="306" t="str">
        <f t="shared" ca="1" si="215"/>
        <v>Badr Benoun (Morocco)</v>
      </c>
    </row>
    <row r="532" spans="72:94" x14ac:dyDescent="0.3">
      <c r="BT532" s="306" t="str">
        <f t="shared" ca="1" si="212"/>
        <v>Morocco</v>
      </c>
      <c r="BU532" s="306">
        <f t="shared" si="213"/>
        <v>9</v>
      </c>
      <c r="BV532" s="306">
        <f t="shared" si="214"/>
        <v>19</v>
      </c>
      <c r="BW532" s="306" t="str">
        <f ca="1">OFFSET(C3,BU532,BV532)</f>
        <v>Bilal El Khannous</v>
      </c>
      <c r="BX532" s="306">
        <f ca="1">COUNTIF('Group Stages'!J7:J102,BW532)</f>
        <v>0</v>
      </c>
      <c r="BY532" s="306">
        <f ca="1">COUNTIF('Group Stages'!K7:K102,BW532)</f>
        <v>0</v>
      </c>
      <c r="BZ532" s="306">
        <f ca="1">COUNTIF('Group Stages'!L7:L102,BW532)</f>
        <v>0</v>
      </c>
      <c r="CA532" s="306">
        <f ca="1">COUNTIF('Group Stages'!M7:M102,BW532)</f>
        <v>0</v>
      </c>
      <c r="CB532" s="306">
        <f ca="1">COUNTIF('Group Stages'!N7:N102,BW532)</f>
        <v>0</v>
      </c>
      <c r="CC532" s="306">
        <f ca="1">COUNTIF('Group Stages'!O7:O102,BW532)</f>
        <v>0</v>
      </c>
      <c r="CD532" s="306">
        <f ca="1">COUNTIF('Group Stages'!P7:P102,BW532)</f>
        <v>0</v>
      </c>
      <c r="CE532" s="306">
        <f ca="1">COUNTIF('Group Stages'!Q7:Q102,BW532)</f>
        <v>0</v>
      </c>
      <c r="CF532" s="306">
        <f ca="1">COUNTIF('Knock Out Stages'!K7:K50,BW532)</f>
        <v>0</v>
      </c>
      <c r="CG532" s="306">
        <f ca="1">COUNTIF('Knock Out Stages'!L7:L50,BW532)</f>
        <v>0</v>
      </c>
      <c r="CH532" s="306">
        <f ca="1">COUNTIF('Knock Out Stages'!M7:M50,BW532)</f>
        <v>0</v>
      </c>
      <c r="CI532" s="306">
        <f ca="1">COUNTIF('Knock Out Stages'!N7:N50,BW532)</f>
        <v>0</v>
      </c>
      <c r="CJ532" s="306">
        <f ca="1">COUNTIF('Knock Out Stages'!O7:O50,BW532)</f>
        <v>0</v>
      </c>
      <c r="CK532" s="306">
        <f ca="1">COUNTIF('Knock Out Stages'!P7:P50,BW532)</f>
        <v>0</v>
      </c>
      <c r="CL532" s="306">
        <f ca="1">COUNTIF('Knock Out Stages'!Q7:Q50,BW532)</f>
        <v>0</v>
      </c>
      <c r="CM532" s="306">
        <f ca="1">COUNTIF('Knock Out Stages'!R7:R50,BW532)</f>
        <v>0</v>
      </c>
      <c r="CN532" s="306">
        <f ca="1">IF(RIGHT('Group Stages'!$B$105,5)="T.com",SUM(BX532:CM532),0)</f>
        <v>0</v>
      </c>
      <c r="CO532" s="306">
        <f ca="1">RANK(CN532,CN3:CN834)+COUNTIF(CN3:CN532,CN532)-1</f>
        <v>530</v>
      </c>
      <c r="CP532" s="306" t="str">
        <f t="shared" ca="1" si="215"/>
        <v>Bilal El Khannous (Morocco)</v>
      </c>
    </row>
    <row r="533" spans="72:94" x14ac:dyDescent="0.3">
      <c r="BT533" s="306" t="str">
        <f t="shared" ca="1" si="212"/>
        <v>Morocco</v>
      </c>
      <c r="BU533" s="306">
        <f t="shared" si="213"/>
        <v>10</v>
      </c>
      <c r="BV533" s="306">
        <f t="shared" si="214"/>
        <v>19</v>
      </c>
      <c r="BW533" s="306" t="str">
        <f ca="1">OFFSET(C3,BU533,BV533)</f>
        <v>Hakim Ziyech</v>
      </c>
      <c r="BX533" s="306">
        <f ca="1">COUNTIF('Group Stages'!J7:J102,BW533)</f>
        <v>0</v>
      </c>
      <c r="BY533" s="306">
        <f ca="1">COUNTIF('Group Stages'!K7:K102,BW533)</f>
        <v>0</v>
      </c>
      <c r="BZ533" s="306">
        <f ca="1">COUNTIF('Group Stages'!L7:L102,BW533)</f>
        <v>0</v>
      </c>
      <c r="CA533" s="306">
        <f ca="1">COUNTIF('Group Stages'!M7:M102,BW533)</f>
        <v>0</v>
      </c>
      <c r="CB533" s="306">
        <f ca="1">COUNTIF('Group Stages'!N7:N102,BW533)</f>
        <v>0</v>
      </c>
      <c r="CC533" s="306">
        <f ca="1">COUNTIF('Group Stages'!O7:O102,BW533)</f>
        <v>0</v>
      </c>
      <c r="CD533" s="306">
        <f ca="1">COUNTIF('Group Stages'!P7:P102,BW533)</f>
        <v>0</v>
      </c>
      <c r="CE533" s="306">
        <f ca="1">COUNTIF('Group Stages'!Q7:Q102,BW533)</f>
        <v>0</v>
      </c>
      <c r="CF533" s="306">
        <f ca="1">COUNTIF('Knock Out Stages'!K7:K50,BW533)</f>
        <v>0</v>
      </c>
      <c r="CG533" s="306">
        <f ca="1">COUNTIF('Knock Out Stages'!L7:L50,BW533)</f>
        <v>0</v>
      </c>
      <c r="CH533" s="306">
        <f ca="1">COUNTIF('Knock Out Stages'!M7:M50,BW533)</f>
        <v>0</v>
      </c>
      <c r="CI533" s="306">
        <f ca="1">COUNTIF('Knock Out Stages'!N7:N50,BW533)</f>
        <v>0</v>
      </c>
      <c r="CJ533" s="306">
        <f ca="1">COUNTIF('Knock Out Stages'!O7:O50,BW533)</f>
        <v>0</v>
      </c>
      <c r="CK533" s="306">
        <f ca="1">COUNTIF('Knock Out Stages'!P7:P50,BW533)</f>
        <v>0</v>
      </c>
      <c r="CL533" s="306">
        <f ca="1">COUNTIF('Knock Out Stages'!Q7:Q50,BW533)</f>
        <v>0</v>
      </c>
      <c r="CM533" s="306">
        <f ca="1">COUNTIF('Knock Out Stages'!R7:R50,BW533)</f>
        <v>0</v>
      </c>
      <c r="CN533" s="306">
        <f ca="1">IF(RIGHT('Group Stages'!$B$105,5)="T.com",SUM(BX533:CM533),0)</f>
        <v>0</v>
      </c>
      <c r="CO533" s="306">
        <f ca="1">RANK(CN533,CN3:CN834)+COUNTIF(CN3:CN533,CN533)-1</f>
        <v>531</v>
      </c>
      <c r="CP533" s="306" t="str">
        <f t="shared" ca="1" si="215"/>
        <v>Hakim Ziyech (Morocco)</v>
      </c>
    </row>
    <row r="534" spans="72:94" x14ac:dyDescent="0.3">
      <c r="BT534" s="306" t="str">
        <f t="shared" ca="1" si="212"/>
        <v>Morocco</v>
      </c>
      <c r="BU534" s="306">
        <f t="shared" si="213"/>
        <v>11</v>
      </c>
      <c r="BV534" s="306">
        <f t="shared" si="214"/>
        <v>19</v>
      </c>
      <c r="BW534" s="306" t="str">
        <f ca="1">OFFSET(C3,BU534,BV534)</f>
        <v>Ilias Chair</v>
      </c>
      <c r="BX534" s="306">
        <f ca="1">COUNTIF('Group Stages'!J7:J102,BW534)</f>
        <v>0</v>
      </c>
      <c r="BY534" s="306">
        <f ca="1">COUNTIF('Group Stages'!K7:K102,BW534)</f>
        <v>0</v>
      </c>
      <c r="BZ534" s="306">
        <f ca="1">COUNTIF('Group Stages'!L7:L102,BW534)</f>
        <v>0</v>
      </c>
      <c r="CA534" s="306">
        <f ca="1">COUNTIF('Group Stages'!M7:M102,BW534)</f>
        <v>0</v>
      </c>
      <c r="CB534" s="306">
        <f ca="1">COUNTIF('Group Stages'!N7:N102,BW534)</f>
        <v>0</v>
      </c>
      <c r="CC534" s="306">
        <f ca="1">COUNTIF('Group Stages'!O7:O102,BW534)</f>
        <v>0</v>
      </c>
      <c r="CD534" s="306">
        <f ca="1">COUNTIF('Group Stages'!P7:P102,BW534)</f>
        <v>0</v>
      </c>
      <c r="CE534" s="306">
        <f ca="1">COUNTIF('Group Stages'!Q7:Q102,BW534)</f>
        <v>0</v>
      </c>
      <c r="CF534" s="306">
        <f ca="1">COUNTIF('Knock Out Stages'!K7:K50,BW534)</f>
        <v>0</v>
      </c>
      <c r="CG534" s="306">
        <f ca="1">COUNTIF('Knock Out Stages'!L7:L50,BW534)</f>
        <v>0</v>
      </c>
      <c r="CH534" s="306">
        <f ca="1">COUNTIF('Knock Out Stages'!M7:M50,BW534)</f>
        <v>0</v>
      </c>
      <c r="CI534" s="306">
        <f ca="1">COUNTIF('Knock Out Stages'!N7:N50,BW534)</f>
        <v>0</v>
      </c>
      <c r="CJ534" s="306">
        <f ca="1">COUNTIF('Knock Out Stages'!O7:O50,BW534)</f>
        <v>0</v>
      </c>
      <c r="CK534" s="306">
        <f ca="1">COUNTIF('Knock Out Stages'!P7:P50,BW534)</f>
        <v>0</v>
      </c>
      <c r="CL534" s="306">
        <f ca="1">COUNTIF('Knock Out Stages'!Q7:Q50,BW534)</f>
        <v>0</v>
      </c>
      <c r="CM534" s="306">
        <f ca="1">COUNTIF('Knock Out Stages'!R7:R50,BW534)</f>
        <v>0</v>
      </c>
      <c r="CN534" s="306">
        <f ca="1">IF(RIGHT('Group Stages'!$B$105,5)="T.com",SUM(BX534:CM534),0)</f>
        <v>0</v>
      </c>
      <c r="CO534" s="306">
        <f ca="1">RANK(CN534,CN3:CN834)+COUNTIF(CN3:CN534,CN534)-1</f>
        <v>532</v>
      </c>
      <c r="CP534" s="306" t="str">
        <f t="shared" ca="1" si="215"/>
        <v>Ilias Chair (Morocco)</v>
      </c>
    </row>
    <row r="535" spans="72:94" x14ac:dyDescent="0.3">
      <c r="BT535" s="306" t="str">
        <f t="shared" ca="1" si="212"/>
        <v>Morocco</v>
      </c>
      <c r="BU535" s="306">
        <f t="shared" si="213"/>
        <v>12</v>
      </c>
      <c r="BV535" s="306">
        <f t="shared" si="214"/>
        <v>19</v>
      </c>
      <c r="BW535" s="306" t="str">
        <f ca="1">OFFSET(C3,BU535,BV535)</f>
        <v>Jawad El Yamiq</v>
      </c>
      <c r="BX535" s="306">
        <f ca="1">COUNTIF('Group Stages'!J7:J102,BW535)</f>
        <v>0</v>
      </c>
      <c r="BY535" s="306">
        <f ca="1">COUNTIF('Group Stages'!K7:K102,BW535)</f>
        <v>0</v>
      </c>
      <c r="BZ535" s="306">
        <f ca="1">COUNTIF('Group Stages'!L7:L102,BW535)</f>
        <v>0</v>
      </c>
      <c r="CA535" s="306">
        <f ca="1">COUNTIF('Group Stages'!M7:M102,BW535)</f>
        <v>0</v>
      </c>
      <c r="CB535" s="306">
        <f ca="1">COUNTIF('Group Stages'!N7:N102,BW535)</f>
        <v>0</v>
      </c>
      <c r="CC535" s="306">
        <f ca="1">COUNTIF('Group Stages'!O7:O102,BW535)</f>
        <v>0</v>
      </c>
      <c r="CD535" s="306">
        <f ca="1">COUNTIF('Group Stages'!P7:P102,BW535)</f>
        <v>0</v>
      </c>
      <c r="CE535" s="306">
        <f ca="1">COUNTIF('Group Stages'!Q7:Q102,BW535)</f>
        <v>0</v>
      </c>
      <c r="CF535" s="306">
        <f ca="1">COUNTIF('Knock Out Stages'!K7:K50,BW535)</f>
        <v>0</v>
      </c>
      <c r="CG535" s="306">
        <f ca="1">COUNTIF('Knock Out Stages'!L7:L50,BW535)</f>
        <v>0</v>
      </c>
      <c r="CH535" s="306">
        <f ca="1">COUNTIF('Knock Out Stages'!M7:M50,BW535)</f>
        <v>0</v>
      </c>
      <c r="CI535" s="306">
        <f ca="1">COUNTIF('Knock Out Stages'!N7:N50,BW535)</f>
        <v>0</v>
      </c>
      <c r="CJ535" s="306">
        <f ca="1">COUNTIF('Knock Out Stages'!O7:O50,BW535)</f>
        <v>0</v>
      </c>
      <c r="CK535" s="306">
        <f ca="1">COUNTIF('Knock Out Stages'!P7:P50,BW535)</f>
        <v>0</v>
      </c>
      <c r="CL535" s="306">
        <f ca="1">COUNTIF('Knock Out Stages'!Q7:Q50,BW535)</f>
        <v>0</v>
      </c>
      <c r="CM535" s="306">
        <f ca="1">COUNTIF('Knock Out Stages'!R7:R50,BW535)</f>
        <v>0</v>
      </c>
      <c r="CN535" s="306">
        <f ca="1">IF(RIGHT('Group Stages'!$B$105,5)="T.com",SUM(BX535:CM535),0)</f>
        <v>0</v>
      </c>
      <c r="CO535" s="306">
        <f ca="1">RANK(CN535,CN3:CN834)+COUNTIF(CN3:CN535,CN535)-1</f>
        <v>533</v>
      </c>
      <c r="CP535" s="306" t="str">
        <f t="shared" ca="1" si="215"/>
        <v>Jawad El Yamiq (Morocco)</v>
      </c>
    </row>
    <row r="536" spans="72:94" x14ac:dyDescent="0.3">
      <c r="BT536" s="306" t="str">
        <f t="shared" ca="1" si="212"/>
        <v>Morocco</v>
      </c>
      <c r="BU536" s="306">
        <f t="shared" si="213"/>
        <v>13</v>
      </c>
      <c r="BV536" s="306">
        <f t="shared" si="214"/>
        <v>19</v>
      </c>
      <c r="BW536" s="306" t="str">
        <f ca="1">OFFSET(C3,BU536,BV536)</f>
        <v>Munir Mohamedi</v>
      </c>
      <c r="BX536" s="306">
        <f ca="1">COUNTIF('Group Stages'!J7:J102,BW536)</f>
        <v>0</v>
      </c>
      <c r="BY536" s="306">
        <f ca="1">COUNTIF('Group Stages'!K7:K102,BW536)</f>
        <v>0</v>
      </c>
      <c r="BZ536" s="306">
        <f ca="1">COUNTIF('Group Stages'!L7:L102,BW536)</f>
        <v>0</v>
      </c>
      <c r="CA536" s="306">
        <f ca="1">COUNTIF('Group Stages'!M7:M102,BW536)</f>
        <v>0</v>
      </c>
      <c r="CB536" s="306">
        <f ca="1">COUNTIF('Group Stages'!N7:N102,BW536)</f>
        <v>0</v>
      </c>
      <c r="CC536" s="306">
        <f ca="1">COUNTIF('Group Stages'!O7:O102,BW536)</f>
        <v>0</v>
      </c>
      <c r="CD536" s="306">
        <f ca="1">COUNTIF('Group Stages'!P7:P102,BW536)</f>
        <v>0</v>
      </c>
      <c r="CE536" s="306">
        <f ca="1">COUNTIF('Group Stages'!Q7:Q102,BW536)</f>
        <v>0</v>
      </c>
      <c r="CF536" s="306">
        <f ca="1">COUNTIF('Knock Out Stages'!K7:K50,BW536)</f>
        <v>0</v>
      </c>
      <c r="CG536" s="306">
        <f ca="1">COUNTIF('Knock Out Stages'!L7:L50,BW536)</f>
        <v>0</v>
      </c>
      <c r="CH536" s="306">
        <f ca="1">COUNTIF('Knock Out Stages'!M7:M50,BW536)</f>
        <v>0</v>
      </c>
      <c r="CI536" s="306">
        <f ca="1">COUNTIF('Knock Out Stages'!N7:N50,BW536)</f>
        <v>0</v>
      </c>
      <c r="CJ536" s="306">
        <f ca="1">COUNTIF('Knock Out Stages'!O7:O50,BW536)</f>
        <v>0</v>
      </c>
      <c r="CK536" s="306">
        <f ca="1">COUNTIF('Knock Out Stages'!P7:P50,BW536)</f>
        <v>0</v>
      </c>
      <c r="CL536" s="306">
        <f ca="1">COUNTIF('Knock Out Stages'!Q7:Q50,BW536)</f>
        <v>0</v>
      </c>
      <c r="CM536" s="306">
        <f ca="1">COUNTIF('Knock Out Stages'!R7:R50,BW536)</f>
        <v>0</v>
      </c>
      <c r="CN536" s="306">
        <f ca="1">IF(RIGHT('Group Stages'!$B$105,5)="T.com",SUM(BX536:CM536),0)</f>
        <v>0</v>
      </c>
      <c r="CO536" s="306">
        <f ca="1">RANK(CN536,CN3:CN834)+COUNTIF(CN3:CN536,CN536)-1</f>
        <v>534</v>
      </c>
      <c r="CP536" s="306" t="str">
        <f t="shared" ca="1" si="215"/>
        <v>Munir Mohamedi (Morocco)</v>
      </c>
    </row>
    <row r="537" spans="72:94" x14ac:dyDescent="0.3">
      <c r="BT537" s="306" t="str">
        <f t="shared" ca="1" si="212"/>
        <v>Morocco</v>
      </c>
      <c r="BU537" s="306">
        <f t="shared" si="213"/>
        <v>14</v>
      </c>
      <c r="BV537" s="306">
        <f t="shared" si="214"/>
        <v>19</v>
      </c>
      <c r="BW537" s="306" t="str">
        <f ca="1">OFFSET(C3,BU537,BV537)</f>
        <v>Nayef Aguerd</v>
      </c>
      <c r="BX537" s="306">
        <f ca="1">COUNTIF('Group Stages'!J7:J102,BW537)</f>
        <v>0</v>
      </c>
      <c r="BY537" s="306">
        <f ca="1">COUNTIF('Group Stages'!K7:K102,BW537)</f>
        <v>0</v>
      </c>
      <c r="BZ537" s="306">
        <f ca="1">COUNTIF('Group Stages'!L7:L102,BW537)</f>
        <v>0</v>
      </c>
      <c r="CA537" s="306">
        <f ca="1">COUNTIF('Group Stages'!M7:M102,BW537)</f>
        <v>0</v>
      </c>
      <c r="CB537" s="306">
        <f ca="1">COUNTIF('Group Stages'!N7:N102,BW537)</f>
        <v>0</v>
      </c>
      <c r="CC537" s="306">
        <f ca="1">COUNTIF('Group Stages'!O7:O102,BW537)</f>
        <v>0</v>
      </c>
      <c r="CD537" s="306">
        <f ca="1">COUNTIF('Group Stages'!P7:P102,BW537)</f>
        <v>0</v>
      </c>
      <c r="CE537" s="306">
        <f ca="1">COUNTIF('Group Stages'!Q7:Q102,BW537)</f>
        <v>0</v>
      </c>
      <c r="CF537" s="306">
        <f ca="1">COUNTIF('Knock Out Stages'!K7:K50,BW537)</f>
        <v>0</v>
      </c>
      <c r="CG537" s="306">
        <f ca="1">COUNTIF('Knock Out Stages'!L7:L50,BW537)</f>
        <v>0</v>
      </c>
      <c r="CH537" s="306">
        <f ca="1">COUNTIF('Knock Out Stages'!M7:M50,BW537)</f>
        <v>0</v>
      </c>
      <c r="CI537" s="306">
        <f ca="1">COUNTIF('Knock Out Stages'!N7:N50,BW537)</f>
        <v>0</v>
      </c>
      <c r="CJ537" s="306">
        <f ca="1">COUNTIF('Knock Out Stages'!O7:O50,BW537)</f>
        <v>0</v>
      </c>
      <c r="CK537" s="306">
        <f ca="1">COUNTIF('Knock Out Stages'!P7:P50,BW537)</f>
        <v>0</v>
      </c>
      <c r="CL537" s="306">
        <f ca="1">COUNTIF('Knock Out Stages'!Q7:Q50,BW537)</f>
        <v>0</v>
      </c>
      <c r="CM537" s="306">
        <f ca="1">COUNTIF('Knock Out Stages'!R7:R50,BW537)</f>
        <v>0</v>
      </c>
      <c r="CN537" s="306">
        <f ca="1">IF(RIGHT('Group Stages'!$B$105,5)="T.com",SUM(BX537:CM537),0)</f>
        <v>0</v>
      </c>
      <c r="CO537" s="306">
        <f ca="1">RANK(CN537,CN3:CN834)+COUNTIF(CN3:CN537,CN537)-1</f>
        <v>535</v>
      </c>
      <c r="CP537" s="306" t="str">
        <f t="shared" ca="1" si="215"/>
        <v>Nayef Aguerd (Morocco)</v>
      </c>
    </row>
    <row r="538" spans="72:94" x14ac:dyDescent="0.3">
      <c r="BT538" s="306" t="str">
        <f t="shared" ca="1" si="212"/>
        <v>Morocco</v>
      </c>
      <c r="BU538" s="306">
        <f t="shared" si="213"/>
        <v>15</v>
      </c>
      <c r="BV538" s="306">
        <f t="shared" si="214"/>
        <v>19</v>
      </c>
      <c r="BW538" s="306" t="str">
        <f ca="1">OFFSET(C3,BU538,BV538)</f>
        <v>Noussair Mazraoui</v>
      </c>
      <c r="BX538" s="306">
        <f ca="1">COUNTIF('Group Stages'!J7:J102,BW538)</f>
        <v>0</v>
      </c>
      <c r="BY538" s="306">
        <f ca="1">COUNTIF('Group Stages'!K7:K102,BW538)</f>
        <v>0</v>
      </c>
      <c r="BZ538" s="306">
        <f ca="1">COUNTIF('Group Stages'!L7:L102,BW538)</f>
        <v>0</v>
      </c>
      <c r="CA538" s="306">
        <f ca="1">COUNTIF('Group Stages'!M7:M102,BW538)</f>
        <v>0</v>
      </c>
      <c r="CB538" s="306">
        <f ca="1">COUNTIF('Group Stages'!N7:N102,BW538)</f>
        <v>0</v>
      </c>
      <c r="CC538" s="306">
        <f ca="1">COUNTIF('Group Stages'!O7:O102,BW538)</f>
        <v>0</v>
      </c>
      <c r="CD538" s="306">
        <f ca="1">COUNTIF('Group Stages'!P7:P102,BW538)</f>
        <v>0</v>
      </c>
      <c r="CE538" s="306">
        <f ca="1">COUNTIF('Group Stages'!Q7:Q102,BW538)</f>
        <v>0</v>
      </c>
      <c r="CF538" s="306">
        <f ca="1">COUNTIF('Knock Out Stages'!K7:K50,BW538)</f>
        <v>0</v>
      </c>
      <c r="CG538" s="306">
        <f ca="1">COUNTIF('Knock Out Stages'!L7:L50,BW538)</f>
        <v>0</v>
      </c>
      <c r="CH538" s="306">
        <f ca="1">COUNTIF('Knock Out Stages'!M7:M50,BW538)</f>
        <v>0</v>
      </c>
      <c r="CI538" s="306">
        <f ca="1">COUNTIF('Knock Out Stages'!N7:N50,BW538)</f>
        <v>0</v>
      </c>
      <c r="CJ538" s="306">
        <f ca="1">COUNTIF('Knock Out Stages'!O7:O50,BW538)</f>
        <v>0</v>
      </c>
      <c r="CK538" s="306">
        <f ca="1">COUNTIF('Knock Out Stages'!P7:P50,BW538)</f>
        <v>0</v>
      </c>
      <c r="CL538" s="306">
        <f ca="1">COUNTIF('Knock Out Stages'!Q7:Q50,BW538)</f>
        <v>0</v>
      </c>
      <c r="CM538" s="306">
        <f ca="1">COUNTIF('Knock Out Stages'!R7:R50,BW538)</f>
        <v>0</v>
      </c>
      <c r="CN538" s="306">
        <f ca="1">IF(RIGHT('Group Stages'!$B$105,5)="T.com",SUM(BX538:CM538),0)</f>
        <v>0</v>
      </c>
      <c r="CO538" s="306">
        <f ca="1">RANK(CN538,CN3:CN834)+COUNTIF(CN3:CN538,CN538)-1</f>
        <v>536</v>
      </c>
      <c r="CP538" s="306" t="str">
        <f t="shared" ca="1" si="215"/>
        <v>Noussair Mazraoui (Morocco)</v>
      </c>
    </row>
    <row r="539" spans="72:94" x14ac:dyDescent="0.3">
      <c r="BT539" s="306" t="str">
        <f t="shared" ca="1" si="212"/>
        <v>Morocco</v>
      </c>
      <c r="BU539" s="306">
        <f t="shared" si="213"/>
        <v>16</v>
      </c>
      <c r="BV539" s="306">
        <f t="shared" si="214"/>
        <v>19</v>
      </c>
      <c r="BW539" s="306" t="str">
        <f ca="1">OFFSET(C3,BU539,BV539)</f>
        <v>Romain Saïss</v>
      </c>
      <c r="BX539" s="306">
        <f ca="1">COUNTIF('Group Stages'!J7:J102,BW539)</f>
        <v>0</v>
      </c>
      <c r="BY539" s="306">
        <f ca="1">COUNTIF('Group Stages'!K7:K102,BW539)</f>
        <v>0</v>
      </c>
      <c r="BZ539" s="306">
        <f ca="1">COUNTIF('Group Stages'!L7:L102,BW539)</f>
        <v>0</v>
      </c>
      <c r="CA539" s="306">
        <f ca="1">COUNTIF('Group Stages'!M7:M102,BW539)</f>
        <v>0</v>
      </c>
      <c r="CB539" s="306">
        <f ca="1">COUNTIF('Group Stages'!N7:N102,BW539)</f>
        <v>0</v>
      </c>
      <c r="CC539" s="306">
        <f ca="1">COUNTIF('Group Stages'!O7:O102,BW539)</f>
        <v>0</v>
      </c>
      <c r="CD539" s="306">
        <f ca="1">COUNTIF('Group Stages'!P7:P102,BW539)</f>
        <v>0</v>
      </c>
      <c r="CE539" s="306">
        <f ca="1">COUNTIF('Group Stages'!Q7:Q102,BW539)</f>
        <v>0</v>
      </c>
      <c r="CF539" s="306">
        <f ca="1">COUNTIF('Knock Out Stages'!K7:K50,BW539)</f>
        <v>0</v>
      </c>
      <c r="CG539" s="306">
        <f ca="1">COUNTIF('Knock Out Stages'!L7:L50,BW539)</f>
        <v>0</v>
      </c>
      <c r="CH539" s="306">
        <f ca="1">COUNTIF('Knock Out Stages'!M7:M50,BW539)</f>
        <v>0</v>
      </c>
      <c r="CI539" s="306">
        <f ca="1">COUNTIF('Knock Out Stages'!N7:N50,BW539)</f>
        <v>0</v>
      </c>
      <c r="CJ539" s="306">
        <f ca="1">COUNTIF('Knock Out Stages'!O7:O50,BW539)</f>
        <v>0</v>
      </c>
      <c r="CK539" s="306">
        <f ca="1">COUNTIF('Knock Out Stages'!P7:P50,BW539)</f>
        <v>0</v>
      </c>
      <c r="CL539" s="306">
        <f ca="1">COUNTIF('Knock Out Stages'!Q7:Q50,BW539)</f>
        <v>0</v>
      </c>
      <c r="CM539" s="306">
        <f ca="1">COUNTIF('Knock Out Stages'!R7:R50,BW539)</f>
        <v>0</v>
      </c>
      <c r="CN539" s="306">
        <f ca="1">IF(RIGHT('Group Stages'!$B$105,5)="T.com",SUM(BX539:CM539),0)</f>
        <v>0</v>
      </c>
      <c r="CO539" s="306">
        <f ca="1">RANK(CN539,CN3:CN834)+COUNTIF(CN3:CN539,CN539)-1</f>
        <v>537</v>
      </c>
      <c r="CP539" s="306" t="str">
        <f t="shared" ca="1" si="215"/>
        <v>Romain Saïss (Morocco)</v>
      </c>
    </row>
    <row r="540" spans="72:94" x14ac:dyDescent="0.3">
      <c r="BT540" s="306" t="str">
        <f t="shared" ca="1" si="212"/>
        <v>Morocco</v>
      </c>
      <c r="BU540" s="306">
        <f t="shared" si="213"/>
        <v>17</v>
      </c>
      <c r="BV540" s="306">
        <f t="shared" si="214"/>
        <v>19</v>
      </c>
      <c r="BW540" s="306" t="str">
        <f ca="1">OFFSET(C3,BU540,BV540)</f>
        <v>Selim Amallah</v>
      </c>
      <c r="BX540" s="306">
        <f ca="1">COUNTIF('Group Stages'!J7:J102,BW540)</f>
        <v>0</v>
      </c>
      <c r="BY540" s="306">
        <f ca="1">COUNTIF('Group Stages'!K7:K102,BW540)</f>
        <v>0</v>
      </c>
      <c r="BZ540" s="306">
        <f ca="1">COUNTIF('Group Stages'!L7:L102,BW540)</f>
        <v>0</v>
      </c>
      <c r="CA540" s="306">
        <f ca="1">COUNTIF('Group Stages'!M7:M102,BW540)</f>
        <v>0</v>
      </c>
      <c r="CB540" s="306">
        <f ca="1">COUNTIF('Group Stages'!N7:N102,BW540)</f>
        <v>0</v>
      </c>
      <c r="CC540" s="306">
        <f ca="1">COUNTIF('Group Stages'!O7:O102,BW540)</f>
        <v>0</v>
      </c>
      <c r="CD540" s="306">
        <f ca="1">COUNTIF('Group Stages'!P7:P102,BW540)</f>
        <v>0</v>
      </c>
      <c r="CE540" s="306">
        <f ca="1">COUNTIF('Group Stages'!Q7:Q102,BW540)</f>
        <v>0</v>
      </c>
      <c r="CF540" s="306">
        <f ca="1">COUNTIF('Knock Out Stages'!K7:K50,BW540)</f>
        <v>0</v>
      </c>
      <c r="CG540" s="306">
        <f ca="1">COUNTIF('Knock Out Stages'!L7:L50,BW540)</f>
        <v>0</v>
      </c>
      <c r="CH540" s="306">
        <f ca="1">COUNTIF('Knock Out Stages'!M7:M50,BW540)</f>
        <v>0</v>
      </c>
      <c r="CI540" s="306">
        <f ca="1">COUNTIF('Knock Out Stages'!N7:N50,BW540)</f>
        <v>0</v>
      </c>
      <c r="CJ540" s="306">
        <f ca="1">COUNTIF('Knock Out Stages'!O7:O50,BW540)</f>
        <v>0</v>
      </c>
      <c r="CK540" s="306">
        <f ca="1">COUNTIF('Knock Out Stages'!P7:P50,BW540)</f>
        <v>0</v>
      </c>
      <c r="CL540" s="306">
        <f ca="1">COUNTIF('Knock Out Stages'!Q7:Q50,BW540)</f>
        <v>0</v>
      </c>
      <c r="CM540" s="306">
        <f ca="1">COUNTIF('Knock Out Stages'!R7:R50,BW540)</f>
        <v>0</v>
      </c>
      <c r="CN540" s="306">
        <f ca="1">IF(RIGHT('Group Stages'!$B$105,5)="T.com",SUM(BX540:CM540),0)</f>
        <v>0</v>
      </c>
      <c r="CO540" s="306">
        <f ca="1">RANK(CN540,CN3:CN834)+COUNTIF(CN3:CN540,CN540)-1</f>
        <v>538</v>
      </c>
      <c r="CP540" s="306" t="str">
        <f t="shared" ca="1" si="215"/>
        <v>Selim Amallah (Morocco)</v>
      </c>
    </row>
    <row r="541" spans="72:94" x14ac:dyDescent="0.3">
      <c r="BT541" s="306" t="str">
        <f t="shared" ca="1" si="212"/>
        <v>Morocco</v>
      </c>
      <c r="BU541" s="306">
        <f t="shared" si="213"/>
        <v>18</v>
      </c>
      <c r="BV541" s="306">
        <f t="shared" si="214"/>
        <v>19</v>
      </c>
      <c r="BW541" s="306" t="str">
        <f ca="1">OFFSET(C3,BU541,BV541)</f>
        <v>Sofiane Boufal</v>
      </c>
      <c r="BX541" s="306">
        <f ca="1">COUNTIF('Group Stages'!J7:J102,BW541)</f>
        <v>0</v>
      </c>
      <c r="BY541" s="306">
        <f ca="1">COUNTIF('Group Stages'!K7:K102,BW541)</f>
        <v>0</v>
      </c>
      <c r="BZ541" s="306">
        <f ca="1">COUNTIF('Group Stages'!L7:L102,BW541)</f>
        <v>0</v>
      </c>
      <c r="CA541" s="306">
        <f ca="1">COUNTIF('Group Stages'!M7:M102,BW541)</f>
        <v>0</v>
      </c>
      <c r="CB541" s="306">
        <f ca="1">COUNTIF('Group Stages'!N7:N102,BW541)</f>
        <v>0</v>
      </c>
      <c r="CC541" s="306">
        <f ca="1">COUNTIF('Group Stages'!O7:O102,BW541)</f>
        <v>0</v>
      </c>
      <c r="CD541" s="306">
        <f ca="1">COUNTIF('Group Stages'!P7:P102,BW541)</f>
        <v>0</v>
      </c>
      <c r="CE541" s="306">
        <f ca="1">COUNTIF('Group Stages'!Q7:Q102,BW541)</f>
        <v>0</v>
      </c>
      <c r="CF541" s="306">
        <f ca="1">COUNTIF('Knock Out Stages'!K7:K50,BW541)</f>
        <v>0</v>
      </c>
      <c r="CG541" s="306">
        <f ca="1">COUNTIF('Knock Out Stages'!L7:L50,BW541)</f>
        <v>0</v>
      </c>
      <c r="CH541" s="306">
        <f ca="1">COUNTIF('Knock Out Stages'!M7:M50,BW541)</f>
        <v>0</v>
      </c>
      <c r="CI541" s="306">
        <f ca="1">COUNTIF('Knock Out Stages'!N7:N50,BW541)</f>
        <v>0</v>
      </c>
      <c r="CJ541" s="306">
        <f ca="1">COUNTIF('Knock Out Stages'!O7:O50,BW541)</f>
        <v>0</v>
      </c>
      <c r="CK541" s="306">
        <f ca="1">COUNTIF('Knock Out Stages'!P7:P50,BW541)</f>
        <v>0</v>
      </c>
      <c r="CL541" s="306">
        <f ca="1">COUNTIF('Knock Out Stages'!Q7:Q50,BW541)</f>
        <v>0</v>
      </c>
      <c r="CM541" s="306">
        <f ca="1">COUNTIF('Knock Out Stages'!R7:R50,BW541)</f>
        <v>0</v>
      </c>
      <c r="CN541" s="306">
        <f ca="1">IF(RIGHT('Group Stages'!$B$105,5)="T.com",SUM(BX541:CM541),0)</f>
        <v>0</v>
      </c>
      <c r="CO541" s="306">
        <f ca="1">RANK(CN541,CN3:CN834)+COUNTIF(CN3:CN541,CN541)-1</f>
        <v>539</v>
      </c>
      <c r="CP541" s="306" t="str">
        <f t="shared" ca="1" si="215"/>
        <v>Sofiane Boufal (Morocco)</v>
      </c>
    </row>
    <row r="542" spans="72:94" x14ac:dyDescent="0.3">
      <c r="BT542" s="306" t="str">
        <f t="shared" ca="1" si="212"/>
        <v>Morocco</v>
      </c>
      <c r="BU542" s="306">
        <f t="shared" si="213"/>
        <v>19</v>
      </c>
      <c r="BV542" s="306">
        <f t="shared" si="214"/>
        <v>19</v>
      </c>
      <c r="BW542" s="306" t="str">
        <f ca="1">OFFSET(C3,BU542,BV542)</f>
        <v>Sofyan Amrabat</v>
      </c>
      <c r="BX542" s="306">
        <f ca="1">COUNTIF('Group Stages'!J7:J102,BW542)</f>
        <v>0</v>
      </c>
      <c r="BY542" s="306">
        <f ca="1">COUNTIF('Group Stages'!K7:K102,BW542)</f>
        <v>0</v>
      </c>
      <c r="BZ542" s="306">
        <f ca="1">COUNTIF('Group Stages'!L7:L102,BW542)</f>
        <v>0</v>
      </c>
      <c r="CA542" s="306">
        <f ca="1">COUNTIF('Group Stages'!M7:M102,BW542)</f>
        <v>0</v>
      </c>
      <c r="CB542" s="306">
        <f ca="1">COUNTIF('Group Stages'!N7:N102,BW542)</f>
        <v>0</v>
      </c>
      <c r="CC542" s="306">
        <f ca="1">COUNTIF('Group Stages'!O7:O102,BW542)</f>
        <v>0</v>
      </c>
      <c r="CD542" s="306">
        <f ca="1">COUNTIF('Group Stages'!P7:P102,BW542)</f>
        <v>0</v>
      </c>
      <c r="CE542" s="306">
        <f ca="1">COUNTIF('Group Stages'!Q7:Q102,BW542)</f>
        <v>0</v>
      </c>
      <c r="CF542" s="306">
        <f ca="1">COUNTIF('Knock Out Stages'!K7:K50,BW542)</f>
        <v>0</v>
      </c>
      <c r="CG542" s="306">
        <f ca="1">COUNTIF('Knock Out Stages'!L7:L50,BW542)</f>
        <v>0</v>
      </c>
      <c r="CH542" s="306">
        <f ca="1">COUNTIF('Knock Out Stages'!M7:M50,BW542)</f>
        <v>0</v>
      </c>
      <c r="CI542" s="306">
        <f ca="1">COUNTIF('Knock Out Stages'!N7:N50,BW542)</f>
        <v>0</v>
      </c>
      <c r="CJ542" s="306">
        <f ca="1">COUNTIF('Knock Out Stages'!O7:O50,BW542)</f>
        <v>0</v>
      </c>
      <c r="CK542" s="306">
        <f ca="1">COUNTIF('Knock Out Stages'!P7:P50,BW542)</f>
        <v>0</v>
      </c>
      <c r="CL542" s="306">
        <f ca="1">COUNTIF('Knock Out Stages'!Q7:Q50,BW542)</f>
        <v>0</v>
      </c>
      <c r="CM542" s="306">
        <f ca="1">COUNTIF('Knock Out Stages'!R7:R50,BW542)</f>
        <v>0</v>
      </c>
      <c r="CN542" s="306">
        <f ca="1">IF(RIGHT('Group Stages'!$B$105,5)="T.com",SUM(BX542:CM542),0)</f>
        <v>0</v>
      </c>
      <c r="CO542" s="306">
        <f ca="1">RANK(CN542,CN3:CN834)+COUNTIF(CN3:CN542,CN542)-1</f>
        <v>540</v>
      </c>
      <c r="CP542" s="306" t="str">
        <f t="shared" ca="1" si="215"/>
        <v>Sofyan Amrabat (Morocco)</v>
      </c>
    </row>
    <row r="543" spans="72:94" x14ac:dyDescent="0.3">
      <c r="BT543" s="306" t="str">
        <f t="shared" ca="1" si="212"/>
        <v>Morocco</v>
      </c>
      <c r="BU543" s="306">
        <f t="shared" si="213"/>
        <v>20</v>
      </c>
      <c r="BV543" s="306">
        <f t="shared" si="214"/>
        <v>19</v>
      </c>
      <c r="BW543" s="306" t="str">
        <f ca="1">OFFSET(C3,BU543,BV543)</f>
        <v>Walid Cheddira</v>
      </c>
      <c r="BX543" s="306">
        <f ca="1">COUNTIF('Group Stages'!J7:J102,BW543)</f>
        <v>0</v>
      </c>
      <c r="BY543" s="306">
        <f ca="1">COUNTIF('Group Stages'!K7:K102,BW543)</f>
        <v>0</v>
      </c>
      <c r="BZ543" s="306">
        <f ca="1">COUNTIF('Group Stages'!L7:L102,BW543)</f>
        <v>0</v>
      </c>
      <c r="CA543" s="306">
        <f ca="1">COUNTIF('Group Stages'!M7:M102,BW543)</f>
        <v>0</v>
      </c>
      <c r="CB543" s="306">
        <f ca="1">COUNTIF('Group Stages'!N7:N102,BW543)</f>
        <v>0</v>
      </c>
      <c r="CC543" s="306">
        <f ca="1">COUNTIF('Group Stages'!O7:O102,BW543)</f>
        <v>0</v>
      </c>
      <c r="CD543" s="306">
        <f ca="1">COUNTIF('Group Stages'!P7:P102,BW543)</f>
        <v>0</v>
      </c>
      <c r="CE543" s="306">
        <f ca="1">COUNTIF('Group Stages'!Q7:Q102,BW543)</f>
        <v>0</v>
      </c>
      <c r="CF543" s="306">
        <f ca="1">COUNTIF('Knock Out Stages'!K7:K50,BW543)</f>
        <v>0</v>
      </c>
      <c r="CG543" s="306">
        <f ca="1">COUNTIF('Knock Out Stages'!L7:L50,BW543)</f>
        <v>0</v>
      </c>
      <c r="CH543" s="306">
        <f ca="1">COUNTIF('Knock Out Stages'!M7:M50,BW543)</f>
        <v>0</v>
      </c>
      <c r="CI543" s="306">
        <f ca="1">COUNTIF('Knock Out Stages'!N7:N50,BW543)</f>
        <v>0</v>
      </c>
      <c r="CJ543" s="306">
        <f ca="1">COUNTIF('Knock Out Stages'!O7:O50,BW543)</f>
        <v>0</v>
      </c>
      <c r="CK543" s="306">
        <f ca="1">COUNTIF('Knock Out Stages'!P7:P50,BW543)</f>
        <v>0</v>
      </c>
      <c r="CL543" s="306">
        <f ca="1">COUNTIF('Knock Out Stages'!Q7:Q50,BW543)</f>
        <v>0</v>
      </c>
      <c r="CM543" s="306">
        <f ca="1">COUNTIF('Knock Out Stages'!R7:R50,BW543)</f>
        <v>0</v>
      </c>
      <c r="CN543" s="306">
        <f ca="1">IF(RIGHT('Group Stages'!$B$105,5)="T.com",SUM(BX543:CM543),0)</f>
        <v>0</v>
      </c>
      <c r="CO543" s="306">
        <f ca="1">RANK(CN543,CN3:CN834)+COUNTIF(CN3:CN543,CN543)-1</f>
        <v>541</v>
      </c>
      <c r="CP543" s="306" t="str">
        <f t="shared" ca="1" si="215"/>
        <v>Walid Cheddira (Morocco)</v>
      </c>
    </row>
    <row r="544" spans="72:94" x14ac:dyDescent="0.3">
      <c r="BT544" s="306" t="str">
        <f t="shared" ca="1" si="212"/>
        <v>Morocco</v>
      </c>
      <c r="BU544" s="306">
        <f t="shared" si="213"/>
        <v>21</v>
      </c>
      <c r="BV544" s="306">
        <f t="shared" si="214"/>
        <v>19</v>
      </c>
      <c r="BW544" s="306" t="str">
        <f ca="1">OFFSET(C3,BU544,BV544)</f>
        <v>Yahia Attiyat Allah</v>
      </c>
      <c r="BX544" s="306">
        <f ca="1">COUNTIF('Group Stages'!J7:J102,BW544)</f>
        <v>0</v>
      </c>
      <c r="BY544" s="306">
        <f ca="1">COUNTIF('Group Stages'!K7:K102,BW544)</f>
        <v>0</v>
      </c>
      <c r="BZ544" s="306">
        <f ca="1">COUNTIF('Group Stages'!L7:L102,BW544)</f>
        <v>0</v>
      </c>
      <c r="CA544" s="306">
        <f ca="1">COUNTIF('Group Stages'!M7:M102,BW544)</f>
        <v>0</v>
      </c>
      <c r="CB544" s="306">
        <f ca="1">COUNTIF('Group Stages'!N7:N102,BW544)</f>
        <v>0</v>
      </c>
      <c r="CC544" s="306">
        <f ca="1">COUNTIF('Group Stages'!O7:O102,BW544)</f>
        <v>0</v>
      </c>
      <c r="CD544" s="306">
        <f ca="1">COUNTIF('Group Stages'!P7:P102,BW544)</f>
        <v>0</v>
      </c>
      <c r="CE544" s="306">
        <f ca="1">COUNTIF('Group Stages'!Q7:Q102,BW544)</f>
        <v>0</v>
      </c>
      <c r="CF544" s="306">
        <f ca="1">COUNTIF('Knock Out Stages'!K7:K50,BW544)</f>
        <v>0</v>
      </c>
      <c r="CG544" s="306">
        <f ca="1">COUNTIF('Knock Out Stages'!L7:L50,BW544)</f>
        <v>0</v>
      </c>
      <c r="CH544" s="306">
        <f ca="1">COUNTIF('Knock Out Stages'!M7:M50,BW544)</f>
        <v>0</v>
      </c>
      <c r="CI544" s="306">
        <f ca="1">COUNTIF('Knock Out Stages'!N7:N50,BW544)</f>
        <v>0</v>
      </c>
      <c r="CJ544" s="306">
        <f ca="1">COUNTIF('Knock Out Stages'!O7:O50,BW544)</f>
        <v>0</v>
      </c>
      <c r="CK544" s="306">
        <f ca="1">COUNTIF('Knock Out Stages'!P7:P50,BW544)</f>
        <v>0</v>
      </c>
      <c r="CL544" s="306">
        <f ca="1">COUNTIF('Knock Out Stages'!Q7:Q50,BW544)</f>
        <v>0</v>
      </c>
      <c r="CM544" s="306">
        <f ca="1">COUNTIF('Knock Out Stages'!R7:R50,BW544)</f>
        <v>0</v>
      </c>
      <c r="CN544" s="306">
        <f ca="1">IF(RIGHT('Group Stages'!$B$105,5)="T.com",SUM(BX544:CM544),0)</f>
        <v>0</v>
      </c>
      <c r="CO544" s="306">
        <f ca="1">RANK(CN544,CN3:CN834)+COUNTIF(CN3:CN544,CN544)-1</f>
        <v>542</v>
      </c>
      <c r="CP544" s="306" t="str">
        <f t="shared" ca="1" si="215"/>
        <v>Yahia Attiyat Allah (Morocco)</v>
      </c>
    </row>
    <row r="545" spans="72:94" x14ac:dyDescent="0.3">
      <c r="BT545" s="306" t="str">
        <f t="shared" ca="1" si="212"/>
        <v>Morocco</v>
      </c>
      <c r="BU545" s="306">
        <f t="shared" si="213"/>
        <v>22</v>
      </c>
      <c r="BV545" s="306">
        <f t="shared" si="214"/>
        <v>19</v>
      </c>
      <c r="BW545" s="306" t="str">
        <f ca="1">OFFSET(C3,BU545,BV545)</f>
        <v>Yahya Jabrane</v>
      </c>
      <c r="BX545" s="306">
        <f ca="1">COUNTIF('Group Stages'!J7:J102,BW545)</f>
        <v>0</v>
      </c>
      <c r="BY545" s="306">
        <f ca="1">COUNTIF('Group Stages'!K7:K102,BW545)</f>
        <v>0</v>
      </c>
      <c r="BZ545" s="306">
        <f ca="1">COUNTIF('Group Stages'!L7:L102,BW545)</f>
        <v>0</v>
      </c>
      <c r="CA545" s="306">
        <f ca="1">COUNTIF('Group Stages'!M7:M102,BW545)</f>
        <v>0</v>
      </c>
      <c r="CB545" s="306">
        <f ca="1">COUNTIF('Group Stages'!N7:N102,BW545)</f>
        <v>0</v>
      </c>
      <c r="CC545" s="306">
        <f ca="1">COUNTIF('Group Stages'!O7:O102,BW545)</f>
        <v>0</v>
      </c>
      <c r="CD545" s="306">
        <f ca="1">COUNTIF('Group Stages'!P7:P102,BW545)</f>
        <v>0</v>
      </c>
      <c r="CE545" s="306">
        <f ca="1">COUNTIF('Group Stages'!Q7:Q102,BW545)</f>
        <v>0</v>
      </c>
      <c r="CF545" s="306">
        <f ca="1">COUNTIF('Knock Out Stages'!K7:K50,BW545)</f>
        <v>0</v>
      </c>
      <c r="CG545" s="306">
        <f ca="1">COUNTIF('Knock Out Stages'!L7:L50,BW545)</f>
        <v>0</v>
      </c>
      <c r="CH545" s="306">
        <f ca="1">COUNTIF('Knock Out Stages'!M7:M50,BW545)</f>
        <v>0</v>
      </c>
      <c r="CI545" s="306">
        <f ca="1">COUNTIF('Knock Out Stages'!N7:N50,BW545)</f>
        <v>0</v>
      </c>
      <c r="CJ545" s="306">
        <f ca="1">COUNTIF('Knock Out Stages'!O7:O50,BW545)</f>
        <v>0</v>
      </c>
      <c r="CK545" s="306">
        <f ca="1">COUNTIF('Knock Out Stages'!P7:P50,BW545)</f>
        <v>0</v>
      </c>
      <c r="CL545" s="306">
        <f ca="1">COUNTIF('Knock Out Stages'!Q7:Q50,BW545)</f>
        <v>0</v>
      </c>
      <c r="CM545" s="306">
        <f ca="1">COUNTIF('Knock Out Stages'!R7:R50,BW545)</f>
        <v>0</v>
      </c>
      <c r="CN545" s="306">
        <f ca="1">IF(RIGHT('Group Stages'!$B$105,5)="T.com",SUM(BX545:CM545),0)</f>
        <v>0</v>
      </c>
      <c r="CO545" s="306">
        <f ca="1">RANK(CN545,CN3:CN834)+COUNTIF(CN3:CN545,CN545)-1</f>
        <v>543</v>
      </c>
      <c r="CP545" s="306" t="str">
        <f t="shared" ca="1" si="215"/>
        <v>Yahya Jabrane (Morocco)</v>
      </c>
    </row>
    <row r="546" spans="72:94" x14ac:dyDescent="0.3">
      <c r="BT546" s="306" t="str">
        <f t="shared" ca="1" si="212"/>
        <v>Morocco</v>
      </c>
      <c r="BU546" s="306">
        <f t="shared" si="213"/>
        <v>23</v>
      </c>
      <c r="BV546" s="306">
        <f t="shared" si="214"/>
        <v>19</v>
      </c>
      <c r="BW546" s="306" t="str">
        <f ca="1">OFFSET(C3,BU546,BV546)</f>
        <v>Yassine Bounou</v>
      </c>
      <c r="BX546" s="306">
        <f ca="1">COUNTIF('Group Stages'!J7:J102,BW546)</f>
        <v>0</v>
      </c>
      <c r="BY546" s="306">
        <f ca="1">COUNTIF('Group Stages'!K7:K102,BW546)</f>
        <v>0</v>
      </c>
      <c r="BZ546" s="306">
        <f ca="1">COUNTIF('Group Stages'!L7:L102,BW546)</f>
        <v>0</v>
      </c>
      <c r="CA546" s="306">
        <f ca="1">COUNTIF('Group Stages'!M7:M102,BW546)</f>
        <v>0</v>
      </c>
      <c r="CB546" s="306">
        <f ca="1">COUNTIF('Group Stages'!N7:N102,BW546)</f>
        <v>0</v>
      </c>
      <c r="CC546" s="306">
        <f ca="1">COUNTIF('Group Stages'!O7:O102,BW546)</f>
        <v>0</v>
      </c>
      <c r="CD546" s="306">
        <f ca="1">COUNTIF('Group Stages'!P7:P102,BW546)</f>
        <v>0</v>
      </c>
      <c r="CE546" s="306">
        <f ca="1">COUNTIF('Group Stages'!Q7:Q102,BW546)</f>
        <v>0</v>
      </c>
      <c r="CF546" s="306">
        <f ca="1">COUNTIF('Knock Out Stages'!K7:K50,BW546)</f>
        <v>0</v>
      </c>
      <c r="CG546" s="306">
        <f ca="1">COUNTIF('Knock Out Stages'!L7:L50,BW546)</f>
        <v>0</v>
      </c>
      <c r="CH546" s="306">
        <f ca="1">COUNTIF('Knock Out Stages'!M7:M50,BW546)</f>
        <v>0</v>
      </c>
      <c r="CI546" s="306">
        <f ca="1">COUNTIF('Knock Out Stages'!N7:N50,BW546)</f>
        <v>0</v>
      </c>
      <c r="CJ546" s="306">
        <f ca="1">COUNTIF('Knock Out Stages'!O7:O50,BW546)</f>
        <v>0</v>
      </c>
      <c r="CK546" s="306">
        <f ca="1">COUNTIF('Knock Out Stages'!P7:P50,BW546)</f>
        <v>0</v>
      </c>
      <c r="CL546" s="306">
        <f ca="1">COUNTIF('Knock Out Stages'!Q7:Q50,BW546)</f>
        <v>0</v>
      </c>
      <c r="CM546" s="306">
        <f ca="1">COUNTIF('Knock Out Stages'!R7:R50,BW546)</f>
        <v>0</v>
      </c>
      <c r="CN546" s="306">
        <f ca="1">IF(RIGHT('Group Stages'!$B$105,5)="T.com",SUM(BX546:CM546),0)</f>
        <v>0</v>
      </c>
      <c r="CO546" s="306">
        <f ca="1">RANK(CN546,CN3:CN834)+COUNTIF(CN3:CN546,CN546)-1</f>
        <v>544</v>
      </c>
      <c r="CP546" s="306" t="str">
        <f t="shared" ca="1" si="215"/>
        <v>Yassine Bounou (Morocco)</v>
      </c>
    </row>
    <row r="547" spans="72:94" x14ac:dyDescent="0.3">
      <c r="BT547" s="306" t="str">
        <f t="shared" ca="1" si="212"/>
        <v>Morocco</v>
      </c>
      <c r="BU547" s="306">
        <f t="shared" si="213"/>
        <v>24</v>
      </c>
      <c r="BV547" s="306">
        <f t="shared" si="214"/>
        <v>19</v>
      </c>
      <c r="BW547" s="306" t="str">
        <f ca="1">OFFSET(C3,BU547,BV547)</f>
        <v>Youssef En-Nesyri</v>
      </c>
      <c r="BX547" s="306">
        <f ca="1">COUNTIF('Group Stages'!J7:J102,BW547)</f>
        <v>0</v>
      </c>
      <c r="BY547" s="306">
        <f ca="1">COUNTIF('Group Stages'!K7:K102,BW547)</f>
        <v>0</v>
      </c>
      <c r="BZ547" s="306">
        <f ca="1">COUNTIF('Group Stages'!L7:L102,BW547)</f>
        <v>0</v>
      </c>
      <c r="CA547" s="306">
        <f ca="1">COUNTIF('Group Stages'!M7:M102,BW547)</f>
        <v>0</v>
      </c>
      <c r="CB547" s="306">
        <f ca="1">COUNTIF('Group Stages'!N7:N102,BW547)</f>
        <v>0</v>
      </c>
      <c r="CC547" s="306">
        <f ca="1">COUNTIF('Group Stages'!O7:O102,BW547)</f>
        <v>0</v>
      </c>
      <c r="CD547" s="306">
        <f ca="1">COUNTIF('Group Stages'!P7:P102,BW547)</f>
        <v>0</v>
      </c>
      <c r="CE547" s="306">
        <f ca="1">COUNTIF('Group Stages'!Q7:Q102,BW547)</f>
        <v>0</v>
      </c>
      <c r="CF547" s="306">
        <f ca="1">COUNTIF('Knock Out Stages'!K7:K50,BW547)</f>
        <v>0</v>
      </c>
      <c r="CG547" s="306">
        <f ca="1">COUNTIF('Knock Out Stages'!L7:L50,BW547)</f>
        <v>0</v>
      </c>
      <c r="CH547" s="306">
        <f ca="1">COUNTIF('Knock Out Stages'!M7:M50,BW547)</f>
        <v>0</v>
      </c>
      <c r="CI547" s="306">
        <f ca="1">COUNTIF('Knock Out Stages'!N7:N50,BW547)</f>
        <v>0</v>
      </c>
      <c r="CJ547" s="306">
        <f ca="1">COUNTIF('Knock Out Stages'!O7:O50,BW547)</f>
        <v>0</v>
      </c>
      <c r="CK547" s="306">
        <f ca="1">COUNTIF('Knock Out Stages'!P7:P50,BW547)</f>
        <v>0</v>
      </c>
      <c r="CL547" s="306">
        <f ca="1">COUNTIF('Knock Out Stages'!Q7:Q50,BW547)</f>
        <v>0</v>
      </c>
      <c r="CM547" s="306">
        <f ca="1">COUNTIF('Knock Out Stages'!R7:R50,BW547)</f>
        <v>0</v>
      </c>
      <c r="CN547" s="306">
        <f ca="1">IF(RIGHT('Group Stages'!$B$105,5)="T.com",SUM(BX547:CM547),0)</f>
        <v>0</v>
      </c>
      <c r="CO547" s="306">
        <f ca="1">RANK(CN547,CN3:CN834)+COUNTIF(CN3:CN547,CN547)-1</f>
        <v>545</v>
      </c>
      <c r="CP547" s="306" t="str">
        <f t="shared" ca="1" si="215"/>
        <v>Youssef En-Nesyri (Morocco)</v>
      </c>
    </row>
    <row r="548" spans="72:94" x14ac:dyDescent="0.3">
      <c r="BT548" s="306" t="str">
        <f t="shared" ca="1" si="212"/>
        <v>Morocco</v>
      </c>
      <c r="BU548" s="306">
        <f t="shared" si="213"/>
        <v>25</v>
      </c>
      <c r="BV548" s="306">
        <f t="shared" si="214"/>
        <v>19</v>
      </c>
      <c r="BW548" s="306" t="str">
        <f ca="1">OFFSET(C3,BU548,BV548)</f>
        <v>Zakaria Aboukhlal</v>
      </c>
      <c r="BX548" s="306">
        <f ca="1">COUNTIF('Group Stages'!J7:J102,BW548)</f>
        <v>0</v>
      </c>
      <c r="BY548" s="306">
        <f ca="1">COUNTIF('Group Stages'!K7:K102,BW548)</f>
        <v>0</v>
      </c>
      <c r="BZ548" s="306">
        <f ca="1">COUNTIF('Group Stages'!L7:L102,BW548)</f>
        <v>0</v>
      </c>
      <c r="CA548" s="306">
        <f ca="1">COUNTIF('Group Stages'!M7:M102,BW548)</f>
        <v>0</v>
      </c>
      <c r="CB548" s="306">
        <f ca="1">COUNTIF('Group Stages'!N7:N102,BW548)</f>
        <v>0</v>
      </c>
      <c r="CC548" s="306">
        <f ca="1">COUNTIF('Group Stages'!O7:O102,BW548)</f>
        <v>0</v>
      </c>
      <c r="CD548" s="306">
        <f ca="1">COUNTIF('Group Stages'!P7:P102,BW548)</f>
        <v>0</v>
      </c>
      <c r="CE548" s="306">
        <f ca="1">COUNTIF('Group Stages'!Q7:Q102,BW548)</f>
        <v>0</v>
      </c>
      <c r="CF548" s="306">
        <f ca="1">COUNTIF('Knock Out Stages'!K7:K50,BW548)</f>
        <v>0</v>
      </c>
      <c r="CG548" s="306">
        <f ca="1">COUNTIF('Knock Out Stages'!L7:L50,BW548)</f>
        <v>0</v>
      </c>
      <c r="CH548" s="306">
        <f ca="1">COUNTIF('Knock Out Stages'!M7:M50,BW548)</f>
        <v>0</v>
      </c>
      <c r="CI548" s="306">
        <f ca="1">COUNTIF('Knock Out Stages'!N7:N50,BW548)</f>
        <v>0</v>
      </c>
      <c r="CJ548" s="306">
        <f ca="1">COUNTIF('Knock Out Stages'!O7:O50,BW548)</f>
        <v>0</v>
      </c>
      <c r="CK548" s="306">
        <f ca="1">COUNTIF('Knock Out Stages'!P7:P50,BW548)</f>
        <v>0</v>
      </c>
      <c r="CL548" s="306">
        <f ca="1">COUNTIF('Knock Out Stages'!Q7:Q50,BW548)</f>
        <v>0</v>
      </c>
      <c r="CM548" s="306">
        <f ca="1">COUNTIF('Knock Out Stages'!R7:R50,BW548)</f>
        <v>0</v>
      </c>
      <c r="CN548" s="306">
        <f ca="1">IF(RIGHT('Group Stages'!$B$105,5)="T.com",SUM(BX548:CM548),0)</f>
        <v>0</v>
      </c>
      <c r="CO548" s="306">
        <f ca="1">RANK(CN548,CN3:CN834)+COUNTIF(CN3:CN548,CN548)-1</f>
        <v>546</v>
      </c>
      <c r="CP548" s="306" t="str">
        <f t="shared" ca="1" si="215"/>
        <v>Zakaria Aboukhlal (Morocco)</v>
      </c>
    </row>
    <row r="549" spans="72:94" x14ac:dyDescent="0.3">
      <c r="BT549" s="306" t="str">
        <f ca="1">OFFSET(C2,BU549,BV549)</f>
        <v>Croatia</v>
      </c>
      <c r="BU549" s="306">
        <f t="shared" si="213"/>
        <v>0</v>
      </c>
      <c r="BV549" s="306">
        <f t="shared" si="214"/>
        <v>20</v>
      </c>
      <c r="BW549" s="306" t="str">
        <f ca="1">OFFSET(C3,BU549,BV549)</f>
        <v>Andrej Kramarić</v>
      </c>
      <c r="BX549" s="306">
        <f ca="1">COUNTIF('Group Stages'!J7:J102,BW549)</f>
        <v>0</v>
      </c>
      <c r="BY549" s="306">
        <f ca="1">COUNTIF('Group Stages'!K7:K102,BW549)</f>
        <v>0</v>
      </c>
      <c r="BZ549" s="306">
        <f ca="1">COUNTIF('Group Stages'!L7:L102,BW549)</f>
        <v>0</v>
      </c>
      <c r="CA549" s="306">
        <f ca="1">COUNTIF('Group Stages'!M7:M102,BW549)</f>
        <v>0</v>
      </c>
      <c r="CB549" s="306">
        <f ca="1">COUNTIF('Group Stages'!N7:N102,BW549)</f>
        <v>0</v>
      </c>
      <c r="CC549" s="306">
        <f ca="1">COUNTIF('Group Stages'!O7:O102,BW549)</f>
        <v>0</v>
      </c>
      <c r="CD549" s="306">
        <f ca="1">COUNTIF('Group Stages'!P7:P102,BW549)</f>
        <v>0</v>
      </c>
      <c r="CE549" s="306">
        <f ca="1">COUNTIF('Group Stages'!Q7:Q102,BW549)</f>
        <v>0</v>
      </c>
      <c r="CF549" s="306">
        <f ca="1">COUNTIF('Knock Out Stages'!K7:K50,BW549)</f>
        <v>0</v>
      </c>
      <c r="CG549" s="306">
        <f ca="1">COUNTIF('Knock Out Stages'!L7:L50,BW549)</f>
        <v>0</v>
      </c>
      <c r="CH549" s="306">
        <f ca="1">COUNTIF('Knock Out Stages'!M7:M50,BW549)</f>
        <v>0</v>
      </c>
      <c r="CI549" s="306">
        <f ca="1">COUNTIF('Knock Out Stages'!N7:N50,BW549)</f>
        <v>0</v>
      </c>
      <c r="CJ549" s="306">
        <f ca="1">COUNTIF('Knock Out Stages'!O7:O50,BW549)</f>
        <v>0</v>
      </c>
      <c r="CK549" s="306">
        <f ca="1">COUNTIF('Knock Out Stages'!P7:P50,BW549)</f>
        <v>0</v>
      </c>
      <c r="CL549" s="306">
        <f ca="1">COUNTIF('Knock Out Stages'!Q7:Q50,BW549)</f>
        <v>0</v>
      </c>
      <c r="CM549" s="306">
        <f ca="1">COUNTIF('Knock Out Stages'!R7:R50,BW549)</f>
        <v>0</v>
      </c>
      <c r="CN549" s="306">
        <f ca="1">IF(RIGHT('Group Stages'!$B$105,5)="T.com",SUM(BX549:CM549),0)</f>
        <v>0</v>
      </c>
      <c r="CO549" s="306">
        <f ca="1">RANK(CN549,CN3:CN834)+COUNTIF(CN3:CN549,CN549)-1</f>
        <v>547</v>
      </c>
      <c r="CP549" s="306" t="str">
        <f t="shared" ca="1" si="215"/>
        <v>Andrej Kramarić (Croatia)</v>
      </c>
    </row>
    <row r="550" spans="72:94" x14ac:dyDescent="0.3">
      <c r="BT550" s="306" t="str">
        <f t="shared" ref="BT550" ca="1" si="217">BT549</f>
        <v>Croatia</v>
      </c>
      <c r="BU550" s="306">
        <f t="shared" si="213"/>
        <v>1</v>
      </c>
      <c r="BV550" s="306">
        <f t="shared" si="214"/>
        <v>20</v>
      </c>
      <c r="BW550" s="306" t="str">
        <f ca="1">OFFSET(C3,BU550,BV550)</f>
        <v>Ante Budimir</v>
      </c>
      <c r="BX550" s="306">
        <f ca="1">COUNTIF('Group Stages'!J7:J102,BW550)</f>
        <v>0</v>
      </c>
      <c r="BY550" s="306">
        <f ca="1">COUNTIF('Group Stages'!K7:K102,BW550)</f>
        <v>0</v>
      </c>
      <c r="BZ550" s="306">
        <f ca="1">COUNTIF('Group Stages'!L7:L102,BW550)</f>
        <v>0</v>
      </c>
      <c r="CA550" s="306">
        <f ca="1">COUNTIF('Group Stages'!M7:M102,BW550)</f>
        <v>0</v>
      </c>
      <c r="CB550" s="306">
        <f ca="1">COUNTIF('Group Stages'!N7:N102,BW550)</f>
        <v>0</v>
      </c>
      <c r="CC550" s="306">
        <f ca="1">COUNTIF('Group Stages'!O7:O102,BW550)</f>
        <v>0</v>
      </c>
      <c r="CD550" s="306">
        <f ca="1">COUNTIF('Group Stages'!P7:P102,BW550)</f>
        <v>0</v>
      </c>
      <c r="CE550" s="306">
        <f ca="1">COUNTIF('Group Stages'!Q7:Q102,BW550)</f>
        <v>0</v>
      </c>
      <c r="CF550" s="306">
        <f ca="1">COUNTIF('Knock Out Stages'!K7:K50,BW550)</f>
        <v>0</v>
      </c>
      <c r="CG550" s="306">
        <f ca="1">COUNTIF('Knock Out Stages'!L7:L50,BW550)</f>
        <v>0</v>
      </c>
      <c r="CH550" s="306">
        <f ca="1">COUNTIF('Knock Out Stages'!M7:M50,BW550)</f>
        <v>0</v>
      </c>
      <c r="CI550" s="306">
        <f ca="1">COUNTIF('Knock Out Stages'!N7:N50,BW550)</f>
        <v>0</v>
      </c>
      <c r="CJ550" s="306">
        <f ca="1">COUNTIF('Knock Out Stages'!O7:O50,BW550)</f>
        <v>0</v>
      </c>
      <c r="CK550" s="306">
        <f ca="1">COUNTIF('Knock Out Stages'!P7:P50,BW550)</f>
        <v>0</v>
      </c>
      <c r="CL550" s="306">
        <f ca="1">COUNTIF('Knock Out Stages'!Q7:Q50,BW550)</f>
        <v>0</v>
      </c>
      <c r="CM550" s="306">
        <f ca="1">COUNTIF('Knock Out Stages'!R7:R50,BW550)</f>
        <v>0</v>
      </c>
      <c r="CN550" s="306">
        <f ca="1">IF(RIGHT('Group Stages'!$B$105,5)="T.com",SUM(BX550:CM550),0)</f>
        <v>0</v>
      </c>
      <c r="CO550" s="306">
        <f ca="1">RANK(CN550,CN3:CN834)+COUNTIF(CN3:CN550,CN550)-1</f>
        <v>548</v>
      </c>
      <c r="CP550" s="306" t="str">
        <f t="shared" ca="1" si="215"/>
        <v>Ante Budimir (Croatia)</v>
      </c>
    </row>
    <row r="551" spans="72:94" x14ac:dyDescent="0.3">
      <c r="BT551" s="306" t="str">
        <f t="shared" ca="1" si="212"/>
        <v>Croatia</v>
      </c>
      <c r="BU551" s="306">
        <f t="shared" si="213"/>
        <v>2</v>
      </c>
      <c r="BV551" s="306">
        <f t="shared" si="214"/>
        <v>20</v>
      </c>
      <c r="BW551" s="306" t="str">
        <f ca="1">OFFSET(C3,BU551,BV551)</f>
        <v>Borna Barišić</v>
      </c>
      <c r="BX551" s="306">
        <f ca="1">COUNTIF('Group Stages'!J7:J102,BW551)</f>
        <v>0</v>
      </c>
      <c r="BY551" s="306">
        <f ca="1">COUNTIF('Group Stages'!K7:K102,BW551)</f>
        <v>0</v>
      </c>
      <c r="BZ551" s="306">
        <f ca="1">COUNTIF('Group Stages'!L7:L102,BW551)</f>
        <v>0</v>
      </c>
      <c r="CA551" s="306">
        <f ca="1">COUNTIF('Group Stages'!M7:M102,BW551)</f>
        <v>0</v>
      </c>
      <c r="CB551" s="306">
        <f ca="1">COUNTIF('Group Stages'!N7:N102,BW551)</f>
        <v>0</v>
      </c>
      <c r="CC551" s="306">
        <f ca="1">COUNTIF('Group Stages'!O7:O102,BW551)</f>
        <v>0</v>
      </c>
      <c r="CD551" s="306">
        <f ca="1">COUNTIF('Group Stages'!P7:P102,BW551)</f>
        <v>0</v>
      </c>
      <c r="CE551" s="306">
        <f ca="1">COUNTIF('Group Stages'!Q7:Q102,BW551)</f>
        <v>0</v>
      </c>
      <c r="CF551" s="306">
        <f ca="1">COUNTIF('Knock Out Stages'!K7:K50,BW551)</f>
        <v>0</v>
      </c>
      <c r="CG551" s="306">
        <f ca="1">COUNTIF('Knock Out Stages'!L7:L50,BW551)</f>
        <v>0</v>
      </c>
      <c r="CH551" s="306">
        <f ca="1">COUNTIF('Knock Out Stages'!M7:M50,BW551)</f>
        <v>0</v>
      </c>
      <c r="CI551" s="306">
        <f ca="1">COUNTIF('Knock Out Stages'!N7:N50,BW551)</f>
        <v>0</v>
      </c>
      <c r="CJ551" s="306">
        <f ca="1">COUNTIF('Knock Out Stages'!O7:O50,BW551)</f>
        <v>0</v>
      </c>
      <c r="CK551" s="306">
        <f ca="1">COUNTIF('Knock Out Stages'!P7:P50,BW551)</f>
        <v>0</v>
      </c>
      <c r="CL551" s="306">
        <f ca="1">COUNTIF('Knock Out Stages'!Q7:Q50,BW551)</f>
        <v>0</v>
      </c>
      <c r="CM551" s="306">
        <f ca="1">COUNTIF('Knock Out Stages'!R7:R50,BW551)</f>
        <v>0</v>
      </c>
      <c r="CN551" s="306">
        <f ca="1">IF(RIGHT('Group Stages'!$B$105,5)="T.com",SUM(BX551:CM551),0)</f>
        <v>0</v>
      </c>
      <c r="CO551" s="306">
        <f ca="1">RANK(CN551,CN3:CN834)+COUNTIF(CN3:CN551,CN551)-1</f>
        <v>549</v>
      </c>
      <c r="CP551" s="306" t="str">
        <f t="shared" ca="1" si="215"/>
        <v>Borna Barišić (Croatia)</v>
      </c>
    </row>
    <row r="552" spans="72:94" x14ac:dyDescent="0.3">
      <c r="BT552" s="306" t="str">
        <f t="shared" ca="1" si="212"/>
        <v>Croatia</v>
      </c>
      <c r="BU552" s="306">
        <f t="shared" si="213"/>
        <v>3</v>
      </c>
      <c r="BV552" s="306">
        <f t="shared" si="214"/>
        <v>20</v>
      </c>
      <c r="BW552" s="306" t="str">
        <f ca="1">OFFSET(C3,BU552,BV552)</f>
        <v>Borna Sosa</v>
      </c>
      <c r="BX552" s="306">
        <f ca="1">COUNTIF('Group Stages'!J7:J102,BW552)</f>
        <v>0</v>
      </c>
      <c r="BY552" s="306">
        <f ca="1">COUNTIF('Group Stages'!K7:K102,BW552)</f>
        <v>0</v>
      </c>
      <c r="BZ552" s="306">
        <f ca="1">COUNTIF('Group Stages'!L7:L102,BW552)</f>
        <v>0</v>
      </c>
      <c r="CA552" s="306">
        <f ca="1">COUNTIF('Group Stages'!M7:M102,BW552)</f>
        <v>0</v>
      </c>
      <c r="CB552" s="306">
        <f ca="1">COUNTIF('Group Stages'!N7:N102,BW552)</f>
        <v>0</v>
      </c>
      <c r="CC552" s="306">
        <f ca="1">COUNTIF('Group Stages'!O7:O102,BW552)</f>
        <v>0</v>
      </c>
      <c r="CD552" s="306">
        <f ca="1">COUNTIF('Group Stages'!P7:P102,BW552)</f>
        <v>0</v>
      </c>
      <c r="CE552" s="306">
        <f ca="1">COUNTIF('Group Stages'!Q7:Q102,BW552)</f>
        <v>0</v>
      </c>
      <c r="CF552" s="306">
        <f ca="1">COUNTIF('Knock Out Stages'!K7:K50,BW552)</f>
        <v>0</v>
      </c>
      <c r="CG552" s="306">
        <f ca="1">COUNTIF('Knock Out Stages'!L7:L50,BW552)</f>
        <v>0</v>
      </c>
      <c r="CH552" s="306">
        <f ca="1">COUNTIF('Knock Out Stages'!M7:M50,BW552)</f>
        <v>0</v>
      </c>
      <c r="CI552" s="306">
        <f ca="1">COUNTIF('Knock Out Stages'!N7:N50,BW552)</f>
        <v>0</v>
      </c>
      <c r="CJ552" s="306">
        <f ca="1">COUNTIF('Knock Out Stages'!O7:O50,BW552)</f>
        <v>0</v>
      </c>
      <c r="CK552" s="306">
        <f ca="1">COUNTIF('Knock Out Stages'!P7:P50,BW552)</f>
        <v>0</v>
      </c>
      <c r="CL552" s="306">
        <f ca="1">COUNTIF('Knock Out Stages'!Q7:Q50,BW552)</f>
        <v>0</v>
      </c>
      <c r="CM552" s="306">
        <f ca="1">COUNTIF('Knock Out Stages'!R7:R50,BW552)</f>
        <v>0</v>
      </c>
      <c r="CN552" s="306">
        <f ca="1">IF(RIGHT('Group Stages'!$B$105,5)="T.com",SUM(BX552:CM552),0)</f>
        <v>0</v>
      </c>
      <c r="CO552" s="306">
        <f ca="1">RANK(CN552,CN3:CN834)+COUNTIF(CN3:CN552,CN552)-1</f>
        <v>550</v>
      </c>
      <c r="CP552" s="306" t="str">
        <f t="shared" ca="1" si="215"/>
        <v>Borna Sosa (Croatia)</v>
      </c>
    </row>
    <row r="553" spans="72:94" x14ac:dyDescent="0.3">
      <c r="BT553" s="306" t="str">
        <f t="shared" ca="1" si="212"/>
        <v>Croatia</v>
      </c>
      <c r="BU553" s="306">
        <f t="shared" si="213"/>
        <v>4</v>
      </c>
      <c r="BV553" s="306">
        <f t="shared" si="214"/>
        <v>20</v>
      </c>
      <c r="BW553" s="306" t="str">
        <f ca="1">OFFSET(C3,BU553,BV553)</f>
        <v>Bruno Petković</v>
      </c>
      <c r="BX553" s="306">
        <f ca="1">COUNTIF('Group Stages'!J7:J102,BW553)</f>
        <v>0</v>
      </c>
      <c r="BY553" s="306">
        <f ca="1">COUNTIF('Group Stages'!K7:K102,BW553)</f>
        <v>0</v>
      </c>
      <c r="BZ553" s="306">
        <f ca="1">COUNTIF('Group Stages'!L7:L102,BW553)</f>
        <v>0</v>
      </c>
      <c r="CA553" s="306">
        <f ca="1">COUNTIF('Group Stages'!M7:M102,BW553)</f>
        <v>0</v>
      </c>
      <c r="CB553" s="306">
        <f ca="1">COUNTIF('Group Stages'!N7:N102,BW553)</f>
        <v>0</v>
      </c>
      <c r="CC553" s="306">
        <f ca="1">COUNTIF('Group Stages'!O7:O102,BW553)</f>
        <v>0</v>
      </c>
      <c r="CD553" s="306">
        <f ca="1">COUNTIF('Group Stages'!P7:P102,BW553)</f>
        <v>0</v>
      </c>
      <c r="CE553" s="306">
        <f ca="1">COUNTIF('Group Stages'!Q7:Q102,BW553)</f>
        <v>0</v>
      </c>
      <c r="CF553" s="306">
        <f ca="1">COUNTIF('Knock Out Stages'!K7:K50,BW553)</f>
        <v>0</v>
      </c>
      <c r="CG553" s="306">
        <f ca="1">COUNTIF('Knock Out Stages'!L7:L50,BW553)</f>
        <v>0</v>
      </c>
      <c r="CH553" s="306">
        <f ca="1">COUNTIF('Knock Out Stages'!M7:M50,BW553)</f>
        <v>0</v>
      </c>
      <c r="CI553" s="306">
        <f ca="1">COUNTIF('Knock Out Stages'!N7:N50,BW553)</f>
        <v>0</v>
      </c>
      <c r="CJ553" s="306">
        <f ca="1">COUNTIF('Knock Out Stages'!O7:O50,BW553)</f>
        <v>0</v>
      </c>
      <c r="CK553" s="306">
        <f ca="1">COUNTIF('Knock Out Stages'!P7:P50,BW553)</f>
        <v>0</v>
      </c>
      <c r="CL553" s="306">
        <f ca="1">COUNTIF('Knock Out Stages'!Q7:Q50,BW553)</f>
        <v>0</v>
      </c>
      <c r="CM553" s="306">
        <f ca="1">COUNTIF('Knock Out Stages'!R7:R50,BW553)</f>
        <v>0</v>
      </c>
      <c r="CN553" s="306">
        <f ca="1">IF(RIGHT('Group Stages'!$B$105,5)="T.com",SUM(BX553:CM553),0)</f>
        <v>0</v>
      </c>
      <c r="CO553" s="306">
        <f ca="1">RANK(CN553,CN3:CN834)+COUNTIF(CN3:CN553,CN553)-1</f>
        <v>551</v>
      </c>
      <c r="CP553" s="306" t="str">
        <f t="shared" ca="1" si="215"/>
        <v>Bruno Petković (Croatia)</v>
      </c>
    </row>
    <row r="554" spans="72:94" x14ac:dyDescent="0.3">
      <c r="BT554" s="306" t="str">
        <f t="shared" ca="1" si="212"/>
        <v>Croatia</v>
      </c>
      <c r="BU554" s="306">
        <f t="shared" si="213"/>
        <v>5</v>
      </c>
      <c r="BV554" s="306">
        <f t="shared" si="214"/>
        <v>20</v>
      </c>
      <c r="BW554" s="306" t="str">
        <f ca="1">OFFSET(C3,BU554,BV554)</f>
        <v>Dejan Lovren</v>
      </c>
      <c r="BX554" s="306">
        <f ca="1">COUNTIF('Group Stages'!J7:J102,BW554)</f>
        <v>0</v>
      </c>
      <c r="BY554" s="306">
        <f ca="1">COUNTIF('Group Stages'!K7:K102,BW554)</f>
        <v>0</v>
      </c>
      <c r="BZ554" s="306">
        <f ca="1">COUNTIF('Group Stages'!L7:L102,BW554)</f>
        <v>0</v>
      </c>
      <c r="CA554" s="306">
        <f ca="1">COUNTIF('Group Stages'!M7:M102,BW554)</f>
        <v>0</v>
      </c>
      <c r="CB554" s="306">
        <f ca="1">COUNTIF('Group Stages'!N7:N102,BW554)</f>
        <v>0</v>
      </c>
      <c r="CC554" s="306">
        <f ca="1">COUNTIF('Group Stages'!O7:O102,BW554)</f>
        <v>0</v>
      </c>
      <c r="CD554" s="306">
        <f ca="1">COUNTIF('Group Stages'!P7:P102,BW554)</f>
        <v>0</v>
      </c>
      <c r="CE554" s="306">
        <f ca="1">COUNTIF('Group Stages'!Q7:Q102,BW554)</f>
        <v>0</v>
      </c>
      <c r="CF554" s="306">
        <f ca="1">COUNTIF('Knock Out Stages'!K7:K50,BW554)</f>
        <v>0</v>
      </c>
      <c r="CG554" s="306">
        <f ca="1">COUNTIF('Knock Out Stages'!L7:L50,BW554)</f>
        <v>0</v>
      </c>
      <c r="CH554" s="306">
        <f ca="1">COUNTIF('Knock Out Stages'!M7:M50,BW554)</f>
        <v>0</v>
      </c>
      <c r="CI554" s="306">
        <f ca="1">COUNTIF('Knock Out Stages'!N7:N50,BW554)</f>
        <v>0</v>
      </c>
      <c r="CJ554" s="306">
        <f ca="1">COUNTIF('Knock Out Stages'!O7:O50,BW554)</f>
        <v>0</v>
      </c>
      <c r="CK554" s="306">
        <f ca="1">COUNTIF('Knock Out Stages'!P7:P50,BW554)</f>
        <v>0</v>
      </c>
      <c r="CL554" s="306">
        <f ca="1">COUNTIF('Knock Out Stages'!Q7:Q50,BW554)</f>
        <v>0</v>
      </c>
      <c r="CM554" s="306">
        <f ca="1">COUNTIF('Knock Out Stages'!R7:R50,BW554)</f>
        <v>0</v>
      </c>
      <c r="CN554" s="306">
        <f ca="1">IF(RIGHT('Group Stages'!$B$105,5)="T.com",SUM(BX554:CM554),0)</f>
        <v>0</v>
      </c>
      <c r="CO554" s="306">
        <f ca="1">RANK(CN554,CN3:CN834)+COUNTIF(CN3:CN554,CN554)-1</f>
        <v>552</v>
      </c>
      <c r="CP554" s="306" t="str">
        <f t="shared" ca="1" si="215"/>
        <v>Dejan Lovren (Croatia)</v>
      </c>
    </row>
    <row r="555" spans="72:94" x14ac:dyDescent="0.3">
      <c r="BT555" s="306" t="str">
        <f t="shared" ca="1" si="212"/>
        <v>Croatia</v>
      </c>
      <c r="BU555" s="306">
        <f t="shared" si="213"/>
        <v>6</v>
      </c>
      <c r="BV555" s="306">
        <f t="shared" si="214"/>
        <v>20</v>
      </c>
      <c r="BW555" s="306" t="str">
        <f ca="1">OFFSET(C3,BU555,BV555)</f>
        <v>Domagoj Vida</v>
      </c>
      <c r="BX555" s="306">
        <f ca="1">COUNTIF('Group Stages'!J7:J102,BW555)</f>
        <v>0</v>
      </c>
      <c r="BY555" s="306">
        <f ca="1">COUNTIF('Group Stages'!K7:K102,BW555)</f>
        <v>0</v>
      </c>
      <c r="BZ555" s="306">
        <f ca="1">COUNTIF('Group Stages'!L7:L102,BW555)</f>
        <v>0</v>
      </c>
      <c r="CA555" s="306">
        <f ca="1">COUNTIF('Group Stages'!M7:M102,BW555)</f>
        <v>0</v>
      </c>
      <c r="CB555" s="306">
        <f ca="1">COUNTIF('Group Stages'!N7:N102,BW555)</f>
        <v>0</v>
      </c>
      <c r="CC555" s="306">
        <f ca="1">COUNTIF('Group Stages'!O7:O102,BW555)</f>
        <v>0</v>
      </c>
      <c r="CD555" s="306">
        <f ca="1">COUNTIF('Group Stages'!P7:P102,BW555)</f>
        <v>0</v>
      </c>
      <c r="CE555" s="306">
        <f ca="1">COUNTIF('Group Stages'!Q7:Q102,BW555)</f>
        <v>0</v>
      </c>
      <c r="CF555" s="306">
        <f ca="1">COUNTIF('Knock Out Stages'!K7:K50,BW555)</f>
        <v>0</v>
      </c>
      <c r="CG555" s="306">
        <f ca="1">COUNTIF('Knock Out Stages'!L7:L50,BW555)</f>
        <v>0</v>
      </c>
      <c r="CH555" s="306">
        <f ca="1">COUNTIF('Knock Out Stages'!M7:M50,BW555)</f>
        <v>0</v>
      </c>
      <c r="CI555" s="306">
        <f ca="1">COUNTIF('Knock Out Stages'!N7:N50,BW555)</f>
        <v>0</v>
      </c>
      <c r="CJ555" s="306">
        <f ca="1">COUNTIF('Knock Out Stages'!O7:O50,BW555)</f>
        <v>0</v>
      </c>
      <c r="CK555" s="306">
        <f ca="1">COUNTIF('Knock Out Stages'!P7:P50,BW555)</f>
        <v>0</v>
      </c>
      <c r="CL555" s="306">
        <f ca="1">COUNTIF('Knock Out Stages'!Q7:Q50,BW555)</f>
        <v>0</v>
      </c>
      <c r="CM555" s="306">
        <f ca="1">COUNTIF('Knock Out Stages'!R7:R50,BW555)</f>
        <v>0</v>
      </c>
      <c r="CN555" s="306">
        <f ca="1">IF(RIGHT('Group Stages'!$B$105,5)="T.com",SUM(BX555:CM555),0)</f>
        <v>0</v>
      </c>
      <c r="CO555" s="306">
        <f ca="1">RANK(CN555,CN3:CN834)+COUNTIF(CN3:CN555,CN555)-1</f>
        <v>553</v>
      </c>
      <c r="CP555" s="306" t="str">
        <f t="shared" ca="1" si="215"/>
        <v>Domagoj Vida (Croatia)</v>
      </c>
    </row>
    <row r="556" spans="72:94" x14ac:dyDescent="0.3">
      <c r="BT556" s="306" t="str">
        <f t="shared" ca="1" si="212"/>
        <v>Croatia</v>
      </c>
      <c r="BU556" s="306">
        <f t="shared" si="213"/>
        <v>7</v>
      </c>
      <c r="BV556" s="306">
        <f t="shared" si="214"/>
        <v>20</v>
      </c>
      <c r="BW556" s="306" t="str">
        <f ca="1">OFFSET(C3,BU556,BV556)</f>
        <v>Dominik Livaković</v>
      </c>
      <c r="BX556" s="306">
        <f ca="1">COUNTIF('Group Stages'!J7:J102,BW556)</f>
        <v>0</v>
      </c>
      <c r="BY556" s="306">
        <f ca="1">COUNTIF('Group Stages'!K7:K102,BW556)</f>
        <v>0</v>
      </c>
      <c r="BZ556" s="306">
        <f ca="1">COUNTIF('Group Stages'!L7:L102,BW556)</f>
        <v>0</v>
      </c>
      <c r="CA556" s="306">
        <f ca="1">COUNTIF('Group Stages'!M7:M102,BW556)</f>
        <v>0</v>
      </c>
      <c r="CB556" s="306">
        <f ca="1">COUNTIF('Group Stages'!N7:N102,BW556)</f>
        <v>0</v>
      </c>
      <c r="CC556" s="306">
        <f ca="1">COUNTIF('Group Stages'!O7:O102,BW556)</f>
        <v>0</v>
      </c>
      <c r="CD556" s="306">
        <f ca="1">COUNTIF('Group Stages'!P7:P102,BW556)</f>
        <v>0</v>
      </c>
      <c r="CE556" s="306">
        <f ca="1">COUNTIF('Group Stages'!Q7:Q102,BW556)</f>
        <v>0</v>
      </c>
      <c r="CF556" s="306">
        <f ca="1">COUNTIF('Knock Out Stages'!K7:K50,BW556)</f>
        <v>0</v>
      </c>
      <c r="CG556" s="306">
        <f ca="1">COUNTIF('Knock Out Stages'!L7:L50,BW556)</f>
        <v>0</v>
      </c>
      <c r="CH556" s="306">
        <f ca="1">COUNTIF('Knock Out Stages'!M7:M50,BW556)</f>
        <v>0</v>
      </c>
      <c r="CI556" s="306">
        <f ca="1">COUNTIF('Knock Out Stages'!N7:N50,BW556)</f>
        <v>0</v>
      </c>
      <c r="CJ556" s="306">
        <f ca="1">COUNTIF('Knock Out Stages'!O7:O50,BW556)</f>
        <v>0</v>
      </c>
      <c r="CK556" s="306">
        <f ca="1">COUNTIF('Knock Out Stages'!P7:P50,BW556)</f>
        <v>0</v>
      </c>
      <c r="CL556" s="306">
        <f ca="1">COUNTIF('Knock Out Stages'!Q7:Q50,BW556)</f>
        <v>0</v>
      </c>
      <c r="CM556" s="306">
        <f ca="1">COUNTIF('Knock Out Stages'!R7:R50,BW556)</f>
        <v>0</v>
      </c>
      <c r="CN556" s="306">
        <f ca="1">IF(RIGHT('Group Stages'!$B$105,5)="T.com",SUM(BX556:CM556),0)</f>
        <v>0</v>
      </c>
      <c r="CO556" s="306">
        <f ca="1">RANK(CN556,CN3:CN834)+COUNTIF(CN3:CN556,CN556)-1</f>
        <v>554</v>
      </c>
      <c r="CP556" s="306" t="str">
        <f t="shared" ca="1" si="215"/>
        <v>Dominik Livaković (Croatia)</v>
      </c>
    </row>
    <row r="557" spans="72:94" x14ac:dyDescent="0.3">
      <c r="BT557" s="306" t="str">
        <f t="shared" ca="1" si="212"/>
        <v>Croatia</v>
      </c>
      <c r="BU557" s="306">
        <f t="shared" si="213"/>
        <v>8</v>
      </c>
      <c r="BV557" s="306">
        <f t="shared" si="214"/>
        <v>20</v>
      </c>
      <c r="BW557" s="306" t="str">
        <f ca="1">OFFSET(C3,BU557,BV557)</f>
        <v>Ivan Perišić</v>
      </c>
      <c r="BX557" s="306">
        <f ca="1">COUNTIF('Group Stages'!J7:J102,BW557)</f>
        <v>0</v>
      </c>
      <c r="BY557" s="306">
        <f ca="1">COUNTIF('Group Stages'!K7:K102,BW557)</f>
        <v>0</v>
      </c>
      <c r="BZ557" s="306">
        <f ca="1">COUNTIF('Group Stages'!L7:L102,BW557)</f>
        <v>0</v>
      </c>
      <c r="CA557" s="306">
        <f ca="1">COUNTIF('Group Stages'!M7:M102,BW557)</f>
        <v>0</v>
      </c>
      <c r="CB557" s="306">
        <f ca="1">COUNTIF('Group Stages'!N7:N102,BW557)</f>
        <v>0</v>
      </c>
      <c r="CC557" s="306">
        <f ca="1">COUNTIF('Group Stages'!O7:O102,BW557)</f>
        <v>0</v>
      </c>
      <c r="CD557" s="306">
        <f ca="1">COUNTIF('Group Stages'!P7:P102,BW557)</f>
        <v>0</v>
      </c>
      <c r="CE557" s="306">
        <f ca="1">COUNTIF('Group Stages'!Q7:Q102,BW557)</f>
        <v>0</v>
      </c>
      <c r="CF557" s="306">
        <f ca="1">COUNTIF('Knock Out Stages'!K7:K50,BW557)</f>
        <v>0</v>
      </c>
      <c r="CG557" s="306">
        <f ca="1">COUNTIF('Knock Out Stages'!L7:L50,BW557)</f>
        <v>0</v>
      </c>
      <c r="CH557" s="306">
        <f ca="1">COUNTIF('Knock Out Stages'!M7:M50,BW557)</f>
        <v>0</v>
      </c>
      <c r="CI557" s="306">
        <f ca="1">COUNTIF('Knock Out Stages'!N7:N50,BW557)</f>
        <v>0</v>
      </c>
      <c r="CJ557" s="306">
        <f ca="1">COUNTIF('Knock Out Stages'!O7:O50,BW557)</f>
        <v>0</v>
      </c>
      <c r="CK557" s="306">
        <f ca="1">COUNTIF('Knock Out Stages'!P7:P50,BW557)</f>
        <v>0</v>
      </c>
      <c r="CL557" s="306">
        <f ca="1">COUNTIF('Knock Out Stages'!Q7:Q50,BW557)</f>
        <v>0</v>
      </c>
      <c r="CM557" s="306">
        <f ca="1">COUNTIF('Knock Out Stages'!R7:R50,BW557)</f>
        <v>0</v>
      </c>
      <c r="CN557" s="306">
        <f ca="1">IF(RIGHT('Group Stages'!$B$105,5)="T.com",SUM(BX557:CM557),0)</f>
        <v>0</v>
      </c>
      <c r="CO557" s="306">
        <f ca="1">RANK(CN557,CN3:CN834)+COUNTIF(CN3:CN557,CN557)-1</f>
        <v>555</v>
      </c>
      <c r="CP557" s="306" t="str">
        <f t="shared" ca="1" si="215"/>
        <v>Ivan Perišić (Croatia)</v>
      </c>
    </row>
    <row r="558" spans="72:94" x14ac:dyDescent="0.3">
      <c r="BT558" s="306" t="str">
        <f t="shared" ca="1" si="212"/>
        <v>Croatia</v>
      </c>
      <c r="BU558" s="306">
        <f t="shared" si="213"/>
        <v>9</v>
      </c>
      <c r="BV558" s="306">
        <f t="shared" si="214"/>
        <v>20</v>
      </c>
      <c r="BW558" s="306" t="str">
        <f ca="1">OFFSET(C3,BU558,BV558)</f>
        <v>Ivica Ivušić</v>
      </c>
      <c r="BX558" s="306">
        <f ca="1">COUNTIF('Group Stages'!J7:J102,BW558)</f>
        <v>0</v>
      </c>
      <c r="BY558" s="306">
        <f ca="1">COUNTIF('Group Stages'!K7:K102,BW558)</f>
        <v>0</v>
      </c>
      <c r="BZ558" s="306">
        <f ca="1">COUNTIF('Group Stages'!L7:L102,BW558)</f>
        <v>0</v>
      </c>
      <c r="CA558" s="306">
        <f ca="1">COUNTIF('Group Stages'!M7:M102,BW558)</f>
        <v>0</v>
      </c>
      <c r="CB558" s="306">
        <f ca="1">COUNTIF('Group Stages'!N7:N102,BW558)</f>
        <v>0</v>
      </c>
      <c r="CC558" s="306">
        <f ca="1">COUNTIF('Group Stages'!O7:O102,BW558)</f>
        <v>0</v>
      </c>
      <c r="CD558" s="306">
        <f ca="1">COUNTIF('Group Stages'!P7:P102,BW558)</f>
        <v>0</v>
      </c>
      <c r="CE558" s="306">
        <f ca="1">COUNTIF('Group Stages'!Q7:Q102,BW558)</f>
        <v>0</v>
      </c>
      <c r="CF558" s="306">
        <f ca="1">COUNTIF('Knock Out Stages'!K7:K50,BW558)</f>
        <v>0</v>
      </c>
      <c r="CG558" s="306">
        <f ca="1">COUNTIF('Knock Out Stages'!L7:L50,BW558)</f>
        <v>0</v>
      </c>
      <c r="CH558" s="306">
        <f ca="1">COUNTIF('Knock Out Stages'!M7:M50,BW558)</f>
        <v>0</v>
      </c>
      <c r="CI558" s="306">
        <f ca="1">COUNTIF('Knock Out Stages'!N7:N50,BW558)</f>
        <v>0</v>
      </c>
      <c r="CJ558" s="306">
        <f ca="1">COUNTIF('Knock Out Stages'!O7:O50,BW558)</f>
        <v>0</v>
      </c>
      <c r="CK558" s="306">
        <f ca="1">COUNTIF('Knock Out Stages'!P7:P50,BW558)</f>
        <v>0</v>
      </c>
      <c r="CL558" s="306">
        <f ca="1">COUNTIF('Knock Out Stages'!Q7:Q50,BW558)</f>
        <v>0</v>
      </c>
      <c r="CM558" s="306">
        <f ca="1">COUNTIF('Knock Out Stages'!R7:R50,BW558)</f>
        <v>0</v>
      </c>
      <c r="CN558" s="306">
        <f ca="1">IF(RIGHT('Group Stages'!$B$105,5)="T.com",SUM(BX558:CM558),0)</f>
        <v>0</v>
      </c>
      <c r="CO558" s="306">
        <f ca="1">RANK(CN558,CN3:CN834)+COUNTIF(CN3:CN558,CN558)-1</f>
        <v>556</v>
      </c>
      <c r="CP558" s="306" t="str">
        <f t="shared" ca="1" si="215"/>
        <v>Ivica Ivušić (Croatia)</v>
      </c>
    </row>
    <row r="559" spans="72:94" x14ac:dyDescent="0.3">
      <c r="BT559" s="306" t="str">
        <f t="shared" ca="1" si="212"/>
        <v>Croatia</v>
      </c>
      <c r="BU559" s="306">
        <f t="shared" si="213"/>
        <v>10</v>
      </c>
      <c r="BV559" s="306">
        <f t="shared" si="214"/>
        <v>20</v>
      </c>
      <c r="BW559" s="306" t="str">
        <f ca="1">OFFSET(C3,BU559,BV559)</f>
        <v>Ivo Grbić</v>
      </c>
      <c r="BX559" s="306">
        <f ca="1">COUNTIF('Group Stages'!J7:J102,BW559)</f>
        <v>0</v>
      </c>
      <c r="BY559" s="306">
        <f ca="1">COUNTIF('Group Stages'!K7:K102,BW559)</f>
        <v>0</v>
      </c>
      <c r="BZ559" s="306">
        <f ca="1">COUNTIF('Group Stages'!L7:L102,BW559)</f>
        <v>0</v>
      </c>
      <c r="CA559" s="306">
        <f ca="1">COUNTIF('Group Stages'!M7:M102,BW559)</f>
        <v>0</v>
      </c>
      <c r="CB559" s="306">
        <f ca="1">COUNTIF('Group Stages'!N7:N102,BW559)</f>
        <v>0</v>
      </c>
      <c r="CC559" s="306">
        <f ca="1">COUNTIF('Group Stages'!O7:O102,BW559)</f>
        <v>0</v>
      </c>
      <c r="CD559" s="306">
        <f ca="1">COUNTIF('Group Stages'!P7:P102,BW559)</f>
        <v>0</v>
      </c>
      <c r="CE559" s="306">
        <f ca="1">COUNTIF('Group Stages'!Q7:Q102,BW559)</f>
        <v>0</v>
      </c>
      <c r="CF559" s="306">
        <f ca="1">COUNTIF('Knock Out Stages'!K7:K50,BW559)</f>
        <v>0</v>
      </c>
      <c r="CG559" s="306">
        <f ca="1">COUNTIF('Knock Out Stages'!L7:L50,BW559)</f>
        <v>0</v>
      </c>
      <c r="CH559" s="306">
        <f ca="1">COUNTIF('Knock Out Stages'!M7:M50,BW559)</f>
        <v>0</v>
      </c>
      <c r="CI559" s="306">
        <f ca="1">COUNTIF('Knock Out Stages'!N7:N50,BW559)</f>
        <v>0</v>
      </c>
      <c r="CJ559" s="306">
        <f ca="1">COUNTIF('Knock Out Stages'!O7:O50,BW559)</f>
        <v>0</v>
      </c>
      <c r="CK559" s="306">
        <f ca="1">COUNTIF('Knock Out Stages'!P7:P50,BW559)</f>
        <v>0</v>
      </c>
      <c r="CL559" s="306">
        <f ca="1">COUNTIF('Knock Out Stages'!Q7:Q50,BW559)</f>
        <v>0</v>
      </c>
      <c r="CM559" s="306">
        <f ca="1">COUNTIF('Knock Out Stages'!R7:R50,BW559)</f>
        <v>0</v>
      </c>
      <c r="CN559" s="306">
        <f ca="1">IF(RIGHT('Group Stages'!$B$105,5)="T.com",SUM(BX559:CM559),0)</f>
        <v>0</v>
      </c>
      <c r="CO559" s="306">
        <f ca="1">RANK(CN559,CN3:CN834)+COUNTIF(CN3:CN559,CN559)-1</f>
        <v>557</v>
      </c>
      <c r="CP559" s="306" t="str">
        <f t="shared" ca="1" si="215"/>
        <v>Ivo Grbić (Croatia)</v>
      </c>
    </row>
    <row r="560" spans="72:94" x14ac:dyDescent="0.3">
      <c r="BT560" s="306" t="str">
        <f t="shared" ca="1" si="212"/>
        <v>Croatia</v>
      </c>
      <c r="BU560" s="306">
        <f t="shared" si="213"/>
        <v>11</v>
      </c>
      <c r="BV560" s="306">
        <f t="shared" si="214"/>
        <v>20</v>
      </c>
      <c r="BW560" s="306" t="str">
        <f ca="1">OFFSET(C3,BU560,BV560)</f>
        <v>Josip Juranović</v>
      </c>
      <c r="BX560" s="306">
        <f ca="1">COUNTIF('Group Stages'!J7:J102,BW560)</f>
        <v>0</v>
      </c>
      <c r="BY560" s="306">
        <f ca="1">COUNTIF('Group Stages'!K7:K102,BW560)</f>
        <v>0</v>
      </c>
      <c r="BZ560" s="306">
        <f ca="1">COUNTIF('Group Stages'!L7:L102,BW560)</f>
        <v>0</v>
      </c>
      <c r="CA560" s="306">
        <f ca="1">COUNTIF('Group Stages'!M7:M102,BW560)</f>
        <v>0</v>
      </c>
      <c r="CB560" s="306">
        <f ca="1">COUNTIF('Group Stages'!N7:N102,BW560)</f>
        <v>0</v>
      </c>
      <c r="CC560" s="306">
        <f ca="1">COUNTIF('Group Stages'!O7:O102,BW560)</f>
        <v>0</v>
      </c>
      <c r="CD560" s="306">
        <f ca="1">COUNTIF('Group Stages'!P7:P102,BW560)</f>
        <v>0</v>
      </c>
      <c r="CE560" s="306">
        <f ca="1">COUNTIF('Group Stages'!Q7:Q102,BW560)</f>
        <v>0</v>
      </c>
      <c r="CF560" s="306">
        <f ca="1">COUNTIF('Knock Out Stages'!K7:K50,BW560)</f>
        <v>0</v>
      </c>
      <c r="CG560" s="306">
        <f ca="1">COUNTIF('Knock Out Stages'!L7:L50,BW560)</f>
        <v>0</v>
      </c>
      <c r="CH560" s="306">
        <f ca="1">COUNTIF('Knock Out Stages'!M7:M50,BW560)</f>
        <v>0</v>
      </c>
      <c r="CI560" s="306">
        <f ca="1">COUNTIF('Knock Out Stages'!N7:N50,BW560)</f>
        <v>0</v>
      </c>
      <c r="CJ560" s="306">
        <f ca="1">COUNTIF('Knock Out Stages'!O7:O50,BW560)</f>
        <v>0</v>
      </c>
      <c r="CK560" s="306">
        <f ca="1">COUNTIF('Knock Out Stages'!P7:P50,BW560)</f>
        <v>0</v>
      </c>
      <c r="CL560" s="306">
        <f ca="1">COUNTIF('Knock Out Stages'!Q7:Q50,BW560)</f>
        <v>0</v>
      </c>
      <c r="CM560" s="306">
        <f ca="1">COUNTIF('Knock Out Stages'!R7:R50,BW560)</f>
        <v>0</v>
      </c>
      <c r="CN560" s="306">
        <f ca="1">IF(RIGHT('Group Stages'!$B$105,5)="T.com",SUM(BX560:CM560),0)</f>
        <v>0</v>
      </c>
      <c r="CO560" s="306">
        <f ca="1">RANK(CN560,CN3:CN834)+COUNTIF(CN3:CN560,CN560)-1</f>
        <v>558</v>
      </c>
      <c r="CP560" s="306" t="str">
        <f t="shared" ca="1" si="215"/>
        <v>Josip Juranović (Croatia)</v>
      </c>
    </row>
    <row r="561" spans="72:94" x14ac:dyDescent="0.3">
      <c r="BT561" s="306" t="str">
        <f t="shared" ca="1" si="212"/>
        <v>Croatia</v>
      </c>
      <c r="BU561" s="306">
        <f t="shared" si="213"/>
        <v>12</v>
      </c>
      <c r="BV561" s="306">
        <f t="shared" si="214"/>
        <v>20</v>
      </c>
      <c r="BW561" s="306" t="str">
        <f ca="1">OFFSET(C3,BU561,BV561)</f>
        <v>Josip Stanišić</v>
      </c>
      <c r="BX561" s="306">
        <f ca="1">COUNTIF('Group Stages'!J7:J102,BW561)</f>
        <v>0</v>
      </c>
      <c r="BY561" s="306">
        <f ca="1">COUNTIF('Group Stages'!K7:K102,BW561)</f>
        <v>0</v>
      </c>
      <c r="BZ561" s="306">
        <f ca="1">COUNTIF('Group Stages'!L7:L102,BW561)</f>
        <v>0</v>
      </c>
      <c r="CA561" s="306">
        <f ca="1">COUNTIF('Group Stages'!M7:M102,BW561)</f>
        <v>0</v>
      </c>
      <c r="CB561" s="306">
        <f ca="1">COUNTIF('Group Stages'!N7:N102,BW561)</f>
        <v>0</v>
      </c>
      <c r="CC561" s="306">
        <f ca="1">COUNTIF('Group Stages'!O7:O102,BW561)</f>
        <v>0</v>
      </c>
      <c r="CD561" s="306">
        <f ca="1">COUNTIF('Group Stages'!P7:P102,BW561)</f>
        <v>0</v>
      </c>
      <c r="CE561" s="306">
        <f ca="1">COUNTIF('Group Stages'!Q7:Q102,BW561)</f>
        <v>0</v>
      </c>
      <c r="CF561" s="306">
        <f ca="1">COUNTIF('Knock Out Stages'!K7:K50,BW561)</f>
        <v>0</v>
      </c>
      <c r="CG561" s="306">
        <f ca="1">COUNTIF('Knock Out Stages'!L7:L50,BW561)</f>
        <v>0</v>
      </c>
      <c r="CH561" s="306">
        <f ca="1">COUNTIF('Knock Out Stages'!M7:M50,BW561)</f>
        <v>0</v>
      </c>
      <c r="CI561" s="306">
        <f ca="1">COUNTIF('Knock Out Stages'!N7:N50,BW561)</f>
        <v>0</v>
      </c>
      <c r="CJ561" s="306">
        <f ca="1">COUNTIF('Knock Out Stages'!O7:O50,BW561)</f>
        <v>0</v>
      </c>
      <c r="CK561" s="306">
        <f ca="1">COUNTIF('Knock Out Stages'!P7:P50,BW561)</f>
        <v>0</v>
      </c>
      <c r="CL561" s="306">
        <f ca="1">COUNTIF('Knock Out Stages'!Q7:Q50,BW561)</f>
        <v>0</v>
      </c>
      <c r="CM561" s="306">
        <f ca="1">COUNTIF('Knock Out Stages'!R7:R50,BW561)</f>
        <v>0</v>
      </c>
      <c r="CN561" s="306">
        <f ca="1">IF(RIGHT('Group Stages'!$B$105,5)="T.com",SUM(BX561:CM561),0)</f>
        <v>0</v>
      </c>
      <c r="CO561" s="306">
        <f ca="1">RANK(CN561,CN3:CN834)+COUNTIF(CN3:CN561,CN561)-1</f>
        <v>559</v>
      </c>
      <c r="CP561" s="306" t="str">
        <f t="shared" ca="1" si="215"/>
        <v>Josip Stanišić (Croatia)</v>
      </c>
    </row>
    <row r="562" spans="72:94" x14ac:dyDescent="0.3">
      <c r="BT562" s="306" t="str">
        <f t="shared" ca="1" si="212"/>
        <v>Croatia</v>
      </c>
      <c r="BU562" s="306">
        <f t="shared" si="213"/>
        <v>13</v>
      </c>
      <c r="BV562" s="306">
        <f t="shared" si="214"/>
        <v>20</v>
      </c>
      <c r="BW562" s="306" t="str">
        <f ca="1">OFFSET(C3,BU562,BV562)</f>
        <v>Josip Šutalo</v>
      </c>
      <c r="BX562" s="306">
        <f ca="1">COUNTIF('Group Stages'!J7:J102,BW562)</f>
        <v>0</v>
      </c>
      <c r="BY562" s="306">
        <f ca="1">COUNTIF('Group Stages'!K7:K102,BW562)</f>
        <v>0</v>
      </c>
      <c r="BZ562" s="306">
        <f ca="1">COUNTIF('Group Stages'!L7:L102,BW562)</f>
        <v>0</v>
      </c>
      <c r="CA562" s="306">
        <f ca="1">COUNTIF('Group Stages'!M7:M102,BW562)</f>
        <v>0</v>
      </c>
      <c r="CB562" s="306">
        <f ca="1">COUNTIF('Group Stages'!N7:N102,BW562)</f>
        <v>0</v>
      </c>
      <c r="CC562" s="306">
        <f ca="1">COUNTIF('Group Stages'!O7:O102,BW562)</f>
        <v>0</v>
      </c>
      <c r="CD562" s="306">
        <f ca="1">COUNTIF('Group Stages'!P7:P102,BW562)</f>
        <v>0</v>
      </c>
      <c r="CE562" s="306">
        <f ca="1">COUNTIF('Group Stages'!Q7:Q102,BW562)</f>
        <v>0</v>
      </c>
      <c r="CF562" s="306">
        <f ca="1">COUNTIF('Knock Out Stages'!K7:K50,BW562)</f>
        <v>0</v>
      </c>
      <c r="CG562" s="306">
        <f ca="1">COUNTIF('Knock Out Stages'!L7:L50,BW562)</f>
        <v>0</v>
      </c>
      <c r="CH562" s="306">
        <f ca="1">COUNTIF('Knock Out Stages'!M7:M50,BW562)</f>
        <v>0</v>
      </c>
      <c r="CI562" s="306">
        <f ca="1">COUNTIF('Knock Out Stages'!N7:N50,BW562)</f>
        <v>0</v>
      </c>
      <c r="CJ562" s="306">
        <f ca="1">COUNTIF('Knock Out Stages'!O7:O50,BW562)</f>
        <v>0</v>
      </c>
      <c r="CK562" s="306">
        <f ca="1">COUNTIF('Knock Out Stages'!P7:P50,BW562)</f>
        <v>0</v>
      </c>
      <c r="CL562" s="306">
        <f ca="1">COUNTIF('Knock Out Stages'!Q7:Q50,BW562)</f>
        <v>0</v>
      </c>
      <c r="CM562" s="306">
        <f ca="1">COUNTIF('Knock Out Stages'!R7:R50,BW562)</f>
        <v>0</v>
      </c>
      <c r="CN562" s="306">
        <f ca="1">IF(RIGHT('Group Stages'!$B$105,5)="T.com",SUM(BX562:CM562),0)</f>
        <v>0</v>
      </c>
      <c r="CO562" s="306">
        <f ca="1">RANK(CN562,CN3:CN834)+COUNTIF(CN3:CN562,CN562)-1</f>
        <v>560</v>
      </c>
      <c r="CP562" s="306" t="str">
        <f t="shared" ca="1" si="215"/>
        <v>Josip Šutalo (Croatia)</v>
      </c>
    </row>
    <row r="563" spans="72:94" x14ac:dyDescent="0.3">
      <c r="BT563" s="306" t="str">
        <f t="shared" ca="1" si="212"/>
        <v>Croatia</v>
      </c>
      <c r="BU563" s="306">
        <f t="shared" si="213"/>
        <v>14</v>
      </c>
      <c r="BV563" s="306">
        <f t="shared" si="214"/>
        <v>20</v>
      </c>
      <c r="BW563" s="306" t="str">
        <f ca="1">OFFSET(C3,BU563,BV563)</f>
        <v>Joško Gvardiol</v>
      </c>
      <c r="BX563" s="306">
        <f ca="1">COUNTIF('Group Stages'!J7:J102,BW563)</f>
        <v>0</v>
      </c>
      <c r="BY563" s="306">
        <f ca="1">COUNTIF('Group Stages'!K7:K102,BW563)</f>
        <v>0</v>
      </c>
      <c r="BZ563" s="306">
        <f ca="1">COUNTIF('Group Stages'!L7:L102,BW563)</f>
        <v>0</v>
      </c>
      <c r="CA563" s="306">
        <f ca="1">COUNTIF('Group Stages'!M7:M102,BW563)</f>
        <v>0</v>
      </c>
      <c r="CB563" s="306">
        <f ca="1">COUNTIF('Group Stages'!N7:N102,BW563)</f>
        <v>0</v>
      </c>
      <c r="CC563" s="306">
        <f ca="1">COUNTIF('Group Stages'!O7:O102,BW563)</f>
        <v>0</v>
      </c>
      <c r="CD563" s="306">
        <f ca="1">COUNTIF('Group Stages'!P7:P102,BW563)</f>
        <v>0</v>
      </c>
      <c r="CE563" s="306">
        <f ca="1">COUNTIF('Group Stages'!Q7:Q102,BW563)</f>
        <v>0</v>
      </c>
      <c r="CF563" s="306">
        <f ca="1">COUNTIF('Knock Out Stages'!K7:K50,BW563)</f>
        <v>0</v>
      </c>
      <c r="CG563" s="306">
        <f ca="1">COUNTIF('Knock Out Stages'!L7:L50,BW563)</f>
        <v>0</v>
      </c>
      <c r="CH563" s="306">
        <f ca="1">COUNTIF('Knock Out Stages'!M7:M50,BW563)</f>
        <v>0</v>
      </c>
      <c r="CI563" s="306">
        <f ca="1">COUNTIF('Knock Out Stages'!N7:N50,BW563)</f>
        <v>0</v>
      </c>
      <c r="CJ563" s="306">
        <f ca="1">COUNTIF('Knock Out Stages'!O7:O50,BW563)</f>
        <v>0</v>
      </c>
      <c r="CK563" s="306">
        <f ca="1">COUNTIF('Knock Out Stages'!P7:P50,BW563)</f>
        <v>0</v>
      </c>
      <c r="CL563" s="306">
        <f ca="1">COUNTIF('Knock Out Stages'!Q7:Q50,BW563)</f>
        <v>0</v>
      </c>
      <c r="CM563" s="306">
        <f ca="1">COUNTIF('Knock Out Stages'!R7:R50,BW563)</f>
        <v>0</v>
      </c>
      <c r="CN563" s="306">
        <f ca="1">IF(RIGHT('Group Stages'!$B$105,5)="T.com",SUM(BX563:CM563),0)</f>
        <v>0</v>
      </c>
      <c r="CO563" s="306">
        <f ca="1">RANK(CN563,CN3:CN834)+COUNTIF(CN3:CN563,CN563)-1</f>
        <v>561</v>
      </c>
      <c r="CP563" s="306" t="str">
        <f t="shared" ca="1" si="215"/>
        <v>Joško Gvardiol (Croatia)</v>
      </c>
    </row>
    <row r="564" spans="72:94" x14ac:dyDescent="0.3">
      <c r="BT564" s="306" t="str">
        <f t="shared" ca="1" si="212"/>
        <v>Croatia</v>
      </c>
      <c r="BU564" s="306">
        <f t="shared" si="213"/>
        <v>15</v>
      </c>
      <c r="BV564" s="306">
        <f t="shared" si="214"/>
        <v>20</v>
      </c>
      <c r="BW564" s="306" t="str">
        <f ca="1">OFFSET(C3,BU564,BV564)</f>
        <v>Kristijan Jakić</v>
      </c>
      <c r="BX564" s="306">
        <f ca="1">COUNTIF('Group Stages'!J7:J102,BW564)</f>
        <v>0</v>
      </c>
      <c r="BY564" s="306">
        <f ca="1">COUNTIF('Group Stages'!K7:K102,BW564)</f>
        <v>0</v>
      </c>
      <c r="BZ564" s="306">
        <f ca="1">COUNTIF('Group Stages'!L7:L102,BW564)</f>
        <v>0</v>
      </c>
      <c r="CA564" s="306">
        <f ca="1">COUNTIF('Group Stages'!M7:M102,BW564)</f>
        <v>0</v>
      </c>
      <c r="CB564" s="306">
        <f ca="1">COUNTIF('Group Stages'!N7:N102,BW564)</f>
        <v>0</v>
      </c>
      <c r="CC564" s="306">
        <f ca="1">COUNTIF('Group Stages'!O7:O102,BW564)</f>
        <v>0</v>
      </c>
      <c r="CD564" s="306">
        <f ca="1">COUNTIF('Group Stages'!P7:P102,BW564)</f>
        <v>0</v>
      </c>
      <c r="CE564" s="306">
        <f ca="1">COUNTIF('Group Stages'!Q7:Q102,BW564)</f>
        <v>0</v>
      </c>
      <c r="CF564" s="306">
        <f ca="1">COUNTIF('Knock Out Stages'!K7:K50,BW564)</f>
        <v>0</v>
      </c>
      <c r="CG564" s="306">
        <f ca="1">COUNTIF('Knock Out Stages'!L7:L50,BW564)</f>
        <v>0</v>
      </c>
      <c r="CH564" s="306">
        <f ca="1">COUNTIF('Knock Out Stages'!M7:M50,BW564)</f>
        <v>0</v>
      </c>
      <c r="CI564" s="306">
        <f ca="1">COUNTIF('Knock Out Stages'!N7:N50,BW564)</f>
        <v>0</v>
      </c>
      <c r="CJ564" s="306">
        <f ca="1">COUNTIF('Knock Out Stages'!O7:O50,BW564)</f>
        <v>0</v>
      </c>
      <c r="CK564" s="306">
        <f ca="1">COUNTIF('Knock Out Stages'!P7:P50,BW564)</f>
        <v>0</v>
      </c>
      <c r="CL564" s="306">
        <f ca="1">COUNTIF('Knock Out Stages'!Q7:Q50,BW564)</f>
        <v>0</v>
      </c>
      <c r="CM564" s="306">
        <f ca="1">COUNTIF('Knock Out Stages'!R7:R50,BW564)</f>
        <v>0</v>
      </c>
      <c r="CN564" s="306">
        <f ca="1">IF(RIGHT('Group Stages'!$B$105,5)="T.com",SUM(BX564:CM564),0)</f>
        <v>0</v>
      </c>
      <c r="CO564" s="306">
        <f ca="1">RANK(CN564,CN3:CN834)+COUNTIF(CN3:CN564,CN564)-1</f>
        <v>562</v>
      </c>
      <c r="CP564" s="306" t="str">
        <f t="shared" ca="1" si="215"/>
        <v>Kristijan Jakić (Croatia)</v>
      </c>
    </row>
    <row r="565" spans="72:94" x14ac:dyDescent="0.3">
      <c r="BT565" s="306" t="str">
        <f t="shared" ca="1" si="212"/>
        <v>Croatia</v>
      </c>
      <c r="BU565" s="306">
        <f t="shared" si="213"/>
        <v>16</v>
      </c>
      <c r="BV565" s="306">
        <f t="shared" si="214"/>
        <v>20</v>
      </c>
      <c r="BW565" s="306" t="str">
        <f ca="1">OFFSET(C3,BU565,BV565)</f>
        <v>Lovro Majer</v>
      </c>
      <c r="BX565" s="306">
        <f ca="1">COUNTIF('Group Stages'!J7:J102,BW565)</f>
        <v>0</v>
      </c>
      <c r="BY565" s="306">
        <f ca="1">COUNTIF('Group Stages'!K7:K102,BW565)</f>
        <v>0</v>
      </c>
      <c r="BZ565" s="306">
        <f ca="1">COUNTIF('Group Stages'!L7:L102,BW565)</f>
        <v>0</v>
      </c>
      <c r="CA565" s="306">
        <f ca="1">COUNTIF('Group Stages'!M7:M102,BW565)</f>
        <v>0</v>
      </c>
      <c r="CB565" s="306">
        <f ca="1">COUNTIF('Group Stages'!N7:N102,BW565)</f>
        <v>0</v>
      </c>
      <c r="CC565" s="306">
        <f ca="1">COUNTIF('Group Stages'!O7:O102,BW565)</f>
        <v>0</v>
      </c>
      <c r="CD565" s="306">
        <f ca="1">COUNTIF('Group Stages'!P7:P102,BW565)</f>
        <v>0</v>
      </c>
      <c r="CE565" s="306">
        <f ca="1">COUNTIF('Group Stages'!Q7:Q102,BW565)</f>
        <v>0</v>
      </c>
      <c r="CF565" s="306">
        <f ca="1">COUNTIF('Knock Out Stages'!K7:K50,BW565)</f>
        <v>0</v>
      </c>
      <c r="CG565" s="306">
        <f ca="1">COUNTIF('Knock Out Stages'!L7:L50,BW565)</f>
        <v>0</v>
      </c>
      <c r="CH565" s="306">
        <f ca="1">COUNTIF('Knock Out Stages'!M7:M50,BW565)</f>
        <v>0</v>
      </c>
      <c r="CI565" s="306">
        <f ca="1">COUNTIF('Knock Out Stages'!N7:N50,BW565)</f>
        <v>0</v>
      </c>
      <c r="CJ565" s="306">
        <f ca="1">COUNTIF('Knock Out Stages'!O7:O50,BW565)</f>
        <v>0</v>
      </c>
      <c r="CK565" s="306">
        <f ca="1">COUNTIF('Knock Out Stages'!P7:P50,BW565)</f>
        <v>0</v>
      </c>
      <c r="CL565" s="306">
        <f ca="1">COUNTIF('Knock Out Stages'!Q7:Q50,BW565)</f>
        <v>0</v>
      </c>
      <c r="CM565" s="306">
        <f ca="1">COUNTIF('Knock Out Stages'!R7:R50,BW565)</f>
        <v>0</v>
      </c>
      <c r="CN565" s="306">
        <f ca="1">IF(RIGHT('Group Stages'!$B$105,5)="T.com",SUM(BX565:CM565),0)</f>
        <v>0</v>
      </c>
      <c r="CO565" s="306">
        <f ca="1">RANK(CN565,CN3:CN834)+COUNTIF(CN3:CN565,CN565)-1</f>
        <v>563</v>
      </c>
      <c r="CP565" s="306" t="str">
        <f t="shared" ca="1" si="215"/>
        <v>Lovro Majer (Croatia)</v>
      </c>
    </row>
    <row r="566" spans="72:94" x14ac:dyDescent="0.3">
      <c r="BT566" s="306" t="str">
        <f t="shared" ca="1" si="212"/>
        <v>Croatia</v>
      </c>
      <c r="BU566" s="306">
        <f t="shared" si="213"/>
        <v>17</v>
      </c>
      <c r="BV566" s="306">
        <f t="shared" si="214"/>
        <v>20</v>
      </c>
      <c r="BW566" s="306" t="str">
        <f ca="1">OFFSET(C3,BU566,BV566)</f>
        <v>Luka Modrić</v>
      </c>
      <c r="BX566" s="306">
        <f ca="1">COUNTIF('Group Stages'!J7:J102,BW566)</f>
        <v>0</v>
      </c>
      <c r="BY566" s="306">
        <f ca="1">COUNTIF('Group Stages'!K7:K102,BW566)</f>
        <v>0</v>
      </c>
      <c r="BZ566" s="306">
        <f ca="1">COUNTIF('Group Stages'!L7:L102,BW566)</f>
        <v>0</v>
      </c>
      <c r="CA566" s="306">
        <f ca="1">COUNTIF('Group Stages'!M7:M102,BW566)</f>
        <v>0</v>
      </c>
      <c r="CB566" s="306">
        <f ca="1">COUNTIF('Group Stages'!N7:N102,BW566)</f>
        <v>0</v>
      </c>
      <c r="CC566" s="306">
        <f ca="1">COUNTIF('Group Stages'!O7:O102,BW566)</f>
        <v>0</v>
      </c>
      <c r="CD566" s="306">
        <f ca="1">COUNTIF('Group Stages'!P7:P102,BW566)</f>
        <v>0</v>
      </c>
      <c r="CE566" s="306">
        <f ca="1">COUNTIF('Group Stages'!Q7:Q102,BW566)</f>
        <v>0</v>
      </c>
      <c r="CF566" s="306">
        <f ca="1">COUNTIF('Knock Out Stages'!K7:K50,BW566)</f>
        <v>0</v>
      </c>
      <c r="CG566" s="306">
        <f ca="1">COUNTIF('Knock Out Stages'!L7:L50,BW566)</f>
        <v>0</v>
      </c>
      <c r="CH566" s="306">
        <f ca="1">COUNTIF('Knock Out Stages'!M7:M50,BW566)</f>
        <v>0</v>
      </c>
      <c r="CI566" s="306">
        <f ca="1">COUNTIF('Knock Out Stages'!N7:N50,BW566)</f>
        <v>0</v>
      </c>
      <c r="CJ566" s="306">
        <f ca="1">COUNTIF('Knock Out Stages'!O7:O50,BW566)</f>
        <v>0</v>
      </c>
      <c r="CK566" s="306">
        <f ca="1">COUNTIF('Knock Out Stages'!P7:P50,BW566)</f>
        <v>0</v>
      </c>
      <c r="CL566" s="306">
        <f ca="1">COUNTIF('Knock Out Stages'!Q7:Q50,BW566)</f>
        <v>0</v>
      </c>
      <c r="CM566" s="306">
        <f ca="1">COUNTIF('Knock Out Stages'!R7:R50,BW566)</f>
        <v>0</v>
      </c>
      <c r="CN566" s="306">
        <f ca="1">IF(RIGHT('Group Stages'!$B$105,5)="T.com",SUM(BX566:CM566),0)</f>
        <v>0</v>
      </c>
      <c r="CO566" s="306">
        <f ca="1">RANK(CN566,CN3:CN834)+COUNTIF(CN3:CN566,CN566)-1</f>
        <v>564</v>
      </c>
      <c r="CP566" s="306" t="str">
        <f t="shared" ca="1" si="215"/>
        <v>Luka Modrić (Croatia)</v>
      </c>
    </row>
    <row r="567" spans="72:94" x14ac:dyDescent="0.3">
      <c r="BT567" s="306" t="str">
        <f t="shared" ca="1" si="212"/>
        <v>Croatia</v>
      </c>
      <c r="BU567" s="306">
        <f t="shared" si="213"/>
        <v>18</v>
      </c>
      <c r="BV567" s="306">
        <f t="shared" si="214"/>
        <v>20</v>
      </c>
      <c r="BW567" s="306" t="str">
        <f ca="1">OFFSET(C3,BU567,BV567)</f>
        <v>Luka Sučić</v>
      </c>
      <c r="BX567" s="306">
        <f ca="1">COUNTIF('Group Stages'!J7:J102,BW567)</f>
        <v>0</v>
      </c>
      <c r="BY567" s="306">
        <f ca="1">COUNTIF('Group Stages'!K7:K102,BW567)</f>
        <v>0</v>
      </c>
      <c r="BZ567" s="306">
        <f ca="1">COUNTIF('Group Stages'!L7:L102,BW567)</f>
        <v>0</v>
      </c>
      <c r="CA567" s="306">
        <f ca="1">COUNTIF('Group Stages'!M7:M102,BW567)</f>
        <v>0</v>
      </c>
      <c r="CB567" s="306">
        <f ca="1">COUNTIF('Group Stages'!N7:N102,BW567)</f>
        <v>0</v>
      </c>
      <c r="CC567" s="306">
        <f ca="1">COUNTIF('Group Stages'!O7:O102,BW567)</f>
        <v>0</v>
      </c>
      <c r="CD567" s="306">
        <f ca="1">COUNTIF('Group Stages'!P7:P102,BW567)</f>
        <v>0</v>
      </c>
      <c r="CE567" s="306">
        <f ca="1">COUNTIF('Group Stages'!Q7:Q102,BW567)</f>
        <v>0</v>
      </c>
      <c r="CF567" s="306">
        <f ca="1">COUNTIF('Knock Out Stages'!K7:K50,BW567)</f>
        <v>0</v>
      </c>
      <c r="CG567" s="306">
        <f ca="1">COUNTIF('Knock Out Stages'!L7:L50,BW567)</f>
        <v>0</v>
      </c>
      <c r="CH567" s="306">
        <f ca="1">COUNTIF('Knock Out Stages'!M7:M50,BW567)</f>
        <v>0</v>
      </c>
      <c r="CI567" s="306">
        <f ca="1">COUNTIF('Knock Out Stages'!N7:N50,BW567)</f>
        <v>0</v>
      </c>
      <c r="CJ567" s="306">
        <f ca="1">COUNTIF('Knock Out Stages'!O7:O50,BW567)</f>
        <v>0</v>
      </c>
      <c r="CK567" s="306">
        <f ca="1">COUNTIF('Knock Out Stages'!P7:P50,BW567)</f>
        <v>0</v>
      </c>
      <c r="CL567" s="306">
        <f ca="1">COUNTIF('Knock Out Stages'!Q7:Q50,BW567)</f>
        <v>0</v>
      </c>
      <c r="CM567" s="306">
        <f ca="1">COUNTIF('Knock Out Stages'!R7:R50,BW567)</f>
        <v>0</v>
      </c>
      <c r="CN567" s="306">
        <f ca="1">IF(RIGHT('Group Stages'!$B$105,5)="T.com",SUM(BX567:CM567),0)</f>
        <v>0</v>
      </c>
      <c r="CO567" s="306">
        <f ca="1">RANK(CN567,CN3:CN834)+COUNTIF(CN3:CN567,CN567)-1</f>
        <v>565</v>
      </c>
      <c r="CP567" s="306" t="str">
        <f t="shared" ca="1" si="215"/>
        <v>Luka Sučić (Croatia)</v>
      </c>
    </row>
    <row r="568" spans="72:94" x14ac:dyDescent="0.3">
      <c r="BT568" s="306" t="str">
        <f t="shared" ref="BT568:BT631" ca="1" si="218">BT567</f>
        <v>Croatia</v>
      </c>
      <c r="BU568" s="306">
        <f t="shared" ref="BU568:BU631" si="219">BU542</f>
        <v>19</v>
      </c>
      <c r="BV568" s="306">
        <f t="shared" ref="BV568:BV631" si="220">BV542+1</f>
        <v>20</v>
      </c>
      <c r="BW568" s="306" t="str">
        <f ca="1">OFFSET(C3,BU568,BV568)</f>
        <v>Marcelo Brozović</v>
      </c>
      <c r="BX568" s="306">
        <f ca="1">COUNTIF('Group Stages'!J7:J102,BW568)</f>
        <v>0</v>
      </c>
      <c r="BY568" s="306">
        <f ca="1">COUNTIF('Group Stages'!K7:K102,BW568)</f>
        <v>0</v>
      </c>
      <c r="BZ568" s="306">
        <f ca="1">COUNTIF('Group Stages'!L7:L102,BW568)</f>
        <v>0</v>
      </c>
      <c r="CA568" s="306">
        <f ca="1">COUNTIF('Group Stages'!M7:M102,BW568)</f>
        <v>0</v>
      </c>
      <c r="CB568" s="306">
        <f ca="1">COUNTIF('Group Stages'!N7:N102,BW568)</f>
        <v>0</v>
      </c>
      <c r="CC568" s="306">
        <f ca="1">COUNTIF('Group Stages'!O7:O102,BW568)</f>
        <v>0</v>
      </c>
      <c r="CD568" s="306">
        <f ca="1">COUNTIF('Group Stages'!P7:P102,BW568)</f>
        <v>0</v>
      </c>
      <c r="CE568" s="306">
        <f ca="1">COUNTIF('Group Stages'!Q7:Q102,BW568)</f>
        <v>0</v>
      </c>
      <c r="CF568" s="306">
        <f ca="1">COUNTIF('Knock Out Stages'!K7:K50,BW568)</f>
        <v>0</v>
      </c>
      <c r="CG568" s="306">
        <f ca="1">COUNTIF('Knock Out Stages'!L7:L50,BW568)</f>
        <v>0</v>
      </c>
      <c r="CH568" s="306">
        <f ca="1">COUNTIF('Knock Out Stages'!M7:M50,BW568)</f>
        <v>0</v>
      </c>
      <c r="CI568" s="306">
        <f ca="1">COUNTIF('Knock Out Stages'!N7:N50,BW568)</f>
        <v>0</v>
      </c>
      <c r="CJ568" s="306">
        <f ca="1">COUNTIF('Knock Out Stages'!O7:O50,BW568)</f>
        <v>0</v>
      </c>
      <c r="CK568" s="306">
        <f ca="1">COUNTIF('Knock Out Stages'!P7:P50,BW568)</f>
        <v>0</v>
      </c>
      <c r="CL568" s="306">
        <f ca="1">COUNTIF('Knock Out Stages'!Q7:Q50,BW568)</f>
        <v>0</v>
      </c>
      <c r="CM568" s="306">
        <f ca="1">COUNTIF('Knock Out Stages'!R7:R50,BW568)</f>
        <v>0</v>
      </c>
      <c r="CN568" s="306">
        <f ca="1">IF(RIGHT('Group Stages'!$B$105,5)="T.com",SUM(BX568:CM568),0)</f>
        <v>0</v>
      </c>
      <c r="CO568" s="306">
        <f ca="1">RANK(CN568,CN3:CN834)+COUNTIF(CN3:CN568,CN568)-1</f>
        <v>566</v>
      </c>
      <c r="CP568" s="306" t="str">
        <f t="shared" ca="1" si="215"/>
        <v>Marcelo Brozović (Croatia)</v>
      </c>
    </row>
    <row r="569" spans="72:94" x14ac:dyDescent="0.3">
      <c r="BT569" s="306" t="str">
        <f t="shared" ca="1" si="218"/>
        <v>Croatia</v>
      </c>
      <c r="BU569" s="306">
        <f t="shared" si="219"/>
        <v>20</v>
      </c>
      <c r="BV569" s="306">
        <f t="shared" si="220"/>
        <v>20</v>
      </c>
      <c r="BW569" s="306" t="str">
        <f ca="1">OFFSET(C3,BU569,BV569)</f>
        <v>Mario Pašalić</v>
      </c>
      <c r="BX569" s="306">
        <f ca="1">COUNTIF('Group Stages'!J7:J102,BW569)</f>
        <v>0</v>
      </c>
      <c r="BY569" s="306">
        <f ca="1">COUNTIF('Group Stages'!K7:K102,BW569)</f>
        <v>0</v>
      </c>
      <c r="BZ569" s="306">
        <f ca="1">COUNTIF('Group Stages'!L7:L102,BW569)</f>
        <v>0</v>
      </c>
      <c r="CA569" s="306">
        <f ca="1">COUNTIF('Group Stages'!M7:M102,BW569)</f>
        <v>0</v>
      </c>
      <c r="CB569" s="306">
        <f ca="1">COUNTIF('Group Stages'!N7:N102,BW569)</f>
        <v>0</v>
      </c>
      <c r="CC569" s="306">
        <f ca="1">COUNTIF('Group Stages'!O7:O102,BW569)</f>
        <v>0</v>
      </c>
      <c r="CD569" s="306">
        <f ca="1">COUNTIF('Group Stages'!P7:P102,BW569)</f>
        <v>0</v>
      </c>
      <c r="CE569" s="306">
        <f ca="1">COUNTIF('Group Stages'!Q7:Q102,BW569)</f>
        <v>0</v>
      </c>
      <c r="CF569" s="306">
        <f ca="1">COUNTIF('Knock Out Stages'!K7:K50,BW569)</f>
        <v>0</v>
      </c>
      <c r="CG569" s="306">
        <f ca="1">COUNTIF('Knock Out Stages'!L7:L50,BW569)</f>
        <v>0</v>
      </c>
      <c r="CH569" s="306">
        <f ca="1">COUNTIF('Knock Out Stages'!M7:M50,BW569)</f>
        <v>0</v>
      </c>
      <c r="CI569" s="306">
        <f ca="1">COUNTIF('Knock Out Stages'!N7:N50,BW569)</f>
        <v>0</v>
      </c>
      <c r="CJ569" s="306">
        <f ca="1">COUNTIF('Knock Out Stages'!O7:O50,BW569)</f>
        <v>0</v>
      </c>
      <c r="CK569" s="306">
        <f ca="1">COUNTIF('Knock Out Stages'!P7:P50,BW569)</f>
        <v>0</v>
      </c>
      <c r="CL569" s="306">
        <f ca="1">COUNTIF('Knock Out Stages'!Q7:Q50,BW569)</f>
        <v>0</v>
      </c>
      <c r="CM569" s="306">
        <f ca="1">COUNTIF('Knock Out Stages'!R7:R50,BW569)</f>
        <v>0</v>
      </c>
      <c r="CN569" s="306">
        <f ca="1">IF(RIGHT('Group Stages'!$B$105,5)="T.com",SUM(BX569:CM569),0)</f>
        <v>0</v>
      </c>
      <c r="CO569" s="306">
        <f ca="1">RANK(CN569,CN3:CN834)+COUNTIF(CN3:CN569,CN569)-1</f>
        <v>567</v>
      </c>
      <c r="CP569" s="306" t="str">
        <f t="shared" ca="1" si="215"/>
        <v>Mario Pašalić (Croatia)</v>
      </c>
    </row>
    <row r="570" spans="72:94" x14ac:dyDescent="0.3">
      <c r="BT570" s="306" t="str">
        <f t="shared" ca="1" si="218"/>
        <v>Croatia</v>
      </c>
      <c r="BU570" s="306">
        <f t="shared" si="219"/>
        <v>21</v>
      </c>
      <c r="BV570" s="306">
        <f t="shared" si="220"/>
        <v>20</v>
      </c>
      <c r="BW570" s="306" t="str">
        <f ca="1">OFFSET(C3,BU570,BV570)</f>
        <v>Marko Livaja</v>
      </c>
      <c r="BX570" s="306">
        <f ca="1">COUNTIF('Group Stages'!J7:J102,BW570)</f>
        <v>0</v>
      </c>
      <c r="BY570" s="306">
        <f ca="1">COUNTIF('Group Stages'!K7:K102,BW570)</f>
        <v>0</v>
      </c>
      <c r="BZ570" s="306">
        <f ca="1">COUNTIF('Group Stages'!L7:L102,BW570)</f>
        <v>0</v>
      </c>
      <c r="CA570" s="306">
        <f ca="1">COUNTIF('Group Stages'!M7:M102,BW570)</f>
        <v>0</v>
      </c>
      <c r="CB570" s="306">
        <f ca="1">COUNTIF('Group Stages'!N7:N102,BW570)</f>
        <v>0</v>
      </c>
      <c r="CC570" s="306">
        <f ca="1">COUNTIF('Group Stages'!O7:O102,BW570)</f>
        <v>0</v>
      </c>
      <c r="CD570" s="306">
        <f ca="1">COUNTIF('Group Stages'!P7:P102,BW570)</f>
        <v>0</v>
      </c>
      <c r="CE570" s="306">
        <f ca="1">COUNTIF('Group Stages'!Q7:Q102,BW570)</f>
        <v>0</v>
      </c>
      <c r="CF570" s="306">
        <f ca="1">COUNTIF('Knock Out Stages'!K7:K50,BW570)</f>
        <v>0</v>
      </c>
      <c r="CG570" s="306">
        <f ca="1">COUNTIF('Knock Out Stages'!L7:L50,BW570)</f>
        <v>0</v>
      </c>
      <c r="CH570" s="306">
        <f ca="1">COUNTIF('Knock Out Stages'!M7:M50,BW570)</f>
        <v>0</v>
      </c>
      <c r="CI570" s="306">
        <f ca="1">COUNTIF('Knock Out Stages'!N7:N50,BW570)</f>
        <v>0</v>
      </c>
      <c r="CJ570" s="306">
        <f ca="1">COUNTIF('Knock Out Stages'!O7:O50,BW570)</f>
        <v>0</v>
      </c>
      <c r="CK570" s="306">
        <f ca="1">COUNTIF('Knock Out Stages'!P7:P50,BW570)</f>
        <v>0</v>
      </c>
      <c r="CL570" s="306">
        <f ca="1">COUNTIF('Knock Out Stages'!Q7:Q50,BW570)</f>
        <v>0</v>
      </c>
      <c r="CM570" s="306">
        <f ca="1">COUNTIF('Knock Out Stages'!R7:R50,BW570)</f>
        <v>0</v>
      </c>
      <c r="CN570" s="306">
        <f ca="1">IF(RIGHT('Group Stages'!$B$105,5)="T.com",SUM(BX570:CM570),0)</f>
        <v>0</v>
      </c>
      <c r="CO570" s="306">
        <f ca="1">RANK(CN570,CN3:CN834)+COUNTIF(CN3:CN570,CN570)-1</f>
        <v>568</v>
      </c>
      <c r="CP570" s="306" t="str">
        <f t="shared" ca="1" si="215"/>
        <v>Marko Livaja (Croatia)</v>
      </c>
    </row>
    <row r="571" spans="72:94" x14ac:dyDescent="0.3">
      <c r="BT571" s="306" t="str">
        <f t="shared" ca="1" si="218"/>
        <v>Croatia</v>
      </c>
      <c r="BU571" s="306">
        <f t="shared" si="219"/>
        <v>22</v>
      </c>
      <c r="BV571" s="306">
        <f t="shared" si="220"/>
        <v>20</v>
      </c>
      <c r="BW571" s="306" t="str">
        <f ca="1">OFFSET(C3,BU571,BV571)</f>
        <v>Martin Erlić</v>
      </c>
      <c r="BX571" s="306">
        <f ca="1">COUNTIF('Group Stages'!J7:J102,BW571)</f>
        <v>0</v>
      </c>
      <c r="BY571" s="306">
        <f ca="1">COUNTIF('Group Stages'!K7:K102,BW571)</f>
        <v>0</v>
      </c>
      <c r="BZ571" s="306">
        <f ca="1">COUNTIF('Group Stages'!L7:L102,BW571)</f>
        <v>0</v>
      </c>
      <c r="CA571" s="306">
        <f ca="1">COUNTIF('Group Stages'!M7:M102,BW571)</f>
        <v>0</v>
      </c>
      <c r="CB571" s="306">
        <f ca="1">COUNTIF('Group Stages'!N7:N102,BW571)</f>
        <v>0</v>
      </c>
      <c r="CC571" s="306">
        <f ca="1">COUNTIF('Group Stages'!O7:O102,BW571)</f>
        <v>0</v>
      </c>
      <c r="CD571" s="306">
        <f ca="1">COUNTIF('Group Stages'!P7:P102,BW571)</f>
        <v>0</v>
      </c>
      <c r="CE571" s="306">
        <f ca="1">COUNTIF('Group Stages'!Q7:Q102,BW571)</f>
        <v>0</v>
      </c>
      <c r="CF571" s="306">
        <f ca="1">COUNTIF('Knock Out Stages'!K7:K50,BW571)</f>
        <v>0</v>
      </c>
      <c r="CG571" s="306">
        <f ca="1">COUNTIF('Knock Out Stages'!L7:L50,BW571)</f>
        <v>0</v>
      </c>
      <c r="CH571" s="306">
        <f ca="1">COUNTIF('Knock Out Stages'!M7:M50,BW571)</f>
        <v>0</v>
      </c>
      <c r="CI571" s="306">
        <f ca="1">COUNTIF('Knock Out Stages'!N7:N50,BW571)</f>
        <v>0</v>
      </c>
      <c r="CJ571" s="306">
        <f ca="1">COUNTIF('Knock Out Stages'!O7:O50,BW571)</f>
        <v>0</v>
      </c>
      <c r="CK571" s="306">
        <f ca="1">COUNTIF('Knock Out Stages'!P7:P50,BW571)</f>
        <v>0</v>
      </c>
      <c r="CL571" s="306">
        <f ca="1">COUNTIF('Knock Out Stages'!Q7:Q50,BW571)</f>
        <v>0</v>
      </c>
      <c r="CM571" s="306">
        <f ca="1">COUNTIF('Knock Out Stages'!R7:R50,BW571)</f>
        <v>0</v>
      </c>
      <c r="CN571" s="306">
        <f ca="1">IF(RIGHT('Group Stages'!$B$105,5)="T.com",SUM(BX571:CM571),0)</f>
        <v>0</v>
      </c>
      <c r="CO571" s="306">
        <f ca="1">RANK(CN571,CN3:CN834)+COUNTIF(CN3:CN571,CN571)-1</f>
        <v>569</v>
      </c>
      <c r="CP571" s="306" t="str">
        <f t="shared" ca="1" si="215"/>
        <v>Martin Erlić (Croatia)</v>
      </c>
    </row>
    <row r="572" spans="72:94" x14ac:dyDescent="0.3">
      <c r="BT572" s="306" t="str">
        <f t="shared" ca="1" si="218"/>
        <v>Croatia</v>
      </c>
      <c r="BU572" s="306">
        <f t="shared" si="219"/>
        <v>23</v>
      </c>
      <c r="BV572" s="306">
        <f t="shared" si="220"/>
        <v>20</v>
      </c>
      <c r="BW572" s="306" t="str">
        <f ca="1">OFFSET(C3,BU572,BV572)</f>
        <v>Mateo Kovačić</v>
      </c>
      <c r="BX572" s="306">
        <f ca="1">COUNTIF('Group Stages'!J7:J102,BW572)</f>
        <v>0</v>
      </c>
      <c r="BY572" s="306">
        <f ca="1">COUNTIF('Group Stages'!K7:K102,BW572)</f>
        <v>0</v>
      </c>
      <c r="BZ572" s="306">
        <f ca="1">COUNTIF('Group Stages'!L7:L102,BW572)</f>
        <v>0</v>
      </c>
      <c r="CA572" s="306">
        <f ca="1">COUNTIF('Group Stages'!M7:M102,BW572)</f>
        <v>0</v>
      </c>
      <c r="CB572" s="306">
        <f ca="1">COUNTIF('Group Stages'!N7:N102,BW572)</f>
        <v>0</v>
      </c>
      <c r="CC572" s="306">
        <f ca="1">COUNTIF('Group Stages'!O7:O102,BW572)</f>
        <v>0</v>
      </c>
      <c r="CD572" s="306">
        <f ca="1">COUNTIF('Group Stages'!P7:P102,BW572)</f>
        <v>0</v>
      </c>
      <c r="CE572" s="306">
        <f ca="1">COUNTIF('Group Stages'!Q7:Q102,BW572)</f>
        <v>0</v>
      </c>
      <c r="CF572" s="306">
        <f ca="1">COUNTIF('Knock Out Stages'!K7:K50,BW572)</f>
        <v>0</v>
      </c>
      <c r="CG572" s="306">
        <f ca="1">COUNTIF('Knock Out Stages'!L7:L50,BW572)</f>
        <v>0</v>
      </c>
      <c r="CH572" s="306">
        <f ca="1">COUNTIF('Knock Out Stages'!M7:M50,BW572)</f>
        <v>0</v>
      </c>
      <c r="CI572" s="306">
        <f ca="1">COUNTIF('Knock Out Stages'!N7:N50,BW572)</f>
        <v>0</v>
      </c>
      <c r="CJ572" s="306">
        <f ca="1">COUNTIF('Knock Out Stages'!O7:O50,BW572)</f>
        <v>0</v>
      </c>
      <c r="CK572" s="306">
        <f ca="1">COUNTIF('Knock Out Stages'!P7:P50,BW572)</f>
        <v>0</v>
      </c>
      <c r="CL572" s="306">
        <f ca="1">COUNTIF('Knock Out Stages'!Q7:Q50,BW572)</f>
        <v>0</v>
      </c>
      <c r="CM572" s="306">
        <f ca="1">COUNTIF('Knock Out Stages'!R7:R50,BW572)</f>
        <v>0</v>
      </c>
      <c r="CN572" s="306">
        <f ca="1">IF(RIGHT('Group Stages'!$B$105,5)="T.com",SUM(BX572:CM572),0)</f>
        <v>0</v>
      </c>
      <c r="CO572" s="306">
        <f ca="1">RANK(CN572,CN3:CN834)+COUNTIF(CN3:CN572,CN572)-1</f>
        <v>570</v>
      </c>
      <c r="CP572" s="306" t="str">
        <f t="shared" ca="1" si="215"/>
        <v>Mateo Kovačić (Croatia)</v>
      </c>
    </row>
    <row r="573" spans="72:94" x14ac:dyDescent="0.3">
      <c r="BT573" s="306" t="str">
        <f t="shared" ca="1" si="218"/>
        <v>Croatia</v>
      </c>
      <c r="BU573" s="306">
        <f t="shared" si="219"/>
        <v>24</v>
      </c>
      <c r="BV573" s="306">
        <f t="shared" si="220"/>
        <v>20</v>
      </c>
      <c r="BW573" s="306" t="str">
        <f ca="1">OFFSET(C3,BU573,BV573)</f>
        <v>Mislav Oršić</v>
      </c>
      <c r="BX573" s="306">
        <f ca="1">COUNTIF('Group Stages'!J7:J102,BW573)</f>
        <v>0</v>
      </c>
      <c r="BY573" s="306">
        <f ca="1">COUNTIF('Group Stages'!K7:K102,BW573)</f>
        <v>0</v>
      </c>
      <c r="BZ573" s="306">
        <f ca="1">COUNTIF('Group Stages'!L7:L102,BW573)</f>
        <v>0</v>
      </c>
      <c r="CA573" s="306">
        <f ca="1">COUNTIF('Group Stages'!M7:M102,BW573)</f>
        <v>0</v>
      </c>
      <c r="CB573" s="306">
        <f ca="1">COUNTIF('Group Stages'!N7:N102,BW573)</f>
        <v>0</v>
      </c>
      <c r="CC573" s="306">
        <f ca="1">COUNTIF('Group Stages'!O7:O102,BW573)</f>
        <v>0</v>
      </c>
      <c r="CD573" s="306">
        <f ca="1">COUNTIF('Group Stages'!P7:P102,BW573)</f>
        <v>0</v>
      </c>
      <c r="CE573" s="306">
        <f ca="1">COUNTIF('Group Stages'!Q7:Q102,BW573)</f>
        <v>0</v>
      </c>
      <c r="CF573" s="306">
        <f ca="1">COUNTIF('Knock Out Stages'!K7:K50,BW573)</f>
        <v>0</v>
      </c>
      <c r="CG573" s="306">
        <f ca="1">COUNTIF('Knock Out Stages'!L7:L50,BW573)</f>
        <v>0</v>
      </c>
      <c r="CH573" s="306">
        <f ca="1">COUNTIF('Knock Out Stages'!M7:M50,BW573)</f>
        <v>0</v>
      </c>
      <c r="CI573" s="306">
        <f ca="1">COUNTIF('Knock Out Stages'!N7:N50,BW573)</f>
        <v>0</v>
      </c>
      <c r="CJ573" s="306">
        <f ca="1">COUNTIF('Knock Out Stages'!O7:O50,BW573)</f>
        <v>0</v>
      </c>
      <c r="CK573" s="306">
        <f ca="1">COUNTIF('Knock Out Stages'!P7:P50,BW573)</f>
        <v>0</v>
      </c>
      <c r="CL573" s="306">
        <f ca="1">COUNTIF('Knock Out Stages'!Q7:Q50,BW573)</f>
        <v>0</v>
      </c>
      <c r="CM573" s="306">
        <f ca="1">COUNTIF('Knock Out Stages'!R7:R50,BW573)</f>
        <v>0</v>
      </c>
      <c r="CN573" s="306">
        <f ca="1">IF(RIGHT('Group Stages'!$B$105,5)="T.com",SUM(BX573:CM573),0)</f>
        <v>0</v>
      </c>
      <c r="CO573" s="306">
        <f ca="1">RANK(CN573,CN3:CN834)+COUNTIF(CN3:CN573,CN573)-1</f>
        <v>571</v>
      </c>
      <c r="CP573" s="306" t="str">
        <f t="shared" ca="1" si="215"/>
        <v>Mislav Oršić (Croatia)</v>
      </c>
    </row>
    <row r="574" spans="72:94" x14ac:dyDescent="0.3">
      <c r="BT574" s="306" t="str">
        <f t="shared" ca="1" si="218"/>
        <v>Croatia</v>
      </c>
      <c r="BU574" s="306">
        <f t="shared" si="219"/>
        <v>25</v>
      </c>
      <c r="BV574" s="306">
        <f t="shared" si="220"/>
        <v>20</v>
      </c>
      <c r="BW574" s="306" t="str">
        <f ca="1">OFFSET(C3,BU574,BV574)</f>
        <v>Nikola Vlašić</v>
      </c>
      <c r="BX574" s="306">
        <f ca="1">COUNTIF('Group Stages'!J7:J102,BW574)</f>
        <v>0</v>
      </c>
      <c r="BY574" s="306">
        <f ca="1">COUNTIF('Group Stages'!K7:K102,BW574)</f>
        <v>0</v>
      </c>
      <c r="BZ574" s="306">
        <f ca="1">COUNTIF('Group Stages'!L7:L102,BW574)</f>
        <v>0</v>
      </c>
      <c r="CA574" s="306">
        <f ca="1">COUNTIF('Group Stages'!M7:M102,BW574)</f>
        <v>0</v>
      </c>
      <c r="CB574" s="306">
        <f ca="1">COUNTIF('Group Stages'!N7:N102,BW574)</f>
        <v>0</v>
      </c>
      <c r="CC574" s="306">
        <f ca="1">COUNTIF('Group Stages'!O7:O102,BW574)</f>
        <v>0</v>
      </c>
      <c r="CD574" s="306">
        <f ca="1">COUNTIF('Group Stages'!P7:P102,BW574)</f>
        <v>0</v>
      </c>
      <c r="CE574" s="306">
        <f ca="1">COUNTIF('Group Stages'!Q7:Q102,BW574)</f>
        <v>0</v>
      </c>
      <c r="CF574" s="306">
        <f ca="1">COUNTIF('Knock Out Stages'!K7:K50,BW574)</f>
        <v>0</v>
      </c>
      <c r="CG574" s="306">
        <f ca="1">COUNTIF('Knock Out Stages'!L7:L50,BW574)</f>
        <v>0</v>
      </c>
      <c r="CH574" s="306">
        <f ca="1">COUNTIF('Knock Out Stages'!M7:M50,BW574)</f>
        <v>0</v>
      </c>
      <c r="CI574" s="306">
        <f ca="1">COUNTIF('Knock Out Stages'!N7:N50,BW574)</f>
        <v>0</v>
      </c>
      <c r="CJ574" s="306">
        <f ca="1">COUNTIF('Knock Out Stages'!O7:O50,BW574)</f>
        <v>0</v>
      </c>
      <c r="CK574" s="306">
        <f ca="1">COUNTIF('Knock Out Stages'!P7:P50,BW574)</f>
        <v>0</v>
      </c>
      <c r="CL574" s="306">
        <f ca="1">COUNTIF('Knock Out Stages'!Q7:Q50,BW574)</f>
        <v>0</v>
      </c>
      <c r="CM574" s="306">
        <f ca="1">COUNTIF('Knock Out Stages'!R7:R50,BW574)</f>
        <v>0</v>
      </c>
      <c r="CN574" s="306">
        <f ca="1">IF(RIGHT('Group Stages'!$B$105,5)="T.com",SUM(BX574:CM574),0)</f>
        <v>0</v>
      </c>
      <c r="CO574" s="306">
        <f ca="1">RANK(CN574,CN3:CN834)+COUNTIF(CN3:CN574,CN574)-1</f>
        <v>572</v>
      </c>
      <c r="CP574" s="306" t="str">
        <f t="shared" ca="1" si="215"/>
        <v>Nikola Vlašić (Croatia)</v>
      </c>
    </row>
    <row r="575" spans="72:94" x14ac:dyDescent="0.3">
      <c r="BT575" s="306" t="str">
        <f ca="1">OFFSET(C2,BU575,BV575)</f>
        <v>Belgium</v>
      </c>
      <c r="BU575" s="306">
        <f t="shared" si="219"/>
        <v>0</v>
      </c>
      <c r="BV575" s="306">
        <f t="shared" si="220"/>
        <v>21</v>
      </c>
      <c r="BW575" s="306" t="str">
        <f ca="1">OFFSET(C3,BU575,BV575)</f>
        <v>Amadou Onana</v>
      </c>
      <c r="BX575" s="306">
        <f ca="1">COUNTIF('Group Stages'!J7:J102,BW575)</f>
        <v>0</v>
      </c>
      <c r="BY575" s="306">
        <f ca="1">COUNTIF('Group Stages'!K7:K102,BW575)</f>
        <v>0</v>
      </c>
      <c r="BZ575" s="306">
        <f ca="1">COUNTIF('Group Stages'!L7:L102,BW575)</f>
        <v>0</v>
      </c>
      <c r="CA575" s="306">
        <f ca="1">COUNTIF('Group Stages'!M7:M102,BW575)</f>
        <v>0</v>
      </c>
      <c r="CB575" s="306">
        <f ca="1">COUNTIF('Group Stages'!N7:N102,BW575)</f>
        <v>0</v>
      </c>
      <c r="CC575" s="306">
        <f ca="1">COUNTIF('Group Stages'!O7:O102,BW575)</f>
        <v>0</v>
      </c>
      <c r="CD575" s="306">
        <f ca="1">COUNTIF('Group Stages'!P7:P102,BW575)</f>
        <v>0</v>
      </c>
      <c r="CE575" s="306">
        <f ca="1">COUNTIF('Group Stages'!Q7:Q102,BW575)</f>
        <v>0</v>
      </c>
      <c r="CF575" s="306">
        <f ca="1">COUNTIF('Knock Out Stages'!K7:K50,BW575)</f>
        <v>0</v>
      </c>
      <c r="CG575" s="306">
        <f ca="1">COUNTIF('Knock Out Stages'!L7:L50,BW575)</f>
        <v>0</v>
      </c>
      <c r="CH575" s="306">
        <f ca="1">COUNTIF('Knock Out Stages'!M7:M50,BW575)</f>
        <v>0</v>
      </c>
      <c r="CI575" s="306">
        <f ca="1">COUNTIF('Knock Out Stages'!N7:N50,BW575)</f>
        <v>0</v>
      </c>
      <c r="CJ575" s="306">
        <f ca="1">COUNTIF('Knock Out Stages'!O7:O50,BW575)</f>
        <v>0</v>
      </c>
      <c r="CK575" s="306">
        <f ca="1">COUNTIF('Knock Out Stages'!P7:P50,BW575)</f>
        <v>0</v>
      </c>
      <c r="CL575" s="306">
        <f ca="1">COUNTIF('Knock Out Stages'!Q7:Q50,BW575)</f>
        <v>0</v>
      </c>
      <c r="CM575" s="306">
        <f ca="1">COUNTIF('Knock Out Stages'!R7:R50,BW575)</f>
        <v>0</v>
      </c>
      <c r="CN575" s="306">
        <f ca="1">IF(RIGHT('Group Stages'!$B$105,5)="T.com",SUM(BX575:CM575),0)</f>
        <v>0</v>
      </c>
      <c r="CO575" s="306">
        <f ca="1">RANK(CN575,CN3:CN834)+COUNTIF(CN3:CN575,CN575)-1</f>
        <v>573</v>
      </c>
      <c r="CP575" s="306" t="str">
        <f t="shared" ca="1" si="215"/>
        <v>Amadou Onana (Belgium)</v>
      </c>
    </row>
    <row r="576" spans="72:94" x14ac:dyDescent="0.3">
      <c r="BT576" s="306" t="str">
        <f t="shared" ref="BT576" ca="1" si="221">BT575</f>
        <v>Belgium</v>
      </c>
      <c r="BU576" s="306">
        <f t="shared" si="219"/>
        <v>1</v>
      </c>
      <c r="BV576" s="306">
        <f t="shared" si="220"/>
        <v>21</v>
      </c>
      <c r="BW576" s="306" t="str">
        <f ca="1">OFFSET(C3,BU576,BV576)</f>
        <v>Arthur Theate</v>
      </c>
      <c r="BX576" s="306">
        <f ca="1">COUNTIF('Group Stages'!J7:J102,BW576)</f>
        <v>0</v>
      </c>
      <c r="BY576" s="306">
        <f ca="1">COUNTIF('Group Stages'!K7:K102,BW576)</f>
        <v>0</v>
      </c>
      <c r="BZ576" s="306">
        <f ca="1">COUNTIF('Group Stages'!L7:L102,BW576)</f>
        <v>0</v>
      </c>
      <c r="CA576" s="306">
        <f ca="1">COUNTIF('Group Stages'!M7:M102,BW576)</f>
        <v>0</v>
      </c>
      <c r="CB576" s="306">
        <f ca="1">COUNTIF('Group Stages'!N7:N102,BW576)</f>
        <v>0</v>
      </c>
      <c r="CC576" s="306">
        <f ca="1">COUNTIF('Group Stages'!O7:O102,BW576)</f>
        <v>0</v>
      </c>
      <c r="CD576" s="306">
        <f ca="1">COUNTIF('Group Stages'!P7:P102,BW576)</f>
        <v>0</v>
      </c>
      <c r="CE576" s="306">
        <f ca="1">COUNTIF('Group Stages'!Q7:Q102,BW576)</f>
        <v>0</v>
      </c>
      <c r="CF576" s="306">
        <f ca="1">COUNTIF('Knock Out Stages'!K7:K50,BW576)</f>
        <v>0</v>
      </c>
      <c r="CG576" s="306">
        <f ca="1">COUNTIF('Knock Out Stages'!L7:L50,BW576)</f>
        <v>0</v>
      </c>
      <c r="CH576" s="306">
        <f ca="1">COUNTIF('Knock Out Stages'!M7:M50,BW576)</f>
        <v>0</v>
      </c>
      <c r="CI576" s="306">
        <f ca="1">COUNTIF('Knock Out Stages'!N7:N50,BW576)</f>
        <v>0</v>
      </c>
      <c r="CJ576" s="306">
        <f ca="1">COUNTIF('Knock Out Stages'!O7:O50,BW576)</f>
        <v>0</v>
      </c>
      <c r="CK576" s="306">
        <f ca="1">COUNTIF('Knock Out Stages'!P7:P50,BW576)</f>
        <v>0</v>
      </c>
      <c r="CL576" s="306">
        <f ca="1">COUNTIF('Knock Out Stages'!Q7:Q50,BW576)</f>
        <v>0</v>
      </c>
      <c r="CM576" s="306">
        <f ca="1">COUNTIF('Knock Out Stages'!R7:R50,BW576)</f>
        <v>0</v>
      </c>
      <c r="CN576" s="306">
        <f ca="1">IF(RIGHT('Group Stages'!$B$105,5)="T.com",SUM(BX576:CM576),0)</f>
        <v>0</v>
      </c>
      <c r="CO576" s="306">
        <f ca="1">RANK(CN576,CN3:CN834)+COUNTIF(CN3:CN576,CN576)-1</f>
        <v>574</v>
      </c>
      <c r="CP576" s="306" t="str">
        <f t="shared" ca="1" si="215"/>
        <v>Arthur Theate (Belgium)</v>
      </c>
    </row>
    <row r="577" spans="72:94" x14ac:dyDescent="0.3">
      <c r="BT577" s="306" t="str">
        <f t="shared" ca="1" si="218"/>
        <v>Belgium</v>
      </c>
      <c r="BU577" s="306">
        <f t="shared" si="219"/>
        <v>2</v>
      </c>
      <c r="BV577" s="306">
        <f t="shared" si="220"/>
        <v>21</v>
      </c>
      <c r="BW577" s="306" t="str">
        <f ca="1">OFFSET(C3,BU577,BV577)</f>
        <v>Axel Witsel</v>
      </c>
      <c r="BX577" s="306">
        <f ca="1">COUNTIF('Group Stages'!J7:J102,BW577)</f>
        <v>0</v>
      </c>
      <c r="BY577" s="306">
        <f ca="1">COUNTIF('Group Stages'!K7:K102,BW577)</f>
        <v>0</v>
      </c>
      <c r="BZ577" s="306">
        <f ca="1">COUNTIF('Group Stages'!L7:L102,BW577)</f>
        <v>0</v>
      </c>
      <c r="CA577" s="306">
        <f ca="1">COUNTIF('Group Stages'!M7:M102,BW577)</f>
        <v>0</v>
      </c>
      <c r="CB577" s="306">
        <f ca="1">COUNTIF('Group Stages'!N7:N102,BW577)</f>
        <v>0</v>
      </c>
      <c r="CC577" s="306">
        <f ca="1">COUNTIF('Group Stages'!O7:O102,BW577)</f>
        <v>0</v>
      </c>
      <c r="CD577" s="306">
        <f ca="1">COUNTIF('Group Stages'!P7:P102,BW577)</f>
        <v>0</v>
      </c>
      <c r="CE577" s="306">
        <f ca="1">COUNTIF('Group Stages'!Q7:Q102,BW577)</f>
        <v>0</v>
      </c>
      <c r="CF577" s="306">
        <f ca="1">COUNTIF('Knock Out Stages'!K7:K50,BW577)</f>
        <v>0</v>
      </c>
      <c r="CG577" s="306">
        <f ca="1">COUNTIF('Knock Out Stages'!L7:L50,BW577)</f>
        <v>0</v>
      </c>
      <c r="CH577" s="306">
        <f ca="1">COUNTIF('Knock Out Stages'!M7:M50,BW577)</f>
        <v>0</v>
      </c>
      <c r="CI577" s="306">
        <f ca="1">COUNTIF('Knock Out Stages'!N7:N50,BW577)</f>
        <v>0</v>
      </c>
      <c r="CJ577" s="306">
        <f ca="1">COUNTIF('Knock Out Stages'!O7:O50,BW577)</f>
        <v>0</v>
      </c>
      <c r="CK577" s="306">
        <f ca="1">COUNTIF('Knock Out Stages'!P7:P50,BW577)</f>
        <v>0</v>
      </c>
      <c r="CL577" s="306">
        <f ca="1">COUNTIF('Knock Out Stages'!Q7:Q50,BW577)</f>
        <v>0</v>
      </c>
      <c r="CM577" s="306">
        <f ca="1">COUNTIF('Knock Out Stages'!R7:R50,BW577)</f>
        <v>0</v>
      </c>
      <c r="CN577" s="306">
        <f ca="1">IF(RIGHT('Group Stages'!$B$105,5)="T.com",SUM(BX577:CM577),0)</f>
        <v>0</v>
      </c>
      <c r="CO577" s="306">
        <f ca="1">RANK(CN577,CN3:CN834)+COUNTIF(CN3:CN577,CN577)-1</f>
        <v>575</v>
      </c>
      <c r="CP577" s="306" t="str">
        <f t="shared" ca="1" si="215"/>
        <v>Axel Witsel (Belgium)</v>
      </c>
    </row>
    <row r="578" spans="72:94" x14ac:dyDescent="0.3">
      <c r="BT578" s="306" t="str">
        <f t="shared" ca="1" si="218"/>
        <v>Belgium</v>
      </c>
      <c r="BU578" s="306">
        <f t="shared" si="219"/>
        <v>3</v>
      </c>
      <c r="BV578" s="306">
        <f t="shared" si="220"/>
        <v>21</v>
      </c>
      <c r="BW578" s="306" t="str">
        <f ca="1">OFFSET(C3,BU578,BV578)</f>
        <v>Charles De Ketelaere</v>
      </c>
      <c r="BX578" s="306">
        <f ca="1">COUNTIF('Group Stages'!J7:J102,BW578)</f>
        <v>0</v>
      </c>
      <c r="BY578" s="306">
        <f ca="1">COUNTIF('Group Stages'!K7:K102,BW578)</f>
        <v>0</v>
      </c>
      <c r="BZ578" s="306">
        <f ca="1">COUNTIF('Group Stages'!L7:L102,BW578)</f>
        <v>0</v>
      </c>
      <c r="CA578" s="306">
        <f ca="1">COUNTIF('Group Stages'!M7:M102,BW578)</f>
        <v>0</v>
      </c>
      <c r="CB578" s="306">
        <f ca="1">COUNTIF('Group Stages'!N7:N102,BW578)</f>
        <v>0</v>
      </c>
      <c r="CC578" s="306">
        <f ca="1">COUNTIF('Group Stages'!O7:O102,BW578)</f>
        <v>0</v>
      </c>
      <c r="CD578" s="306">
        <f ca="1">COUNTIF('Group Stages'!P7:P102,BW578)</f>
        <v>0</v>
      </c>
      <c r="CE578" s="306">
        <f ca="1">COUNTIF('Group Stages'!Q7:Q102,BW578)</f>
        <v>0</v>
      </c>
      <c r="CF578" s="306">
        <f ca="1">COUNTIF('Knock Out Stages'!K7:K50,BW578)</f>
        <v>0</v>
      </c>
      <c r="CG578" s="306">
        <f ca="1">COUNTIF('Knock Out Stages'!L7:L50,BW578)</f>
        <v>0</v>
      </c>
      <c r="CH578" s="306">
        <f ca="1">COUNTIF('Knock Out Stages'!M7:M50,BW578)</f>
        <v>0</v>
      </c>
      <c r="CI578" s="306">
        <f ca="1">COUNTIF('Knock Out Stages'!N7:N50,BW578)</f>
        <v>0</v>
      </c>
      <c r="CJ578" s="306">
        <f ca="1">COUNTIF('Knock Out Stages'!O7:O50,BW578)</f>
        <v>0</v>
      </c>
      <c r="CK578" s="306">
        <f ca="1">COUNTIF('Knock Out Stages'!P7:P50,BW578)</f>
        <v>0</v>
      </c>
      <c r="CL578" s="306">
        <f ca="1">COUNTIF('Knock Out Stages'!Q7:Q50,BW578)</f>
        <v>0</v>
      </c>
      <c r="CM578" s="306">
        <f ca="1">COUNTIF('Knock Out Stages'!R7:R50,BW578)</f>
        <v>0</v>
      </c>
      <c r="CN578" s="306">
        <f ca="1">IF(RIGHT('Group Stages'!$B$105,5)="T.com",SUM(BX578:CM578),0)</f>
        <v>0</v>
      </c>
      <c r="CO578" s="306">
        <f ca="1">RANK(CN578,CN3:CN834)+COUNTIF(CN3:CN578,CN578)-1</f>
        <v>576</v>
      </c>
      <c r="CP578" s="306" t="str">
        <f t="shared" ca="1" si="215"/>
        <v>Charles De Ketelaere (Belgium)</v>
      </c>
    </row>
    <row r="579" spans="72:94" x14ac:dyDescent="0.3">
      <c r="BT579" s="306" t="str">
        <f t="shared" ca="1" si="218"/>
        <v>Belgium</v>
      </c>
      <c r="BU579" s="306">
        <f t="shared" si="219"/>
        <v>4</v>
      </c>
      <c r="BV579" s="306">
        <f t="shared" si="220"/>
        <v>21</v>
      </c>
      <c r="BW579" s="306" t="str">
        <f ca="1">OFFSET(C3,BU579,BV579)</f>
        <v>Dries Mertens</v>
      </c>
      <c r="BX579" s="306">
        <f ca="1">COUNTIF('Group Stages'!J7:J102,BW579)</f>
        <v>0</v>
      </c>
      <c r="BY579" s="306">
        <f ca="1">COUNTIF('Group Stages'!K7:K102,BW579)</f>
        <v>0</v>
      </c>
      <c r="BZ579" s="306">
        <f ca="1">COUNTIF('Group Stages'!L7:L102,BW579)</f>
        <v>0</v>
      </c>
      <c r="CA579" s="306">
        <f ca="1">COUNTIF('Group Stages'!M7:M102,BW579)</f>
        <v>0</v>
      </c>
      <c r="CB579" s="306">
        <f ca="1">COUNTIF('Group Stages'!N7:N102,BW579)</f>
        <v>0</v>
      </c>
      <c r="CC579" s="306">
        <f ca="1">COUNTIF('Group Stages'!O7:O102,BW579)</f>
        <v>0</v>
      </c>
      <c r="CD579" s="306">
        <f ca="1">COUNTIF('Group Stages'!P7:P102,BW579)</f>
        <v>0</v>
      </c>
      <c r="CE579" s="306">
        <f ca="1">COUNTIF('Group Stages'!Q7:Q102,BW579)</f>
        <v>0</v>
      </c>
      <c r="CF579" s="306">
        <f ca="1">COUNTIF('Knock Out Stages'!K7:K50,BW579)</f>
        <v>0</v>
      </c>
      <c r="CG579" s="306">
        <f ca="1">COUNTIF('Knock Out Stages'!L7:L50,BW579)</f>
        <v>0</v>
      </c>
      <c r="CH579" s="306">
        <f ca="1">COUNTIF('Knock Out Stages'!M7:M50,BW579)</f>
        <v>0</v>
      </c>
      <c r="CI579" s="306">
        <f ca="1">COUNTIF('Knock Out Stages'!N7:N50,BW579)</f>
        <v>0</v>
      </c>
      <c r="CJ579" s="306">
        <f ca="1">COUNTIF('Knock Out Stages'!O7:O50,BW579)</f>
        <v>0</v>
      </c>
      <c r="CK579" s="306">
        <f ca="1">COUNTIF('Knock Out Stages'!P7:P50,BW579)</f>
        <v>0</v>
      </c>
      <c r="CL579" s="306">
        <f ca="1">COUNTIF('Knock Out Stages'!Q7:Q50,BW579)</f>
        <v>0</v>
      </c>
      <c r="CM579" s="306">
        <f ca="1">COUNTIF('Knock Out Stages'!R7:R50,BW579)</f>
        <v>0</v>
      </c>
      <c r="CN579" s="306">
        <f ca="1">IF(RIGHT('Group Stages'!$B$105,5)="T.com",SUM(BX579:CM579),0)</f>
        <v>0</v>
      </c>
      <c r="CO579" s="306">
        <f ca="1">RANK(CN579,CN3:CN834)+COUNTIF(CN3:CN579,CN579)-1</f>
        <v>577</v>
      </c>
      <c r="CP579" s="306" t="str">
        <f t="shared" ca="1" si="215"/>
        <v>Dries Mertens (Belgium)</v>
      </c>
    </row>
    <row r="580" spans="72:94" x14ac:dyDescent="0.3">
      <c r="BT580" s="306" t="str">
        <f t="shared" ca="1" si="218"/>
        <v>Belgium</v>
      </c>
      <c r="BU580" s="306">
        <f t="shared" si="219"/>
        <v>5</v>
      </c>
      <c r="BV580" s="306">
        <f t="shared" si="220"/>
        <v>21</v>
      </c>
      <c r="BW580" s="306" t="str">
        <f ca="1">OFFSET(C3,BU580,BV580)</f>
        <v>Eden Hazard</v>
      </c>
      <c r="BX580" s="306">
        <f ca="1">COUNTIF('Group Stages'!J7:J102,BW580)</f>
        <v>0</v>
      </c>
      <c r="BY580" s="306">
        <f ca="1">COUNTIF('Group Stages'!K7:K102,BW580)</f>
        <v>0</v>
      </c>
      <c r="BZ580" s="306">
        <f ca="1">COUNTIF('Group Stages'!L7:L102,BW580)</f>
        <v>0</v>
      </c>
      <c r="CA580" s="306">
        <f ca="1">COUNTIF('Group Stages'!M7:M102,BW580)</f>
        <v>0</v>
      </c>
      <c r="CB580" s="306">
        <f ca="1">COUNTIF('Group Stages'!N7:N102,BW580)</f>
        <v>0</v>
      </c>
      <c r="CC580" s="306">
        <f ca="1">COUNTIF('Group Stages'!O7:O102,BW580)</f>
        <v>0</v>
      </c>
      <c r="CD580" s="306">
        <f ca="1">COUNTIF('Group Stages'!P7:P102,BW580)</f>
        <v>0</v>
      </c>
      <c r="CE580" s="306">
        <f ca="1">COUNTIF('Group Stages'!Q7:Q102,BW580)</f>
        <v>0</v>
      </c>
      <c r="CF580" s="306">
        <f ca="1">COUNTIF('Knock Out Stages'!K7:K50,BW580)</f>
        <v>0</v>
      </c>
      <c r="CG580" s="306">
        <f ca="1">COUNTIF('Knock Out Stages'!L7:L50,BW580)</f>
        <v>0</v>
      </c>
      <c r="CH580" s="306">
        <f ca="1">COUNTIF('Knock Out Stages'!M7:M50,BW580)</f>
        <v>0</v>
      </c>
      <c r="CI580" s="306">
        <f ca="1">COUNTIF('Knock Out Stages'!N7:N50,BW580)</f>
        <v>0</v>
      </c>
      <c r="CJ580" s="306">
        <f ca="1">COUNTIF('Knock Out Stages'!O7:O50,BW580)</f>
        <v>0</v>
      </c>
      <c r="CK580" s="306">
        <f ca="1">COUNTIF('Knock Out Stages'!P7:P50,BW580)</f>
        <v>0</v>
      </c>
      <c r="CL580" s="306">
        <f ca="1">COUNTIF('Knock Out Stages'!Q7:Q50,BW580)</f>
        <v>0</v>
      </c>
      <c r="CM580" s="306">
        <f ca="1">COUNTIF('Knock Out Stages'!R7:R50,BW580)</f>
        <v>0</v>
      </c>
      <c r="CN580" s="306">
        <f ca="1">IF(RIGHT('Group Stages'!$B$105,5)="T.com",SUM(BX580:CM580),0)</f>
        <v>0</v>
      </c>
      <c r="CO580" s="306">
        <f ca="1">RANK(CN580,CN3:CN834)+COUNTIF(CN3:CN580,CN580)-1</f>
        <v>578</v>
      </c>
      <c r="CP580" s="306" t="str">
        <f t="shared" ref="CP580:CP643" ca="1" si="222">BW580&amp;" ("&amp;BT580&amp;")"</f>
        <v>Eden Hazard (Belgium)</v>
      </c>
    </row>
    <row r="581" spans="72:94" x14ac:dyDescent="0.3">
      <c r="BT581" s="306" t="str">
        <f t="shared" ca="1" si="218"/>
        <v>Belgium</v>
      </c>
      <c r="BU581" s="306">
        <f t="shared" si="219"/>
        <v>6</v>
      </c>
      <c r="BV581" s="306">
        <f t="shared" si="220"/>
        <v>21</v>
      </c>
      <c r="BW581" s="306" t="str">
        <f ca="1">OFFSET(C3,BU581,BV581)</f>
        <v>Hans Vanaken</v>
      </c>
      <c r="BX581" s="306">
        <f ca="1">COUNTIF('Group Stages'!J7:J102,BW581)</f>
        <v>0</v>
      </c>
      <c r="BY581" s="306">
        <f ca="1">COUNTIF('Group Stages'!K7:K102,BW581)</f>
        <v>0</v>
      </c>
      <c r="BZ581" s="306">
        <f ca="1">COUNTIF('Group Stages'!L7:L102,BW581)</f>
        <v>0</v>
      </c>
      <c r="CA581" s="306">
        <f ca="1">COUNTIF('Group Stages'!M7:M102,BW581)</f>
        <v>0</v>
      </c>
      <c r="CB581" s="306">
        <f ca="1">COUNTIF('Group Stages'!N7:N102,BW581)</f>
        <v>0</v>
      </c>
      <c r="CC581" s="306">
        <f ca="1">COUNTIF('Group Stages'!O7:O102,BW581)</f>
        <v>0</v>
      </c>
      <c r="CD581" s="306">
        <f ca="1">COUNTIF('Group Stages'!P7:P102,BW581)</f>
        <v>0</v>
      </c>
      <c r="CE581" s="306">
        <f ca="1">COUNTIF('Group Stages'!Q7:Q102,BW581)</f>
        <v>0</v>
      </c>
      <c r="CF581" s="306">
        <f ca="1">COUNTIF('Knock Out Stages'!K7:K50,BW581)</f>
        <v>0</v>
      </c>
      <c r="CG581" s="306">
        <f ca="1">COUNTIF('Knock Out Stages'!L7:L50,BW581)</f>
        <v>0</v>
      </c>
      <c r="CH581" s="306">
        <f ca="1">COUNTIF('Knock Out Stages'!M7:M50,BW581)</f>
        <v>0</v>
      </c>
      <c r="CI581" s="306">
        <f ca="1">COUNTIF('Knock Out Stages'!N7:N50,BW581)</f>
        <v>0</v>
      </c>
      <c r="CJ581" s="306">
        <f ca="1">COUNTIF('Knock Out Stages'!O7:O50,BW581)</f>
        <v>0</v>
      </c>
      <c r="CK581" s="306">
        <f ca="1">COUNTIF('Knock Out Stages'!P7:P50,BW581)</f>
        <v>0</v>
      </c>
      <c r="CL581" s="306">
        <f ca="1">COUNTIF('Knock Out Stages'!Q7:Q50,BW581)</f>
        <v>0</v>
      </c>
      <c r="CM581" s="306">
        <f ca="1">COUNTIF('Knock Out Stages'!R7:R50,BW581)</f>
        <v>0</v>
      </c>
      <c r="CN581" s="306">
        <f ca="1">IF(RIGHT('Group Stages'!$B$105,5)="T.com",SUM(BX581:CM581),0)</f>
        <v>0</v>
      </c>
      <c r="CO581" s="306">
        <f ca="1">RANK(CN581,CN3:CN834)+COUNTIF(CN3:CN581,CN581)-1</f>
        <v>579</v>
      </c>
      <c r="CP581" s="306" t="str">
        <f t="shared" ca="1" si="222"/>
        <v>Hans Vanaken (Belgium)</v>
      </c>
    </row>
    <row r="582" spans="72:94" x14ac:dyDescent="0.3">
      <c r="BT582" s="306" t="str">
        <f t="shared" ca="1" si="218"/>
        <v>Belgium</v>
      </c>
      <c r="BU582" s="306">
        <f t="shared" si="219"/>
        <v>7</v>
      </c>
      <c r="BV582" s="306">
        <f t="shared" si="220"/>
        <v>21</v>
      </c>
      <c r="BW582" s="306" t="str">
        <f ca="1">OFFSET(C3,BU582,BV582)</f>
        <v>Jan Vertonghen</v>
      </c>
      <c r="BX582" s="306">
        <f ca="1">COUNTIF('Group Stages'!J7:J102,BW582)</f>
        <v>0</v>
      </c>
      <c r="BY582" s="306">
        <f ca="1">COUNTIF('Group Stages'!K7:K102,BW582)</f>
        <v>0</v>
      </c>
      <c r="BZ582" s="306">
        <f ca="1">COUNTIF('Group Stages'!L7:L102,BW582)</f>
        <v>0</v>
      </c>
      <c r="CA582" s="306">
        <f ca="1">COUNTIF('Group Stages'!M7:M102,BW582)</f>
        <v>0</v>
      </c>
      <c r="CB582" s="306">
        <f ca="1">COUNTIF('Group Stages'!N7:N102,BW582)</f>
        <v>0</v>
      </c>
      <c r="CC582" s="306">
        <f ca="1">COUNTIF('Group Stages'!O7:O102,BW582)</f>
        <v>0</v>
      </c>
      <c r="CD582" s="306">
        <f ca="1">COUNTIF('Group Stages'!P7:P102,BW582)</f>
        <v>0</v>
      </c>
      <c r="CE582" s="306">
        <f ca="1">COUNTIF('Group Stages'!Q7:Q102,BW582)</f>
        <v>0</v>
      </c>
      <c r="CF582" s="306">
        <f ca="1">COUNTIF('Knock Out Stages'!K7:K50,BW582)</f>
        <v>0</v>
      </c>
      <c r="CG582" s="306">
        <f ca="1">COUNTIF('Knock Out Stages'!L7:L50,BW582)</f>
        <v>0</v>
      </c>
      <c r="CH582" s="306">
        <f ca="1">COUNTIF('Knock Out Stages'!M7:M50,BW582)</f>
        <v>0</v>
      </c>
      <c r="CI582" s="306">
        <f ca="1">COUNTIF('Knock Out Stages'!N7:N50,BW582)</f>
        <v>0</v>
      </c>
      <c r="CJ582" s="306">
        <f ca="1">COUNTIF('Knock Out Stages'!O7:O50,BW582)</f>
        <v>0</v>
      </c>
      <c r="CK582" s="306">
        <f ca="1">COUNTIF('Knock Out Stages'!P7:P50,BW582)</f>
        <v>0</v>
      </c>
      <c r="CL582" s="306">
        <f ca="1">COUNTIF('Knock Out Stages'!Q7:Q50,BW582)</f>
        <v>0</v>
      </c>
      <c r="CM582" s="306">
        <f ca="1">COUNTIF('Knock Out Stages'!R7:R50,BW582)</f>
        <v>0</v>
      </c>
      <c r="CN582" s="306">
        <f ca="1">IF(RIGHT('Group Stages'!$B$105,5)="T.com",SUM(BX582:CM582),0)</f>
        <v>0</v>
      </c>
      <c r="CO582" s="306">
        <f ca="1">RANK(CN582,CN3:CN834)+COUNTIF(CN3:CN582,CN582)-1</f>
        <v>580</v>
      </c>
      <c r="CP582" s="306" t="str">
        <f t="shared" ca="1" si="222"/>
        <v>Jan Vertonghen (Belgium)</v>
      </c>
    </row>
    <row r="583" spans="72:94" x14ac:dyDescent="0.3">
      <c r="BT583" s="306" t="str">
        <f t="shared" ca="1" si="218"/>
        <v>Belgium</v>
      </c>
      <c r="BU583" s="306">
        <f t="shared" si="219"/>
        <v>8</v>
      </c>
      <c r="BV583" s="306">
        <f t="shared" si="220"/>
        <v>21</v>
      </c>
      <c r="BW583" s="306" t="str">
        <f ca="1">OFFSET(C3,BU583,BV583)</f>
        <v>Jérémy Doku</v>
      </c>
      <c r="BX583" s="306">
        <f ca="1">COUNTIF('Group Stages'!J7:J102,BW583)</f>
        <v>0</v>
      </c>
      <c r="BY583" s="306">
        <f ca="1">COUNTIF('Group Stages'!K7:K102,BW583)</f>
        <v>0</v>
      </c>
      <c r="BZ583" s="306">
        <f ca="1">COUNTIF('Group Stages'!L7:L102,BW583)</f>
        <v>0</v>
      </c>
      <c r="CA583" s="306">
        <f ca="1">COUNTIF('Group Stages'!M7:M102,BW583)</f>
        <v>0</v>
      </c>
      <c r="CB583" s="306">
        <f ca="1">COUNTIF('Group Stages'!N7:N102,BW583)</f>
        <v>0</v>
      </c>
      <c r="CC583" s="306">
        <f ca="1">COUNTIF('Group Stages'!O7:O102,BW583)</f>
        <v>0</v>
      </c>
      <c r="CD583" s="306">
        <f ca="1">COUNTIF('Group Stages'!P7:P102,BW583)</f>
        <v>0</v>
      </c>
      <c r="CE583" s="306">
        <f ca="1">COUNTIF('Group Stages'!Q7:Q102,BW583)</f>
        <v>0</v>
      </c>
      <c r="CF583" s="306">
        <f ca="1">COUNTIF('Knock Out Stages'!K7:K50,BW583)</f>
        <v>0</v>
      </c>
      <c r="CG583" s="306">
        <f ca="1">COUNTIF('Knock Out Stages'!L7:L50,BW583)</f>
        <v>0</v>
      </c>
      <c r="CH583" s="306">
        <f ca="1">COUNTIF('Knock Out Stages'!M7:M50,BW583)</f>
        <v>0</v>
      </c>
      <c r="CI583" s="306">
        <f ca="1">COUNTIF('Knock Out Stages'!N7:N50,BW583)</f>
        <v>0</v>
      </c>
      <c r="CJ583" s="306">
        <f ca="1">COUNTIF('Knock Out Stages'!O7:O50,BW583)</f>
        <v>0</v>
      </c>
      <c r="CK583" s="306">
        <f ca="1">COUNTIF('Knock Out Stages'!P7:P50,BW583)</f>
        <v>0</v>
      </c>
      <c r="CL583" s="306">
        <f ca="1">COUNTIF('Knock Out Stages'!Q7:Q50,BW583)</f>
        <v>0</v>
      </c>
      <c r="CM583" s="306">
        <f ca="1">COUNTIF('Knock Out Stages'!R7:R50,BW583)</f>
        <v>0</v>
      </c>
      <c r="CN583" s="306">
        <f ca="1">IF(RIGHT('Group Stages'!$B$105,5)="T.com",SUM(BX583:CM583),0)</f>
        <v>0</v>
      </c>
      <c r="CO583" s="306">
        <f ca="1">RANK(CN583,CN3:CN834)+COUNTIF(CN3:CN583,CN583)-1</f>
        <v>581</v>
      </c>
      <c r="CP583" s="306" t="str">
        <f t="shared" ca="1" si="222"/>
        <v>Jérémy Doku (Belgium)</v>
      </c>
    </row>
    <row r="584" spans="72:94" x14ac:dyDescent="0.3">
      <c r="BT584" s="306" t="str">
        <f t="shared" ca="1" si="218"/>
        <v>Belgium</v>
      </c>
      <c r="BU584" s="306">
        <f t="shared" si="219"/>
        <v>9</v>
      </c>
      <c r="BV584" s="306">
        <f t="shared" si="220"/>
        <v>21</v>
      </c>
      <c r="BW584" s="306" t="str">
        <f ca="1">OFFSET(C3,BU584,BV584)</f>
        <v>Kevin De Bruyne</v>
      </c>
      <c r="BX584" s="306">
        <f ca="1">COUNTIF('Group Stages'!J7:J102,BW584)</f>
        <v>0</v>
      </c>
      <c r="BY584" s="306">
        <f ca="1">COUNTIF('Group Stages'!K7:K102,BW584)</f>
        <v>0</v>
      </c>
      <c r="BZ584" s="306">
        <f ca="1">COUNTIF('Group Stages'!L7:L102,BW584)</f>
        <v>0</v>
      </c>
      <c r="CA584" s="306">
        <f ca="1">COUNTIF('Group Stages'!M7:M102,BW584)</f>
        <v>0</v>
      </c>
      <c r="CB584" s="306">
        <f ca="1">COUNTIF('Group Stages'!N7:N102,BW584)</f>
        <v>0</v>
      </c>
      <c r="CC584" s="306">
        <f ca="1">COUNTIF('Group Stages'!O7:O102,BW584)</f>
        <v>0</v>
      </c>
      <c r="CD584" s="306">
        <f ca="1">COUNTIF('Group Stages'!P7:P102,BW584)</f>
        <v>0</v>
      </c>
      <c r="CE584" s="306">
        <f ca="1">COUNTIF('Group Stages'!Q7:Q102,BW584)</f>
        <v>0</v>
      </c>
      <c r="CF584" s="306">
        <f ca="1">COUNTIF('Knock Out Stages'!K7:K50,BW584)</f>
        <v>0</v>
      </c>
      <c r="CG584" s="306">
        <f ca="1">COUNTIF('Knock Out Stages'!L7:L50,BW584)</f>
        <v>0</v>
      </c>
      <c r="CH584" s="306">
        <f ca="1">COUNTIF('Knock Out Stages'!M7:M50,BW584)</f>
        <v>0</v>
      </c>
      <c r="CI584" s="306">
        <f ca="1">COUNTIF('Knock Out Stages'!N7:N50,BW584)</f>
        <v>0</v>
      </c>
      <c r="CJ584" s="306">
        <f ca="1">COUNTIF('Knock Out Stages'!O7:O50,BW584)</f>
        <v>0</v>
      </c>
      <c r="CK584" s="306">
        <f ca="1">COUNTIF('Knock Out Stages'!P7:P50,BW584)</f>
        <v>0</v>
      </c>
      <c r="CL584" s="306">
        <f ca="1">COUNTIF('Knock Out Stages'!Q7:Q50,BW584)</f>
        <v>0</v>
      </c>
      <c r="CM584" s="306">
        <f ca="1">COUNTIF('Knock Out Stages'!R7:R50,BW584)</f>
        <v>0</v>
      </c>
      <c r="CN584" s="306">
        <f ca="1">IF(RIGHT('Group Stages'!$B$105,5)="T.com",SUM(BX584:CM584),0)</f>
        <v>0</v>
      </c>
      <c r="CO584" s="306">
        <f ca="1">RANK(CN584,CN3:CN834)+COUNTIF(CN3:CN584,CN584)-1</f>
        <v>582</v>
      </c>
      <c r="CP584" s="306" t="str">
        <f t="shared" ca="1" si="222"/>
        <v>Kevin De Bruyne (Belgium)</v>
      </c>
    </row>
    <row r="585" spans="72:94" x14ac:dyDescent="0.3">
      <c r="BT585" s="306" t="str">
        <f t="shared" ca="1" si="218"/>
        <v>Belgium</v>
      </c>
      <c r="BU585" s="306">
        <f t="shared" si="219"/>
        <v>10</v>
      </c>
      <c r="BV585" s="306">
        <f t="shared" si="220"/>
        <v>21</v>
      </c>
      <c r="BW585" s="306" t="str">
        <f ca="1">OFFSET(C3,BU585,BV585)</f>
        <v>Koen Casteels</v>
      </c>
      <c r="BX585" s="306">
        <f ca="1">COUNTIF('Group Stages'!J7:J102,BW585)</f>
        <v>0</v>
      </c>
      <c r="BY585" s="306">
        <f ca="1">COUNTIF('Group Stages'!K7:K102,BW585)</f>
        <v>0</v>
      </c>
      <c r="BZ585" s="306">
        <f ca="1">COUNTIF('Group Stages'!L7:L102,BW585)</f>
        <v>0</v>
      </c>
      <c r="CA585" s="306">
        <f ca="1">COUNTIF('Group Stages'!M7:M102,BW585)</f>
        <v>0</v>
      </c>
      <c r="CB585" s="306">
        <f ca="1">COUNTIF('Group Stages'!N7:N102,BW585)</f>
        <v>0</v>
      </c>
      <c r="CC585" s="306">
        <f ca="1">COUNTIF('Group Stages'!O7:O102,BW585)</f>
        <v>0</v>
      </c>
      <c r="CD585" s="306">
        <f ca="1">COUNTIF('Group Stages'!P7:P102,BW585)</f>
        <v>0</v>
      </c>
      <c r="CE585" s="306">
        <f ca="1">COUNTIF('Group Stages'!Q7:Q102,BW585)</f>
        <v>0</v>
      </c>
      <c r="CF585" s="306">
        <f ca="1">COUNTIF('Knock Out Stages'!K7:K50,BW585)</f>
        <v>0</v>
      </c>
      <c r="CG585" s="306">
        <f ca="1">COUNTIF('Knock Out Stages'!L7:L50,BW585)</f>
        <v>0</v>
      </c>
      <c r="CH585" s="306">
        <f ca="1">COUNTIF('Knock Out Stages'!M7:M50,BW585)</f>
        <v>0</v>
      </c>
      <c r="CI585" s="306">
        <f ca="1">COUNTIF('Knock Out Stages'!N7:N50,BW585)</f>
        <v>0</v>
      </c>
      <c r="CJ585" s="306">
        <f ca="1">COUNTIF('Knock Out Stages'!O7:O50,BW585)</f>
        <v>0</v>
      </c>
      <c r="CK585" s="306">
        <f ca="1">COUNTIF('Knock Out Stages'!P7:P50,BW585)</f>
        <v>0</v>
      </c>
      <c r="CL585" s="306">
        <f ca="1">COUNTIF('Knock Out Stages'!Q7:Q50,BW585)</f>
        <v>0</v>
      </c>
      <c r="CM585" s="306">
        <f ca="1">COUNTIF('Knock Out Stages'!R7:R50,BW585)</f>
        <v>0</v>
      </c>
      <c r="CN585" s="306">
        <f ca="1">IF(RIGHT('Group Stages'!$B$105,5)="T.com",SUM(BX585:CM585),0)</f>
        <v>0</v>
      </c>
      <c r="CO585" s="306">
        <f ca="1">RANK(CN585,CN3:CN834)+COUNTIF(CN3:CN585,CN585)-1</f>
        <v>583</v>
      </c>
      <c r="CP585" s="306" t="str">
        <f t="shared" ca="1" si="222"/>
        <v>Koen Casteels (Belgium)</v>
      </c>
    </row>
    <row r="586" spans="72:94" x14ac:dyDescent="0.3">
      <c r="BT586" s="306" t="str">
        <f t="shared" ca="1" si="218"/>
        <v>Belgium</v>
      </c>
      <c r="BU586" s="306">
        <f t="shared" si="219"/>
        <v>11</v>
      </c>
      <c r="BV586" s="306">
        <f t="shared" si="220"/>
        <v>21</v>
      </c>
      <c r="BW586" s="306" t="str">
        <f ca="1">OFFSET(C3,BU586,BV586)</f>
        <v>Leander Dendoncker</v>
      </c>
      <c r="BX586" s="306">
        <f ca="1">COUNTIF('Group Stages'!J7:J102,BW586)</f>
        <v>0</v>
      </c>
      <c r="BY586" s="306">
        <f ca="1">COUNTIF('Group Stages'!K7:K102,BW586)</f>
        <v>0</v>
      </c>
      <c r="BZ586" s="306">
        <f ca="1">COUNTIF('Group Stages'!L7:L102,BW586)</f>
        <v>0</v>
      </c>
      <c r="CA586" s="306">
        <f ca="1">COUNTIF('Group Stages'!M7:M102,BW586)</f>
        <v>0</v>
      </c>
      <c r="CB586" s="306">
        <f ca="1">COUNTIF('Group Stages'!N7:N102,BW586)</f>
        <v>0</v>
      </c>
      <c r="CC586" s="306">
        <f ca="1">COUNTIF('Group Stages'!O7:O102,BW586)</f>
        <v>0</v>
      </c>
      <c r="CD586" s="306">
        <f ca="1">COUNTIF('Group Stages'!P7:P102,BW586)</f>
        <v>0</v>
      </c>
      <c r="CE586" s="306">
        <f ca="1">COUNTIF('Group Stages'!Q7:Q102,BW586)</f>
        <v>0</v>
      </c>
      <c r="CF586" s="306">
        <f ca="1">COUNTIF('Knock Out Stages'!K7:K50,BW586)</f>
        <v>0</v>
      </c>
      <c r="CG586" s="306">
        <f ca="1">COUNTIF('Knock Out Stages'!L7:L50,BW586)</f>
        <v>0</v>
      </c>
      <c r="CH586" s="306">
        <f ca="1">COUNTIF('Knock Out Stages'!M7:M50,BW586)</f>
        <v>0</v>
      </c>
      <c r="CI586" s="306">
        <f ca="1">COUNTIF('Knock Out Stages'!N7:N50,BW586)</f>
        <v>0</v>
      </c>
      <c r="CJ586" s="306">
        <f ca="1">COUNTIF('Knock Out Stages'!O7:O50,BW586)</f>
        <v>0</v>
      </c>
      <c r="CK586" s="306">
        <f ca="1">COUNTIF('Knock Out Stages'!P7:P50,BW586)</f>
        <v>0</v>
      </c>
      <c r="CL586" s="306">
        <f ca="1">COUNTIF('Knock Out Stages'!Q7:Q50,BW586)</f>
        <v>0</v>
      </c>
      <c r="CM586" s="306">
        <f ca="1">COUNTIF('Knock Out Stages'!R7:R50,BW586)</f>
        <v>0</v>
      </c>
      <c r="CN586" s="306">
        <f ca="1">IF(RIGHT('Group Stages'!$B$105,5)="T.com",SUM(BX586:CM586),0)</f>
        <v>0</v>
      </c>
      <c r="CO586" s="306">
        <f ca="1">RANK(CN586,CN3:CN834)+COUNTIF(CN3:CN586,CN586)-1</f>
        <v>584</v>
      </c>
      <c r="CP586" s="306" t="str">
        <f t="shared" ca="1" si="222"/>
        <v>Leander Dendoncker (Belgium)</v>
      </c>
    </row>
    <row r="587" spans="72:94" x14ac:dyDescent="0.3">
      <c r="BT587" s="306" t="str">
        <f t="shared" ca="1" si="218"/>
        <v>Belgium</v>
      </c>
      <c r="BU587" s="306">
        <f t="shared" si="219"/>
        <v>12</v>
      </c>
      <c r="BV587" s="306">
        <f t="shared" si="220"/>
        <v>21</v>
      </c>
      <c r="BW587" s="306" t="str">
        <f ca="1">OFFSET(C3,BU587,BV587)</f>
        <v>Leandro Trossard</v>
      </c>
      <c r="BX587" s="306">
        <f ca="1">COUNTIF('Group Stages'!J7:J102,BW587)</f>
        <v>0</v>
      </c>
      <c r="BY587" s="306">
        <f ca="1">COUNTIF('Group Stages'!K7:K102,BW587)</f>
        <v>0</v>
      </c>
      <c r="BZ587" s="306">
        <f ca="1">COUNTIF('Group Stages'!L7:L102,BW587)</f>
        <v>0</v>
      </c>
      <c r="CA587" s="306">
        <f ca="1">COUNTIF('Group Stages'!M7:M102,BW587)</f>
        <v>0</v>
      </c>
      <c r="CB587" s="306">
        <f ca="1">COUNTIF('Group Stages'!N7:N102,BW587)</f>
        <v>0</v>
      </c>
      <c r="CC587" s="306">
        <f ca="1">COUNTIF('Group Stages'!O7:O102,BW587)</f>
        <v>0</v>
      </c>
      <c r="CD587" s="306">
        <f ca="1">COUNTIF('Group Stages'!P7:P102,BW587)</f>
        <v>0</v>
      </c>
      <c r="CE587" s="306">
        <f ca="1">COUNTIF('Group Stages'!Q7:Q102,BW587)</f>
        <v>0</v>
      </c>
      <c r="CF587" s="306">
        <f ca="1">COUNTIF('Knock Out Stages'!K7:K50,BW587)</f>
        <v>0</v>
      </c>
      <c r="CG587" s="306">
        <f ca="1">COUNTIF('Knock Out Stages'!L7:L50,BW587)</f>
        <v>0</v>
      </c>
      <c r="CH587" s="306">
        <f ca="1">COUNTIF('Knock Out Stages'!M7:M50,BW587)</f>
        <v>0</v>
      </c>
      <c r="CI587" s="306">
        <f ca="1">COUNTIF('Knock Out Stages'!N7:N50,BW587)</f>
        <v>0</v>
      </c>
      <c r="CJ587" s="306">
        <f ca="1">COUNTIF('Knock Out Stages'!O7:O50,BW587)</f>
        <v>0</v>
      </c>
      <c r="CK587" s="306">
        <f ca="1">COUNTIF('Knock Out Stages'!P7:P50,BW587)</f>
        <v>0</v>
      </c>
      <c r="CL587" s="306">
        <f ca="1">COUNTIF('Knock Out Stages'!Q7:Q50,BW587)</f>
        <v>0</v>
      </c>
      <c r="CM587" s="306">
        <f ca="1">COUNTIF('Knock Out Stages'!R7:R50,BW587)</f>
        <v>0</v>
      </c>
      <c r="CN587" s="306">
        <f ca="1">IF(RIGHT('Group Stages'!$B$105,5)="T.com",SUM(BX587:CM587),0)</f>
        <v>0</v>
      </c>
      <c r="CO587" s="306">
        <f ca="1">RANK(CN587,CN3:CN834)+COUNTIF(CN3:CN587,CN587)-1</f>
        <v>585</v>
      </c>
      <c r="CP587" s="306" t="str">
        <f t="shared" ca="1" si="222"/>
        <v>Leandro Trossard (Belgium)</v>
      </c>
    </row>
    <row r="588" spans="72:94" x14ac:dyDescent="0.3">
      <c r="BT588" s="306" t="str">
        <f t="shared" ca="1" si="218"/>
        <v>Belgium</v>
      </c>
      <c r="BU588" s="306">
        <f t="shared" si="219"/>
        <v>13</v>
      </c>
      <c r="BV588" s="306">
        <f t="shared" si="220"/>
        <v>21</v>
      </c>
      <c r="BW588" s="306" t="str">
        <f ca="1">OFFSET(C3,BU588,BV588)</f>
        <v>Loïs Openda</v>
      </c>
      <c r="BX588" s="306">
        <f ca="1">COUNTIF('Group Stages'!J7:J102,BW588)</f>
        <v>0</v>
      </c>
      <c r="BY588" s="306">
        <f ca="1">COUNTIF('Group Stages'!K7:K102,BW588)</f>
        <v>0</v>
      </c>
      <c r="BZ588" s="306">
        <f ca="1">COUNTIF('Group Stages'!L7:L102,BW588)</f>
        <v>0</v>
      </c>
      <c r="CA588" s="306">
        <f ca="1">COUNTIF('Group Stages'!M7:M102,BW588)</f>
        <v>0</v>
      </c>
      <c r="CB588" s="306">
        <f ca="1">COUNTIF('Group Stages'!N7:N102,BW588)</f>
        <v>0</v>
      </c>
      <c r="CC588" s="306">
        <f ca="1">COUNTIF('Group Stages'!O7:O102,BW588)</f>
        <v>0</v>
      </c>
      <c r="CD588" s="306">
        <f ca="1">COUNTIF('Group Stages'!P7:P102,BW588)</f>
        <v>0</v>
      </c>
      <c r="CE588" s="306">
        <f ca="1">COUNTIF('Group Stages'!Q7:Q102,BW588)</f>
        <v>0</v>
      </c>
      <c r="CF588" s="306">
        <f ca="1">COUNTIF('Knock Out Stages'!K7:K50,BW588)</f>
        <v>0</v>
      </c>
      <c r="CG588" s="306">
        <f ca="1">COUNTIF('Knock Out Stages'!L7:L50,BW588)</f>
        <v>0</v>
      </c>
      <c r="CH588" s="306">
        <f ca="1">COUNTIF('Knock Out Stages'!M7:M50,BW588)</f>
        <v>0</v>
      </c>
      <c r="CI588" s="306">
        <f ca="1">COUNTIF('Knock Out Stages'!N7:N50,BW588)</f>
        <v>0</v>
      </c>
      <c r="CJ588" s="306">
        <f ca="1">COUNTIF('Knock Out Stages'!O7:O50,BW588)</f>
        <v>0</v>
      </c>
      <c r="CK588" s="306">
        <f ca="1">COUNTIF('Knock Out Stages'!P7:P50,BW588)</f>
        <v>0</v>
      </c>
      <c r="CL588" s="306">
        <f ca="1">COUNTIF('Knock Out Stages'!Q7:Q50,BW588)</f>
        <v>0</v>
      </c>
      <c r="CM588" s="306">
        <f ca="1">COUNTIF('Knock Out Stages'!R7:R50,BW588)</f>
        <v>0</v>
      </c>
      <c r="CN588" s="306">
        <f ca="1">IF(RIGHT('Group Stages'!$B$105,5)="T.com",SUM(BX588:CM588),0)</f>
        <v>0</v>
      </c>
      <c r="CO588" s="306">
        <f ca="1">RANK(CN588,CN3:CN834)+COUNTIF(CN3:CN588,CN588)-1</f>
        <v>586</v>
      </c>
      <c r="CP588" s="306" t="str">
        <f t="shared" ca="1" si="222"/>
        <v>Loïs Openda (Belgium)</v>
      </c>
    </row>
    <row r="589" spans="72:94" x14ac:dyDescent="0.3">
      <c r="BT589" s="306" t="str">
        <f t="shared" ca="1" si="218"/>
        <v>Belgium</v>
      </c>
      <c r="BU589" s="306">
        <f t="shared" si="219"/>
        <v>14</v>
      </c>
      <c r="BV589" s="306">
        <f t="shared" si="220"/>
        <v>21</v>
      </c>
      <c r="BW589" s="306" t="str">
        <f ca="1">OFFSET(C3,BU589,BV589)</f>
        <v>Michy Batshuayi</v>
      </c>
      <c r="BX589" s="306">
        <f ca="1">COUNTIF('Group Stages'!J7:J102,BW589)</f>
        <v>0</v>
      </c>
      <c r="BY589" s="306">
        <f ca="1">COUNTIF('Group Stages'!K7:K102,BW589)</f>
        <v>0</v>
      </c>
      <c r="BZ589" s="306">
        <f ca="1">COUNTIF('Group Stages'!L7:L102,BW589)</f>
        <v>0</v>
      </c>
      <c r="CA589" s="306">
        <f ca="1">COUNTIF('Group Stages'!M7:M102,BW589)</f>
        <v>0</v>
      </c>
      <c r="CB589" s="306">
        <f ca="1">COUNTIF('Group Stages'!N7:N102,BW589)</f>
        <v>0</v>
      </c>
      <c r="CC589" s="306">
        <f ca="1">COUNTIF('Group Stages'!O7:O102,BW589)</f>
        <v>0</v>
      </c>
      <c r="CD589" s="306">
        <f ca="1">COUNTIF('Group Stages'!P7:P102,BW589)</f>
        <v>0</v>
      </c>
      <c r="CE589" s="306">
        <f ca="1">COUNTIF('Group Stages'!Q7:Q102,BW589)</f>
        <v>0</v>
      </c>
      <c r="CF589" s="306">
        <f ca="1">COUNTIF('Knock Out Stages'!K7:K50,BW589)</f>
        <v>0</v>
      </c>
      <c r="CG589" s="306">
        <f ca="1">COUNTIF('Knock Out Stages'!L7:L50,BW589)</f>
        <v>0</v>
      </c>
      <c r="CH589" s="306">
        <f ca="1">COUNTIF('Knock Out Stages'!M7:M50,BW589)</f>
        <v>0</v>
      </c>
      <c r="CI589" s="306">
        <f ca="1">COUNTIF('Knock Out Stages'!N7:N50,BW589)</f>
        <v>0</v>
      </c>
      <c r="CJ589" s="306">
        <f ca="1">COUNTIF('Knock Out Stages'!O7:O50,BW589)</f>
        <v>0</v>
      </c>
      <c r="CK589" s="306">
        <f ca="1">COUNTIF('Knock Out Stages'!P7:P50,BW589)</f>
        <v>0</v>
      </c>
      <c r="CL589" s="306">
        <f ca="1">COUNTIF('Knock Out Stages'!Q7:Q50,BW589)</f>
        <v>0</v>
      </c>
      <c r="CM589" s="306">
        <f ca="1">COUNTIF('Knock Out Stages'!R7:R50,BW589)</f>
        <v>0</v>
      </c>
      <c r="CN589" s="306">
        <f ca="1">IF(RIGHT('Group Stages'!$B$105,5)="T.com",SUM(BX589:CM589),0)</f>
        <v>0</v>
      </c>
      <c r="CO589" s="306">
        <f ca="1">RANK(CN589,CN3:CN834)+COUNTIF(CN3:CN589,CN589)-1</f>
        <v>587</v>
      </c>
      <c r="CP589" s="306" t="str">
        <f t="shared" ca="1" si="222"/>
        <v>Michy Batshuayi (Belgium)</v>
      </c>
    </row>
    <row r="590" spans="72:94" x14ac:dyDescent="0.3">
      <c r="BT590" s="306" t="str">
        <f t="shared" ca="1" si="218"/>
        <v>Belgium</v>
      </c>
      <c r="BU590" s="306">
        <f t="shared" si="219"/>
        <v>15</v>
      </c>
      <c r="BV590" s="306">
        <f t="shared" si="220"/>
        <v>21</v>
      </c>
      <c r="BW590" s="306" t="str">
        <f ca="1">OFFSET(C3,BU590,BV590)</f>
        <v>Romelu Lukaku</v>
      </c>
      <c r="BX590" s="306">
        <f ca="1">COUNTIF('Group Stages'!J7:J102,BW590)</f>
        <v>0</v>
      </c>
      <c r="BY590" s="306">
        <f ca="1">COUNTIF('Group Stages'!K7:K102,BW590)</f>
        <v>0</v>
      </c>
      <c r="BZ590" s="306">
        <f ca="1">COUNTIF('Group Stages'!L7:L102,BW590)</f>
        <v>0</v>
      </c>
      <c r="CA590" s="306">
        <f ca="1">COUNTIF('Group Stages'!M7:M102,BW590)</f>
        <v>0</v>
      </c>
      <c r="CB590" s="306">
        <f ca="1">COUNTIF('Group Stages'!N7:N102,BW590)</f>
        <v>0</v>
      </c>
      <c r="CC590" s="306">
        <f ca="1">COUNTIF('Group Stages'!O7:O102,BW590)</f>
        <v>0</v>
      </c>
      <c r="CD590" s="306">
        <f ca="1">COUNTIF('Group Stages'!P7:P102,BW590)</f>
        <v>0</v>
      </c>
      <c r="CE590" s="306">
        <f ca="1">COUNTIF('Group Stages'!Q7:Q102,BW590)</f>
        <v>0</v>
      </c>
      <c r="CF590" s="306">
        <f ca="1">COUNTIF('Knock Out Stages'!K7:K50,BW590)</f>
        <v>0</v>
      </c>
      <c r="CG590" s="306">
        <f ca="1">COUNTIF('Knock Out Stages'!L7:L50,BW590)</f>
        <v>0</v>
      </c>
      <c r="CH590" s="306">
        <f ca="1">COUNTIF('Knock Out Stages'!M7:M50,BW590)</f>
        <v>0</v>
      </c>
      <c r="CI590" s="306">
        <f ca="1">COUNTIF('Knock Out Stages'!N7:N50,BW590)</f>
        <v>0</v>
      </c>
      <c r="CJ590" s="306">
        <f ca="1">COUNTIF('Knock Out Stages'!O7:O50,BW590)</f>
        <v>0</v>
      </c>
      <c r="CK590" s="306">
        <f ca="1">COUNTIF('Knock Out Stages'!P7:P50,BW590)</f>
        <v>0</v>
      </c>
      <c r="CL590" s="306">
        <f ca="1">COUNTIF('Knock Out Stages'!Q7:Q50,BW590)</f>
        <v>0</v>
      </c>
      <c r="CM590" s="306">
        <f ca="1">COUNTIF('Knock Out Stages'!R7:R50,BW590)</f>
        <v>0</v>
      </c>
      <c r="CN590" s="306">
        <f ca="1">IF(RIGHT('Group Stages'!$B$105,5)="T.com",SUM(BX590:CM590),0)</f>
        <v>0</v>
      </c>
      <c r="CO590" s="306">
        <f ca="1">RANK(CN590,CN3:CN834)+COUNTIF(CN3:CN590,CN590)-1</f>
        <v>588</v>
      </c>
      <c r="CP590" s="306" t="str">
        <f t="shared" ca="1" si="222"/>
        <v>Romelu Lukaku (Belgium)</v>
      </c>
    </row>
    <row r="591" spans="72:94" x14ac:dyDescent="0.3">
      <c r="BT591" s="306" t="str">
        <f t="shared" ca="1" si="218"/>
        <v>Belgium</v>
      </c>
      <c r="BU591" s="306">
        <f t="shared" si="219"/>
        <v>16</v>
      </c>
      <c r="BV591" s="306">
        <f t="shared" si="220"/>
        <v>21</v>
      </c>
      <c r="BW591" s="306" t="str">
        <f ca="1">OFFSET(C3,BU591,BV591)</f>
        <v>Simon Mignolet</v>
      </c>
      <c r="BX591" s="306">
        <f ca="1">COUNTIF('Group Stages'!J7:J102,BW591)</f>
        <v>0</v>
      </c>
      <c r="BY591" s="306">
        <f ca="1">COUNTIF('Group Stages'!K7:K102,BW591)</f>
        <v>0</v>
      </c>
      <c r="BZ591" s="306">
        <f ca="1">COUNTIF('Group Stages'!L7:L102,BW591)</f>
        <v>0</v>
      </c>
      <c r="CA591" s="306">
        <f ca="1">COUNTIF('Group Stages'!M7:M102,BW591)</f>
        <v>0</v>
      </c>
      <c r="CB591" s="306">
        <f ca="1">COUNTIF('Group Stages'!N7:N102,BW591)</f>
        <v>0</v>
      </c>
      <c r="CC591" s="306">
        <f ca="1">COUNTIF('Group Stages'!O7:O102,BW591)</f>
        <v>0</v>
      </c>
      <c r="CD591" s="306">
        <f ca="1">COUNTIF('Group Stages'!P7:P102,BW591)</f>
        <v>0</v>
      </c>
      <c r="CE591" s="306">
        <f ca="1">COUNTIF('Group Stages'!Q7:Q102,BW591)</f>
        <v>0</v>
      </c>
      <c r="CF591" s="306">
        <f ca="1">COUNTIF('Knock Out Stages'!K7:K50,BW591)</f>
        <v>0</v>
      </c>
      <c r="CG591" s="306">
        <f ca="1">COUNTIF('Knock Out Stages'!L7:L50,BW591)</f>
        <v>0</v>
      </c>
      <c r="CH591" s="306">
        <f ca="1">COUNTIF('Knock Out Stages'!M7:M50,BW591)</f>
        <v>0</v>
      </c>
      <c r="CI591" s="306">
        <f ca="1">COUNTIF('Knock Out Stages'!N7:N50,BW591)</f>
        <v>0</v>
      </c>
      <c r="CJ591" s="306">
        <f ca="1">COUNTIF('Knock Out Stages'!O7:O50,BW591)</f>
        <v>0</v>
      </c>
      <c r="CK591" s="306">
        <f ca="1">COUNTIF('Knock Out Stages'!P7:P50,BW591)</f>
        <v>0</v>
      </c>
      <c r="CL591" s="306">
        <f ca="1">COUNTIF('Knock Out Stages'!Q7:Q50,BW591)</f>
        <v>0</v>
      </c>
      <c r="CM591" s="306">
        <f ca="1">COUNTIF('Knock Out Stages'!R7:R50,BW591)</f>
        <v>0</v>
      </c>
      <c r="CN591" s="306">
        <f ca="1">IF(RIGHT('Group Stages'!$B$105,5)="T.com",SUM(BX591:CM591),0)</f>
        <v>0</v>
      </c>
      <c r="CO591" s="306">
        <f ca="1">RANK(CN591,CN3:CN834)+COUNTIF(CN3:CN591,CN591)-1</f>
        <v>589</v>
      </c>
      <c r="CP591" s="306" t="str">
        <f t="shared" ca="1" si="222"/>
        <v>Simon Mignolet (Belgium)</v>
      </c>
    </row>
    <row r="592" spans="72:94" x14ac:dyDescent="0.3">
      <c r="BT592" s="306" t="str">
        <f t="shared" ca="1" si="218"/>
        <v>Belgium</v>
      </c>
      <c r="BU592" s="306">
        <f t="shared" si="219"/>
        <v>17</v>
      </c>
      <c r="BV592" s="306">
        <f t="shared" si="220"/>
        <v>21</v>
      </c>
      <c r="BW592" s="306" t="str">
        <f ca="1">OFFSET(C3,BU592,BV592)</f>
        <v>Thibaut Courtois</v>
      </c>
      <c r="BX592" s="306">
        <f ca="1">COUNTIF('Group Stages'!J7:J102,BW592)</f>
        <v>0</v>
      </c>
      <c r="BY592" s="306">
        <f ca="1">COUNTIF('Group Stages'!K7:K102,BW592)</f>
        <v>0</v>
      </c>
      <c r="BZ592" s="306">
        <f ca="1">COUNTIF('Group Stages'!L7:L102,BW592)</f>
        <v>0</v>
      </c>
      <c r="CA592" s="306">
        <f ca="1">COUNTIF('Group Stages'!M7:M102,BW592)</f>
        <v>0</v>
      </c>
      <c r="CB592" s="306">
        <f ca="1">COUNTIF('Group Stages'!N7:N102,BW592)</f>
        <v>0</v>
      </c>
      <c r="CC592" s="306">
        <f ca="1">COUNTIF('Group Stages'!O7:O102,BW592)</f>
        <v>0</v>
      </c>
      <c r="CD592" s="306">
        <f ca="1">COUNTIF('Group Stages'!P7:P102,BW592)</f>
        <v>0</v>
      </c>
      <c r="CE592" s="306">
        <f ca="1">COUNTIF('Group Stages'!Q7:Q102,BW592)</f>
        <v>0</v>
      </c>
      <c r="CF592" s="306">
        <f ca="1">COUNTIF('Knock Out Stages'!K7:K50,BW592)</f>
        <v>0</v>
      </c>
      <c r="CG592" s="306">
        <f ca="1">COUNTIF('Knock Out Stages'!L7:L50,BW592)</f>
        <v>0</v>
      </c>
      <c r="CH592" s="306">
        <f ca="1">COUNTIF('Knock Out Stages'!M7:M50,BW592)</f>
        <v>0</v>
      </c>
      <c r="CI592" s="306">
        <f ca="1">COUNTIF('Knock Out Stages'!N7:N50,BW592)</f>
        <v>0</v>
      </c>
      <c r="CJ592" s="306">
        <f ca="1">COUNTIF('Knock Out Stages'!O7:O50,BW592)</f>
        <v>0</v>
      </c>
      <c r="CK592" s="306">
        <f ca="1">COUNTIF('Knock Out Stages'!P7:P50,BW592)</f>
        <v>0</v>
      </c>
      <c r="CL592" s="306">
        <f ca="1">COUNTIF('Knock Out Stages'!Q7:Q50,BW592)</f>
        <v>0</v>
      </c>
      <c r="CM592" s="306">
        <f ca="1">COUNTIF('Knock Out Stages'!R7:R50,BW592)</f>
        <v>0</v>
      </c>
      <c r="CN592" s="306">
        <f ca="1">IF(RIGHT('Group Stages'!$B$105,5)="T.com",SUM(BX592:CM592),0)</f>
        <v>0</v>
      </c>
      <c r="CO592" s="306">
        <f ca="1">RANK(CN592,CN3:CN834)+COUNTIF(CN3:CN592,CN592)-1</f>
        <v>590</v>
      </c>
      <c r="CP592" s="306" t="str">
        <f t="shared" ca="1" si="222"/>
        <v>Thibaut Courtois (Belgium)</v>
      </c>
    </row>
    <row r="593" spans="72:94" x14ac:dyDescent="0.3">
      <c r="BT593" s="306" t="str">
        <f t="shared" ca="1" si="218"/>
        <v>Belgium</v>
      </c>
      <c r="BU593" s="306">
        <f t="shared" si="219"/>
        <v>18</v>
      </c>
      <c r="BV593" s="306">
        <f t="shared" si="220"/>
        <v>21</v>
      </c>
      <c r="BW593" s="306" t="str">
        <f ca="1">OFFSET(C3,BU593,BV593)</f>
        <v>Thomas Meunier</v>
      </c>
      <c r="BX593" s="306">
        <f ca="1">COUNTIF('Group Stages'!J7:J102,BW593)</f>
        <v>0</v>
      </c>
      <c r="BY593" s="306">
        <f ca="1">COUNTIF('Group Stages'!K7:K102,BW593)</f>
        <v>0</v>
      </c>
      <c r="BZ593" s="306">
        <f ca="1">COUNTIF('Group Stages'!L7:L102,BW593)</f>
        <v>0</v>
      </c>
      <c r="CA593" s="306">
        <f ca="1">COUNTIF('Group Stages'!M7:M102,BW593)</f>
        <v>0</v>
      </c>
      <c r="CB593" s="306">
        <f ca="1">COUNTIF('Group Stages'!N7:N102,BW593)</f>
        <v>0</v>
      </c>
      <c r="CC593" s="306">
        <f ca="1">COUNTIF('Group Stages'!O7:O102,BW593)</f>
        <v>0</v>
      </c>
      <c r="CD593" s="306">
        <f ca="1">COUNTIF('Group Stages'!P7:P102,BW593)</f>
        <v>0</v>
      </c>
      <c r="CE593" s="306">
        <f ca="1">COUNTIF('Group Stages'!Q7:Q102,BW593)</f>
        <v>0</v>
      </c>
      <c r="CF593" s="306">
        <f ca="1">COUNTIF('Knock Out Stages'!K7:K50,BW593)</f>
        <v>0</v>
      </c>
      <c r="CG593" s="306">
        <f ca="1">COUNTIF('Knock Out Stages'!L7:L50,BW593)</f>
        <v>0</v>
      </c>
      <c r="CH593" s="306">
        <f ca="1">COUNTIF('Knock Out Stages'!M7:M50,BW593)</f>
        <v>0</v>
      </c>
      <c r="CI593" s="306">
        <f ca="1">COUNTIF('Knock Out Stages'!N7:N50,BW593)</f>
        <v>0</v>
      </c>
      <c r="CJ593" s="306">
        <f ca="1">COUNTIF('Knock Out Stages'!O7:O50,BW593)</f>
        <v>0</v>
      </c>
      <c r="CK593" s="306">
        <f ca="1">COUNTIF('Knock Out Stages'!P7:P50,BW593)</f>
        <v>0</v>
      </c>
      <c r="CL593" s="306">
        <f ca="1">COUNTIF('Knock Out Stages'!Q7:Q50,BW593)</f>
        <v>0</v>
      </c>
      <c r="CM593" s="306">
        <f ca="1">COUNTIF('Knock Out Stages'!R7:R50,BW593)</f>
        <v>0</v>
      </c>
      <c r="CN593" s="306">
        <f ca="1">IF(RIGHT('Group Stages'!$B$105,5)="T.com",SUM(BX593:CM593),0)</f>
        <v>0</v>
      </c>
      <c r="CO593" s="306">
        <f ca="1">RANK(CN593,CN3:CN834)+COUNTIF(CN3:CN593,CN593)-1</f>
        <v>591</v>
      </c>
      <c r="CP593" s="306" t="str">
        <f t="shared" ca="1" si="222"/>
        <v>Thomas Meunier (Belgium)</v>
      </c>
    </row>
    <row r="594" spans="72:94" x14ac:dyDescent="0.3">
      <c r="BT594" s="306" t="str">
        <f t="shared" ca="1" si="218"/>
        <v>Belgium</v>
      </c>
      <c r="BU594" s="306">
        <f t="shared" si="219"/>
        <v>19</v>
      </c>
      <c r="BV594" s="306">
        <f t="shared" si="220"/>
        <v>21</v>
      </c>
      <c r="BW594" s="306" t="str">
        <f ca="1">OFFSET(C3,BU594,BV594)</f>
        <v>Thorgan Hazard</v>
      </c>
      <c r="BX594" s="306">
        <f ca="1">COUNTIF('Group Stages'!J7:J102,BW594)</f>
        <v>0</v>
      </c>
      <c r="BY594" s="306">
        <f ca="1">COUNTIF('Group Stages'!K7:K102,BW594)</f>
        <v>0</v>
      </c>
      <c r="BZ594" s="306">
        <f ca="1">COUNTIF('Group Stages'!L7:L102,BW594)</f>
        <v>0</v>
      </c>
      <c r="CA594" s="306">
        <f ca="1">COUNTIF('Group Stages'!M7:M102,BW594)</f>
        <v>0</v>
      </c>
      <c r="CB594" s="306">
        <f ca="1">COUNTIF('Group Stages'!N7:N102,BW594)</f>
        <v>0</v>
      </c>
      <c r="CC594" s="306">
        <f ca="1">COUNTIF('Group Stages'!O7:O102,BW594)</f>
        <v>0</v>
      </c>
      <c r="CD594" s="306">
        <f ca="1">COUNTIF('Group Stages'!P7:P102,BW594)</f>
        <v>0</v>
      </c>
      <c r="CE594" s="306">
        <f ca="1">COUNTIF('Group Stages'!Q7:Q102,BW594)</f>
        <v>0</v>
      </c>
      <c r="CF594" s="306">
        <f ca="1">COUNTIF('Knock Out Stages'!K7:K50,BW594)</f>
        <v>0</v>
      </c>
      <c r="CG594" s="306">
        <f ca="1">COUNTIF('Knock Out Stages'!L7:L50,BW594)</f>
        <v>0</v>
      </c>
      <c r="CH594" s="306">
        <f ca="1">COUNTIF('Knock Out Stages'!M7:M50,BW594)</f>
        <v>0</v>
      </c>
      <c r="CI594" s="306">
        <f ca="1">COUNTIF('Knock Out Stages'!N7:N50,BW594)</f>
        <v>0</v>
      </c>
      <c r="CJ594" s="306">
        <f ca="1">COUNTIF('Knock Out Stages'!O7:O50,BW594)</f>
        <v>0</v>
      </c>
      <c r="CK594" s="306">
        <f ca="1">COUNTIF('Knock Out Stages'!P7:P50,BW594)</f>
        <v>0</v>
      </c>
      <c r="CL594" s="306">
        <f ca="1">COUNTIF('Knock Out Stages'!Q7:Q50,BW594)</f>
        <v>0</v>
      </c>
      <c r="CM594" s="306">
        <f ca="1">COUNTIF('Knock Out Stages'!R7:R50,BW594)</f>
        <v>0</v>
      </c>
      <c r="CN594" s="306">
        <f ca="1">IF(RIGHT('Group Stages'!$B$105,5)="T.com",SUM(BX594:CM594),0)</f>
        <v>0</v>
      </c>
      <c r="CO594" s="306">
        <f ca="1">RANK(CN594,CN3:CN834)+COUNTIF(CN3:CN594,CN594)-1</f>
        <v>592</v>
      </c>
      <c r="CP594" s="306" t="str">
        <f t="shared" ca="1" si="222"/>
        <v>Thorgan Hazard (Belgium)</v>
      </c>
    </row>
    <row r="595" spans="72:94" x14ac:dyDescent="0.3">
      <c r="BT595" s="306" t="str">
        <f t="shared" ca="1" si="218"/>
        <v>Belgium</v>
      </c>
      <c r="BU595" s="306">
        <f t="shared" si="219"/>
        <v>20</v>
      </c>
      <c r="BV595" s="306">
        <f t="shared" si="220"/>
        <v>21</v>
      </c>
      <c r="BW595" s="306" t="str">
        <f ca="1">OFFSET(C3,BU595,BV595)</f>
        <v>Timothy Castagne</v>
      </c>
      <c r="BX595" s="306">
        <f ca="1">COUNTIF('Group Stages'!J7:J102,BW595)</f>
        <v>0</v>
      </c>
      <c r="BY595" s="306">
        <f ca="1">COUNTIF('Group Stages'!K7:K102,BW595)</f>
        <v>0</v>
      </c>
      <c r="BZ595" s="306">
        <f ca="1">COUNTIF('Group Stages'!L7:L102,BW595)</f>
        <v>0</v>
      </c>
      <c r="CA595" s="306">
        <f ca="1">COUNTIF('Group Stages'!M7:M102,BW595)</f>
        <v>0</v>
      </c>
      <c r="CB595" s="306">
        <f ca="1">COUNTIF('Group Stages'!N7:N102,BW595)</f>
        <v>0</v>
      </c>
      <c r="CC595" s="306">
        <f ca="1">COUNTIF('Group Stages'!O7:O102,BW595)</f>
        <v>0</v>
      </c>
      <c r="CD595" s="306">
        <f ca="1">COUNTIF('Group Stages'!P7:P102,BW595)</f>
        <v>0</v>
      </c>
      <c r="CE595" s="306">
        <f ca="1">COUNTIF('Group Stages'!Q7:Q102,BW595)</f>
        <v>0</v>
      </c>
      <c r="CF595" s="306">
        <f ca="1">COUNTIF('Knock Out Stages'!K7:K50,BW595)</f>
        <v>0</v>
      </c>
      <c r="CG595" s="306">
        <f ca="1">COUNTIF('Knock Out Stages'!L7:L50,BW595)</f>
        <v>0</v>
      </c>
      <c r="CH595" s="306">
        <f ca="1">COUNTIF('Knock Out Stages'!M7:M50,BW595)</f>
        <v>0</v>
      </c>
      <c r="CI595" s="306">
        <f ca="1">COUNTIF('Knock Out Stages'!N7:N50,BW595)</f>
        <v>0</v>
      </c>
      <c r="CJ595" s="306">
        <f ca="1">COUNTIF('Knock Out Stages'!O7:O50,BW595)</f>
        <v>0</v>
      </c>
      <c r="CK595" s="306">
        <f ca="1">COUNTIF('Knock Out Stages'!P7:P50,BW595)</f>
        <v>0</v>
      </c>
      <c r="CL595" s="306">
        <f ca="1">COUNTIF('Knock Out Stages'!Q7:Q50,BW595)</f>
        <v>0</v>
      </c>
      <c r="CM595" s="306">
        <f ca="1">COUNTIF('Knock Out Stages'!R7:R50,BW595)</f>
        <v>0</v>
      </c>
      <c r="CN595" s="306">
        <f ca="1">IF(RIGHT('Group Stages'!$B$105,5)="T.com",SUM(BX595:CM595),0)</f>
        <v>0</v>
      </c>
      <c r="CO595" s="306">
        <f ca="1">RANK(CN595,CN3:CN834)+COUNTIF(CN3:CN595,CN595)-1</f>
        <v>593</v>
      </c>
      <c r="CP595" s="306" t="str">
        <f t="shared" ca="1" si="222"/>
        <v>Timothy Castagne (Belgium)</v>
      </c>
    </row>
    <row r="596" spans="72:94" x14ac:dyDescent="0.3">
      <c r="BT596" s="306" t="str">
        <f t="shared" ca="1" si="218"/>
        <v>Belgium</v>
      </c>
      <c r="BU596" s="306">
        <f t="shared" si="219"/>
        <v>21</v>
      </c>
      <c r="BV596" s="306">
        <f t="shared" si="220"/>
        <v>21</v>
      </c>
      <c r="BW596" s="306" t="str">
        <f ca="1">OFFSET(C3,BU596,BV596)</f>
        <v>Toby Alderweireld</v>
      </c>
      <c r="BX596" s="306">
        <f ca="1">COUNTIF('Group Stages'!J7:J102,BW596)</f>
        <v>0</v>
      </c>
      <c r="BY596" s="306">
        <f ca="1">COUNTIF('Group Stages'!K7:K102,BW596)</f>
        <v>0</v>
      </c>
      <c r="BZ596" s="306">
        <f ca="1">COUNTIF('Group Stages'!L7:L102,BW596)</f>
        <v>0</v>
      </c>
      <c r="CA596" s="306">
        <f ca="1">COUNTIF('Group Stages'!M7:M102,BW596)</f>
        <v>0</v>
      </c>
      <c r="CB596" s="306">
        <f ca="1">COUNTIF('Group Stages'!N7:N102,BW596)</f>
        <v>0</v>
      </c>
      <c r="CC596" s="306">
        <f ca="1">COUNTIF('Group Stages'!O7:O102,BW596)</f>
        <v>0</v>
      </c>
      <c r="CD596" s="306">
        <f ca="1">COUNTIF('Group Stages'!P7:P102,BW596)</f>
        <v>0</v>
      </c>
      <c r="CE596" s="306">
        <f ca="1">COUNTIF('Group Stages'!Q7:Q102,BW596)</f>
        <v>0</v>
      </c>
      <c r="CF596" s="306">
        <f ca="1">COUNTIF('Knock Out Stages'!K7:K50,BW596)</f>
        <v>0</v>
      </c>
      <c r="CG596" s="306">
        <f ca="1">COUNTIF('Knock Out Stages'!L7:L50,BW596)</f>
        <v>0</v>
      </c>
      <c r="CH596" s="306">
        <f ca="1">COUNTIF('Knock Out Stages'!M7:M50,BW596)</f>
        <v>0</v>
      </c>
      <c r="CI596" s="306">
        <f ca="1">COUNTIF('Knock Out Stages'!N7:N50,BW596)</f>
        <v>0</v>
      </c>
      <c r="CJ596" s="306">
        <f ca="1">COUNTIF('Knock Out Stages'!O7:O50,BW596)</f>
        <v>0</v>
      </c>
      <c r="CK596" s="306">
        <f ca="1">COUNTIF('Knock Out Stages'!P7:P50,BW596)</f>
        <v>0</v>
      </c>
      <c r="CL596" s="306">
        <f ca="1">COUNTIF('Knock Out Stages'!Q7:Q50,BW596)</f>
        <v>0</v>
      </c>
      <c r="CM596" s="306">
        <f ca="1">COUNTIF('Knock Out Stages'!R7:R50,BW596)</f>
        <v>0</v>
      </c>
      <c r="CN596" s="306">
        <f ca="1">IF(RIGHT('Group Stages'!$B$105,5)="T.com",SUM(BX596:CM596),0)</f>
        <v>0</v>
      </c>
      <c r="CO596" s="306">
        <f ca="1">RANK(CN596,CN3:CN834)+COUNTIF(CN3:CN596,CN596)-1</f>
        <v>594</v>
      </c>
      <c r="CP596" s="306" t="str">
        <f t="shared" ca="1" si="222"/>
        <v>Toby Alderweireld (Belgium)</v>
      </c>
    </row>
    <row r="597" spans="72:94" x14ac:dyDescent="0.3">
      <c r="BT597" s="306" t="str">
        <f t="shared" ca="1" si="218"/>
        <v>Belgium</v>
      </c>
      <c r="BU597" s="306">
        <f t="shared" si="219"/>
        <v>22</v>
      </c>
      <c r="BV597" s="306">
        <f t="shared" si="220"/>
        <v>21</v>
      </c>
      <c r="BW597" s="306" t="str">
        <f ca="1">OFFSET(C3,BU597,BV597)</f>
        <v>Wout Faes</v>
      </c>
      <c r="BX597" s="306">
        <f ca="1">COUNTIF('Group Stages'!J7:J102,BW597)</f>
        <v>0</v>
      </c>
      <c r="BY597" s="306">
        <f ca="1">COUNTIF('Group Stages'!K7:K102,BW597)</f>
        <v>0</v>
      </c>
      <c r="BZ597" s="306">
        <f ca="1">COUNTIF('Group Stages'!L7:L102,BW597)</f>
        <v>0</v>
      </c>
      <c r="CA597" s="306">
        <f ca="1">COUNTIF('Group Stages'!M7:M102,BW597)</f>
        <v>0</v>
      </c>
      <c r="CB597" s="306">
        <f ca="1">COUNTIF('Group Stages'!N7:N102,BW597)</f>
        <v>0</v>
      </c>
      <c r="CC597" s="306">
        <f ca="1">COUNTIF('Group Stages'!O7:O102,BW597)</f>
        <v>0</v>
      </c>
      <c r="CD597" s="306">
        <f ca="1">COUNTIF('Group Stages'!P7:P102,BW597)</f>
        <v>0</v>
      </c>
      <c r="CE597" s="306">
        <f ca="1">COUNTIF('Group Stages'!Q7:Q102,BW597)</f>
        <v>0</v>
      </c>
      <c r="CF597" s="306">
        <f ca="1">COUNTIF('Knock Out Stages'!K7:K50,BW597)</f>
        <v>0</v>
      </c>
      <c r="CG597" s="306">
        <f ca="1">COUNTIF('Knock Out Stages'!L7:L50,BW597)</f>
        <v>0</v>
      </c>
      <c r="CH597" s="306">
        <f ca="1">COUNTIF('Knock Out Stages'!M7:M50,BW597)</f>
        <v>0</v>
      </c>
      <c r="CI597" s="306">
        <f ca="1">COUNTIF('Knock Out Stages'!N7:N50,BW597)</f>
        <v>0</v>
      </c>
      <c r="CJ597" s="306">
        <f ca="1">COUNTIF('Knock Out Stages'!O7:O50,BW597)</f>
        <v>0</v>
      </c>
      <c r="CK597" s="306">
        <f ca="1">COUNTIF('Knock Out Stages'!P7:P50,BW597)</f>
        <v>0</v>
      </c>
      <c r="CL597" s="306">
        <f ca="1">COUNTIF('Knock Out Stages'!Q7:Q50,BW597)</f>
        <v>0</v>
      </c>
      <c r="CM597" s="306">
        <f ca="1">COUNTIF('Knock Out Stages'!R7:R50,BW597)</f>
        <v>0</v>
      </c>
      <c r="CN597" s="306">
        <f ca="1">IF(RIGHT('Group Stages'!$B$105,5)="T.com",SUM(BX597:CM597),0)</f>
        <v>0</v>
      </c>
      <c r="CO597" s="306">
        <f ca="1">RANK(CN597,CN3:CN834)+COUNTIF(CN3:CN597,CN597)-1</f>
        <v>595</v>
      </c>
      <c r="CP597" s="306" t="str">
        <f t="shared" ca="1" si="222"/>
        <v>Wout Faes (Belgium)</v>
      </c>
    </row>
    <row r="598" spans="72:94" x14ac:dyDescent="0.3">
      <c r="BT598" s="306" t="str">
        <f t="shared" ca="1" si="218"/>
        <v>Belgium</v>
      </c>
      <c r="BU598" s="306">
        <f t="shared" si="219"/>
        <v>23</v>
      </c>
      <c r="BV598" s="306">
        <f t="shared" si="220"/>
        <v>21</v>
      </c>
      <c r="BW598" s="306" t="str">
        <f ca="1">OFFSET(C3,BU598,BV598)</f>
        <v>Yannick Carrasco</v>
      </c>
      <c r="BX598" s="306">
        <f ca="1">COUNTIF('Group Stages'!J7:J102,BW598)</f>
        <v>0</v>
      </c>
      <c r="BY598" s="306">
        <f ca="1">COUNTIF('Group Stages'!K7:K102,BW598)</f>
        <v>0</v>
      </c>
      <c r="BZ598" s="306">
        <f ca="1">COUNTIF('Group Stages'!L7:L102,BW598)</f>
        <v>0</v>
      </c>
      <c r="CA598" s="306">
        <f ca="1">COUNTIF('Group Stages'!M7:M102,BW598)</f>
        <v>0</v>
      </c>
      <c r="CB598" s="306">
        <f ca="1">COUNTIF('Group Stages'!N7:N102,BW598)</f>
        <v>0</v>
      </c>
      <c r="CC598" s="306">
        <f ca="1">COUNTIF('Group Stages'!O7:O102,BW598)</f>
        <v>0</v>
      </c>
      <c r="CD598" s="306">
        <f ca="1">COUNTIF('Group Stages'!P7:P102,BW598)</f>
        <v>0</v>
      </c>
      <c r="CE598" s="306">
        <f ca="1">COUNTIF('Group Stages'!Q7:Q102,BW598)</f>
        <v>0</v>
      </c>
      <c r="CF598" s="306">
        <f ca="1">COUNTIF('Knock Out Stages'!K7:K50,BW598)</f>
        <v>0</v>
      </c>
      <c r="CG598" s="306">
        <f ca="1">COUNTIF('Knock Out Stages'!L7:L50,BW598)</f>
        <v>0</v>
      </c>
      <c r="CH598" s="306">
        <f ca="1">COUNTIF('Knock Out Stages'!M7:M50,BW598)</f>
        <v>0</v>
      </c>
      <c r="CI598" s="306">
        <f ca="1">COUNTIF('Knock Out Stages'!N7:N50,BW598)</f>
        <v>0</v>
      </c>
      <c r="CJ598" s="306">
        <f ca="1">COUNTIF('Knock Out Stages'!O7:O50,BW598)</f>
        <v>0</v>
      </c>
      <c r="CK598" s="306">
        <f ca="1">COUNTIF('Knock Out Stages'!P7:P50,BW598)</f>
        <v>0</v>
      </c>
      <c r="CL598" s="306">
        <f ca="1">COUNTIF('Knock Out Stages'!Q7:Q50,BW598)</f>
        <v>0</v>
      </c>
      <c r="CM598" s="306">
        <f ca="1">COUNTIF('Knock Out Stages'!R7:R50,BW598)</f>
        <v>0</v>
      </c>
      <c r="CN598" s="306">
        <f ca="1">IF(RIGHT('Group Stages'!$B$105,5)="T.com",SUM(BX598:CM598),0)</f>
        <v>0</v>
      </c>
      <c r="CO598" s="306">
        <f ca="1">RANK(CN598,CN3:CN834)+COUNTIF(CN3:CN598,CN598)-1</f>
        <v>596</v>
      </c>
      <c r="CP598" s="306" t="str">
        <f t="shared" ca="1" si="222"/>
        <v>Yannick Carrasco (Belgium)</v>
      </c>
    </row>
    <row r="599" spans="72:94" x14ac:dyDescent="0.3">
      <c r="BT599" s="306" t="str">
        <f t="shared" ca="1" si="218"/>
        <v>Belgium</v>
      </c>
      <c r="BU599" s="306">
        <f t="shared" si="219"/>
        <v>24</v>
      </c>
      <c r="BV599" s="306">
        <f t="shared" si="220"/>
        <v>21</v>
      </c>
      <c r="BW599" s="306" t="str">
        <f ca="1">OFFSET(C3,BU599,BV599)</f>
        <v>Youri Tielemans</v>
      </c>
      <c r="BX599" s="306">
        <f ca="1">COUNTIF('Group Stages'!J7:J102,BW599)</f>
        <v>0</v>
      </c>
      <c r="BY599" s="306">
        <f ca="1">COUNTIF('Group Stages'!K7:K102,BW599)</f>
        <v>0</v>
      </c>
      <c r="BZ599" s="306">
        <f ca="1">COUNTIF('Group Stages'!L7:L102,BW599)</f>
        <v>0</v>
      </c>
      <c r="CA599" s="306">
        <f ca="1">COUNTIF('Group Stages'!M7:M102,BW599)</f>
        <v>0</v>
      </c>
      <c r="CB599" s="306">
        <f ca="1">COUNTIF('Group Stages'!N7:N102,BW599)</f>
        <v>0</v>
      </c>
      <c r="CC599" s="306">
        <f ca="1">COUNTIF('Group Stages'!O7:O102,BW599)</f>
        <v>0</v>
      </c>
      <c r="CD599" s="306">
        <f ca="1">COUNTIF('Group Stages'!P7:P102,BW599)</f>
        <v>0</v>
      </c>
      <c r="CE599" s="306">
        <f ca="1">COUNTIF('Group Stages'!Q7:Q102,BW599)</f>
        <v>0</v>
      </c>
      <c r="CF599" s="306">
        <f ca="1">COUNTIF('Knock Out Stages'!K7:K50,BW599)</f>
        <v>0</v>
      </c>
      <c r="CG599" s="306">
        <f ca="1">COUNTIF('Knock Out Stages'!L7:L50,BW599)</f>
        <v>0</v>
      </c>
      <c r="CH599" s="306">
        <f ca="1">COUNTIF('Knock Out Stages'!M7:M50,BW599)</f>
        <v>0</v>
      </c>
      <c r="CI599" s="306">
        <f ca="1">COUNTIF('Knock Out Stages'!N7:N50,BW599)</f>
        <v>0</v>
      </c>
      <c r="CJ599" s="306">
        <f ca="1">COUNTIF('Knock Out Stages'!O7:O50,BW599)</f>
        <v>0</v>
      </c>
      <c r="CK599" s="306">
        <f ca="1">COUNTIF('Knock Out Stages'!P7:P50,BW599)</f>
        <v>0</v>
      </c>
      <c r="CL599" s="306">
        <f ca="1">COUNTIF('Knock Out Stages'!Q7:Q50,BW599)</f>
        <v>0</v>
      </c>
      <c r="CM599" s="306">
        <f ca="1">COUNTIF('Knock Out Stages'!R7:R50,BW599)</f>
        <v>0</v>
      </c>
      <c r="CN599" s="306">
        <f ca="1">IF(RIGHT('Group Stages'!$B$105,5)="T.com",SUM(BX599:CM599),0)</f>
        <v>0</v>
      </c>
      <c r="CO599" s="306">
        <f ca="1">RANK(CN599,CN3:CN834)+COUNTIF(CN3:CN599,CN599)-1</f>
        <v>597</v>
      </c>
      <c r="CP599" s="306" t="str">
        <f t="shared" ca="1" si="222"/>
        <v>Youri Tielemans (Belgium)</v>
      </c>
    </row>
    <row r="600" spans="72:94" x14ac:dyDescent="0.3">
      <c r="BT600" s="306" t="str">
        <f t="shared" ca="1" si="218"/>
        <v>Belgium</v>
      </c>
      <c r="BU600" s="306">
        <f t="shared" si="219"/>
        <v>25</v>
      </c>
      <c r="BV600" s="306">
        <f t="shared" si="220"/>
        <v>21</v>
      </c>
      <c r="BW600" s="306" t="str">
        <f ca="1">OFFSET(C3,BU600,BV600)</f>
        <v>Zeno Debast</v>
      </c>
      <c r="BX600" s="306">
        <f ca="1">COUNTIF('Group Stages'!J7:J102,BW600)</f>
        <v>0</v>
      </c>
      <c r="BY600" s="306">
        <f ca="1">COUNTIF('Group Stages'!K7:K102,BW600)</f>
        <v>0</v>
      </c>
      <c r="BZ600" s="306">
        <f ca="1">COUNTIF('Group Stages'!L7:L102,BW600)</f>
        <v>0</v>
      </c>
      <c r="CA600" s="306">
        <f ca="1">COUNTIF('Group Stages'!M7:M102,BW600)</f>
        <v>0</v>
      </c>
      <c r="CB600" s="306">
        <f ca="1">COUNTIF('Group Stages'!N7:N102,BW600)</f>
        <v>0</v>
      </c>
      <c r="CC600" s="306">
        <f ca="1">COUNTIF('Group Stages'!O7:O102,BW600)</f>
        <v>0</v>
      </c>
      <c r="CD600" s="306">
        <f ca="1">COUNTIF('Group Stages'!P7:P102,BW600)</f>
        <v>0</v>
      </c>
      <c r="CE600" s="306">
        <f ca="1">COUNTIF('Group Stages'!Q7:Q102,BW600)</f>
        <v>0</v>
      </c>
      <c r="CF600" s="306">
        <f ca="1">COUNTIF('Knock Out Stages'!K7:K50,BW600)</f>
        <v>0</v>
      </c>
      <c r="CG600" s="306">
        <f ca="1">COUNTIF('Knock Out Stages'!L7:L50,BW600)</f>
        <v>0</v>
      </c>
      <c r="CH600" s="306">
        <f ca="1">COUNTIF('Knock Out Stages'!M7:M50,BW600)</f>
        <v>0</v>
      </c>
      <c r="CI600" s="306">
        <f ca="1">COUNTIF('Knock Out Stages'!N7:N50,BW600)</f>
        <v>0</v>
      </c>
      <c r="CJ600" s="306">
        <f ca="1">COUNTIF('Knock Out Stages'!O7:O50,BW600)</f>
        <v>0</v>
      </c>
      <c r="CK600" s="306">
        <f ca="1">COUNTIF('Knock Out Stages'!P7:P50,BW600)</f>
        <v>0</v>
      </c>
      <c r="CL600" s="306">
        <f ca="1">COUNTIF('Knock Out Stages'!Q7:Q50,BW600)</f>
        <v>0</v>
      </c>
      <c r="CM600" s="306">
        <f ca="1">COUNTIF('Knock Out Stages'!R7:R50,BW600)</f>
        <v>0</v>
      </c>
      <c r="CN600" s="306">
        <f ca="1">IF(RIGHT('Group Stages'!$B$105,5)="T.com",SUM(BX600:CM600),0)</f>
        <v>0</v>
      </c>
      <c r="CO600" s="306">
        <f ca="1">RANK(CN600,CN3:CN834)+COUNTIF(CN3:CN600,CN600)-1</f>
        <v>598</v>
      </c>
      <c r="CP600" s="306" t="str">
        <f t="shared" ca="1" si="222"/>
        <v>Zeno Debast (Belgium)</v>
      </c>
    </row>
    <row r="601" spans="72:94" x14ac:dyDescent="0.3">
      <c r="BT601" s="306" t="str">
        <f ca="1">OFFSET(C2,BU601,BV601)</f>
        <v>Canada</v>
      </c>
      <c r="BU601" s="306">
        <f t="shared" si="219"/>
        <v>0</v>
      </c>
      <c r="BV601" s="306">
        <f t="shared" si="220"/>
        <v>22</v>
      </c>
      <c r="BW601" s="306" t="str">
        <f ca="1">OFFSET(C3,BU601,BV601)</f>
        <v>Alistair Johnston</v>
      </c>
      <c r="BX601" s="306">
        <f ca="1">COUNTIF('Group Stages'!J7:J102,BW601)</f>
        <v>0</v>
      </c>
      <c r="BY601" s="306">
        <f ca="1">COUNTIF('Group Stages'!K7:K102,BW601)</f>
        <v>0</v>
      </c>
      <c r="BZ601" s="306">
        <f ca="1">COUNTIF('Group Stages'!L7:L102,BW601)</f>
        <v>0</v>
      </c>
      <c r="CA601" s="306">
        <f ca="1">COUNTIF('Group Stages'!M7:M102,BW601)</f>
        <v>0</v>
      </c>
      <c r="CB601" s="306">
        <f ca="1">COUNTIF('Group Stages'!N7:N102,BW601)</f>
        <v>0</v>
      </c>
      <c r="CC601" s="306">
        <f ca="1">COUNTIF('Group Stages'!O7:O102,BW601)</f>
        <v>0</v>
      </c>
      <c r="CD601" s="306">
        <f ca="1">COUNTIF('Group Stages'!P7:P102,BW601)</f>
        <v>0</v>
      </c>
      <c r="CE601" s="306">
        <f ca="1">COUNTIF('Group Stages'!Q7:Q102,BW601)</f>
        <v>0</v>
      </c>
      <c r="CF601" s="306">
        <f ca="1">COUNTIF('Knock Out Stages'!K7:K50,BW601)</f>
        <v>0</v>
      </c>
      <c r="CG601" s="306">
        <f ca="1">COUNTIF('Knock Out Stages'!L7:L50,BW601)</f>
        <v>0</v>
      </c>
      <c r="CH601" s="306">
        <f ca="1">COUNTIF('Knock Out Stages'!M7:M50,BW601)</f>
        <v>0</v>
      </c>
      <c r="CI601" s="306">
        <f ca="1">COUNTIF('Knock Out Stages'!N7:N50,BW601)</f>
        <v>0</v>
      </c>
      <c r="CJ601" s="306">
        <f ca="1">COUNTIF('Knock Out Stages'!O7:O50,BW601)</f>
        <v>0</v>
      </c>
      <c r="CK601" s="306">
        <f ca="1">COUNTIF('Knock Out Stages'!P7:P50,BW601)</f>
        <v>0</v>
      </c>
      <c r="CL601" s="306">
        <f ca="1">COUNTIF('Knock Out Stages'!Q7:Q50,BW601)</f>
        <v>0</v>
      </c>
      <c r="CM601" s="306">
        <f ca="1">COUNTIF('Knock Out Stages'!R7:R50,BW601)</f>
        <v>0</v>
      </c>
      <c r="CN601" s="306">
        <f ca="1">IF(RIGHT('Group Stages'!$B$105,5)="T.com",SUM(BX601:CM601),0)</f>
        <v>0</v>
      </c>
      <c r="CO601" s="306">
        <f ca="1">RANK(CN601,CN3:CN834)+COUNTIF(CN3:CN601,CN601)-1</f>
        <v>599</v>
      </c>
      <c r="CP601" s="306" t="str">
        <f t="shared" ca="1" si="222"/>
        <v>Alistair Johnston (Canada)</v>
      </c>
    </row>
    <row r="602" spans="72:94" x14ac:dyDescent="0.3">
      <c r="BT602" s="306" t="str">
        <f t="shared" ref="BT602" ca="1" si="223">BT601</f>
        <v>Canada</v>
      </c>
      <c r="BU602" s="306">
        <f t="shared" si="219"/>
        <v>1</v>
      </c>
      <c r="BV602" s="306">
        <f t="shared" si="220"/>
        <v>22</v>
      </c>
      <c r="BW602" s="306" t="str">
        <f ca="1">OFFSET(C3,BU602,BV602)</f>
        <v>Alphonso Davies</v>
      </c>
      <c r="BX602" s="306">
        <f ca="1">COUNTIF('Group Stages'!J7:J102,BW602)</f>
        <v>0</v>
      </c>
      <c r="BY602" s="306">
        <f ca="1">COUNTIF('Group Stages'!K7:K102,BW602)</f>
        <v>0</v>
      </c>
      <c r="BZ602" s="306">
        <f ca="1">COUNTIF('Group Stages'!L7:L102,BW602)</f>
        <v>0</v>
      </c>
      <c r="CA602" s="306">
        <f ca="1">COUNTIF('Group Stages'!M7:M102,BW602)</f>
        <v>0</v>
      </c>
      <c r="CB602" s="306">
        <f ca="1">COUNTIF('Group Stages'!N7:N102,BW602)</f>
        <v>0</v>
      </c>
      <c r="CC602" s="306">
        <f ca="1">COUNTIF('Group Stages'!O7:O102,BW602)</f>
        <v>0</v>
      </c>
      <c r="CD602" s="306">
        <f ca="1">COUNTIF('Group Stages'!P7:P102,BW602)</f>
        <v>0</v>
      </c>
      <c r="CE602" s="306">
        <f ca="1">COUNTIF('Group Stages'!Q7:Q102,BW602)</f>
        <v>0</v>
      </c>
      <c r="CF602" s="306">
        <f ca="1">COUNTIF('Knock Out Stages'!K7:K50,BW602)</f>
        <v>0</v>
      </c>
      <c r="CG602" s="306">
        <f ca="1">COUNTIF('Knock Out Stages'!L7:L50,BW602)</f>
        <v>0</v>
      </c>
      <c r="CH602" s="306">
        <f ca="1">COUNTIF('Knock Out Stages'!M7:M50,BW602)</f>
        <v>0</v>
      </c>
      <c r="CI602" s="306">
        <f ca="1">COUNTIF('Knock Out Stages'!N7:N50,BW602)</f>
        <v>0</v>
      </c>
      <c r="CJ602" s="306">
        <f ca="1">COUNTIF('Knock Out Stages'!O7:O50,BW602)</f>
        <v>0</v>
      </c>
      <c r="CK602" s="306">
        <f ca="1">COUNTIF('Knock Out Stages'!P7:P50,BW602)</f>
        <v>0</v>
      </c>
      <c r="CL602" s="306">
        <f ca="1">COUNTIF('Knock Out Stages'!Q7:Q50,BW602)</f>
        <v>0</v>
      </c>
      <c r="CM602" s="306">
        <f ca="1">COUNTIF('Knock Out Stages'!R7:R50,BW602)</f>
        <v>0</v>
      </c>
      <c r="CN602" s="306">
        <f ca="1">IF(RIGHT('Group Stages'!$B$105,5)="T.com",SUM(BX602:CM602),0)</f>
        <v>0</v>
      </c>
      <c r="CO602" s="306">
        <f ca="1">RANK(CN602,CN3:CN834)+COUNTIF(CN3:CN602,CN602)-1</f>
        <v>600</v>
      </c>
      <c r="CP602" s="306" t="str">
        <f t="shared" ca="1" si="222"/>
        <v>Alphonso Davies (Canada)</v>
      </c>
    </row>
    <row r="603" spans="72:94" x14ac:dyDescent="0.3">
      <c r="BT603" s="306" t="str">
        <f t="shared" ca="1" si="218"/>
        <v>Canada</v>
      </c>
      <c r="BU603" s="306">
        <f t="shared" si="219"/>
        <v>2</v>
      </c>
      <c r="BV603" s="306">
        <f t="shared" si="220"/>
        <v>22</v>
      </c>
      <c r="BW603" s="306" t="str">
        <f ca="1">OFFSET(C3,BU603,BV603)</f>
        <v>Atiba Hutchinson</v>
      </c>
      <c r="BX603" s="306">
        <f ca="1">COUNTIF('Group Stages'!J7:J102,BW603)</f>
        <v>0</v>
      </c>
      <c r="BY603" s="306">
        <f ca="1">COUNTIF('Group Stages'!K7:K102,BW603)</f>
        <v>0</v>
      </c>
      <c r="BZ603" s="306">
        <f ca="1">COUNTIF('Group Stages'!L7:L102,BW603)</f>
        <v>0</v>
      </c>
      <c r="CA603" s="306">
        <f ca="1">COUNTIF('Group Stages'!M7:M102,BW603)</f>
        <v>0</v>
      </c>
      <c r="CB603" s="306">
        <f ca="1">COUNTIF('Group Stages'!N7:N102,BW603)</f>
        <v>0</v>
      </c>
      <c r="CC603" s="306">
        <f ca="1">COUNTIF('Group Stages'!O7:O102,BW603)</f>
        <v>0</v>
      </c>
      <c r="CD603" s="306">
        <f ca="1">COUNTIF('Group Stages'!P7:P102,BW603)</f>
        <v>0</v>
      </c>
      <c r="CE603" s="306">
        <f ca="1">COUNTIF('Group Stages'!Q7:Q102,BW603)</f>
        <v>0</v>
      </c>
      <c r="CF603" s="306">
        <f ca="1">COUNTIF('Knock Out Stages'!K7:K50,BW603)</f>
        <v>0</v>
      </c>
      <c r="CG603" s="306">
        <f ca="1">COUNTIF('Knock Out Stages'!L7:L50,BW603)</f>
        <v>0</v>
      </c>
      <c r="CH603" s="306">
        <f ca="1">COUNTIF('Knock Out Stages'!M7:M50,BW603)</f>
        <v>0</v>
      </c>
      <c r="CI603" s="306">
        <f ca="1">COUNTIF('Knock Out Stages'!N7:N50,BW603)</f>
        <v>0</v>
      </c>
      <c r="CJ603" s="306">
        <f ca="1">COUNTIF('Knock Out Stages'!O7:O50,BW603)</f>
        <v>0</v>
      </c>
      <c r="CK603" s="306">
        <f ca="1">COUNTIF('Knock Out Stages'!P7:P50,BW603)</f>
        <v>0</v>
      </c>
      <c r="CL603" s="306">
        <f ca="1">COUNTIF('Knock Out Stages'!Q7:Q50,BW603)</f>
        <v>0</v>
      </c>
      <c r="CM603" s="306">
        <f ca="1">COUNTIF('Knock Out Stages'!R7:R50,BW603)</f>
        <v>0</v>
      </c>
      <c r="CN603" s="306">
        <f ca="1">IF(RIGHT('Group Stages'!$B$105,5)="T.com",SUM(BX603:CM603),0)</f>
        <v>0</v>
      </c>
      <c r="CO603" s="306">
        <f ca="1">RANK(CN603,CN3:CN834)+COUNTIF(CN3:CN603,CN603)-1</f>
        <v>601</v>
      </c>
      <c r="CP603" s="306" t="str">
        <f t="shared" ca="1" si="222"/>
        <v>Atiba Hutchinson (Canada)</v>
      </c>
    </row>
    <row r="604" spans="72:94" x14ac:dyDescent="0.3">
      <c r="BT604" s="306" t="str">
        <f t="shared" ca="1" si="218"/>
        <v>Canada</v>
      </c>
      <c r="BU604" s="306">
        <f t="shared" si="219"/>
        <v>3</v>
      </c>
      <c r="BV604" s="306">
        <f t="shared" si="220"/>
        <v>22</v>
      </c>
      <c r="BW604" s="306" t="str">
        <f ca="1">OFFSET(C3,BU604,BV604)</f>
        <v>Cyle Larin</v>
      </c>
      <c r="BX604" s="306">
        <f ca="1">COUNTIF('Group Stages'!J7:J102,BW604)</f>
        <v>0</v>
      </c>
      <c r="BY604" s="306">
        <f ca="1">COUNTIF('Group Stages'!K7:K102,BW604)</f>
        <v>0</v>
      </c>
      <c r="BZ604" s="306">
        <f ca="1">COUNTIF('Group Stages'!L7:L102,BW604)</f>
        <v>0</v>
      </c>
      <c r="CA604" s="306">
        <f ca="1">COUNTIF('Group Stages'!M7:M102,BW604)</f>
        <v>0</v>
      </c>
      <c r="CB604" s="306">
        <f ca="1">COUNTIF('Group Stages'!N7:N102,BW604)</f>
        <v>0</v>
      </c>
      <c r="CC604" s="306">
        <f ca="1">COUNTIF('Group Stages'!O7:O102,BW604)</f>
        <v>0</v>
      </c>
      <c r="CD604" s="306">
        <f ca="1">COUNTIF('Group Stages'!P7:P102,BW604)</f>
        <v>0</v>
      </c>
      <c r="CE604" s="306">
        <f ca="1">COUNTIF('Group Stages'!Q7:Q102,BW604)</f>
        <v>0</v>
      </c>
      <c r="CF604" s="306">
        <f ca="1">COUNTIF('Knock Out Stages'!K7:K50,BW604)</f>
        <v>0</v>
      </c>
      <c r="CG604" s="306">
        <f ca="1">COUNTIF('Knock Out Stages'!L7:L50,BW604)</f>
        <v>0</v>
      </c>
      <c r="CH604" s="306">
        <f ca="1">COUNTIF('Knock Out Stages'!M7:M50,BW604)</f>
        <v>0</v>
      </c>
      <c r="CI604" s="306">
        <f ca="1">COUNTIF('Knock Out Stages'!N7:N50,BW604)</f>
        <v>0</v>
      </c>
      <c r="CJ604" s="306">
        <f ca="1">COUNTIF('Knock Out Stages'!O7:O50,BW604)</f>
        <v>0</v>
      </c>
      <c r="CK604" s="306">
        <f ca="1">COUNTIF('Knock Out Stages'!P7:P50,BW604)</f>
        <v>0</v>
      </c>
      <c r="CL604" s="306">
        <f ca="1">COUNTIF('Knock Out Stages'!Q7:Q50,BW604)</f>
        <v>0</v>
      </c>
      <c r="CM604" s="306">
        <f ca="1">COUNTIF('Knock Out Stages'!R7:R50,BW604)</f>
        <v>0</v>
      </c>
      <c r="CN604" s="306">
        <f ca="1">IF(RIGHT('Group Stages'!$B$105,5)="T.com",SUM(BX604:CM604),0)</f>
        <v>0</v>
      </c>
      <c r="CO604" s="306">
        <f ca="1">RANK(CN604,CN3:CN834)+COUNTIF(CN3:CN604,CN604)-1</f>
        <v>602</v>
      </c>
      <c r="CP604" s="306" t="str">
        <f t="shared" ca="1" si="222"/>
        <v>Cyle Larin (Canada)</v>
      </c>
    </row>
    <row r="605" spans="72:94" x14ac:dyDescent="0.3">
      <c r="BT605" s="306" t="str">
        <f t="shared" ca="1" si="218"/>
        <v>Canada</v>
      </c>
      <c r="BU605" s="306">
        <f t="shared" si="219"/>
        <v>4</v>
      </c>
      <c r="BV605" s="306">
        <f t="shared" si="220"/>
        <v>22</v>
      </c>
      <c r="BW605" s="306" t="str">
        <f ca="1">OFFSET(C3,BU605,BV605)</f>
        <v>David Wotherspoon</v>
      </c>
      <c r="BX605" s="306">
        <f ca="1">COUNTIF('Group Stages'!J7:J102,BW605)</f>
        <v>0</v>
      </c>
      <c r="BY605" s="306">
        <f ca="1">COUNTIF('Group Stages'!K7:K102,BW605)</f>
        <v>0</v>
      </c>
      <c r="BZ605" s="306">
        <f ca="1">COUNTIF('Group Stages'!L7:L102,BW605)</f>
        <v>0</v>
      </c>
      <c r="CA605" s="306">
        <f ca="1">COUNTIF('Group Stages'!M7:M102,BW605)</f>
        <v>0</v>
      </c>
      <c r="CB605" s="306">
        <f ca="1">COUNTIF('Group Stages'!N7:N102,BW605)</f>
        <v>0</v>
      </c>
      <c r="CC605" s="306">
        <f ca="1">COUNTIF('Group Stages'!O7:O102,BW605)</f>
        <v>0</v>
      </c>
      <c r="CD605" s="306">
        <f ca="1">COUNTIF('Group Stages'!P7:P102,BW605)</f>
        <v>0</v>
      </c>
      <c r="CE605" s="306">
        <f ca="1">COUNTIF('Group Stages'!Q7:Q102,BW605)</f>
        <v>0</v>
      </c>
      <c r="CF605" s="306">
        <f ca="1">COUNTIF('Knock Out Stages'!K7:K50,BW605)</f>
        <v>0</v>
      </c>
      <c r="CG605" s="306">
        <f ca="1">COUNTIF('Knock Out Stages'!L7:L50,BW605)</f>
        <v>0</v>
      </c>
      <c r="CH605" s="306">
        <f ca="1">COUNTIF('Knock Out Stages'!M7:M50,BW605)</f>
        <v>0</v>
      </c>
      <c r="CI605" s="306">
        <f ca="1">COUNTIF('Knock Out Stages'!N7:N50,BW605)</f>
        <v>0</v>
      </c>
      <c r="CJ605" s="306">
        <f ca="1">COUNTIF('Knock Out Stages'!O7:O50,BW605)</f>
        <v>0</v>
      </c>
      <c r="CK605" s="306">
        <f ca="1">COUNTIF('Knock Out Stages'!P7:P50,BW605)</f>
        <v>0</v>
      </c>
      <c r="CL605" s="306">
        <f ca="1">COUNTIF('Knock Out Stages'!Q7:Q50,BW605)</f>
        <v>0</v>
      </c>
      <c r="CM605" s="306">
        <f ca="1">COUNTIF('Knock Out Stages'!R7:R50,BW605)</f>
        <v>0</v>
      </c>
      <c r="CN605" s="306">
        <f ca="1">IF(RIGHT('Group Stages'!$B$105,5)="T.com",SUM(BX605:CM605),0)</f>
        <v>0</v>
      </c>
      <c r="CO605" s="306">
        <f ca="1">RANK(CN605,CN3:CN834)+COUNTIF(CN3:CN605,CN605)-1</f>
        <v>603</v>
      </c>
      <c r="CP605" s="306" t="str">
        <f t="shared" ca="1" si="222"/>
        <v>David Wotherspoon (Canada)</v>
      </c>
    </row>
    <row r="606" spans="72:94" x14ac:dyDescent="0.3">
      <c r="BT606" s="306" t="str">
        <f t="shared" ca="1" si="218"/>
        <v>Canada</v>
      </c>
      <c r="BU606" s="306">
        <f t="shared" si="219"/>
        <v>5</v>
      </c>
      <c r="BV606" s="306">
        <f t="shared" si="220"/>
        <v>22</v>
      </c>
      <c r="BW606" s="306" t="str">
        <f ca="1">OFFSET(C3,BU606,BV606)</f>
        <v>Dayne St. Clair</v>
      </c>
      <c r="BX606" s="306">
        <f ca="1">COUNTIF('Group Stages'!J7:J102,BW606)</f>
        <v>0</v>
      </c>
      <c r="BY606" s="306">
        <f ca="1">COUNTIF('Group Stages'!K7:K102,BW606)</f>
        <v>0</v>
      </c>
      <c r="BZ606" s="306">
        <f ca="1">COUNTIF('Group Stages'!L7:L102,BW606)</f>
        <v>0</v>
      </c>
      <c r="CA606" s="306">
        <f ca="1">COUNTIF('Group Stages'!M7:M102,BW606)</f>
        <v>0</v>
      </c>
      <c r="CB606" s="306">
        <f ca="1">COUNTIF('Group Stages'!N7:N102,BW606)</f>
        <v>0</v>
      </c>
      <c r="CC606" s="306">
        <f ca="1">COUNTIF('Group Stages'!O7:O102,BW606)</f>
        <v>0</v>
      </c>
      <c r="CD606" s="306">
        <f ca="1">COUNTIF('Group Stages'!P7:P102,BW606)</f>
        <v>0</v>
      </c>
      <c r="CE606" s="306">
        <f ca="1">COUNTIF('Group Stages'!Q7:Q102,BW606)</f>
        <v>0</v>
      </c>
      <c r="CF606" s="306">
        <f ca="1">COUNTIF('Knock Out Stages'!K7:K50,BW606)</f>
        <v>0</v>
      </c>
      <c r="CG606" s="306">
        <f ca="1">COUNTIF('Knock Out Stages'!L7:L50,BW606)</f>
        <v>0</v>
      </c>
      <c r="CH606" s="306">
        <f ca="1">COUNTIF('Knock Out Stages'!M7:M50,BW606)</f>
        <v>0</v>
      </c>
      <c r="CI606" s="306">
        <f ca="1">COUNTIF('Knock Out Stages'!N7:N50,BW606)</f>
        <v>0</v>
      </c>
      <c r="CJ606" s="306">
        <f ca="1">COUNTIF('Knock Out Stages'!O7:O50,BW606)</f>
        <v>0</v>
      </c>
      <c r="CK606" s="306">
        <f ca="1">COUNTIF('Knock Out Stages'!P7:P50,BW606)</f>
        <v>0</v>
      </c>
      <c r="CL606" s="306">
        <f ca="1">COUNTIF('Knock Out Stages'!Q7:Q50,BW606)</f>
        <v>0</v>
      </c>
      <c r="CM606" s="306">
        <f ca="1">COUNTIF('Knock Out Stages'!R7:R50,BW606)</f>
        <v>0</v>
      </c>
      <c r="CN606" s="306">
        <f ca="1">IF(RIGHT('Group Stages'!$B$105,5)="T.com",SUM(BX606:CM606),0)</f>
        <v>0</v>
      </c>
      <c r="CO606" s="306">
        <f ca="1">RANK(CN606,CN3:CN834)+COUNTIF(CN3:CN606,CN606)-1</f>
        <v>604</v>
      </c>
      <c r="CP606" s="306" t="str">
        <f t="shared" ca="1" si="222"/>
        <v>Dayne St. Clair (Canada)</v>
      </c>
    </row>
    <row r="607" spans="72:94" x14ac:dyDescent="0.3">
      <c r="BT607" s="306" t="str">
        <f t="shared" ca="1" si="218"/>
        <v>Canada</v>
      </c>
      <c r="BU607" s="306">
        <f t="shared" si="219"/>
        <v>6</v>
      </c>
      <c r="BV607" s="306">
        <f t="shared" si="220"/>
        <v>22</v>
      </c>
      <c r="BW607" s="306" t="str">
        <f ca="1">OFFSET(C3,BU607,BV607)</f>
        <v>Derek Cornelius</v>
      </c>
      <c r="BX607" s="306">
        <f ca="1">COUNTIF('Group Stages'!J7:J102,BW607)</f>
        <v>0</v>
      </c>
      <c r="BY607" s="306">
        <f ca="1">COUNTIF('Group Stages'!K7:K102,BW607)</f>
        <v>0</v>
      </c>
      <c r="BZ607" s="306">
        <f ca="1">COUNTIF('Group Stages'!L7:L102,BW607)</f>
        <v>0</v>
      </c>
      <c r="CA607" s="306">
        <f ca="1">COUNTIF('Group Stages'!M7:M102,BW607)</f>
        <v>0</v>
      </c>
      <c r="CB607" s="306">
        <f ca="1">COUNTIF('Group Stages'!N7:N102,BW607)</f>
        <v>0</v>
      </c>
      <c r="CC607" s="306">
        <f ca="1">COUNTIF('Group Stages'!O7:O102,BW607)</f>
        <v>0</v>
      </c>
      <c r="CD607" s="306">
        <f ca="1">COUNTIF('Group Stages'!P7:P102,BW607)</f>
        <v>0</v>
      </c>
      <c r="CE607" s="306">
        <f ca="1">COUNTIF('Group Stages'!Q7:Q102,BW607)</f>
        <v>0</v>
      </c>
      <c r="CF607" s="306">
        <f ca="1">COUNTIF('Knock Out Stages'!K7:K50,BW607)</f>
        <v>0</v>
      </c>
      <c r="CG607" s="306">
        <f ca="1">COUNTIF('Knock Out Stages'!L7:L50,BW607)</f>
        <v>0</v>
      </c>
      <c r="CH607" s="306">
        <f ca="1">COUNTIF('Knock Out Stages'!M7:M50,BW607)</f>
        <v>0</v>
      </c>
      <c r="CI607" s="306">
        <f ca="1">COUNTIF('Knock Out Stages'!N7:N50,BW607)</f>
        <v>0</v>
      </c>
      <c r="CJ607" s="306">
        <f ca="1">COUNTIF('Knock Out Stages'!O7:O50,BW607)</f>
        <v>0</v>
      </c>
      <c r="CK607" s="306">
        <f ca="1">COUNTIF('Knock Out Stages'!P7:P50,BW607)</f>
        <v>0</v>
      </c>
      <c r="CL607" s="306">
        <f ca="1">COUNTIF('Knock Out Stages'!Q7:Q50,BW607)</f>
        <v>0</v>
      </c>
      <c r="CM607" s="306">
        <f ca="1">COUNTIF('Knock Out Stages'!R7:R50,BW607)</f>
        <v>0</v>
      </c>
      <c r="CN607" s="306">
        <f ca="1">IF(RIGHT('Group Stages'!$B$105,5)="T.com",SUM(BX607:CM607),0)</f>
        <v>0</v>
      </c>
      <c r="CO607" s="306">
        <f ca="1">RANK(CN607,CN3:CN834)+COUNTIF(CN3:CN607,CN607)-1</f>
        <v>605</v>
      </c>
      <c r="CP607" s="306" t="str">
        <f t="shared" ca="1" si="222"/>
        <v>Derek Cornelius (Canada)</v>
      </c>
    </row>
    <row r="608" spans="72:94" x14ac:dyDescent="0.3">
      <c r="BT608" s="306" t="str">
        <f t="shared" ca="1" si="218"/>
        <v>Canada</v>
      </c>
      <c r="BU608" s="306">
        <f t="shared" si="219"/>
        <v>7</v>
      </c>
      <c r="BV608" s="306">
        <f t="shared" si="220"/>
        <v>22</v>
      </c>
      <c r="BW608" s="306" t="str">
        <f ca="1">OFFSET(C3,BU608,BV608)</f>
        <v>Iké Ugbo</v>
      </c>
      <c r="BX608" s="306">
        <f ca="1">COUNTIF('Group Stages'!J7:J102,BW608)</f>
        <v>0</v>
      </c>
      <c r="BY608" s="306">
        <f ca="1">COUNTIF('Group Stages'!K7:K102,BW608)</f>
        <v>0</v>
      </c>
      <c r="BZ608" s="306">
        <f ca="1">COUNTIF('Group Stages'!L7:L102,BW608)</f>
        <v>0</v>
      </c>
      <c r="CA608" s="306">
        <f ca="1">COUNTIF('Group Stages'!M7:M102,BW608)</f>
        <v>0</v>
      </c>
      <c r="CB608" s="306">
        <f ca="1">COUNTIF('Group Stages'!N7:N102,BW608)</f>
        <v>0</v>
      </c>
      <c r="CC608" s="306">
        <f ca="1">COUNTIF('Group Stages'!O7:O102,BW608)</f>
        <v>0</v>
      </c>
      <c r="CD608" s="306">
        <f ca="1">COUNTIF('Group Stages'!P7:P102,BW608)</f>
        <v>0</v>
      </c>
      <c r="CE608" s="306">
        <f ca="1">COUNTIF('Group Stages'!Q7:Q102,BW608)</f>
        <v>0</v>
      </c>
      <c r="CF608" s="306">
        <f ca="1">COUNTIF('Knock Out Stages'!K7:K50,BW608)</f>
        <v>0</v>
      </c>
      <c r="CG608" s="306">
        <f ca="1">COUNTIF('Knock Out Stages'!L7:L50,BW608)</f>
        <v>0</v>
      </c>
      <c r="CH608" s="306">
        <f ca="1">COUNTIF('Knock Out Stages'!M7:M50,BW608)</f>
        <v>0</v>
      </c>
      <c r="CI608" s="306">
        <f ca="1">COUNTIF('Knock Out Stages'!N7:N50,BW608)</f>
        <v>0</v>
      </c>
      <c r="CJ608" s="306">
        <f ca="1">COUNTIF('Knock Out Stages'!O7:O50,BW608)</f>
        <v>0</v>
      </c>
      <c r="CK608" s="306">
        <f ca="1">COUNTIF('Knock Out Stages'!P7:P50,BW608)</f>
        <v>0</v>
      </c>
      <c r="CL608" s="306">
        <f ca="1">COUNTIF('Knock Out Stages'!Q7:Q50,BW608)</f>
        <v>0</v>
      </c>
      <c r="CM608" s="306">
        <f ca="1">COUNTIF('Knock Out Stages'!R7:R50,BW608)</f>
        <v>0</v>
      </c>
      <c r="CN608" s="306">
        <f ca="1">IF(RIGHT('Group Stages'!$B$105,5)="T.com",SUM(BX608:CM608),0)</f>
        <v>0</v>
      </c>
      <c r="CO608" s="306">
        <f ca="1">RANK(CN608,CN3:CN834)+COUNTIF(CN3:CN608,CN608)-1</f>
        <v>606</v>
      </c>
      <c r="CP608" s="306" t="str">
        <f t="shared" ca="1" si="222"/>
        <v>Iké Ugbo (Canada)</v>
      </c>
    </row>
    <row r="609" spans="72:94" x14ac:dyDescent="0.3">
      <c r="BT609" s="306" t="str">
        <f t="shared" ca="1" si="218"/>
        <v>Canada</v>
      </c>
      <c r="BU609" s="306">
        <f t="shared" si="219"/>
        <v>8</v>
      </c>
      <c r="BV609" s="306">
        <f t="shared" si="220"/>
        <v>22</v>
      </c>
      <c r="BW609" s="306" t="str">
        <f ca="1">OFFSET(C3,BU609,BV609)</f>
        <v>Ismaël Koné</v>
      </c>
      <c r="BX609" s="306">
        <f ca="1">COUNTIF('Group Stages'!J7:J102,BW609)</f>
        <v>0</v>
      </c>
      <c r="BY609" s="306">
        <f ca="1">COUNTIF('Group Stages'!K7:K102,BW609)</f>
        <v>0</v>
      </c>
      <c r="BZ609" s="306">
        <f ca="1">COUNTIF('Group Stages'!L7:L102,BW609)</f>
        <v>0</v>
      </c>
      <c r="CA609" s="306">
        <f ca="1">COUNTIF('Group Stages'!M7:M102,BW609)</f>
        <v>0</v>
      </c>
      <c r="CB609" s="306">
        <f ca="1">COUNTIF('Group Stages'!N7:N102,BW609)</f>
        <v>0</v>
      </c>
      <c r="CC609" s="306">
        <f ca="1">COUNTIF('Group Stages'!O7:O102,BW609)</f>
        <v>0</v>
      </c>
      <c r="CD609" s="306">
        <f ca="1">COUNTIF('Group Stages'!P7:P102,BW609)</f>
        <v>0</v>
      </c>
      <c r="CE609" s="306">
        <f ca="1">COUNTIF('Group Stages'!Q7:Q102,BW609)</f>
        <v>0</v>
      </c>
      <c r="CF609" s="306">
        <f ca="1">COUNTIF('Knock Out Stages'!K7:K50,BW609)</f>
        <v>0</v>
      </c>
      <c r="CG609" s="306">
        <f ca="1">COUNTIF('Knock Out Stages'!L7:L50,BW609)</f>
        <v>0</v>
      </c>
      <c r="CH609" s="306">
        <f ca="1">COUNTIF('Knock Out Stages'!M7:M50,BW609)</f>
        <v>0</v>
      </c>
      <c r="CI609" s="306">
        <f ca="1">COUNTIF('Knock Out Stages'!N7:N50,BW609)</f>
        <v>0</v>
      </c>
      <c r="CJ609" s="306">
        <f ca="1">COUNTIF('Knock Out Stages'!O7:O50,BW609)</f>
        <v>0</v>
      </c>
      <c r="CK609" s="306">
        <f ca="1">COUNTIF('Knock Out Stages'!P7:P50,BW609)</f>
        <v>0</v>
      </c>
      <c r="CL609" s="306">
        <f ca="1">COUNTIF('Knock Out Stages'!Q7:Q50,BW609)</f>
        <v>0</v>
      </c>
      <c r="CM609" s="306">
        <f ca="1">COUNTIF('Knock Out Stages'!R7:R50,BW609)</f>
        <v>0</v>
      </c>
      <c r="CN609" s="306">
        <f ca="1">IF(RIGHT('Group Stages'!$B$105,5)="T.com",SUM(BX609:CM609),0)</f>
        <v>0</v>
      </c>
      <c r="CO609" s="306">
        <f ca="1">RANK(CN609,CN3:CN834)+COUNTIF(CN3:CN609,CN609)-1</f>
        <v>607</v>
      </c>
      <c r="CP609" s="306" t="str">
        <f t="shared" ca="1" si="222"/>
        <v>Ismaël Koné (Canada)</v>
      </c>
    </row>
    <row r="610" spans="72:94" x14ac:dyDescent="0.3">
      <c r="BT610" s="306" t="str">
        <f t="shared" ca="1" si="218"/>
        <v>Canada</v>
      </c>
      <c r="BU610" s="306">
        <f t="shared" si="219"/>
        <v>9</v>
      </c>
      <c r="BV610" s="306">
        <f t="shared" si="220"/>
        <v>22</v>
      </c>
      <c r="BW610" s="306" t="str">
        <f ca="1">OFFSET(C3,BU610,BV610)</f>
        <v>James Pantemis</v>
      </c>
      <c r="BX610" s="306">
        <f ca="1">COUNTIF('Group Stages'!J7:J102,BW610)</f>
        <v>0</v>
      </c>
      <c r="BY610" s="306">
        <f ca="1">COUNTIF('Group Stages'!K7:K102,BW610)</f>
        <v>0</v>
      </c>
      <c r="BZ610" s="306">
        <f ca="1">COUNTIF('Group Stages'!L7:L102,BW610)</f>
        <v>0</v>
      </c>
      <c r="CA610" s="306">
        <f ca="1">COUNTIF('Group Stages'!M7:M102,BW610)</f>
        <v>0</v>
      </c>
      <c r="CB610" s="306">
        <f ca="1">COUNTIF('Group Stages'!N7:N102,BW610)</f>
        <v>0</v>
      </c>
      <c r="CC610" s="306">
        <f ca="1">COUNTIF('Group Stages'!O7:O102,BW610)</f>
        <v>0</v>
      </c>
      <c r="CD610" s="306">
        <f ca="1">COUNTIF('Group Stages'!P7:P102,BW610)</f>
        <v>0</v>
      </c>
      <c r="CE610" s="306">
        <f ca="1">COUNTIF('Group Stages'!Q7:Q102,BW610)</f>
        <v>0</v>
      </c>
      <c r="CF610" s="306">
        <f ca="1">COUNTIF('Knock Out Stages'!K7:K50,BW610)</f>
        <v>0</v>
      </c>
      <c r="CG610" s="306">
        <f ca="1">COUNTIF('Knock Out Stages'!L7:L50,BW610)</f>
        <v>0</v>
      </c>
      <c r="CH610" s="306">
        <f ca="1">COUNTIF('Knock Out Stages'!M7:M50,BW610)</f>
        <v>0</v>
      </c>
      <c r="CI610" s="306">
        <f ca="1">COUNTIF('Knock Out Stages'!N7:N50,BW610)</f>
        <v>0</v>
      </c>
      <c r="CJ610" s="306">
        <f ca="1">COUNTIF('Knock Out Stages'!O7:O50,BW610)</f>
        <v>0</v>
      </c>
      <c r="CK610" s="306">
        <f ca="1">COUNTIF('Knock Out Stages'!P7:P50,BW610)</f>
        <v>0</v>
      </c>
      <c r="CL610" s="306">
        <f ca="1">COUNTIF('Knock Out Stages'!Q7:Q50,BW610)</f>
        <v>0</v>
      </c>
      <c r="CM610" s="306">
        <f ca="1">COUNTIF('Knock Out Stages'!R7:R50,BW610)</f>
        <v>0</v>
      </c>
      <c r="CN610" s="306">
        <f ca="1">IF(RIGHT('Group Stages'!$B$105,5)="T.com",SUM(BX610:CM610),0)</f>
        <v>0</v>
      </c>
      <c r="CO610" s="306">
        <f ca="1">RANK(CN610,CN3:CN834)+COUNTIF(CN3:CN610,CN610)-1</f>
        <v>608</v>
      </c>
      <c r="CP610" s="306" t="str">
        <f t="shared" ca="1" si="222"/>
        <v>James Pantemis (Canada)</v>
      </c>
    </row>
    <row r="611" spans="72:94" x14ac:dyDescent="0.3">
      <c r="BT611" s="306" t="str">
        <f t="shared" ca="1" si="218"/>
        <v>Canada</v>
      </c>
      <c r="BU611" s="306">
        <f t="shared" si="219"/>
        <v>10</v>
      </c>
      <c r="BV611" s="306">
        <f t="shared" si="220"/>
        <v>22</v>
      </c>
      <c r="BW611" s="306" t="str">
        <f ca="1">OFFSET(C3,BU611,BV611)</f>
        <v>Joel Waterman</v>
      </c>
      <c r="BX611" s="306">
        <f ca="1">COUNTIF('Group Stages'!J7:J102,BW611)</f>
        <v>0</v>
      </c>
      <c r="BY611" s="306">
        <f ca="1">COUNTIF('Group Stages'!K7:K102,BW611)</f>
        <v>0</v>
      </c>
      <c r="BZ611" s="306">
        <f ca="1">COUNTIF('Group Stages'!L7:L102,BW611)</f>
        <v>0</v>
      </c>
      <c r="CA611" s="306">
        <f ca="1">COUNTIF('Group Stages'!M7:M102,BW611)</f>
        <v>0</v>
      </c>
      <c r="CB611" s="306">
        <f ca="1">COUNTIF('Group Stages'!N7:N102,BW611)</f>
        <v>0</v>
      </c>
      <c r="CC611" s="306">
        <f ca="1">COUNTIF('Group Stages'!O7:O102,BW611)</f>
        <v>0</v>
      </c>
      <c r="CD611" s="306">
        <f ca="1">COUNTIF('Group Stages'!P7:P102,BW611)</f>
        <v>0</v>
      </c>
      <c r="CE611" s="306">
        <f ca="1">COUNTIF('Group Stages'!Q7:Q102,BW611)</f>
        <v>0</v>
      </c>
      <c r="CF611" s="306">
        <f ca="1">COUNTIF('Knock Out Stages'!K7:K50,BW611)</f>
        <v>0</v>
      </c>
      <c r="CG611" s="306">
        <f ca="1">COUNTIF('Knock Out Stages'!L7:L50,BW611)</f>
        <v>0</v>
      </c>
      <c r="CH611" s="306">
        <f ca="1">COUNTIF('Knock Out Stages'!M7:M50,BW611)</f>
        <v>0</v>
      </c>
      <c r="CI611" s="306">
        <f ca="1">COUNTIF('Knock Out Stages'!N7:N50,BW611)</f>
        <v>0</v>
      </c>
      <c r="CJ611" s="306">
        <f ca="1">COUNTIF('Knock Out Stages'!O7:O50,BW611)</f>
        <v>0</v>
      </c>
      <c r="CK611" s="306">
        <f ca="1">COUNTIF('Knock Out Stages'!P7:P50,BW611)</f>
        <v>0</v>
      </c>
      <c r="CL611" s="306">
        <f ca="1">COUNTIF('Knock Out Stages'!Q7:Q50,BW611)</f>
        <v>0</v>
      </c>
      <c r="CM611" s="306">
        <f ca="1">COUNTIF('Knock Out Stages'!R7:R50,BW611)</f>
        <v>0</v>
      </c>
      <c r="CN611" s="306">
        <f ca="1">IF(RIGHT('Group Stages'!$B$105,5)="T.com",SUM(BX611:CM611),0)</f>
        <v>0</v>
      </c>
      <c r="CO611" s="306">
        <f ca="1">RANK(CN611,CN3:CN834)+COUNTIF(CN3:CN611,CN611)-1</f>
        <v>609</v>
      </c>
      <c r="CP611" s="306" t="str">
        <f t="shared" ca="1" si="222"/>
        <v>Joel Waterman (Canada)</v>
      </c>
    </row>
    <row r="612" spans="72:94" x14ac:dyDescent="0.3">
      <c r="BT612" s="306" t="str">
        <f t="shared" ca="1" si="218"/>
        <v>Canada</v>
      </c>
      <c r="BU612" s="306">
        <f t="shared" si="219"/>
        <v>11</v>
      </c>
      <c r="BV612" s="306">
        <f t="shared" si="220"/>
        <v>22</v>
      </c>
      <c r="BW612" s="306" t="str">
        <f ca="1">OFFSET(C3,BU612,BV612)</f>
        <v>Jonathan David</v>
      </c>
      <c r="BX612" s="306">
        <f ca="1">COUNTIF('Group Stages'!J7:J102,BW612)</f>
        <v>0</v>
      </c>
      <c r="BY612" s="306">
        <f ca="1">COUNTIF('Group Stages'!K7:K102,BW612)</f>
        <v>0</v>
      </c>
      <c r="BZ612" s="306">
        <f ca="1">COUNTIF('Group Stages'!L7:L102,BW612)</f>
        <v>0</v>
      </c>
      <c r="CA612" s="306">
        <f ca="1">COUNTIF('Group Stages'!M7:M102,BW612)</f>
        <v>0</v>
      </c>
      <c r="CB612" s="306">
        <f ca="1">COUNTIF('Group Stages'!N7:N102,BW612)</f>
        <v>0</v>
      </c>
      <c r="CC612" s="306">
        <f ca="1">COUNTIF('Group Stages'!O7:O102,BW612)</f>
        <v>0</v>
      </c>
      <c r="CD612" s="306">
        <f ca="1">COUNTIF('Group Stages'!P7:P102,BW612)</f>
        <v>0</v>
      </c>
      <c r="CE612" s="306">
        <f ca="1">COUNTIF('Group Stages'!Q7:Q102,BW612)</f>
        <v>0</v>
      </c>
      <c r="CF612" s="306">
        <f ca="1">COUNTIF('Knock Out Stages'!K7:K50,BW612)</f>
        <v>0</v>
      </c>
      <c r="CG612" s="306">
        <f ca="1">COUNTIF('Knock Out Stages'!L7:L50,BW612)</f>
        <v>0</v>
      </c>
      <c r="CH612" s="306">
        <f ca="1">COUNTIF('Knock Out Stages'!M7:M50,BW612)</f>
        <v>0</v>
      </c>
      <c r="CI612" s="306">
        <f ca="1">COUNTIF('Knock Out Stages'!N7:N50,BW612)</f>
        <v>0</v>
      </c>
      <c r="CJ612" s="306">
        <f ca="1">COUNTIF('Knock Out Stages'!O7:O50,BW612)</f>
        <v>0</v>
      </c>
      <c r="CK612" s="306">
        <f ca="1">COUNTIF('Knock Out Stages'!P7:P50,BW612)</f>
        <v>0</v>
      </c>
      <c r="CL612" s="306">
        <f ca="1">COUNTIF('Knock Out Stages'!Q7:Q50,BW612)</f>
        <v>0</v>
      </c>
      <c r="CM612" s="306">
        <f ca="1">COUNTIF('Knock Out Stages'!R7:R50,BW612)</f>
        <v>0</v>
      </c>
      <c r="CN612" s="306">
        <f ca="1">IF(RIGHT('Group Stages'!$B$105,5)="T.com",SUM(BX612:CM612),0)</f>
        <v>0</v>
      </c>
      <c r="CO612" s="306">
        <f ca="1">RANK(CN612,CN3:CN834)+COUNTIF(CN3:CN612,CN612)-1</f>
        <v>610</v>
      </c>
      <c r="CP612" s="306" t="str">
        <f t="shared" ca="1" si="222"/>
        <v>Jonathan David (Canada)</v>
      </c>
    </row>
    <row r="613" spans="72:94" x14ac:dyDescent="0.3">
      <c r="BT613" s="306" t="str">
        <f t="shared" ca="1" si="218"/>
        <v>Canada</v>
      </c>
      <c r="BU613" s="306">
        <f t="shared" si="219"/>
        <v>12</v>
      </c>
      <c r="BV613" s="306">
        <f t="shared" si="220"/>
        <v>22</v>
      </c>
      <c r="BW613" s="306" t="str">
        <f ca="1">OFFSET(C3,BU613,BV613)</f>
        <v>Jonathan Osorio</v>
      </c>
      <c r="BX613" s="306">
        <f ca="1">COUNTIF('Group Stages'!J7:J102,BW613)</f>
        <v>0</v>
      </c>
      <c r="BY613" s="306">
        <f ca="1">COUNTIF('Group Stages'!K7:K102,BW613)</f>
        <v>0</v>
      </c>
      <c r="BZ613" s="306">
        <f ca="1">COUNTIF('Group Stages'!L7:L102,BW613)</f>
        <v>0</v>
      </c>
      <c r="CA613" s="306">
        <f ca="1">COUNTIF('Group Stages'!M7:M102,BW613)</f>
        <v>0</v>
      </c>
      <c r="CB613" s="306">
        <f ca="1">COUNTIF('Group Stages'!N7:N102,BW613)</f>
        <v>0</v>
      </c>
      <c r="CC613" s="306">
        <f ca="1">COUNTIF('Group Stages'!O7:O102,BW613)</f>
        <v>0</v>
      </c>
      <c r="CD613" s="306">
        <f ca="1">COUNTIF('Group Stages'!P7:P102,BW613)</f>
        <v>0</v>
      </c>
      <c r="CE613" s="306">
        <f ca="1">COUNTIF('Group Stages'!Q7:Q102,BW613)</f>
        <v>0</v>
      </c>
      <c r="CF613" s="306">
        <f ca="1">COUNTIF('Knock Out Stages'!K7:K50,BW613)</f>
        <v>0</v>
      </c>
      <c r="CG613" s="306">
        <f ca="1">COUNTIF('Knock Out Stages'!L7:L50,BW613)</f>
        <v>0</v>
      </c>
      <c r="CH613" s="306">
        <f ca="1">COUNTIF('Knock Out Stages'!M7:M50,BW613)</f>
        <v>0</v>
      </c>
      <c r="CI613" s="306">
        <f ca="1">COUNTIF('Knock Out Stages'!N7:N50,BW613)</f>
        <v>0</v>
      </c>
      <c r="CJ613" s="306">
        <f ca="1">COUNTIF('Knock Out Stages'!O7:O50,BW613)</f>
        <v>0</v>
      </c>
      <c r="CK613" s="306">
        <f ca="1">COUNTIF('Knock Out Stages'!P7:P50,BW613)</f>
        <v>0</v>
      </c>
      <c r="CL613" s="306">
        <f ca="1">COUNTIF('Knock Out Stages'!Q7:Q50,BW613)</f>
        <v>0</v>
      </c>
      <c r="CM613" s="306">
        <f ca="1">COUNTIF('Knock Out Stages'!R7:R50,BW613)</f>
        <v>0</v>
      </c>
      <c r="CN613" s="306">
        <f ca="1">IF(RIGHT('Group Stages'!$B$105,5)="T.com",SUM(BX613:CM613),0)</f>
        <v>0</v>
      </c>
      <c r="CO613" s="306">
        <f ca="1">RANK(CN613,CN3:CN834)+COUNTIF(CN3:CN613,CN613)-1</f>
        <v>611</v>
      </c>
      <c r="CP613" s="306" t="str">
        <f t="shared" ca="1" si="222"/>
        <v>Jonathan Osorio (Canada)</v>
      </c>
    </row>
    <row r="614" spans="72:94" x14ac:dyDescent="0.3">
      <c r="BT614" s="306" t="str">
        <f t="shared" ca="1" si="218"/>
        <v>Canada</v>
      </c>
      <c r="BU614" s="306">
        <f t="shared" si="219"/>
        <v>13</v>
      </c>
      <c r="BV614" s="306">
        <f t="shared" si="220"/>
        <v>22</v>
      </c>
      <c r="BW614" s="306" t="str">
        <f ca="1">OFFSET(C3,BU614,BV614)</f>
        <v>Junior Hoilett</v>
      </c>
      <c r="BX614" s="306">
        <f ca="1">COUNTIF('Group Stages'!J7:J102,BW614)</f>
        <v>0</v>
      </c>
      <c r="BY614" s="306">
        <f ca="1">COUNTIF('Group Stages'!K7:K102,BW614)</f>
        <v>0</v>
      </c>
      <c r="BZ614" s="306">
        <f ca="1">COUNTIF('Group Stages'!L7:L102,BW614)</f>
        <v>0</v>
      </c>
      <c r="CA614" s="306">
        <f ca="1">COUNTIF('Group Stages'!M7:M102,BW614)</f>
        <v>0</v>
      </c>
      <c r="CB614" s="306">
        <f ca="1">COUNTIF('Group Stages'!N7:N102,BW614)</f>
        <v>0</v>
      </c>
      <c r="CC614" s="306">
        <f ca="1">COUNTIF('Group Stages'!O7:O102,BW614)</f>
        <v>0</v>
      </c>
      <c r="CD614" s="306">
        <f ca="1">COUNTIF('Group Stages'!P7:P102,BW614)</f>
        <v>0</v>
      </c>
      <c r="CE614" s="306">
        <f ca="1">COUNTIF('Group Stages'!Q7:Q102,BW614)</f>
        <v>0</v>
      </c>
      <c r="CF614" s="306">
        <f ca="1">COUNTIF('Knock Out Stages'!K7:K50,BW614)</f>
        <v>0</v>
      </c>
      <c r="CG614" s="306">
        <f ca="1">COUNTIF('Knock Out Stages'!L7:L50,BW614)</f>
        <v>0</v>
      </c>
      <c r="CH614" s="306">
        <f ca="1">COUNTIF('Knock Out Stages'!M7:M50,BW614)</f>
        <v>0</v>
      </c>
      <c r="CI614" s="306">
        <f ca="1">COUNTIF('Knock Out Stages'!N7:N50,BW614)</f>
        <v>0</v>
      </c>
      <c r="CJ614" s="306">
        <f ca="1">COUNTIF('Knock Out Stages'!O7:O50,BW614)</f>
        <v>0</v>
      </c>
      <c r="CK614" s="306">
        <f ca="1">COUNTIF('Knock Out Stages'!P7:P50,BW614)</f>
        <v>0</v>
      </c>
      <c r="CL614" s="306">
        <f ca="1">COUNTIF('Knock Out Stages'!Q7:Q50,BW614)</f>
        <v>0</v>
      </c>
      <c r="CM614" s="306">
        <f ca="1">COUNTIF('Knock Out Stages'!R7:R50,BW614)</f>
        <v>0</v>
      </c>
      <c r="CN614" s="306">
        <f ca="1">IF(RIGHT('Group Stages'!$B$105,5)="T.com",SUM(BX614:CM614),0)</f>
        <v>0</v>
      </c>
      <c r="CO614" s="306">
        <f ca="1">RANK(CN614,CN3:CN834)+COUNTIF(CN3:CN614,CN614)-1</f>
        <v>612</v>
      </c>
      <c r="CP614" s="306" t="str">
        <f t="shared" ca="1" si="222"/>
        <v>Junior Hoilett (Canada)</v>
      </c>
    </row>
    <row r="615" spans="72:94" x14ac:dyDescent="0.3">
      <c r="BT615" s="306" t="str">
        <f t="shared" ca="1" si="218"/>
        <v>Canada</v>
      </c>
      <c r="BU615" s="306">
        <f t="shared" si="219"/>
        <v>14</v>
      </c>
      <c r="BV615" s="306">
        <f t="shared" si="220"/>
        <v>22</v>
      </c>
      <c r="BW615" s="306" t="str">
        <f ca="1">OFFSET(C3,BU615,BV615)</f>
        <v>Kamal Miller</v>
      </c>
      <c r="BX615" s="306">
        <f ca="1">COUNTIF('Group Stages'!J7:J102,BW615)</f>
        <v>0</v>
      </c>
      <c r="BY615" s="306">
        <f ca="1">COUNTIF('Group Stages'!K7:K102,BW615)</f>
        <v>0</v>
      </c>
      <c r="BZ615" s="306">
        <f ca="1">COUNTIF('Group Stages'!L7:L102,BW615)</f>
        <v>0</v>
      </c>
      <c r="CA615" s="306">
        <f ca="1">COUNTIF('Group Stages'!M7:M102,BW615)</f>
        <v>0</v>
      </c>
      <c r="CB615" s="306">
        <f ca="1">COUNTIF('Group Stages'!N7:N102,BW615)</f>
        <v>0</v>
      </c>
      <c r="CC615" s="306">
        <f ca="1">COUNTIF('Group Stages'!O7:O102,BW615)</f>
        <v>0</v>
      </c>
      <c r="CD615" s="306">
        <f ca="1">COUNTIF('Group Stages'!P7:P102,BW615)</f>
        <v>0</v>
      </c>
      <c r="CE615" s="306">
        <f ca="1">COUNTIF('Group Stages'!Q7:Q102,BW615)</f>
        <v>0</v>
      </c>
      <c r="CF615" s="306">
        <f ca="1">COUNTIF('Knock Out Stages'!K7:K50,BW615)</f>
        <v>0</v>
      </c>
      <c r="CG615" s="306">
        <f ca="1">COUNTIF('Knock Out Stages'!L7:L50,BW615)</f>
        <v>0</v>
      </c>
      <c r="CH615" s="306">
        <f ca="1">COUNTIF('Knock Out Stages'!M7:M50,BW615)</f>
        <v>0</v>
      </c>
      <c r="CI615" s="306">
        <f ca="1">COUNTIF('Knock Out Stages'!N7:N50,BW615)</f>
        <v>0</v>
      </c>
      <c r="CJ615" s="306">
        <f ca="1">COUNTIF('Knock Out Stages'!O7:O50,BW615)</f>
        <v>0</v>
      </c>
      <c r="CK615" s="306">
        <f ca="1">COUNTIF('Knock Out Stages'!P7:P50,BW615)</f>
        <v>0</v>
      </c>
      <c r="CL615" s="306">
        <f ca="1">COUNTIF('Knock Out Stages'!Q7:Q50,BW615)</f>
        <v>0</v>
      </c>
      <c r="CM615" s="306">
        <f ca="1">COUNTIF('Knock Out Stages'!R7:R50,BW615)</f>
        <v>0</v>
      </c>
      <c r="CN615" s="306">
        <f ca="1">IF(RIGHT('Group Stages'!$B$105,5)="T.com",SUM(BX615:CM615),0)</f>
        <v>0</v>
      </c>
      <c r="CO615" s="306">
        <f ca="1">RANK(CN615,CN3:CN834)+COUNTIF(CN3:CN615,CN615)-1</f>
        <v>613</v>
      </c>
      <c r="CP615" s="306" t="str">
        <f t="shared" ca="1" si="222"/>
        <v>Kamal Miller (Canada)</v>
      </c>
    </row>
    <row r="616" spans="72:94" x14ac:dyDescent="0.3">
      <c r="BT616" s="306" t="str">
        <f t="shared" ca="1" si="218"/>
        <v>Canada</v>
      </c>
      <c r="BU616" s="306">
        <f t="shared" si="219"/>
        <v>15</v>
      </c>
      <c r="BV616" s="306">
        <f t="shared" si="220"/>
        <v>22</v>
      </c>
      <c r="BW616" s="306" t="str">
        <f ca="1">OFFSET(C3,BU616,BV616)</f>
        <v>Liam Fraser</v>
      </c>
      <c r="BX616" s="306">
        <f ca="1">COUNTIF('Group Stages'!J7:J102,BW616)</f>
        <v>0</v>
      </c>
      <c r="BY616" s="306">
        <f ca="1">COUNTIF('Group Stages'!K7:K102,BW616)</f>
        <v>0</v>
      </c>
      <c r="BZ616" s="306">
        <f ca="1">COUNTIF('Group Stages'!L7:L102,BW616)</f>
        <v>0</v>
      </c>
      <c r="CA616" s="306">
        <f ca="1">COUNTIF('Group Stages'!M7:M102,BW616)</f>
        <v>0</v>
      </c>
      <c r="CB616" s="306">
        <f ca="1">COUNTIF('Group Stages'!N7:N102,BW616)</f>
        <v>0</v>
      </c>
      <c r="CC616" s="306">
        <f ca="1">COUNTIF('Group Stages'!O7:O102,BW616)</f>
        <v>0</v>
      </c>
      <c r="CD616" s="306">
        <f ca="1">COUNTIF('Group Stages'!P7:P102,BW616)</f>
        <v>0</v>
      </c>
      <c r="CE616" s="306">
        <f ca="1">COUNTIF('Group Stages'!Q7:Q102,BW616)</f>
        <v>0</v>
      </c>
      <c r="CF616" s="306">
        <f ca="1">COUNTIF('Knock Out Stages'!K7:K50,BW616)</f>
        <v>0</v>
      </c>
      <c r="CG616" s="306">
        <f ca="1">COUNTIF('Knock Out Stages'!L7:L50,BW616)</f>
        <v>0</v>
      </c>
      <c r="CH616" s="306">
        <f ca="1">COUNTIF('Knock Out Stages'!M7:M50,BW616)</f>
        <v>0</v>
      </c>
      <c r="CI616" s="306">
        <f ca="1">COUNTIF('Knock Out Stages'!N7:N50,BW616)</f>
        <v>0</v>
      </c>
      <c r="CJ616" s="306">
        <f ca="1">COUNTIF('Knock Out Stages'!O7:O50,BW616)</f>
        <v>0</v>
      </c>
      <c r="CK616" s="306">
        <f ca="1">COUNTIF('Knock Out Stages'!P7:P50,BW616)</f>
        <v>0</v>
      </c>
      <c r="CL616" s="306">
        <f ca="1">COUNTIF('Knock Out Stages'!Q7:Q50,BW616)</f>
        <v>0</v>
      </c>
      <c r="CM616" s="306">
        <f ca="1">COUNTIF('Knock Out Stages'!R7:R50,BW616)</f>
        <v>0</v>
      </c>
      <c r="CN616" s="306">
        <f ca="1">IF(RIGHT('Group Stages'!$B$105,5)="T.com",SUM(BX616:CM616),0)</f>
        <v>0</v>
      </c>
      <c r="CO616" s="306">
        <f ca="1">RANK(CN616,CN3:CN834)+COUNTIF(CN3:CN616,CN616)-1</f>
        <v>614</v>
      </c>
      <c r="CP616" s="306" t="str">
        <f t="shared" ca="1" si="222"/>
        <v>Liam Fraser (Canada)</v>
      </c>
    </row>
    <row r="617" spans="72:94" x14ac:dyDescent="0.3">
      <c r="BT617" s="306" t="str">
        <f t="shared" ca="1" si="218"/>
        <v>Canada</v>
      </c>
      <c r="BU617" s="306">
        <f t="shared" si="219"/>
        <v>16</v>
      </c>
      <c r="BV617" s="306">
        <f t="shared" si="220"/>
        <v>22</v>
      </c>
      <c r="BW617" s="306" t="str">
        <f ca="1">OFFSET(C3,BU617,BV617)</f>
        <v>Liam Millar</v>
      </c>
      <c r="BX617" s="306">
        <f ca="1">COUNTIF('Group Stages'!J7:J102,BW617)</f>
        <v>0</v>
      </c>
      <c r="BY617" s="306">
        <f ca="1">COUNTIF('Group Stages'!K7:K102,BW617)</f>
        <v>0</v>
      </c>
      <c r="BZ617" s="306">
        <f ca="1">COUNTIF('Group Stages'!L7:L102,BW617)</f>
        <v>0</v>
      </c>
      <c r="CA617" s="306">
        <f ca="1">COUNTIF('Group Stages'!M7:M102,BW617)</f>
        <v>0</v>
      </c>
      <c r="CB617" s="306">
        <f ca="1">COUNTIF('Group Stages'!N7:N102,BW617)</f>
        <v>0</v>
      </c>
      <c r="CC617" s="306">
        <f ca="1">COUNTIF('Group Stages'!O7:O102,BW617)</f>
        <v>0</v>
      </c>
      <c r="CD617" s="306">
        <f ca="1">COUNTIF('Group Stages'!P7:P102,BW617)</f>
        <v>0</v>
      </c>
      <c r="CE617" s="306">
        <f ca="1">COUNTIF('Group Stages'!Q7:Q102,BW617)</f>
        <v>0</v>
      </c>
      <c r="CF617" s="306">
        <f ca="1">COUNTIF('Knock Out Stages'!K7:K50,BW617)</f>
        <v>0</v>
      </c>
      <c r="CG617" s="306">
        <f ca="1">COUNTIF('Knock Out Stages'!L7:L50,BW617)</f>
        <v>0</v>
      </c>
      <c r="CH617" s="306">
        <f ca="1">COUNTIF('Knock Out Stages'!M7:M50,BW617)</f>
        <v>0</v>
      </c>
      <c r="CI617" s="306">
        <f ca="1">COUNTIF('Knock Out Stages'!N7:N50,BW617)</f>
        <v>0</v>
      </c>
      <c r="CJ617" s="306">
        <f ca="1">COUNTIF('Knock Out Stages'!O7:O50,BW617)</f>
        <v>0</v>
      </c>
      <c r="CK617" s="306">
        <f ca="1">COUNTIF('Knock Out Stages'!P7:P50,BW617)</f>
        <v>0</v>
      </c>
      <c r="CL617" s="306">
        <f ca="1">COUNTIF('Knock Out Stages'!Q7:Q50,BW617)</f>
        <v>0</v>
      </c>
      <c r="CM617" s="306">
        <f ca="1">COUNTIF('Knock Out Stages'!R7:R50,BW617)</f>
        <v>0</v>
      </c>
      <c r="CN617" s="306">
        <f ca="1">IF(RIGHT('Group Stages'!$B$105,5)="T.com",SUM(BX617:CM617),0)</f>
        <v>0</v>
      </c>
      <c r="CO617" s="306">
        <f ca="1">RANK(CN617,CN3:CN834)+COUNTIF(CN3:CN617,CN617)-1</f>
        <v>615</v>
      </c>
      <c r="CP617" s="306" t="str">
        <f t="shared" ca="1" si="222"/>
        <v>Liam Millar (Canada)</v>
      </c>
    </row>
    <row r="618" spans="72:94" x14ac:dyDescent="0.3">
      <c r="BT618" s="306" t="str">
        <f t="shared" ca="1" si="218"/>
        <v>Canada</v>
      </c>
      <c r="BU618" s="306">
        <f t="shared" si="219"/>
        <v>17</v>
      </c>
      <c r="BV618" s="306">
        <f t="shared" si="220"/>
        <v>22</v>
      </c>
      <c r="BW618" s="306" t="str">
        <f ca="1">OFFSET(C3,BU618,BV618)</f>
        <v>Lucas Cavallini</v>
      </c>
      <c r="BX618" s="306">
        <f ca="1">COUNTIF('Group Stages'!J7:J102,BW618)</f>
        <v>0</v>
      </c>
      <c r="BY618" s="306">
        <f ca="1">COUNTIF('Group Stages'!K7:K102,BW618)</f>
        <v>0</v>
      </c>
      <c r="BZ618" s="306">
        <f ca="1">COUNTIF('Group Stages'!L7:L102,BW618)</f>
        <v>0</v>
      </c>
      <c r="CA618" s="306">
        <f ca="1">COUNTIF('Group Stages'!M7:M102,BW618)</f>
        <v>0</v>
      </c>
      <c r="CB618" s="306">
        <f ca="1">COUNTIF('Group Stages'!N7:N102,BW618)</f>
        <v>0</v>
      </c>
      <c r="CC618" s="306">
        <f ca="1">COUNTIF('Group Stages'!O7:O102,BW618)</f>
        <v>0</v>
      </c>
      <c r="CD618" s="306">
        <f ca="1">COUNTIF('Group Stages'!P7:P102,BW618)</f>
        <v>0</v>
      </c>
      <c r="CE618" s="306">
        <f ca="1">COUNTIF('Group Stages'!Q7:Q102,BW618)</f>
        <v>0</v>
      </c>
      <c r="CF618" s="306">
        <f ca="1">COUNTIF('Knock Out Stages'!K7:K50,BW618)</f>
        <v>0</v>
      </c>
      <c r="CG618" s="306">
        <f ca="1">COUNTIF('Knock Out Stages'!L7:L50,BW618)</f>
        <v>0</v>
      </c>
      <c r="CH618" s="306">
        <f ca="1">COUNTIF('Knock Out Stages'!M7:M50,BW618)</f>
        <v>0</v>
      </c>
      <c r="CI618" s="306">
        <f ca="1">COUNTIF('Knock Out Stages'!N7:N50,BW618)</f>
        <v>0</v>
      </c>
      <c r="CJ618" s="306">
        <f ca="1">COUNTIF('Knock Out Stages'!O7:O50,BW618)</f>
        <v>0</v>
      </c>
      <c r="CK618" s="306">
        <f ca="1">COUNTIF('Knock Out Stages'!P7:P50,BW618)</f>
        <v>0</v>
      </c>
      <c r="CL618" s="306">
        <f ca="1">COUNTIF('Knock Out Stages'!Q7:Q50,BW618)</f>
        <v>0</v>
      </c>
      <c r="CM618" s="306">
        <f ca="1">COUNTIF('Knock Out Stages'!R7:R50,BW618)</f>
        <v>0</v>
      </c>
      <c r="CN618" s="306">
        <f ca="1">IF(RIGHT('Group Stages'!$B$105,5)="T.com",SUM(BX618:CM618),0)</f>
        <v>0</v>
      </c>
      <c r="CO618" s="306">
        <f ca="1">RANK(CN618,CN3:CN834)+COUNTIF(CN3:CN618,CN618)-1</f>
        <v>616</v>
      </c>
      <c r="CP618" s="306" t="str">
        <f t="shared" ca="1" si="222"/>
        <v>Lucas Cavallini (Canada)</v>
      </c>
    </row>
    <row r="619" spans="72:94" x14ac:dyDescent="0.3">
      <c r="BT619" s="306" t="str">
        <f t="shared" ca="1" si="218"/>
        <v>Canada</v>
      </c>
      <c r="BU619" s="306">
        <f t="shared" si="219"/>
        <v>18</v>
      </c>
      <c r="BV619" s="306">
        <f t="shared" si="220"/>
        <v>22</v>
      </c>
      <c r="BW619" s="306" t="str">
        <f ca="1">OFFSET(C3,BU619,BV619)</f>
        <v>Mark-Anthony Kaye</v>
      </c>
      <c r="BX619" s="306">
        <f ca="1">COUNTIF('Group Stages'!J7:J102,BW619)</f>
        <v>0</v>
      </c>
      <c r="BY619" s="306">
        <f ca="1">COUNTIF('Group Stages'!K7:K102,BW619)</f>
        <v>0</v>
      </c>
      <c r="BZ619" s="306">
        <f ca="1">COUNTIF('Group Stages'!L7:L102,BW619)</f>
        <v>0</v>
      </c>
      <c r="CA619" s="306">
        <f ca="1">COUNTIF('Group Stages'!M7:M102,BW619)</f>
        <v>0</v>
      </c>
      <c r="CB619" s="306">
        <f ca="1">COUNTIF('Group Stages'!N7:N102,BW619)</f>
        <v>0</v>
      </c>
      <c r="CC619" s="306">
        <f ca="1">COUNTIF('Group Stages'!O7:O102,BW619)</f>
        <v>0</v>
      </c>
      <c r="CD619" s="306">
        <f ca="1">COUNTIF('Group Stages'!P7:P102,BW619)</f>
        <v>0</v>
      </c>
      <c r="CE619" s="306">
        <f ca="1">COUNTIF('Group Stages'!Q7:Q102,BW619)</f>
        <v>0</v>
      </c>
      <c r="CF619" s="306">
        <f ca="1">COUNTIF('Knock Out Stages'!K7:K50,BW619)</f>
        <v>0</v>
      </c>
      <c r="CG619" s="306">
        <f ca="1">COUNTIF('Knock Out Stages'!L7:L50,BW619)</f>
        <v>0</v>
      </c>
      <c r="CH619" s="306">
        <f ca="1">COUNTIF('Knock Out Stages'!M7:M50,BW619)</f>
        <v>0</v>
      </c>
      <c r="CI619" s="306">
        <f ca="1">COUNTIF('Knock Out Stages'!N7:N50,BW619)</f>
        <v>0</v>
      </c>
      <c r="CJ619" s="306">
        <f ca="1">COUNTIF('Knock Out Stages'!O7:O50,BW619)</f>
        <v>0</v>
      </c>
      <c r="CK619" s="306">
        <f ca="1">COUNTIF('Knock Out Stages'!P7:P50,BW619)</f>
        <v>0</v>
      </c>
      <c r="CL619" s="306">
        <f ca="1">COUNTIF('Knock Out Stages'!Q7:Q50,BW619)</f>
        <v>0</v>
      </c>
      <c r="CM619" s="306">
        <f ca="1">COUNTIF('Knock Out Stages'!R7:R50,BW619)</f>
        <v>0</v>
      </c>
      <c r="CN619" s="306">
        <f ca="1">IF(RIGHT('Group Stages'!$B$105,5)="T.com",SUM(BX619:CM619),0)</f>
        <v>0</v>
      </c>
      <c r="CO619" s="306">
        <f ca="1">RANK(CN619,CN3:CN834)+COUNTIF(CN3:CN619,CN619)-1</f>
        <v>617</v>
      </c>
      <c r="CP619" s="306" t="str">
        <f t="shared" ca="1" si="222"/>
        <v>Mark-Anthony Kaye (Canada)</v>
      </c>
    </row>
    <row r="620" spans="72:94" x14ac:dyDescent="0.3">
      <c r="BT620" s="306" t="str">
        <f t="shared" ca="1" si="218"/>
        <v>Canada</v>
      </c>
      <c r="BU620" s="306">
        <f t="shared" si="219"/>
        <v>19</v>
      </c>
      <c r="BV620" s="306">
        <f t="shared" si="220"/>
        <v>22</v>
      </c>
      <c r="BW620" s="306" t="str">
        <f ca="1">OFFSET(C3,BU620,BV620)</f>
        <v>Milan Borjan</v>
      </c>
      <c r="BX620" s="306">
        <f ca="1">COUNTIF('Group Stages'!J7:J102,BW620)</f>
        <v>0</v>
      </c>
      <c r="BY620" s="306">
        <f ca="1">COUNTIF('Group Stages'!K7:K102,BW620)</f>
        <v>0</v>
      </c>
      <c r="BZ620" s="306">
        <f ca="1">COUNTIF('Group Stages'!L7:L102,BW620)</f>
        <v>0</v>
      </c>
      <c r="CA620" s="306">
        <f ca="1">COUNTIF('Group Stages'!M7:M102,BW620)</f>
        <v>0</v>
      </c>
      <c r="CB620" s="306">
        <f ca="1">COUNTIF('Group Stages'!N7:N102,BW620)</f>
        <v>0</v>
      </c>
      <c r="CC620" s="306">
        <f ca="1">COUNTIF('Group Stages'!O7:O102,BW620)</f>
        <v>0</v>
      </c>
      <c r="CD620" s="306">
        <f ca="1">COUNTIF('Group Stages'!P7:P102,BW620)</f>
        <v>0</v>
      </c>
      <c r="CE620" s="306">
        <f ca="1">COUNTIF('Group Stages'!Q7:Q102,BW620)</f>
        <v>0</v>
      </c>
      <c r="CF620" s="306">
        <f ca="1">COUNTIF('Knock Out Stages'!K7:K50,BW620)</f>
        <v>0</v>
      </c>
      <c r="CG620" s="306">
        <f ca="1">COUNTIF('Knock Out Stages'!L7:L50,BW620)</f>
        <v>0</v>
      </c>
      <c r="CH620" s="306">
        <f ca="1">COUNTIF('Knock Out Stages'!M7:M50,BW620)</f>
        <v>0</v>
      </c>
      <c r="CI620" s="306">
        <f ca="1">COUNTIF('Knock Out Stages'!N7:N50,BW620)</f>
        <v>0</v>
      </c>
      <c r="CJ620" s="306">
        <f ca="1">COUNTIF('Knock Out Stages'!O7:O50,BW620)</f>
        <v>0</v>
      </c>
      <c r="CK620" s="306">
        <f ca="1">COUNTIF('Knock Out Stages'!P7:P50,BW620)</f>
        <v>0</v>
      </c>
      <c r="CL620" s="306">
        <f ca="1">COUNTIF('Knock Out Stages'!Q7:Q50,BW620)</f>
        <v>0</v>
      </c>
      <c r="CM620" s="306">
        <f ca="1">COUNTIF('Knock Out Stages'!R7:R50,BW620)</f>
        <v>0</v>
      </c>
      <c r="CN620" s="306">
        <f ca="1">IF(RIGHT('Group Stages'!$B$105,5)="T.com",SUM(BX620:CM620),0)</f>
        <v>0</v>
      </c>
      <c r="CO620" s="306">
        <f ca="1">RANK(CN620,CN3:CN834)+COUNTIF(CN3:CN620,CN620)-1</f>
        <v>618</v>
      </c>
      <c r="CP620" s="306" t="str">
        <f t="shared" ca="1" si="222"/>
        <v>Milan Borjan (Canada)</v>
      </c>
    </row>
    <row r="621" spans="72:94" x14ac:dyDescent="0.3">
      <c r="BT621" s="306" t="str">
        <f t="shared" ca="1" si="218"/>
        <v>Canada</v>
      </c>
      <c r="BU621" s="306">
        <f t="shared" si="219"/>
        <v>20</v>
      </c>
      <c r="BV621" s="306">
        <f t="shared" si="220"/>
        <v>22</v>
      </c>
      <c r="BW621" s="306" t="str">
        <f ca="1">OFFSET(C3,BU621,BV621)</f>
        <v>Richie Laryea</v>
      </c>
      <c r="BX621" s="306">
        <f ca="1">COUNTIF('Group Stages'!J7:J102,BW621)</f>
        <v>0</v>
      </c>
      <c r="BY621" s="306">
        <f ca="1">COUNTIF('Group Stages'!K7:K102,BW621)</f>
        <v>0</v>
      </c>
      <c r="BZ621" s="306">
        <f ca="1">COUNTIF('Group Stages'!L7:L102,BW621)</f>
        <v>0</v>
      </c>
      <c r="CA621" s="306">
        <f ca="1">COUNTIF('Group Stages'!M7:M102,BW621)</f>
        <v>0</v>
      </c>
      <c r="CB621" s="306">
        <f ca="1">COUNTIF('Group Stages'!N7:N102,BW621)</f>
        <v>0</v>
      </c>
      <c r="CC621" s="306">
        <f ca="1">COUNTIF('Group Stages'!O7:O102,BW621)</f>
        <v>0</v>
      </c>
      <c r="CD621" s="306">
        <f ca="1">COUNTIF('Group Stages'!P7:P102,BW621)</f>
        <v>0</v>
      </c>
      <c r="CE621" s="306">
        <f ca="1">COUNTIF('Group Stages'!Q7:Q102,BW621)</f>
        <v>0</v>
      </c>
      <c r="CF621" s="306">
        <f ca="1">COUNTIF('Knock Out Stages'!K7:K50,BW621)</f>
        <v>0</v>
      </c>
      <c r="CG621" s="306">
        <f ca="1">COUNTIF('Knock Out Stages'!L7:L50,BW621)</f>
        <v>0</v>
      </c>
      <c r="CH621" s="306">
        <f ca="1">COUNTIF('Knock Out Stages'!M7:M50,BW621)</f>
        <v>0</v>
      </c>
      <c r="CI621" s="306">
        <f ca="1">COUNTIF('Knock Out Stages'!N7:N50,BW621)</f>
        <v>0</v>
      </c>
      <c r="CJ621" s="306">
        <f ca="1">COUNTIF('Knock Out Stages'!O7:O50,BW621)</f>
        <v>0</v>
      </c>
      <c r="CK621" s="306">
        <f ca="1">COUNTIF('Knock Out Stages'!P7:P50,BW621)</f>
        <v>0</v>
      </c>
      <c r="CL621" s="306">
        <f ca="1">COUNTIF('Knock Out Stages'!Q7:Q50,BW621)</f>
        <v>0</v>
      </c>
      <c r="CM621" s="306">
        <f ca="1">COUNTIF('Knock Out Stages'!R7:R50,BW621)</f>
        <v>0</v>
      </c>
      <c r="CN621" s="306">
        <f ca="1">IF(RIGHT('Group Stages'!$B$105,5)="T.com",SUM(BX621:CM621),0)</f>
        <v>0</v>
      </c>
      <c r="CO621" s="306">
        <f ca="1">RANK(CN621,CN3:CN834)+COUNTIF(CN3:CN621,CN621)-1</f>
        <v>619</v>
      </c>
      <c r="CP621" s="306" t="str">
        <f t="shared" ca="1" si="222"/>
        <v>Richie Laryea (Canada)</v>
      </c>
    </row>
    <row r="622" spans="72:94" x14ac:dyDescent="0.3">
      <c r="BT622" s="306" t="str">
        <f t="shared" ca="1" si="218"/>
        <v>Canada</v>
      </c>
      <c r="BU622" s="306">
        <f t="shared" si="219"/>
        <v>21</v>
      </c>
      <c r="BV622" s="306">
        <f t="shared" si="220"/>
        <v>22</v>
      </c>
      <c r="BW622" s="306" t="str">
        <f ca="1">OFFSET(C3,BU622,BV622)</f>
        <v>Sam Adekugbe</v>
      </c>
      <c r="BX622" s="306">
        <f ca="1">COUNTIF('Group Stages'!J7:J102,BW622)</f>
        <v>0</v>
      </c>
      <c r="BY622" s="306">
        <f ca="1">COUNTIF('Group Stages'!K7:K102,BW622)</f>
        <v>0</v>
      </c>
      <c r="BZ622" s="306">
        <f ca="1">COUNTIF('Group Stages'!L7:L102,BW622)</f>
        <v>0</v>
      </c>
      <c r="CA622" s="306">
        <f ca="1">COUNTIF('Group Stages'!M7:M102,BW622)</f>
        <v>0</v>
      </c>
      <c r="CB622" s="306">
        <f ca="1">COUNTIF('Group Stages'!N7:N102,BW622)</f>
        <v>0</v>
      </c>
      <c r="CC622" s="306">
        <f ca="1">COUNTIF('Group Stages'!O7:O102,BW622)</f>
        <v>0</v>
      </c>
      <c r="CD622" s="306">
        <f ca="1">COUNTIF('Group Stages'!P7:P102,BW622)</f>
        <v>0</v>
      </c>
      <c r="CE622" s="306">
        <f ca="1">COUNTIF('Group Stages'!Q7:Q102,BW622)</f>
        <v>0</v>
      </c>
      <c r="CF622" s="306">
        <f ca="1">COUNTIF('Knock Out Stages'!K7:K50,BW622)</f>
        <v>0</v>
      </c>
      <c r="CG622" s="306">
        <f ca="1">COUNTIF('Knock Out Stages'!L7:L50,BW622)</f>
        <v>0</v>
      </c>
      <c r="CH622" s="306">
        <f ca="1">COUNTIF('Knock Out Stages'!M7:M50,BW622)</f>
        <v>0</v>
      </c>
      <c r="CI622" s="306">
        <f ca="1">COUNTIF('Knock Out Stages'!N7:N50,BW622)</f>
        <v>0</v>
      </c>
      <c r="CJ622" s="306">
        <f ca="1">COUNTIF('Knock Out Stages'!O7:O50,BW622)</f>
        <v>0</v>
      </c>
      <c r="CK622" s="306">
        <f ca="1">COUNTIF('Knock Out Stages'!P7:P50,BW622)</f>
        <v>0</v>
      </c>
      <c r="CL622" s="306">
        <f ca="1">COUNTIF('Knock Out Stages'!Q7:Q50,BW622)</f>
        <v>0</v>
      </c>
      <c r="CM622" s="306">
        <f ca="1">COUNTIF('Knock Out Stages'!R7:R50,BW622)</f>
        <v>0</v>
      </c>
      <c r="CN622" s="306">
        <f ca="1">IF(RIGHT('Group Stages'!$B$105,5)="T.com",SUM(BX622:CM622),0)</f>
        <v>0</v>
      </c>
      <c r="CO622" s="306">
        <f ca="1">RANK(CN622,CN3:CN834)+COUNTIF(CN3:CN622,CN622)-1</f>
        <v>620</v>
      </c>
      <c r="CP622" s="306" t="str">
        <f t="shared" ca="1" si="222"/>
        <v>Sam Adekugbe (Canada)</v>
      </c>
    </row>
    <row r="623" spans="72:94" x14ac:dyDescent="0.3">
      <c r="BT623" s="306" t="str">
        <f t="shared" ca="1" si="218"/>
        <v>Canada</v>
      </c>
      <c r="BU623" s="306">
        <f t="shared" si="219"/>
        <v>22</v>
      </c>
      <c r="BV623" s="306">
        <f t="shared" si="220"/>
        <v>22</v>
      </c>
      <c r="BW623" s="306" t="str">
        <f ca="1">OFFSET(C3,BU623,BV623)</f>
        <v>Samuel Piette</v>
      </c>
      <c r="BX623" s="306">
        <f ca="1">COUNTIF('Group Stages'!J7:J102,BW623)</f>
        <v>0</v>
      </c>
      <c r="BY623" s="306">
        <f ca="1">COUNTIF('Group Stages'!K7:K102,BW623)</f>
        <v>0</v>
      </c>
      <c r="BZ623" s="306">
        <f ca="1">COUNTIF('Group Stages'!L7:L102,BW623)</f>
        <v>0</v>
      </c>
      <c r="CA623" s="306">
        <f ca="1">COUNTIF('Group Stages'!M7:M102,BW623)</f>
        <v>0</v>
      </c>
      <c r="CB623" s="306">
        <f ca="1">COUNTIF('Group Stages'!N7:N102,BW623)</f>
        <v>0</v>
      </c>
      <c r="CC623" s="306">
        <f ca="1">COUNTIF('Group Stages'!O7:O102,BW623)</f>
        <v>0</v>
      </c>
      <c r="CD623" s="306">
        <f ca="1">COUNTIF('Group Stages'!P7:P102,BW623)</f>
        <v>0</v>
      </c>
      <c r="CE623" s="306">
        <f ca="1">COUNTIF('Group Stages'!Q7:Q102,BW623)</f>
        <v>0</v>
      </c>
      <c r="CF623" s="306">
        <f ca="1">COUNTIF('Knock Out Stages'!K7:K50,BW623)</f>
        <v>0</v>
      </c>
      <c r="CG623" s="306">
        <f ca="1">COUNTIF('Knock Out Stages'!L7:L50,BW623)</f>
        <v>0</v>
      </c>
      <c r="CH623" s="306">
        <f ca="1">COUNTIF('Knock Out Stages'!M7:M50,BW623)</f>
        <v>0</v>
      </c>
      <c r="CI623" s="306">
        <f ca="1">COUNTIF('Knock Out Stages'!N7:N50,BW623)</f>
        <v>0</v>
      </c>
      <c r="CJ623" s="306">
        <f ca="1">COUNTIF('Knock Out Stages'!O7:O50,BW623)</f>
        <v>0</v>
      </c>
      <c r="CK623" s="306">
        <f ca="1">COUNTIF('Knock Out Stages'!P7:P50,BW623)</f>
        <v>0</v>
      </c>
      <c r="CL623" s="306">
        <f ca="1">COUNTIF('Knock Out Stages'!Q7:Q50,BW623)</f>
        <v>0</v>
      </c>
      <c r="CM623" s="306">
        <f ca="1">COUNTIF('Knock Out Stages'!R7:R50,BW623)</f>
        <v>0</v>
      </c>
      <c r="CN623" s="306">
        <f ca="1">IF(RIGHT('Group Stages'!$B$105,5)="T.com",SUM(BX623:CM623),0)</f>
        <v>0</v>
      </c>
      <c r="CO623" s="306">
        <f ca="1">RANK(CN623,CN3:CN834)+COUNTIF(CN3:CN623,CN623)-1</f>
        <v>621</v>
      </c>
      <c r="CP623" s="306" t="str">
        <f t="shared" ca="1" si="222"/>
        <v>Samuel Piette (Canada)</v>
      </c>
    </row>
    <row r="624" spans="72:94" x14ac:dyDescent="0.3">
      <c r="BT624" s="306" t="str">
        <f t="shared" ca="1" si="218"/>
        <v>Canada</v>
      </c>
      <c r="BU624" s="306">
        <f t="shared" si="219"/>
        <v>23</v>
      </c>
      <c r="BV624" s="306">
        <f t="shared" si="220"/>
        <v>22</v>
      </c>
      <c r="BW624" s="306" t="str">
        <f ca="1">OFFSET(C3,BU624,BV624)</f>
        <v>Stephen Eustáquio</v>
      </c>
      <c r="BX624" s="306">
        <f ca="1">COUNTIF('Group Stages'!J7:J102,BW624)</f>
        <v>0</v>
      </c>
      <c r="BY624" s="306">
        <f ca="1">COUNTIF('Group Stages'!K7:K102,BW624)</f>
        <v>0</v>
      </c>
      <c r="BZ624" s="306">
        <f ca="1">COUNTIF('Group Stages'!L7:L102,BW624)</f>
        <v>0</v>
      </c>
      <c r="CA624" s="306">
        <f ca="1">COUNTIF('Group Stages'!M7:M102,BW624)</f>
        <v>0</v>
      </c>
      <c r="CB624" s="306">
        <f ca="1">COUNTIF('Group Stages'!N7:N102,BW624)</f>
        <v>0</v>
      </c>
      <c r="CC624" s="306">
        <f ca="1">COUNTIF('Group Stages'!O7:O102,BW624)</f>
        <v>0</v>
      </c>
      <c r="CD624" s="306">
        <f ca="1">COUNTIF('Group Stages'!P7:P102,BW624)</f>
        <v>0</v>
      </c>
      <c r="CE624" s="306">
        <f ca="1">COUNTIF('Group Stages'!Q7:Q102,BW624)</f>
        <v>0</v>
      </c>
      <c r="CF624" s="306">
        <f ca="1">COUNTIF('Knock Out Stages'!K7:K50,BW624)</f>
        <v>0</v>
      </c>
      <c r="CG624" s="306">
        <f ca="1">COUNTIF('Knock Out Stages'!L7:L50,BW624)</f>
        <v>0</v>
      </c>
      <c r="CH624" s="306">
        <f ca="1">COUNTIF('Knock Out Stages'!M7:M50,BW624)</f>
        <v>0</v>
      </c>
      <c r="CI624" s="306">
        <f ca="1">COUNTIF('Knock Out Stages'!N7:N50,BW624)</f>
        <v>0</v>
      </c>
      <c r="CJ624" s="306">
        <f ca="1">COUNTIF('Knock Out Stages'!O7:O50,BW624)</f>
        <v>0</v>
      </c>
      <c r="CK624" s="306">
        <f ca="1">COUNTIF('Knock Out Stages'!P7:P50,BW624)</f>
        <v>0</v>
      </c>
      <c r="CL624" s="306">
        <f ca="1">COUNTIF('Knock Out Stages'!Q7:Q50,BW624)</f>
        <v>0</v>
      </c>
      <c r="CM624" s="306">
        <f ca="1">COUNTIF('Knock Out Stages'!R7:R50,BW624)</f>
        <v>0</v>
      </c>
      <c r="CN624" s="306">
        <f ca="1">IF(RIGHT('Group Stages'!$B$105,5)="T.com",SUM(BX624:CM624),0)</f>
        <v>0</v>
      </c>
      <c r="CO624" s="306">
        <f ca="1">RANK(CN624,CN3:CN834)+COUNTIF(CN3:CN624,CN624)-1</f>
        <v>622</v>
      </c>
      <c r="CP624" s="306" t="str">
        <f t="shared" ca="1" si="222"/>
        <v>Stephen Eustáquio (Canada)</v>
      </c>
    </row>
    <row r="625" spans="72:94" x14ac:dyDescent="0.3">
      <c r="BT625" s="306" t="str">
        <f t="shared" ca="1" si="218"/>
        <v>Canada</v>
      </c>
      <c r="BU625" s="306">
        <f t="shared" si="219"/>
        <v>24</v>
      </c>
      <c r="BV625" s="306">
        <f t="shared" si="220"/>
        <v>22</v>
      </c>
      <c r="BW625" s="306" t="str">
        <f ca="1">OFFSET(C3,BU625,BV625)</f>
        <v>Steven Vitória</v>
      </c>
      <c r="BX625" s="306">
        <f ca="1">COUNTIF('Group Stages'!J7:J102,BW625)</f>
        <v>0</v>
      </c>
      <c r="BY625" s="306">
        <f ca="1">COUNTIF('Group Stages'!K7:K102,BW625)</f>
        <v>0</v>
      </c>
      <c r="BZ625" s="306">
        <f ca="1">COUNTIF('Group Stages'!L7:L102,BW625)</f>
        <v>0</v>
      </c>
      <c r="CA625" s="306">
        <f ca="1">COUNTIF('Group Stages'!M7:M102,BW625)</f>
        <v>0</v>
      </c>
      <c r="CB625" s="306">
        <f ca="1">COUNTIF('Group Stages'!N7:N102,BW625)</f>
        <v>0</v>
      </c>
      <c r="CC625" s="306">
        <f ca="1">COUNTIF('Group Stages'!O7:O102,BW625)</f>
        <v>0</v>
      </c>
      <c r="CD625" s="306">
        <f ca="1">COUNTIF('Group Stages'!P7:P102,BW625)</f>
        <v>0</v>
      </c>
      <c r="CE625" s="306">
        <f ca="1">COUNTIF('Group Stages'!Q7:Q102,BW625)</f>
        <v>0</v>
      </c>
      <c r="CF625" s="306">
        <f ca="1">COUNTIF('Knock Out Stages'!K7:K50,BW625)</f>
        <v>0</v>
      </c>
      <c r="CG625" s="306">
        <f ca="1">COUNTIF('Knock Out Stages'!L7:L50,BW625)</f>
        <v>0</v>
      </c>
      <c r="CH625" s="306">
        <f ca="1">COUNTIF('Knock Out Stages'!M7:M50,BW625)</f>
        <v>0</v>
      </c>
      <c r="CI625" s="306">
        <f ca="1">COUNTIF('Knock Out Stages'!N7:N50,BW625)</f>
        <v>0</v>
      </c>
      <c r="CJ625" s="306">
        <f ca="1">COUNTIF('Knock Out Stages'!O7:O50,BW625)</f>
        <v>0</v>
      </c>
      <c r="CK625" s="306">
        <f ca="1">COUNTIF('Knock Out Stages'!P7:P50,BW625)</f>
        <v>0</v>
      </c>
      <c r="CL625" s="306">
        <f ca="1">COUNTIF('Knock Out Stages'!Q7:Q50,BW625)</f>
        <v>0</v>
      </c>
      <c r="CM625" s="306">
        <f ca="1">COUNTIF('Knock Out Stages'!R7:R50,BW625)</f>
        <v>0</v>
      </c>
      <c r="CN625" s="306">
        <f ca="1">IF(RIGHT('Group Stages'!$B$105,5)="T.com",SUM(BX625:CM625),0)</f>
        <v>0</v>
      </c>
      <c r="CO625" s="306">
        <f ca="1">RANK(CN625,CN3:CN834)+COUNTIF(CN3:CN625,CN625)-1</f>
        <v>623</v>
      </c>
      <c r="CP625" s="306" t="str">
        <f t="shared" ca="1" si="222"/>
        <v>Steven Vitória (Canada)</v>
      </c>
    </row>
    <row r="626" spans="72:94" x14ac:dyDescent="0.3">
      <c r="BT626" s="306" t="str">
        <f t="shared" ca="1" si="218"/>
        <v>Canada</v>
      </c>
      <c r="BU626" s="306">
        <f t="shared" si="219"/>
        <v>25</v>
      </c>
      <c r="BV626" s="306">
        <f t="shared" si="220"/>
        <v>22</v>
      </c>
      <c r="BW626" s="306" t="str">
        <f ca="1">OFFSET(C3,BU626,BV626)</f>
        <v>Tajon Buchanan</v>
      </c>
      <c r="BX626" s="306">
        <f ca="1">COUNTIF('Group Stages'!J7:J102,BW626)</f>
        <v>0</v>
      </c>
      <c r="BY626" s="306">
        <f ca="1">COUNTIF('Group Stages'!K7:K102,BW626)</f>
        <v>0</v>
      </c>
      <c r="BZ626" s="306">
        <f ca="1">COUNTIF('Group Stages'!L7:L102,BW626)</f>
        <v>0</v>
      </c>
      <c r="CA626" s="306">
        <f ca="1">COUNTIF('Group Stages'!M7:M102,BW626)</f>
        <v>0</v>
      </c>
      <c r="CB626" s="306">
        <f ca="1">COUNTIF('Group Stages'!N7:N102,BW626)</f>
        <v>0</v>
      </c>
      <c r="CC626" s="306">
        <f ca="1">COUNTIF('Group Stages'!O7:O102,BW626)</f>
        <v>0</v>
      </c>
      <c r="CD626" s="306">
        <f ca="1">COUNTIF('Group Stages'!P7:P102,BW626)</f>
        <v>0</v>
      </c>
      <c r="CE626" s="306">
        <f ca="1">COUNTIF('Group Stages'!Q7:Q102,BW626)</f>
        <v>0</v>
      </c>
      <c r="CF626" s="306">
        <f ca="1">COUNTIF('Knock Out Stages'!K7:K50,BW626)</f>
        <v>0</v>
      </c>
      <c r="CG626" s="306">
        <f ca="1">COUNTIF('Knock Out Stages'!L7:L50,BW626)</f>
        <v>0</v>
      </c>
      <c r="CH626" s="306">
        <f ca="1">COUNTIF('Knock Out Stages'!M7:M50,BW626)</f>
        <v>0</v>
      </c>
      <c r="CI626" s="306">
        <f ca="1">COUNTIF('Knock Out Stages'!N7:N50,BW626)</f>
        <v>0</v>
      </c>
      <c r="CJ626" s="306">
        <f ca="1">COUNTIF('Knock Out Stages'!O7:O50,BW626)</f>
        <v>0</v>
      </c>
      <c r="CK626" s="306">
        <f ca="1">COUNTIF('Knock Out Stages'!P7:P50,BW626)</f>
        <v>0</v>
      </c>
      <c r="CL626" s="306">
        <f ca="1">COUNTIF('Knock Out Stages'!Q7:Q50,BW626)</f>
        <v>0</v>
      </c>
      <c r="CM626" s="306">
        <f ca="1">COUNTIF('Knock Out Stages'!R7:R50,BW626)</f>
        <v>0</v>
      </c>
      <c r="CN626" s="306">
        <f ca="1">IF(RIGHT('Group Stages'!$B$105,5)="T.com",SUM(BX626:CM626),0)</f>
        <v>0</v>
      </c>
      <c r="CO626" s="306">
        <f ca="1">RANK(CN626,CN3:CN834)+COUNTIF(CN3:CN626,CN626)-1</f>
        <v>624</v>
      </c>
      <c r="CP626" s="306" t="str">
        <f t="shared" ca="1" si="222"/>
        <v>Tajon Buchanan (Canada)</v>
      </c>
    </row>
    <row r="627" spans="72:94" x14ac:dyDescent="0.3">
      <c r="BT627" s="306" t="str">
        <f ca="1">OFFSET(C2,BU627,BV627)</f>
        <v>Brazil</v>
      </c>
      <c r="BU627" s="306">
        <f t="shared" si="219"/>
        <v>0</v>
      </c>
      <c r="BV627" s="306">
        <f t="shared" si="220"/>
        <v>23</v>
      </c>
      <c r="BW627" s="306" t="str">
        <f ca="1">OFFSET(C3,BU627,BV627)</f>
        <v>Alex Sandro</v>
      </c>
      <c r="BX627" s="306">
        <f ca="1">COUNTIF('Group Stages'!J7:J102,BW627)</f>
        <v>0</v>
      </c>
      <c r="BY627" s="306">
        <f ca="1">COUNTIF('Group Stages'!K7:K102,BW627)</f>
        <v>0</v>
      </c>
      <c r="BZ627" s="306">
        <f ca="1">COUNTIF('Group Stages'!L7:L102,BW627)</f>
        <v>0</v>
      </c>
      <c r="CA627" s="306">
        <f ca="1">COUNTIF('Group Stages'!M7:M102,BW627)</f>
        <v>0</v>
      </c>
      <c r="CB627" s="306">
        <f ca="1">COUNTIF('Group Stages'!N7:N102,BW627)</f>
        <v>0</v>
      </c>
      <c r="CC627" s="306">
        <f ca="1">COUNTIF('Group Stages'!O7:O102,BW627)</f>
        <v>0</v>
      </c>
      <c r="CD627" s="306">
        <f ca="1">COUNTIF('Group Stages'!P7:P102,BW627)</f>
        <v>0</v>
      </c>
      <c r="CE627" s="306">
        <f ca="1">COUNTIF('Group Stages'!Q7:Q102,BW627)</f>
        <v>0</v>
      </c>
      <c r="CF627" s="306">
        <f ca="1">COUNTIF('Knock Out Stages'!K7:K50,BW627)</f>
        <v>0</v>
      </c>
      <c r="CG627" s="306">
        <f ca="1">COUNTIF('Knock Out Stages'!L7:L50,BW627)</f>
        <v>0</v>
      </c>
      <c r="CH627" s="306">
        <f ca="1">COUNTIF('Knock Out Stages'!M7:M50,BW627)</f>
        <v>0</v>
      </c>
      <c r="CI627" s="306">
        <f ca="1">COUNTIF('Knock Out Stages'!N7:N50,BW627)</f>
        <v>0</v>
      </c>
      <c r="CJ627" s="306">
        <f ca="1">COUNTIF('Knock Out Stages'!O7:O50,BW627)</f>
        <v>0</v>
      </c>
      <c r="CK627" s="306">
        <f ca="1">COUNTIF('Knock Out Stages'!P7:P50,BW627)</f>
        <v>0</v>
      </c>
      <c r="CL627" s="306">
        <f ca="1">COUNTIF('Knock Out Stages'!Q7:Q50,BW627)</f>
        <v>0</v>
      </c>
      <c r="CM627" s="306">
        <f ca="1">COUNTIF('Knock Out Stages'!R7:R50,BW627)</f>
        <v>0</v>
      </c>
      <c r="CN627" s="306">
        <f ca="1">IF(RIGHT('Group Stages'!$B$105,5)="T.com",SUM(BX627:CM627),0)</f>
        <v>0</v>
      </c>
      <c r="CO627" s="306">
        <f ca="1">RANK(CN627,CN3:CN834)+COUNTIF(CN3:CN627,CN627)-1</f>
        <v>625</v>
      </c>
      <c r="CP627" s="306" t="str">
        <f t="shared" ca="1" si="222"/>
        <v>Alex Sandro (Brazil)</v>
      </c>
    </row>
    <row r="628" spans="72:94" x14ac:dyDescent="0.3">
      <c r="BT628" s="306" t="str">
        <f t="shared" ref="BT628" ca="1" si="224">BT627</f>
        <v>Brazil</v>
      </c>
      <c r="BU628" s="306">
        <f t="shared" si="219"/>
        <v>1</v>
      </c>
      <c r="BV628" s="306">
        <f t="shared" si="220"/>
        <v>23</v>
      </c>
      <c r="BW628" s="306" t="str">
        <f ca="1">OFFSET(C3,BU628,BV628)</f>
        <v>Alex Telles</v>
      </c>
      <c r="BX628" s="306">
        <f ca="1">COUNTIF('Group Stages'!J7:J102,BW628)</f>
        <v>0</v>
      </c>
      <c r="BY628" s="306">
        <f ca="1">COUNTIF('Group Stages'!K7:K102,BW628)</f>
        <v>0</v>
      </c>
      <c r="BZ628" s="306">
        <f ca="1">COUNTIF('Group Stages'!L7:L102,BW628)</f>
        <v>0</v>
      </c>
      <c r="CA628" s="306">
        <f ca="1">COUNTIF('Group Stages'!M7:M102,BW628)</f>
        <v>0</v>
      </c>
      <c r="CB628" s="306">
        <f ca="1">COUNTIF('Group Stages'!N7:N102,BW628)</f>
        <v>0</v>
      </c>
      <c r="CC628" s="306">
        <f ca="1">COUNTIF('Group Stages'!O7:O102,BW628)</f>
        <v>0</v>
      </c>
      <c r="CD628" s="306">
        <f ca="1">COUNTIF('Group Stages'!P7:P102,BW628)</f>
        <v>0</v>
      </c>
      <c r="CE628" s="306">
        <f ca="1">COUNTIF('Group Stages'!Q7:Q102,BW628)</f>
        <v>0</v>
      </c>
      <c r="CF628" s="306">
        <f ca="1">COUNTIF('Knock Out Stages'!K7:K50,BW628)</f>
        <v>0</v>
      </c>
      <c r="CG628" s="306">
        <f ca="1">COUNTIF('Knock Out Stages'!L7:L50,BW628)</f>
        <v>0</v>
      </c>
      <c r="CH628" s="306">
        <f ca="1">COUNTIF('Knock Out Stages'!M7:M50,BW628)</f>
        <v>0</v>
      </c>
      <c r="CI628" s="306">
        <f ca="1">COUNTIF('Knock Out Stages'!N7:N50,BW628)</f>
        <v>0</v>
      </c>
      <c r="CJ628" s="306">
        <f ca="1">COUNTIF('Knock Out Stages'!O7:O50,BW628)</f>
        <v>0</v>
      </c>
      <c r="CK628" s="306">
        <f ca="1">COUNTIF('Knock Out Stages'!P7:P50,BW628)</f>
        <v>0</v>
      </c>
      <c r="CL628" s="306">
        <f ca="1">COUNTIF('Knock Out Stages'!Q7:Q50,BW628)</f>
        <v>0</v>
      </c>
      <c r="CM628" s="306">
        <f ca="1">COUNTIF('Knock Out Stages'!R7:R50,BW628)</f>
        <v>0</v>
      </c>
      <c r="CN628" s="306">
        <f ca="1">IF(RIGHT('Group Stages'!$B$105,5)="T.com",SUM(BX628:CM628),0)</f>
        <v>0</v>
      </c>
      <c r="CO628" s="306">
        <f ca="1">RANK(CN628,CN3:CN834)+COUNTIF(CN3:CN628,CN628)-1</f>
        <v>626</v>
      </c>
      <c r="CP628" s="306" t="str">
        <f t="shared" ca="1" si="222"/>
        <v>Alex Telles (Brazil)</v>
      </c>
    </row>
    <row r="629" spans="72:94" x14ac:dyDescent="0.3">
      <c r="BT629" s="306" t="str">
        <f t="shared" ca="1" si="218"/>
        <v>Brazil</v>
      </c>
      <c r="BU629" s="306">
        <f t="shared" si="219"/>
        <v>2</v>
      </c>
      <c r="BV629" s="306">
        <f t="shared" si="220"/>
        <v>23</v>
      </c>
      <c r="BW629" s="306" t="str">
        <f ca="1">OFFSET(C3,BU629,BV629)</f>
        <v>Alisson</v>
      </c>
      <c r="BX629" s="306">
        <f ca="1">COUNTIF('Group Stages'!J7:J102,BW629)</f>
        <v>0</v>
      </c>
      <c r="BY629" s="306">
        <f ca="1">COUNTIF('Group Stages'!K7:K102,BW629)</f>
        <v>0</v>
      </c>
      <c r="BZ629" s="306">
        <f ca="1">COUNTIF('Group Stages'!L7:L102,BW629)</f>
        <v>0</v>
      </c>
      <c r="CA629" s="306">
        <f ca="1">COUNTIF('Group Stages'!M7:M102,BW629)</f>
        <v>0</v>
      </c>
      <c r="CB629" s="306">
        <f ca="1">COUNTIF('Group Stages'!N7:N102,BW629)</f>
        <v>0</v>
      </c>
      <c r="CC629" s="306">
        <f ca="1">COUNTIF('Group Stages'!O7:O102,BW629)</f>
        <v>0</v>
      </c>
      <c r="CD629" s="306">
        <f ca="1">COUNTIF('Group Stages'!P7:P102,BW629)</f>
        <v>0</v>
      </c>
      <c r="CE629" s="306">
        <f ca="1">COUNTIF('Group Stages'!Q7:Q102,BW629)</f>
        <v>0</v>
      </c>
      <c r="CF629" s="306">
        <f ca="1">COUNTIF('Knock Out Stages'!K7:K50,BW629)</f>
        <v>0</v>
      </c>
      <c r="CG629" s="306">
        <f ca="1">COUNTIF('Knock Out Stages'!L7:L50,BW629)</f>
        <v>0</v>
      </c>
      <c r="CH629" s="306">
        <f ca="1">COUNTIF('Knock Out Stages'!M7:M50,BW629)</f>
        <v>0</v>
      </c>
      <c r="CI629" s="306">
        <f ca="1">COUNTIF('Knock Out Stages'!N7:N50,BW629)</f>
        <v>0</v>
      </c>
      <c r="CJ629" s="306">
        <f ca="1">COUNTIF('Knock Out Stages'!O7:O50,BW629)</f>
        <v>0</v>
      </c>
      <c r="CK629" s="306">
        <f ca="1">COUNTIF('Knock Out Stages'!P7:P50,BW629)</f>
        <v>0</v>
      </c>
      <c r="CL629" s="306">
        <f ca="1">COUNTIF('Knock Out Stages'!Q7:Q50,BW629)</f>
        <v>0</v>
      </c>
      <c r="CM629" s="306">
        <f ca="1">COUNTIF('Knock Out Stages'!R7:R50,BW629)</f>
        <v>0</v>
      </c>
      <c r="CN629" s="306">
        <f ca="1">IF(RIGHT('Group Stages'!$B$105,5)="T.com",SUM(BX629:CM629),0)</f>
        <v>0</v>
      </c>
      <c r="CO629" s="306">
        <f ca="1">RANK(CN629,CN3:CN834)+COUNTIF(CN3:CN629,CN629)-1</f>
        <v>627</v>
      </c>
      <c r="CP629" s="306" t="str">
        <f t="shared" ca="1" si="222"/>
        <v>Alisson (Brazil)</v>
      </c>
    </row>
    <row r="630" spans="72:94" x14ac:dyDescent="0.3">
      <c r="BT630" s="306" t="str">
        <f t="shared" ca="1" si="218"/>
        <v>Brazil</v>
      </c>
      <c r="BU630" s="306">
        <f t="shared" si="219"/>
        <v>3</v>
      </c>
      <c r="BV630" s="306">
        <f t="shared" si="220"/>
        <v>23</v>
      </c>
      <c r="BW630" s="306" t="str">
        <f ca="1">OFFSET(C3,BU630,BV630)</f>
        <v>Antony</v>
      </c>
      <c r="BX630" s="306">
        <f ca="1">COUNTIF('Group Stages'!J7:J102,BW630)</f>
        <v>0</v>
      </c>
      <c r="BY630" s="306">
        <f ca="1">COUNTIF('Group Stages'!K7:K102,BW630)</f>
        <v>0</v>
      </c>
      <c r="BZ630" s="306">
        <f ca="1">COUNTIF('Group Stages'!L7:L102,BW630)</f>
        <v>0</v>
      </c>
      <c r="CA630" s="306">
        <f ca="1">COUNTIF('Group Stages'!M7:M102,BW630)</f>
        <v>0</v>
      </c>
      <c r="CB630" s="306">
        <f ca="1">COUNTIF('Group Stages'!N7:N102,BW630)</f>
        <v>0</v>
      </c>
      <c r="CC630" s="306">
        <f ca="1">COUNTIF('Group Stages'!O7:O102,BW630)</f>
        <v>0</v>
      </c>
      <c r="CD630" s="306">
        <f ca="1">COUNTIF('Group Stages'!P7:P102,BW630)</f>
        <v>0</v>
      </c>
      <c r="CE630" s="306">
        <f ca="1">COUNTIF('Group Stages'!Q7:Q102,BW630)</f>
        <v>0</v>
      </c>
      <c r="CF630" s="306">
        <f ca="1">COUNTIF('Knock Out Stages'!K7:K50,BW630)</f>
        <v>0</v>
      </c>
      <c r="CG630" s="306">
        <f ca="1">COUNTIF('Knock Out Stages'!L7:L50,BW630)</f>
        <v>0</v>
      </c>
      <c r="CH630" s="306">
        <f ca="1">COUNTIF('Knock Out Stages'!M7:M50,BW630)</f>
        <v>0</v>
      </c>
      <c r="CI630" s="306">
        <f ca="1">COUNTIF('Knock Out Stages'!N7:N50,BW630)</f>
        <v>0</v>
      </c>
      <c r="CJ630" s="306">
        <f ca="1">COUNTIF('Knock Out Stages'!O7:O50,BW630)</f>
        <v>0</v>
      </c>
      <c r="CK630" s="306">
        <f ca="1">COUNTIF('Knock Out Stages'!P7:P50,BW630)</f>
        <v>0</v>
      </c>
      <c r="CL630" s="306">
        <f ca="1">COUNTIF('Knock Out Stages'!Q7:Q50,BW630)</f>
        <v>0</v>
      </c>
      <c r="CM630" s="306">
        <f ca="1">COUNTIF('Knock Out Stages'!R7:R50,BW630)</f>
        <v>0</v>
      </c>
      <c r="CN630" s="306">
        <f ca="1">IF(RIGHT('Group Stages'!$B$105,5)="T.com",SUM(BX630:CM630),0)</f>
        <v>0</v>
      </c>
      <c r="CO630" s="306">
        <f ca="1">RANK(CN630,CN3:CN834)+COUNTIF(CN3:CN630,CN630)-1</f>
        <v>628</v>
      </c>
      <c r="CP630" s="306" t="str">
        <f t="shared" ca="1" si="222"/>
        <v>Antony (Brazil)</v>
      </c>
    </row>
    <row r="631" spans="72:94" x14ac:dyDescent="0.3">
      <c r="BT631" s="306" t="str">
        <f t="shared" ca="1" si="218"/>
        <v>Brazil</v>
      </c>
      <c r="BU631" s="306">
        <f t="shared" si="219"/>
        <v>4</v>
      </c>
      <c r="BV631" s="306">
        <f t="shared" si="220"/>
        <v>23</v>
      </c>
      <c r="BW631" s="306" t="str">
        <f ca="1">OFFSET(C3,BU631,BV631)</f>
        <v>Bremer</v>
      </c>
      <c r="BX631" s="306">
        <f ca="1">COUNTIF('Group Stages'!J7:J102,BW631)</f>
        <v>0</v>
      </c>
      <c r="BY631" s="306">
        <f ca="1">COUNTIF('Group Stages'!K7:K102,BW631)</f>
        <v>0</v>
      </c>
      <c r="BZ631" s="306">
        <f ca="1">COUNTIF('Group Stages'!L7:L102,BW631)</f>
        <v>0</v>
      </c>
      <c r="CA631" s="306">
        <f ca="1">COUNTIF('Group Stages'!M7:M102,BW631)</f>
        <v>0</v>
      </c>
      <c r="CB631" s="306">
        <f ca="1">COUNTIF('Group Stages'!N7:N102,BW631)</f>
        <v>0</v>
      </c>
      <c r="CC631" s="306">
        <f ca="1">COUNTIF('Group Stages'!O7:O102,BW631)</f>
        <v>0</v>
      </c>
      <c r="CD631" s="306">
        <f ca="1">COUNTIF('Group Stages'!P7:P102,BW631)</f>
        <v>0</v>
      </c>
      <c r="CE631" s="306">
        <f ca="1">COUNTIF('Group Stages'!Q7:Q102,BW631)</f>
        <v>0</v>
      </c>
      <c r="CF631" s="306">
        <f ca="1">COUNTIF('Knock Out Stages'!K7:K50,BW631)</f>
        <v>0</v>
      </c>
      <c r="CG631" s="306">
        <f ca="1">COUNTIF('Knock Out Stages'!L7:L50,BW631)</f>
        <v>0</v>
      </c>
      <c r="CH631" s="306">
        <f ca="1">COUNTIF('Knock Out Stages'!M7:M50,BW631)</f>
        <v>0</v>
      </c>
      <c r="CI631" s="306">
        <f ca="1">COUNTIF('Knock Out Stages'!N7:N50,BW631)</f>
        <v>0</v>
      </c>
      <c r="CJ631" s="306">
        <f ca="1">COUNTIF('Knock Out Stages'!O7:O50,BW631)</f>
        <v>0</v>
      </c>
      <c r="CK631" s="306">
        <f ca="1">COUNTIF('Knock Out Stages'!P7:P50,BW631)</f>
        <v>0</v>
      </c>
      <c r="CL631" s="306">
        <f ca="1">COUNTIF('Knock Out Stages'!Q7:Q50,BW631)</f>
        <v>0</v>
      </c>
      <c r="CM631" s="306">
        <f ca="1">COUNTIF('Knock Out Stages'!R7:R50,BW631)</f>
        <v>0</v>
      </c>
      <c r="CN631" s="306">
        <f ca="1">IF(RIGHT('Group Stages'!$B$105,5)="T.com",SUM(BX631:CM631),0)</f>
        <v>0</v>
      </c>
      <c r="CO631" s="306">
        <f ca="1">RANK(CN631,CN3:CN834)+COUNTIF(CN3:CN631,CN631)-1</f>
        <v>629</v>
      </c>
      <c r="CP631" s="306" t="str">
        <f t="shared" ca="1" si="222"/>
        <v>Bremer (Brazil)</v>
      </c>
    </row>
    <row r="632" spans="72:94" x14ac:dyDescent="0.3">
      <c r="BT632" s="306" t="str">
        <f t="shared" ref="BT632:BT695" ca="1" si="225">BT631</f>
        <v>Brazil</v>
      </c>
      <c r="BU632" s="306">
        <f t="shared" ref="BU632:BU695" si="226">BU606</f>
        <v>5</v>
      </c>
      <c r="BV632" s="306">
        <f t="shared" ref="BV632:BV695" si="227">BV606+1</f>
        <v>23</v>
      </c>
      <c r="BW632" s="306" t="str">
        <f ca="1">OFFSET(C3,BU632,BV632)</f>
        <v>Bruno Guimarães</v>
      </c>
      <c r="BX632" s="306">
        <f ca="1">COUNTIF('Group Stages'!J7:J102,BW632)</f>
        <v>0</v>
      </c>
      <c r="BY632" s="306">
        <f ca="1">COUNTIF('Group Stages'!K7:K102,BW632)</f>
        <v>0</v>
      </c>
      <c r="BZ632" s="306">
        <f ca="1">COUNTIF('Group Stages'!L7:L102,BW632)</f>
        <v>0</v>
      </c>
      <c r="CA632" s="306">
        <f ca="1">COUNTIF('Group Stages'!M7:M102,BW632)</f>
        <v>0</v>
      </c>
      <c r="CB632" s="306">
        <f ca="1">COUNTIF('Group Stages'!N7:N102,BW632)</f>
        <v>0</v>
      </c>
      <c r="CC632" s="306">
        <f ca="1">COUNTIF('Group Stages'!O7:O102,BW632)</f>
        <v>0</v>
      </c>
      <c r="CD632" s="306">
        <f ca="1">COUNTIF('Group Stages'!P7:P102,BW632)</f>
        <v>0</v>
      </c>
      <c r="CE632" s="306">
        <f ca="1">COUNTIF('Group Stages'!Q7:Q102,BW632)</f>
        <v>0</v>
      </c>
      <c r="CF632" s="306">
        <f ca="1">COUNTIF('Knock Out Stages'!K7:K50,BW632)</f>
        <v>0</v>
      </c>
      <c r="CG632" s="306">
        <f ca="1">COUNTIF('Knock Out Stages'!L7:L50,BW632)</f>
        <v>0</v>
      </c>
      <c r="CH632" s="306">
        <f ca="1">COUNTIF('Knock Out Stages'!M7:M50,BW632)</f>
        <v>0</v>
      </c>
      <c r="CI632" s="306">
        <f ca="1">COUNTIF('Knock Out Stages'!N7:N50,BW632)</f>
        <v>0</v>
      </c>
      <c r="CJ632" s="306">
        <f ca="1">COUNTIF('Knock Out Stages'!O7:O50,BW632)</f>
        <v>0</v>
      </c>
      <c r="CK632" s="306">
        <f ca="1">COUNTIF('Knock Out Stages'!P7:P50,BW632)</f>
        <v>0</v>
      </c>
      <c r="CL632" s="306">
        <f ca="1">COUNTIF('Knock Out Stages'!Q7:Q50,BW632)</f>
        <v>0</v>
      </c>
      <c r="CM632" s="306">
        <f ca="1">COUNTIF('Knock Out Stages'!R7:R50,BW632)</f>
        <v>0</v>
      </c>
      <c r="CN632" s="306">
        <f ca="1">IF(RIGHT('Group Stages'!$B$105,5)="T.com",SUM(BX632:CM632),0)</f>
        <v>0</v>
      </c>
      <c r="CO632" s="306">
        <f ca="1">RANK(CN632,CN3:CN834)+COUNTIF(CN3:CN632,CN632)-1</f>
        <v>630</v>
      </c>
      <c r="CP632" s="306" t="str">
        <f t="shared" ca="1" si="222"/>
        <v>Bruno Guimarães (Brazil)</v>
      </c>
    </row>
    <row r="633" spans="72:94" x14ac:dyDescent="0.3">
      <c r="BT633" s="306" t="str">
        <f t="shared" ca="1" si="225"/>
        <v>Brazil</v>
      </c>
      <c r="BU633" s="306">
        <f t="shared" si="226"/>
        <v>6</v>
      </c>
      <c r="BV633" s="306">
        <f t="shared" si="227"/>
        <v>23</v>
      </c>
      <c r="BW633" s="306" t="str">
        <f ca="1">OFFSET(C3,BU633,BV633)</f>
        <v>Casemiro</v>
      </c>
      <c r="BX633" s="306">
        <f ca="1">COUNTIF('Group Stages'!J7:J102,BW633)</f>
        <v>0</v>
      </c>
      <c r="BY633" s="306">
        <f ca="1">COUNTIF('Group Stages'!K7:K102,BW633)</f>
        <v>0</v>
      </c>
      <c r="BZ633" s="306">
        <f ca="1">COUNTIF('Group Stages'!L7:L102,BW633)</f>
        <v>0</v>
      </c>
      <c r="CA633" s="306">
        <f ca="1">COUNTIF('Group Stages'!M7:M102,BW633)</f>
        <v>0</v>
      </c>
      <c r="CB633" s="306">
        <f ca="1">COUNTIF('Group Stages'!N7:N102,BW633)</f>
        <v>0</v>
      </c>
      <c r="CC633" s="306">
        <f ca="1">COUNTIF('Group Stages'!O7:O102,BW633)</f>
        <v>0</v>
      </c>
      <c r="CD633" s="306">
        <f ca="1">COUNTIF('Group Stages'!P7:P102,BW633)</f>
        <v>0</v>
      </c>
      <c r="CE633" s="306">
        <f ca="1">COUNTIF('Group Stages'!Q7:Q102,BW633)</f>
        <v>0</v>
      </c>
      <c r="CF633" s="306">
        <f ca="1">COUNTIF('Knock Out Stages'!K7:K50,BW633)</f>
        <v>0</v>
      </c>
      <c r="CG633" s="306">
        <f ca="1">COUNTIF('Knock Out Stages'!L7:L50,BW633)</f>
        <v>0</v>
      </c>
      <c r="CH633" s="306">
        <f ca="1">COUNTIF('Knock Out Stages'!M7:M50,BW633)</f>
        <v>0</v>
      </c>
      <c r="CI633" s="306">
        <f ca="1">COUNTIF('Knock Out Stages'!N7:N50,BW633)</f>
        <v>0</v>
      </c>
      <c r="CJ633" s="306">
        <f ca="1">COUNTIF('Knock Out Stages'!O7:O50,BW633)</f>
        <v>0</v>
      </c>
      <c r="CK633" s="306">
        <f ca="1">COUNTIF('Knock Out Stages'!P7:P50,BW633)</f>
        <v>0</v>
      </c>
      <c r="CL633" s="306">
        <f ca="1">COUNTIF('Knock Out Stages'!Q7:Q50,BW633)</f>
        <v>0</v>
      </c>
      <c r="CM633" s="306">
        <f ca="1">COUNTIF('Knock Out Stages'!R7:R50,BW633)</f>
        <v>0</v>
      </c>
      <c r="CN633" s="306">
        <f ca="1">IF(RIGHT('Group Stages'!$B$105,5)="T.com",SUM(BX633:CM633),0)</f>
        <v>0</v>
      </c>
      <c r="CO633" s="306">
        <f ca="1">RANK(CN633,CN3:CN834)+COUNTIF(CN3:CN633,CN633)-1</f>
        <v>631</v>
      </c>
      <c r="CP633" s="306" t="str">
        <f t="shared" ca="1" si="222"/>
        <v>Casemiro (Brazil)</v>
      </c>
    </row>
    <row r="634" spans="72:94" x14ac:dyDescent="0.3">
      <c r="BT634" s="306" t="str">
        <f t="shared" ca="1" si="225"/>
        <v>Brazil</v>
      </c>
      <c r="BU634" s="306">
        <f t="shared" si="226"/>
        <v>7</v>
      </c>
      <c r="BV634" s="306">
        <f t="shared" si="227"/>
        <v>23</v>
      </c>
      <c r="BW634" s="306" t="str">
        <f ca="1">OFFSET(C3,BU634,BV634)</f>
        <v>Dani Alves</v>
      </c>
      <c r="BX634" s="306">
        <f ca="1">COUNTIF('Group Stages'!J7:J102,BW634)</f>
        <v>0</v>
      </c>
      <c r="BY634" s="306">
        <f ca="1">COUNTIF('Group Stages'!K7:K102,BW634)</f>
        <v>0</v>
      </c>
      <c r="BZ634" s="306">
        <f ca="1">COUNTIF('Group Stages'!L7:L102,BW634)</f>
        <v>0</v>
      </c>
      <c r="CA634" s="306">
        <f ca="1">COUNTIF('Group Stages'!M7:M102,BW634)</f>
        <v>0</v>
      </c>
      <c r="CB634" s="306">
        <f ca="1">COUNTIF('Group Stages'!N7:N102,BW634)</f>
        <v>0</v>
      </c>
      <c r="CC634" s="306">
        <f ca="1">COUNTIF('Group Stages'!O7:O102,BW634)</f>
        <v>0</v>
      </c>
      <c r="CD634" s="306">
        <f ca="1">COUNTIF('Group Stages'!P7:P102,BW634)</f>
        <v>0</v>
      </c>
      <c r="CE634" s="306">
        <f ca="1">COUNTIF('Group Stages'!Q7:Q102,BW634)</f>
        <v>0</v>
      </c>
      <c r="CF634" s="306">
        <f ca="1">COUNTIF('Knock Out Stages'!K7:K50,BW634)</f>
        <v>0</v>
      </c>
      <c r="CG634" s="306">
        <f ca="1">COUNTIF('Knock Out Stages'!L7:L50,BW634)</f>
        <v>0</v>
      </c>
      <c r="CH634" s="306">
        <f ca="1">COUNTIF('Knock Out Stages'!M7:M50,BW634)</f>
        <v>0</v>
      </c>
      <c r="CI634" s="306">
        <f ca="1">COUNTIF('Knock Out Stages'!N7:N50,BW634)</f>
        <v>0</v>
      </c>
      <c r="CJ634" s="306">
        <f ca="1">COUNTIF('Knock Out Stages'!O7:O50,BW634)</f>
        <v>0</v>
      </c>
      <c r="CK634" s="306">
        <f ca="1">COUNTIF('Knock Out Stages'!P7:P50,BW634)</f>
        <v>0</v>
      </c>
      <c r="CL634" s="306">
        <f ca="1">COUNTIF('Knock Out Stages'!Q7:Q50,BW634)</f>
        <v>0</v>
      </c>
      <c r="CM634" s="306">
        <f ca="1">COUNTIF('Knock Out Stages'!R7:R50,BW634)</f>
        <v>0</v>
      </c>
      <c r="CN634" s="306">
        <f ca="1">IF(RIGHT('Group Stages'!$B$105,5)="T.com",SUM(BX634:CM634),0)</f>
        <v>0</v>
      </c>
      <c r="CO634" s="306">
        <f ca="1">RANK(CN634,CN3:CN834)+COUNTIF(CN3:CN634,CN634)-1</f>
        <v>632</v>
      </c>
      <c r="CP634" s="306" t="str">
        <f t="shared" ca="1" si="222"/>
        <v>Dani Alves (Brazil)</v>
      </c>
    </row>
    <row r="635" spans="72:94" x14ac:dyDescent="0.3">
      <c r="BT635" s="306" t="str">
        <f t="shared" ca="1" si="225"/>
        <v>Brazil</v>
      </c>
      <c r="BU635" s="306">
        <f t="shared" si="226"/>
        <v>8</v>
      </c>
      <c r="BV635" s="306">
        <f t="shared" si="227"/>
        <v>23</v>
      </c>
      <c r="BW635" s="306" t="str">
        <f ca="1">OFFSET(C3,BU635,BV635)</f>
        <v>Danilo</v>
      </c>
      <c r="BX635" s="306">
        <f ca="1">COUNTIF('Group Stages'!J7:J102,BW635)</f>
        <v>0</v>
      </c>
      <c r="BY635" s="306">
        <f ca="1">COUNTIF('Group Stages'!K7:K102,BW635)</f>
        <v>0</v>
      </c>
      <c r="BZ635" s="306">
        <f ca="1">COUNTIF('Group Stages'!L7:L102,BW635)</f>
        <v>0</v>
      </c>
      <c r="CA635" s="306">
        <f ca="1">COUNTIF('Group Stages'!M7:M102,BW635)</f>
        <v>0</v>
      </c>
      <c r="CB635" s="306">
        <f ca="1">COUNTIF('Group Stages'!N7:N102,BW635)</f>
        <v>0</v>
      </c>
      <c r="CC635" s="306">
        <f ca="1">COUNTIF('Group Stages'!O7:O102,BW635)</f>
        <v>0</v>
      </c>
      <c r="CD635" s="306">
        <f ca="1">COUNTIF('Group Stages'!P7:P102,BW635)</f>
        <v>0</v>
      </c>
      <c r="CE635" s="306">
        <f ca="1">COUNTIF('Group Stages'!Q7:Q102,BW635)</f>
        <v>0</v>
      </c>
      <c r="CF635" s="306">
        <f ca="1">COUNTIF('Knock Out Stages'!K7:K50,BW635)</f>
        <v>0</v>
      </c>
      <c r="CG635" s="306">
        <f ca="1">COUNTIF('Knock Out Stages'!L7:L50,BW635)</f>
        <v>0</v>
      </c>
      <c r="CH635" s="306">
        <f ca="1">COUNTIF('Knock Out Stages'!M7:M50,BW635)</f>
        <v>0</v>
      </c>
      <c r="CI635" s="306">
        <f ca="1">COUNTIF('Knock Out Stages'!N7:N50,BW635)</f>
        <v>0</v>
      </c>
      <c r="CJ635" s="306">
        <f ca="1">COUNTIF('Knock Out Stages'!O7:O50,BW635)</f>
        <v>0</v>
      </c>
      <c r="CK635" s="306">
        <f ca="1">COUNTIF('Knock Out Stages'!P7:P50,BW635)</f>
        <v>0</v>
      </c>
      <c r="CL635" s="306">
        <f ca="1">COUNTIF('Knock Out Stages'!Q7:Q50,BW635)</f>
        <v>0</v>
      </c>
      <c r="CM635" s="306">
        <f ca="1">COUNTIF('Knock Out Stages'!R7:R50,BW635)</f>
        <v>0</v>
      </c>
      <c r="CN635" s="306">
        <f ca="1">IF(RIGHT('Group Stages'!$B$105,5)="T.com",SUM(BX635:CM635),0)</f>
        <v>0</v>
      </c>
      <c r="CO635" s="306">
        <f ca="1">RANK(CN635,CN3:CN834)+COUNTIF(CN3:CN635,CN635)-1</f>
        <v>633</v>
      </c>
      <c r="CP635" s="306" t="str">
        <f t="shared" ca="1" si="222"/>
        <v>Danilo (Brazil)</v>
      </c>
    </row>
    <row r="636" spans="72:94" x14ac:dyDescent="0.3">
      <c r="BT636" s="306" t="str">
        <f t="shared" ca="1" si="225"/>
        <v>Brazil</v>
      </c>
      <c r="BU636" s="306">
        <f t="shared" si="226"/>
        <v>9</v>
      </c>
      <c r="BV636" s="306">
        <f t="shared" si="227"/>
        <v>23</v>
      </c>
      <c r="BW636" s="306" t="str">
        <f ca="1">OFFSET(C3,BU636,BV636)</f>
        <v>Éder Militão</v>
      </c>
      <c r="BX636" s="306">
        <f ca="1">COUNTIF('Group Stages'!J7:J102,BW636)</f>
        <v>0</v>
      </c>
      <c r="BY636" s="306">
        <f ca="1">COUNTIF('Group Stages'!K7:K102,BW636)</f>
        <v>0</v>
      </c>
      <c r="BZ636" s="306">
        <f ca="1">COUNTIF('Group Stages'!L7:L102,BW636)</f>
        <v>0</v>
      </c>
      <c r="CA636" s="306">
        <f ca="1">COUNTIF('Group Stages'!M7:M102,BW636)</f>
        <v>0</v>
      </c>
      <c r="CB636" s="306">
        <f ca="1">COUNTIF('Group Stages'!N7:N102,BW636)</f>
        <v>0</v>
      </c>
      <c r="CC636" s="306">
        <f ca="1">COUNTIF('Group Stages'!O7:O102,BW636)</f>
        <v>0</v>
      </c>
      <c r="CD636" s="306">
        <f ca="1">COUNTIF('Group Stages'!P7:P102,BW636)</f>
        <v>0</v>
      </c>
      <c r="CE636" s="306">
        <f ca="1">COUNTIF('Group Stages'!Q7:Q102,BW636)</f>
        <v>0</v>
      </c>
      <c r="CF636" s="306">
        <f ca="1">COUNTIF('Knock Out Stages'!K7:K50,BW636)</f>
        <v>0</v>
      </c>
      <c r="CG636" s="306">
        <f ca="1">COUNTIF('Knock Out Stages'!L7:L50,BW636)</f>
        <v>0</v>
      </c>
      <c r="CH636" s="306">
        <f ca="1">COUNTIF('Knock Out Stages'!M7:M50,BW636)</f>
        <v>0</v>
      </c>
      <c r="CI636" s="306">
        <f ca="1">COUNTIF('Knock Out Stages'!N7:N50,BW636)</f>
        <v>0</v>
      </c>
      <c r="CJ636" s="306">
        <f ca="1">COUNTIF('Knock Out Stages'!O7:O50,BW636)</f>
        <v>0</v>
      </c>
      <c r="CK636" s="306">
        <f ca="1">COUNTIF('Knock Out Stages'!P7:P50,BW636)</f>
        <v>0</v>
      </c>
      <c r="CL636" s="306">
        <f ca="1">COUNTIF('Knock Out Stages'!Q7:Q50,BW636)</f>
        <v>0</v>
      </c>
      <c r="CM636" s="306">
        <f ca="1">COUNTIF('Knock Out Stages'!R7:R50,BW636)</f>
        <v>0</v>
      </c>
      <c r="CN636" s="306">
        <f ca="1">IF(RIGHT('Group Stages'!$B$105,5)="T.com",SUM(BX636:CM636),0)</f>
        <v>0</v>
      </c>
      <c r="CO636" s="306">
        <f ca="1">RANK(CN636,CN3:CN834)+COUNTIF(CN3:CN636,CN636)-1</f>
        <v>634</v>
      </c>
      <c r="CP636" s="306" t="str">
        <f t="shared" ca="1" si="222"/>
        <v>Éder Militão (Brazil)</v>
      </c>
    </row>
    <row r="637" spans="72:94" x14ac:dyDescent="0.3">
      <c r="BT637" s="306" t="str">
        <f t="shared" ca="1" si="225"/>
        <v>Brazil</v>
      </c>
      <c r="BU637" s="306">
        <f t="shared" si="226"/>
        <v>10</v>
      </c>
      <c r="BV637" s="306">
        <f t="shared" si="227"/>
        <v>23</v>
      </c>
      <c r="BW637" s="306" t="str">
        <f ca="1">OFFSET(C3,BU637,BV637)</f>
        <v>Ederson</v>
      </c>
      <c r="BX637" s="306">
        <f ca="1">COUNTIF('Group Stages'!J7:J102,BW637)</f>
        <v>0</v>
      </c>
      <c r="BY637" s="306">
        <f ca="1">COUNTIF('Group Stages'!K7:K102,BW637)</f>
        <v>0</v>
      </c>
      <c r="BZ637" s="306">
        <f ca="1">COUNTIF('Group Stages'!L7:L102,BW637)</f>
        <v>0</v>
      </c>
      <c r="CA637" s="306">
        <f ca="1">COUNTIF('Group Stages'!M7:M102,BW637)</f>
        <v>0</v>
      </c>
      <c r="CB637" s="306">
        <f ca="1">COUNTIF('Group Stages'!N7:N102,BW637)</f>
        <v>0</v>
      </c>
      <c r="CC637" s="306">
        <f ca="1">COUNTIF('Group Stages'!O7:O102,BW637)</f>
        <v>0</v>
      </c>
      <c r="CD637" s="306">
        <f ca="1">COUNTIF('Group Stages'!P7:P102,BW637)</f>
        <v>0</v>
      </c>
      <c r="CE637" s="306">
        <f ca="1">COUNTIF('Group Stages'!Q7:Q102,BW637)</f>
        <v>0</v>
      </c>
      <c r="CF637" s="306">
        <f ca="1">COUNTIF('Knock Out Stages'!K7:K50,BW637)</f>
        <v>0</v>
      </c>
      <c r="CG637" s="306">
        <f ca="1">COUNTIF('Knock Out Stages'!L7:L50,BW637)</f>
        <v>0</v>
      </c>
      <c r="CH637" s="306">
        <f ca="1">COUNTIF('Knock Out Stages'!M7:M50,BW637)</f>
        <v>0</v>
      </c>
      <c r="CI637" s="306">
        <f ca="1">COUNTIF('Knock Out Stages'!N7:N50,BW637)</f>
        <v>0</v>
      </c>
      <c r="CJ637" s="306">
        <f ca="1">COUNTIF('Knock Out Stages'!O7:O50,BW637)</f>
        <v>0</v>
      </c>
      <c r="CK637" s="306">
        <f ca="1">COUNTIF('Knock Out Stages'!P7:P50,BW637)</f>
        <v>0</v>
      </c>
      <c r="CL637" s="306">
        <f ca="1">COUNTIF('Knock Out Stages'!Q7:Q50,BW637)</f>
        <v>0</v>
      </c>
      <c r="CM637" s="306">
        <f ca="1">COUNTIF('Knock Out Stages'!R7:R50,BW637)</f>
        <v>0</v>
      </c>
      <c r="CN637" s="306">
        <f ca="1">IF(RIGHT('Group Stages'!$B$105,5)="T.com",SUM(BX637:CM637),0)</f>
        <v>0</v>
      </c>
      <c r="CO637" s="306">
        <f ca="1">RANK(CN637,CN3:CN834)+COUNTIF(CN3:CN637,CN637)-1</f>
        <v>635</v>
      </c>
      <c r="CP637" s="306" t="str">
        <f t="shared" ca="1" si="222"/>
        <v>Ederson (Brazil)</v>
      </c>
    </row>
    <row r="638" spans="72:94" x14ac:dyDescent="0.3">
      <c r="BT638" s="306" t="str">
        <f t="shared" ca="1" si="225"/>
        <v>Brazil</v>
      </c>
      <c r="BU638" s="306">
        <f t="shared" si="226"/>
        <v>11</v>
      </c>
      <c r="BV638" s="306">
        <f t="shared" si="227"/>
        <v>23</v>
      </c>
      <c r="BW638" s="306" t="str">
        <f ca="1">OFFSET(C3,BU638,BV638)</f>
        <v>Éverton Ribeiro</v>
      </c>
      <c r="BX638" s="306">
        <f ca="1">COUNTIF('Group Stages'!J7:J102,BW638)</f>
        <v>0</v>
      </c>
      <c r="BY638" s="306">
        <f ca="1">COUNTIF('Group Stages'!K7:K102,BW638)</f>
        <v>0</v>
      </c>
      <c r="BZ638" s="306">
        <f ca="1">COUNTIF('Group Stages'!L7:L102,BW638)</f>
        <v>0</v>
      </c>
      <c r="CA638" s="306">
        <f ca="1">COUNTIF('Group Stages'!M7:M102,BW638)</f>
        <v>0</v>
      </c>
      <c r="CB638" s="306">
        <f ca="1">COUNTIF('Group Stages'!N7:N102,BW638)</f>
        <v>0</v>
      </c>
      <c r="CC638" s="306">
        <f ca="1">COUNTIF('Group Stages'!O7:O102,BW638)</f>
        <v>0</v>
      </c>
      <c r="CD638" s="306">
        <f ca="1">COUNTIF('Group Stages'!P7:P102,BW638)</f>
        <v>0</v>
      </c>
      <c r="CE638" s="306">
        <f ca="1">COUNTIF('Group Stages'!Q7:Q102,BW638)</f>
        <v>0</v>
      </c>
      <c r="CF638" s="306">
        <f ca="1">COUNTIF('Knock Out Stages'!K7:K50,BW638)</f>
        <v>0</v>
      </c>
      <c r="CG638" s="306">
        <f ca="1">COUNTIF('Knock Out Stages'!L7:L50,BW638)</f>
        <v>0</v>
      </c>
      <c r="CH638" s="306">
        <f ca="1">COUNTIF('Knock Out Stages'!M7:M50,BW638)</f>
        <v>0</v>
      </c>
      <c r="CI638" s="306">
        <f ca="1">COUNTIF('Knock Out Stages'!N7:N50,BW638)</f>
        <v>0</v>
      </c>
      <c r="CJ638" s="306">
        <f ca="1">COUNTIF('Knock Out Stages'!O7:O50,BW638)</f>
        <v>0</v>
      </c>
      <c r="CK638" s="306">
        <f ca="1">COUNTIF('Knock Out Stages'!P7:P50,BW638)</f>
        <v>0</v>
      </c>
      <c r="CL638" s="306">
        <f ca="1">COUNTIF('Knock Out Stages'!Q7:Q50,BW638)</f>
        <v>0</v>
      </c>
      <c r="CM638" s="306">
        <f ca="1">COUNTIF('Knock Out Stages'!R7:R50,BW638)</f>
        <v>0</v>
      </c>
      <c r="CN638" s="306">
        <f ca="1">IF(RIGHT('Group Stages'!$B$105,5)="T.com",SUM(BX638:CM638),0)</f>
        <v>0</v>
      </c>
      <c r="CO638" s="306">
        <f ca="1">RANK(CN638,CN3:CN834)+COUNTIF(CN3:CN638,CN638)-1</f>
        <v>636</v>
      </c>
      <c r="CP638" s="306" t="str">
        <f t="shared" ca="1" si="222"/>
        <v>Éverton Ribeiro (Brazil)</v>
      </c>
    </row>
    <row r="639" spans="72:94" x14ac:dyDescent="0.3">
      <c r="BT639" s="306" t="str">
        <f t="shared" ca="1" si="225"/>
        <v>Brazil</v>
      </c>
      <c r="BU639" s="306">
        <f t="shared" si="226"/>
        <v>12</v>
      </c>
      <c r="BV639" s="306">
        <f t="shared" si="227"/>
        <v>23</v>
      </c>
      <c r="BW639" s="306" t="str">
        <f ca="1">OFFSET(C3,BU639,BV639)</f>
        <v>Fabinho</v>
      </c>
      <c r="BX639" s="306">
        <f ca="1">COUNTIF('Group Stages'!J7:J102,BW639)</f>
        <v>0</v>
      </c>
      <c r="BY639" s="306">
        <f ca="1">COUNTIF('Group Stages'!K7:K102,BW639)</f>
        <v>0</v>
      </c>
      <c r="BZ639" s="306">
        <f ca="1">COUNTIF('Group Stages'!L7:L102,BW639)</f>
        <v>0</v>
      </c>
      <c r="CA639" s="306">
        <f ca="1">COUNTIF('Group Stages'!M7:M102,BW639)</f>
        <v>0</v>
      </c>
      <c r="CB639" s="306">
        <f ca="1">COUNTIF('Group Stages'!N7:N102,BW639)</f>
        <v>0</v>
      </c>
      <c r="CC639" s="306">
        <f ca="1">COUNTIF('Group Stages'!O7:O102,BW639)</f>
        <v>0</v>
      </c>
      <c r="CD639" s="306">
        <f ca="1">COUNTIF('Group Stages'!P7:P102,BW639)</f>
        <v>0</v>
      </c>
      <c r="CE639" s="306">
        <f ca="1">COUNTIF('Group Stages'!Q7:Q102,BW639)</f>
        <v>0</v>
      </c>
      <c r="CF639" s="306">
        <f ca="1">COUNTIF('Knock Out Stages'!K7:K50,BW639)</f>
        <v>0</v>
      </c>
      <c r="CG639" s="306">
        <f ca="1">COUNTIF('Knock Out Stages'!L7:L50,BW639)</f>
        <v>0</v>
      </c>
      <c r="CH639" s="306">
        <f ca="1">COUNTIF('Knock Out Stages'!M7:M50,BW639)</f>
        <v>0</v>
      </c>
      <c r="CI639" s="306">
        <f ca="1">COUNTIF('Knock Out Stages'!N7:N50,BW639)</f>
        <v>0</v>
      </c>
      <c r="CJ639" s="306">
        <f ca="1">COUNTIF('Knock Out Stages'!O7:O50,BW639)</f>
        <v>0</v>
      </c>
      <c r="CK639" s="306">
        <f ca="1">COUNTIF('Knock Out Stages'!P7:P50,BW639)</f>
        <v>0</v>
      </c>
      <c r="CL639" s="306">
        <f ca="1">COUNTIF('Knock Out Stages'!Q7:Q50,BW639)</f>
        <v>0</v>
      </c>
      <c r="CM639" s="306">
        <f ca="1">COUNTIF('Knock Out Stages'!R7:R50,BW639)</f>
        <v>0</v>
      </c>
      <c r="CN639" s="306">
        <f ca="1">IF(RIGHT('Group Stages'!$B$105,5)="T.com",SUM(BX639:CM639),0)</f>
        <v>0</v>
      </c>
      <c r="CO639" s="306">
        <f ca="1">RANK(CN639,CN3:CN834)+COUNTIF(CN3:CN639,CN639)-1</f>
        <v>637</v>
      </c>
      <c r="CP639" s="306" t="str">
        <f t="shared" ca="1" si="222"/>
        <v>Fabinho (Brazil)</v>
      </c>
    </row>
    <row r="640" spans="72:94" x14ac:dyDescent="0.3">
      <c r="BT640" s="306" t="str">
        <f t="shared" ca="1" si="225"/>
        <v>Brazil</v>
      </c>
      <c r="BU640" s="306">
        <f t="shared" si="226"/>
        <v>13</v>
      </c>
      <c r="BV640" s="306">
        <f t="shared" si="227"/>
        <v>23</v>
      </c>
      <c r="BW640" s="306" t="str">
        <f ca="1">OFFSET(C3,BU640,BV640)</f>
        <v>Fred</v>
      </c>
      <c r="BX640" s="306">
        <f ca="1">COUNTIF('Group Stages'!J7:J102,BW640)</f>
        <v>0</v>
      </c>
      <c r="BY640" s="306">
        <f ca="1">COUNTIF('Group Stages'!K7:K102,BW640)</f>
        <v>0</v>
      </c>
      <c r="BZ640" s="306">
        <f ca="1">COUNTIF('Group Stages'!L7:L102,BW640)</f>
        <v>0</v>
      </c>
      <c r="CA640" s="306">
        <f ca="1">COUNTIF('Group Stages'!M7:M102,BW640)</f>
        <v>0</v>
      </c>
      <c r="CB640" s="306">
        <f ca="1">COUNTIF('Group Stages'!N7:N102,BW640)</f>
        <v>0</v>
      </c>
      <c r="CC640" s="306">
        <f ca="1">COUNTIF('Group Stages'!O7:O102,BW640)</f>
        <v>0</v>
      </c>
      <c r="CD640" s="306">
        <f ca="1">COUNTIF('Group Stages'!P7:P102,BW640)</f>
        <v>0</v>
      </c>
      <c r="CE640" s="306">
        <f ca="1">COUNTIF('Group Stages'!Q7:Q102,BW640)</f>
        <v>0</v>
      </c>
      <c r="CF640" s="306">
        <f ca="1">COUNTIF('Knock Out Stages'!K7:K50,BW640)</f>
        <v>0</v>
      </c>
      <c r="CG640" s="306">
        <f ca="1">COUNTIF('Knock Out Stages'!L7:L50,BW640)</f>
        <v>0</v>
      </c>
      <c r="CH640" s="306">
        <f ca="1">COUNTIF('Knock Out Stages'!M7:M50,BW640)</f>
        <v>0</v>
      </c>
      <c r="CI640" s="306">
        <f ca="1">COUNTIF('Knock Out Stages'!N7:N50,BW640)</f>
        <v>0</v>
      </c>
      <c r="CJ640" s="306">
        <f ca="1">COUNTIF('Knock Out Stages'!O7:O50,BW640)</f>
        <v>0</v>
      </c>
      <c r="CK640" s="306">
        <f ca="1">COUNTIF('Knock Out Stages'!P7:P50,BW640)</f>
        <v>0</v>
      </c>
      <c r="CL640" s="306">
        <f ca="1">COUNTIF('Knock Out Stages'!Q7:Q50,BW640)</f>
        <v>0</v>
      </c>
      <c r="CM640" s="306">
        <f ca="1">COUNTIF('Knock Out Stages'!R7:R50,BW640)</f>
        <v>0</v>
      </c>
      <c r="CN640" s="306">
        <f ca="1">IF(RIGHT('Group Stages'!$B$105,5)="T.com",SUM(BX640:CM640),0)</f>
        <v>0</v>
      </c>
      <c r="CO640" s="306">
        <f ca="1">RANK(CN640,CN3:CN834)+COUNTIF(CN3:CN640,CN640)-1</f>
        <v>638</v>
      </c>
      <c r="CP640" s="306" t="str">
        <f t="shared" ca="1" si="222"/>
        <v>Fred (Brazil)</v>
      </c>
    </row>
    <row r="641" spans="72:94" x14ac:dyDescent="0.3">
      <c r="BT641" s="306" t="str">
        <f t="shared" ca="1" si="225"/>
        <v>Brazil</v>
      </c>
      <c r="BU641" s="306">
        <f t="shared" si="226"/>
        <v>14</v>
      </c>
      <c r="BV641" s="306">
        <f t="shared" si="227"/>
        <v>23</v>
      </c>
      <c r="BW641" s="306" t="str">
        <f ca="1">OFFSET(C3,BU641,BV641)</f>
        <v>Gabriel Jesus</v>
      </c>
      <c r="BX641" s="306">
        <f ca="1">COUNTIF('Group Stages'!J7:J102,BW641)</f>
        <v>0</v>
      </c>
      <c r="BY641" s="306">
        <f ca="1">COUNTIF('Group Stages'!K7:K102,BW641)</f>
        <v>0</v>
      </c>
      <c r="BZ641" s="306">
        <f ca="1">COUNTIF('Group Stages'!L7:L102,BW641)</f>
        <v>0</v>
      </c>
      <c r="CA641" s="306">
        <f ca="1">COUNTIF('Group Stages'!M7:M102,BW641)</f>
        <v>0</v>
      </c>
      <c r="CB641" s="306">
        <f ca="1">COUNTIF('Group Stages'!N7:N102,BW641)</f>
        <v>0</v>
      </c>
      <c r="CC641" s="306">
        <f ca="1">COUNTIF('Group Stages'!O7:O102,BW641)</f>
        <v>0</v>
      </c>
      <c r="CD641" s="306">
        <f ca="1">COUNTIF('Group Stages'!P7:P102,BW641)</f>
        <v>0</v>
      </c>
      <c r="CE641" s="306">
        <f ca="1">COUNTIF('Group Stages'!Q7:Q102,BW641)</f>
        <v>0</v>
      </c>
      <c r="CF641" s="306">
        <f ca="1">COUNTIF('Knock Out Stages'!K7:K50,BW641)</f>
        <v>0</v>
      </c>
      <c r="CG641" s="306">
        <f ca="1">COUNTIF('Knock Out Stages'!L7:L50,BW641)</f>
        <v>0</v>
      </c>
      <c r="CH641" s="306">
        <f ca="1">COUNTIF('Knock Out Stages'!M7:M50,BW641)</f>
        <v>0</v>
      </c>
      <c r="CI641" s="306">
        <f ca="1">COUNTIF('Knock Out Stages'!N7:N50,BW641)</f>
        <v>0</v>
      </c>
      <c r="CJ641" s="306">
        <f ca="1">COUNTIF('Knock Out Stages'!O7:O50,BW641)</f>
        <v>0</v>
      </c>
      <c r="CK641" s="306">
        <f ca="1">COUNTIF('Knock Out Stages'!P7:P50,BW641)</f>
        <v>0</v>
      </c>
      <c r="CL641" s="306">
        <f ca="1">COUNTIF('Knock Out Stages'!Q7:Q50,BW641)</f>
        <v>0</v>
      </c>
      <c r="CM641" s="306">
        <f ca="1">COUNTIF('Knock Out Stages'!R7:R50,BW641)</f>
        <v>0</v>
      </c>
      <c r="CN641" s="306">
        <f ca="1">IF(RIGHT('Group Stages'!$B$105,5)="T.com",SUM(BX641:CM641),0)</f>
        <v>0</v>
      </c>
      <c r="CO641" s="306">
        <f ca="1">RANK(CN641,CN3:CN834)+COUNTIF(CN3:CN641,CN641)-1</f>
        <v>639</v>
      </c>
      <c r="CP641" s="306" t="str">
        <f t="shared" ca="1" si="222"/>
        <v>Gabriel Jesus (Brazil)</v>
      </c>
    </row>
    <row r="642" spans="72:94" x14ac:dyDescent="0.3">
      <c r="BT642" s="306" t="str">
        <f t="shared" ca="1" si="225"/>
        <v>Brazil</v>
      </c>
      <c r="BU642" s="306">
        <f t="shared" si="226"/>
        <v>15</v>
      </c>
      <c r="BV642" s="306">
        <f t="shared" si="227"/>
        <v>23</v>
      </c>
      <c r="BW642" s="306" t="str">
        <f ca="1">OFFSET(C3,BU642,BV642)</f>
        <v>Gabriel Martinelli</v>
      </c>
      <c r="BX642" s="306">
        <f ca="1">COUNTIF('Group Stages'!J7:J102,BW642)</f>
        <v>0</v>
      </c>
      <c r="BY642" s="306">
        <f ca="1">COUNTIF('Group Stages'!K7:K102,BW642)</f>
        <v>0</v>
      </c>
      <c r="BZ642" s="306">
        <f ca="1">COUNTIF('Group Stages'!L7:L102,BW642)</f>
        <v>0</v>
      </c>
      <c r="CA642" s="306">
        <f ca="1">COUNTIF('Group Stages'!M7:M102,BW642)</f>
        <v>0</v>
      </c>
      <c r="CB642" s="306">
        <f ca="1">COUNTIF('Group Stages'!N7:N102,BW642)</f>
        <v>0</v>
      </c>
      <c r="CC642" s="306">
        <f ca="1">COUNTIF('Group Stages'!O7:O102,BW642)</f>
        <v>0</v>
      </c>
      <c r="CD642" s="306">
        <f ca="1">COUNTIF('Group Stages'!P7:P102,BW642)</f>
        <v>0</v>
      </c>
      <c r="CE642" s="306">
        <f ca="1">COUNTIF('Group Stages'!Q7:Q102,BW642)</f>
        <v>0</v>
      </c>
      <c r="CF642" s="306">
        <f ca="1">COUNTIF('Knock Out Stages'!K7:K50,BW642)</f>
        <v>0</v>
      </c>
      <c r="CG642" s="306">
        <f ca="1">COUNTIF('Knock Out Stages'!L7:L50,BW642)</f>
        <v>0</v>
      </c>
      <c r="CH642" s="306">
        <f ca="1">COUNTIF('Knock Out Stages'!M7:M50,BW642)</f>
        <v>0</v>
      </c>
      <c r="CI642" s="306">
        <f ca="1">COUNTIF('Knock Out Stages'!N7:N50,BW642)</f>
        <v>0</v>
      </c>
      <c r="CJ642" s="306">
        <f ca="1">COUNTIF('Knock Out Stages'!O7:O50,BW642)</f>
        <v>0</v>
      </c>
      <c r="CK642" s="306">
        <f ca="1">COUNTIF('Knock Out Stages'!P7:P50,BW642)</f>
        <v>0</v>
      </c>
      <c r="CL642" s="306">
        <f ca="1">COUNTIF('Knock Out Stages'!Q7:Q50,BW642)</f>
        <v>0</v>
      </c>
      <c r="CM642" s="306">
        <f ca="1">COUNTIF('Knock Out Stages'!R7:R50,BW642)</f>
        <v>0</v>
      </c>
      <c r="CN642" s="306">
        <f ca="1">IF(RIGHT('Group Stages'!$B$105,5)="T.com",SUM(BX642:CM642),0)</f>
        <v>0</v>
      </c>
      <c r="CO642" s="306">
        <f ca="1">RANK(CN642,CN3:CN834)+COUNTIF(CN3:CN642,CN642)-1</f>
        <v>640</v>
      </c>
      <c r="CP642" s="306" t="str">
        <f t="shared" ca="1" si="222"/>
        <v>Gabriel Martinelli (Brazil)</v>
      </c>
    </row>
    <row r="643" spans="72:94" x14ac:dyDescent="0.3">
      <c r="BT643" s="306" t="str">
        <f t="shared" ca="1" si="225"/>
        <v>Brazil</v>
      </c>
      <c r="BU643" s="306">
        <f t="shared" si="226"/>
        <v>16</v>
      </c>
      <c r="BV643" s="306">
        <f t="shared" si="227"/>
        <v>23</v>
      </c>
      <c r="BW643" s="306" t="str">
        <f ca="1">OFFSET(C3,BU643,BV643)</f>
        <v>Lucas Paquetá</v>
      </c>
      <c r="BX643" s="306">
        <f ca="1">COUNTIF('Group Stages'!J7:J102,BW643)</f>
        <v>0</v>
      </c>
      <c r="BY643" s="306">
        <f ca="1">COUNTIF('Group Stages'!K7:K102,BW643)</f>
        <v>0</v>
      </c>
      <c r="BZ643" s="306">
        <f ca="1">COUNTIF('Group Stages'!L7:L102,BW643)</f>
        <v>0</v>
      </c>
      <c r="CA643" s="306">
        <f ca="1">COUNTIF('Group Stages'!M7:M102,BW643)</f>
        <v>0</v>
      </c>
      <c r="CB643" s="306">
        <f ca="1">COUNTIF('Group Stages'!N7:N102,BW643)</f>
        <v>0</v>
      </c>
      <c r="CC643" s="306">
        <f ca="1">COUNTIF('Group Stages'!O7:O102,BW643)</f>
        <v>0</v>
      </c>
      <c r="CD643" s="306">
        <f ca="1">COUNTIF('Group Stages'!P7:P102,BW643)</f>
        <v>0</v>
      </c>
      <c r="CE643" s="306">
        <f ca="1">COUNTIF('Group Stages'!Q7:Q102,BW643)</f>
        <v>0</v>
      </c>
      <c r="CF643" s="306">
        <f ca="1">COUNTIF('Knock Out Stages'!K7:K50,BW643)</f>
        <v>0</v>
      </c>
      <c r="CG643" s="306">
        <f ca="1">COUNTIF('Knock Out Stages'!L7:L50,BW643)</f>
        <v>0</v>
      </c>
      <c r="CH643" s="306">
        <f ca="1">COUNTIF('Knock Out Stages'!M7:M50,BW643)</f>
        <v>0</v>
      </c>
      <c r="CI643" s="306">
        <f ca="1">COUNTIF('Knock Out Stages'!N7:N50,BW643)</f>
        <v>0</v>
      </c>
      <c r="CJ643" s="306">
        <f ca="1">COUNTIF('Knock Out Stages'!O7:O50,BW643)</f>
        <v>0</v>
      </c>
      <c r="CK643" s="306">
        <f ca="1">COUNTIF('Knock Out Stages'!P7:P50,BW643)</f>
        <v>0</v>
      </c>
      <c r="CL643" s="306">
        <f ca="1">COUNTIF('Knock Out Stages'!Q7:Q50,BW643)</f>
        <v>0</v>
      </c>
      <c r="CM643" s="306">
        <f ca="1">COUNTIF('Knock Out Stages'!R7:R50,BW643)</f>
        <v>0</v>
      </c>
      <c r="CN643" s="306">
        <f ca="1">IF(RIGHT('Group Stages'!$B$105,5)="T.com",SUM(BX643:CM643),0)</f>
        <v>0</v>
      </c>
      <c r="CO643" s="306">
        <f ca="1">RANK(CN643,CN3:CN834)+COUNTIF(CN3:CN643,CN643)-1</f>
        <v>641</v>
      </c>
      <c r="CP643" s="306" t="str">
        <f t="shared" ca="1" si="222"/>
        <v>Lucas Paquetá (Brazil)</v>
      </c>
    </row>
    <row r="644" spans="72:94" x14ac:dyDescent="0.3">
      <c r="BT644" s="306" t="str">
        <f t="shared" ca="1" si="225"/>
        <v>Brazil</v>
      </c>
      <c r="BU644" s="306">
        <f t="shared" si="226"/>
        <v>17</v>
      </c>
      <c r="BV644" s="306">
        <f t="shared" si="227"/>
        <v>23</v>
      </c>
      <c r="BW644" s="306" t="str">
        <f ca="1">OFFSET(C3,BU644,BV644)</f>
        <v>Marquinhos</v>
      </c>
      <c r="BX644" s="306">
        <f ca="1">COUNTIF('Group Stages'!J7:J102,BW644)</f>
        <v>0</v>
      </c>
      <c r="BY644" s="306">
        <f ca="1">COUNTIF('Group Stages'!K7:K102,BW644)</f>
        <v>0</v>
      </c>
      <c r="BZ644" s="306">
        <f ca="1">COUNTIF('Group Stages'!L7:L102,BW644)</f>
        <v>0</v>
      </c>
      <c r="CA644" s="306">
        <f ca="1">COUNTIF('Group Stages'!M7:M102,BW644)</f>
        <v>0</v>
      </c>
      <c r="CB644" s="306">
        <f ca="1">COUNTIF('Group Stages'!N7:N102,BW644)</f>
        <v>0</v>
      </c>
      <c r="CC644" s="306">
        <f ca="1">COUNTIF('Group Stages'!O7:O102,BW644)</f>
        <v>0</v>
      </c>
      <c r="CD644" s="306">
        <f ca="1">COUNTIF('Group Stages'!P7:P102,BW644)</f>
        <v>0</v>
      </c>
      <c r="CE644" s="306">
        <f ca="1">COUNTIF('Group Stages'!Q7:Q102,BW644)</f>
        <v>0</v>
      </c>
      <c r="CF644" s="306">
        <f ca="1">COUNTIF('Knock Out Stages'!K7:K50,BW644)</f>
        <v>0</v>
      </c>
      <c r="CG644" s="306">
        <f ca="1">COUNTIF('Knock Out Stages'!L7:L50,BW644)</f>
        <v>0</v>
      </c>
      <c r="CH644" s="306">
        <f ca="1">COUNTIF('Knock Out Stages'!M7:M50,BW644)</f>
        <v>0</v>
      </c>
      <c r="CI644" s="306">
        <f ca="1">COUNTIF('Knock Out Stages'!N7:N50,BW644)</f>
        <v>0</v>
      </c>
      <c r="CJ644" s="306">
        <f ca="1">COUNTIF('Knock Out Stages'!O7:O50,BW644)</f>
        <v>0</v>
      </c>
      <c r="CK644" s="306">
        <f ca="1">COUNTIF('Knock Out Stages'!P7:P50,BW644)</f>
        <v>0</v>
      </c>
      <c r="CL644" s="306">
        <f ca="1">COUNTIF('Knock Out Stages'!Q7:Q50,BW644)</f>
        <v>0</v>
      </c>
      <c r="CM644" s="306">
        <f ca="1">COUNTIF('Knock Out Stages'!R7:R50,BW644)</f>
        <v>0</v>
      </c>
      <c r="CN644" s="306">
        <f ca="1">IF(RIGHT('Group Stages'!$B$105,5)="T.com",SUM(BX644:CM644),0)</f>
        <v>0</v>
      </c>
      <c r="CO644" s="306">
        <f ca="1">RANK(CN644,CN3:CN834)+COUNTIF(CN3:CN644,CN644)-1</f>
        <v>642</v>
      </c>
      <c r="CP644" s="306" t="str">
        <f t="shared" ref="CP644:CP707" ca="1" si="228">BW644&amp;" ("&amp;BT644&amp;")"</f>
        <v>Marquinhos (Brazil)</v>
      </c>
    </row>
    <row r="645" spans="72:94" x14ac:dyDescent="0.3">
      <c r="BT645" s="306" t="str">
        <f t="shared" ca="1" si="225"/>
        <v>Brazil</v>
      </c>
      <c r="BU645" s="306">
        <f t="shared" si="226"/>
        <v>18</v>
      </c>
      <c r="BV645" s="306">
        <f t="shared" si="227"/>
        <v>23</v>
      </c>
      <c r="BW645" s="306" t="str">
        <f ca="1">OFFSET(C3,BU645,BV645)</f>
        <v>Neymar</v>
      </c>
      <c r="BX645" s="306">
        <f ca="1">COUNTIF('Group Stages'!J7:J102,BW645)</f>
        <v>0</v>
      </c>
      <c r="BY645" s="306">
        <f ca="1">COUNTIF('Group Stages'!K7:K102,BW645)</f>
        <v>0</v>
      </c>
      <c r="BZ645" s="306">
        <f ca="1">COUNTIF('Group Stages'!L7:L102,BW645)</f>
        <v>0</v>
      </c>
      <c r="CA645" s="306">
        <f ca="1">COUNTIF('Group Stages'!M7:M102,BW645)</f>
        <v>0</v>
      </c>
      <c r="CB645" s="306">
        <f ca="1">COUNTIF('Group Stages'!N7:N102,BW645)</f>
        <v>0</v>
      </c>
      <c r="CC645" s="306">
        <f ca="1">COUNTIF('Group Stages'!O7:O102,BW645)</f>
        <v>0</v>
      </c>
      <c r="CD645" s="306">
        <f ca="1">COUNTIF('Group Stages'!P7:P102,BW645)</f>
        <v>0</v>
      </c>
      <c r="CE645" s="306">
        <f ca="1">COUNTIF('Group Stages'!Q7:Q102,BW645)</f>
        <v>0</v>
      </c>
      <c r="CF645" s="306">
        <f ca="1">COUNTIF('Knock Out Stages'!K7:K50,BW645)</f>
        <v>0</v>
      </c>
      <c r="CG645" s="306">
        <f ca="1">COUNTIF('Knock Out Stages'!L7:L50,BW645)</f>
        <v>0</v>
      </c>
      <c r="CH645" s="306">
        <f ca="1">COUNTIF('Knock Out Stages'!M7:M50,BW645)</f>
        <v>0</v>
      </c>
      <c r="CI645" s="306">
        <f ca="1">COUNTIF('Knock Out Stages'!N7:N50,BW645)</f>
        <v>0</v>
      </c>
      <c r="CJ645" s="306">
        <f ca="1">COUNTIF('Knock Out Stages'!O7:O50,BW645)</f>
        <v>0</v>
      </c>
      <c r="CK645" s="306">
        <f ca="1">COUNTIF('Knock Out Stages'!P7:P50,BW645)</f>
        <v>0</v>
      </c>
      <c r="CL645" s="306">
        <f ca="1">COUNTIF('Knock Out Stages'!Q7:Q50,BW645)</f>
        <v>0</v>
      </c>
      <c r="CM645" s="306">
        <f ca="1">COUNTIF('Knock Out Stages'!R7:R50,BW645)</f>
        <v>0</v>
      </c>
      <c r="CN645" s="306">
        <f ca="1">IF(RIGHT('Group Stages'!$B$105,5)="T.com",SUM(BX645:CM645),0)</f>
        <v>0</v>
      </c>
      <c r="CO645" s="306">
        <f ca="1">RANK(CN645,CN3:CN834)+COUNTIF(CN3:CN645,CN645)-1</f>
        <v>643</v>
      </c>
      <c r="CP645" s="306" t="str">
        <f t="shared" ca="1" si="228"/>
        <v>Neymar (Brazil)</v>
      </c>
    </row>
    <row r="646" spans="72:94" x14ac:dyDescent="0.3">
      <c r="BT646" s="306" t="str">
        <f t="shared" ca="1" si="225"/>
        <v>Brazil</v>
      </c>
      <c r="BU646" s="306">
        <f t="shared" si="226"/>
        <v>19</v>
      </c>
      <c r="BV646" s="306">
        <f t="shared" si="227"/>
        <v>23</v>
      </c>
      <c r="BW646" s="306" t="str">
        <f ca="1">OFFSET(C3,BU646,BV646)</f>
        <v>Pedro</v>
      </c>
      <c r="BX646" s="306">
        <f ca="1">COUNTIF('Group Stages'!J7:J102,BW646)</f>
        <v>0</v>
      </c>
      <c r="BY646" s="306">
        <f ca="1">COUNTIF('Group Stages'!K7:K102,BW646)</f>
        <v>0</v>
      </c>
      <c r="BZ646" s="306">
        <f ca="1">COUNTIF('Group Stages'!L7:L102,BW646)</f>
        <v>0</v>
      </c>
      <c r="CA646" s="306">
        <f ca="1">COUNTIF('Group Stages'!M7:M102,BW646)</f>
        <v>0</v>
      </c>
      <c r="CB646" s="306">
        <f ca="1">COUNTIF('Group Stages'!N7:N102,BW646)</f>
        <v>0</v>
      </c>
      <c r="CC646" s="306">
        <f ca="1">COUNTIF('Group Stages'!O7:O102,BW646)</f>
        <v>0</v>
      </c>
      <c r="CD646" s="306">
        <f ca="1">COUNTIF('Group Stages'!P7:P102,BW646)</f>
        <v>0</v>
      </c>
      <c r="CE646" s="306">
        <f ca="1">COUNTIF('Group Stages'!Q7:Q102,BW646)</f>
        <v>0</v>
      </c>
      <c r="CF646" s="306">
        <f ca="1">COUNTIF('Knock Out Stages'!K7:K50,BW646)</f>
        <v>0</v>
      </c>
      <c r="CG646" s="306">
        <f ca="1">COUNTIF('Knock Out Stages'!L7:L50,BW646)</f>
        <v>0</v>
      </c>
      <c r="CH646" s="306">
        <f ca="1">COUNTIF('Knock Out Stages'!M7:M50,BW646)</f>
        <v>0</v>
      </c>
      <c r="CI646" s="306">
        <f ca="1">COUNTIF('Knock Out Stages'!N7:N50,BW646)</f>
        <v>0</v>
      </c>
      <c r="CJ646" s="306">
        <f ca="1">COUNTIF('Knock Out Stages'!O7:O50,BW646)</f>
        <v>0</v>
      </c>
      <c r="CK646" s="306">
        <f ca="1">COUNTIF('Knock Out Stages'!P7:P50,BW646)</f>
        <v>0</v>
      </c>
      <c r="CL646" s="306">
        <f ca="1">COUNTIF('Knock Out Stages'!Q7:Q50,BW646)</f>
        <v>0</v>
      </c>
      <c r="CM646" s="306">
        <f ca="1">COUNTIF('Knock Out Stages'!R7:R50,BW646)</f>
        <v>0</v>
      </c>
      <c r="CN646" s="306">
        <f ca="1">IF(RIGHT('Group Stages'!$B$105,5)="T.com",SUM(BX646:CM646),0)</f>
        <v>0</v>
      </c>
      <c r="CO646" s="306">
        <f ca="1">RANK(CN646,CN3:CN834)+COUNTIF(CN3:CN646,CN646)-1</f>
        <v>644</v>
      </c>
      <c r="CP646" s="306" t="str">
        <f t="shared" ca="1" si="228"/>
        <v>Pedro (Brazil)</v>
      </c>
    </row>
    <row r="647" spans="72:94" x14ac:dyDescent="0.3">
      <c r="BT647" s="306" t="str">
        <f t="shared" ca="1" si="225"/>
        <v>Brazil</v>
      </c>
      <c r="BU647" s="306">
        <f t="shared" si="226"/>
        <v>20</v>
      </c>
      <c r="BV647" s="306">
        <f t="shared" si="227"/>
        <v>23</v>
      </c>
      <c r="BW647" s="306" t="str">
        <f ca="1">OFFSET(C3,BU647,BV647)</f>
        <v>Raphinha</v>
      </c>
      <c r="BX647" s="306">
        <f ca="1">COUNTIF('Group Stages'!J7:J102,BW647)</f>
        <v>0</v>
      </c>
      <c r="BY647" s="306">
        <f ca="1">COUNTIF('Group Stages'!K7:K102,BW647)</f>
        <v>0</v>
      </c>
      <c r="BZ647" s="306">
        <f ca="1">COUNTIF('Group Stages'!L7:L102,BW647)</f>
        <v>0</v>
      </c>
      <c r="CA647" s="306">
        <f ca="1">COUNTIF('Group Stages'!M7:M102,BW647)</f>
        <v>0</v>
      </c>
      <c r="CB647" s="306">
        <f ca="1">COUNTIF('Group Stages'!N7:N102,BW647)</f>
        <v>0</v>
      </c>
      <c r="CC647" s="306">
        <f ca="1">COUNTIF('Group Stages'!O7:O102,BW647)</f>
        <v>0</v>
      </c>
      <c r="CD647" s="306">
        <f ca="1">COUNTIF('Group Stages'!P7:P102,BW647)</f>
        <v>0</v>
      </c>
      <c r="CE647" s="306">
        <f ca="1">COUNTIF('Group Stages'!Q7:Q102,BW647)</f>
        <v>0</v>
      </c>
      <c r="CF647" s="306">
        <f ca="1">COUNTIF('Knock Out Stages'!K7:K50,BW647)</f>
        <v>0</v>
      </c>
      <c r="CG647" s="306">
        <f ca="1">COUNTIF('Knock Out Stages'!L7:L50,BW647)</f>
        <v>0</v>
      </c>
      <c r="CH647" s="306">
        <f ca="1">COUNTIF('Knock Out Stages'!M7:M50,BW647)</f>
        <v>0</v>
      </c>
      <c r="CI647" s="306">
        <f ca="1">COUNTIF('Knock Out Stages'!N7:N50,BW647)</f>
        <v>0</v>
      </c>
      <c r="CJ647" s="306">
        <f ca="1">COUNTIF('Knock Out Stages'!O7:O50,BW647)</f>
        <v>0</v>
      </c>
      <c r="CK647" s="306">
        <f ca="1">COUNTIF('Knock Out Stages'!P7:P50,BW647)</f>
        <v>0</v>
      </c>
      <c r="CL647" s="306">
        <f ca="1">COUNTIF('Knock Out Stages'!Q7:Q50,BW647)</f>
        <v>0</v>
      </c>
      <c r="CM647" s="306">
        <f ca="1">COUNTIF('Knock Out Stages'!R7:R50,BW647)</f>
        <v>0</v>
      </c>
      <c r="CN647" s="306">
        <f ca="1">IF(RIGHT('Group Stages'!$B$105,5)="T.com",SUM(BX647:CM647),0)</f>
        <v>0</v>
      </c>
      <c r="CO647" s="306">
        <f ca="1">RANK(CN647,CN3:CN834)+COUNTIF(CN3:CN647,CN647)-1</f>
        <v>645</v>
      </c>
      <c r="CP647" s="306" t="str">
        <f t="shared" ca="1" si="228"/>
        <v>Raphinha (Brazil)</v>
      </c>
    </row>
    <row r="648" spans="72:94" x14ac:dyDescent="0.3">
      <c r="BT648" s="306" t="str">
        <f t="shared" ca="1" si="225"/>
        <v>Brazil</v>
      </c>
      <c r="BU648" s="306">
        <f t="shared" si="226"/>
        <v>21</v>
      </c>
      <c r="BV648" s="306">
        <f t="shared" si="227"/>
        <v>23</v>
      </c>
      <c r="BW648" s="306" t="str">
        <f ca="1">OFFSET(C3,BU648,BV648)</f>
        <v>Richarlison</v>
      </c>
      <c r="BX648" s="306">
        <f ca="1">COUNTIF('Group Stages'!J7:J102,BW648)</f>
        <v>0</v>
      </c>
      <c r="BY648" s="306">
        <f ca="1">COUNTIF('Group Stages'!K7:K102,BW648)</f>
        <v>0</v>
      </c>
      <c r="BZ648" s="306">
        <f ca="1">COUNTIF('Group Stages'!L7:L102,BW648)</f>
        <v>0</v>
      </c>
      <c r="CA648" s="306">
        <f ca="1">COUNTIF('Group Stages'!M7:M102,BW648)</f>
        <v>0</v>
      </c>
      <c r="CB648" s="306">
        <f ca="1">COUNTIF('Group Stages'!N7:N102,BW648)</f>
        <v>0</v>
      </c>
      <c r="CC648" s="306">
        <f ca="1">COUNTIF('Group Stages'!O7:O102,BW648)</f>
        <v>0</v>
      </c>
      <c r="CD648" s="306">
        <f ca="1">COUNTIF('Group Stages'!P7:P102,BW648)</f>
        <v>0</v>
      </c>
      <c r="CE648" s="306">
        <f ca="1">COUNTIF('Group Stages'!Q7:Q102,BW648)</f>
        <v>0</v>
      </c>
      <c r="CF648" s="306">
        <f ca="1">COUNTIF('Knock Out Stages'!K7:K50,BW648)</f>
        <v>0</v>
      </c>
      <c r="CG648" s="306">
        <f ca="1">COUNTIF('Knock Out Stages'!L7:L50,BW648)</f>
        <v>0</v>
      </c>
      <c r="CH648" s="306">
        <f ca="1">COUNTIF('Knock Out Stages'!M7:M50,BW648)</f>
        <v>0</v>
      </c>
      <c r="CI648" s="306">
        <f ca="1">COUNTIF('Knock Out Stages'!N7:N50,BW648)</f>
        <v>0</v>
      </c>
      <c r="CJ648" s="306">
        <f ca="1">COUNTIF('Knock Out Stages'!O7:O50,BW648)</f>
        <v>0</v>
      </c>
      <c r="CK648" s="306">
        <f ca="1">COUNTIF('Knock Out Stages'!P7:P50,BW648)</f>
        <v>0</v>
      </c>
      <c r="CL648" s="306">
        <f ca="1">COUNTIF('Knock Out Stages'!Q7:Q50,BW648)</f>
        <v>0</v>
      </c>
      <c r="CM648" s="306">
        <f ca="1">COUNTIF('Knock Out Stages'!R7:R50,BW648)</f>
        <v>0</v>
      </c>
      <c r="CN648" s="306">
        <f ca="1">IF(RIGHT('Group Stages'!$B$105,5)="T.com",SUM(BX648:CM648),0)</f>
        <v>0</v>
      </c>
      <c r="CO648" s="306">
        <f ca="1">RANK(CN648,CN3:CN834)+COUNTIF(CN3:CN648,CN648)-1</f>
        <v>646</v>
      </c>
      <c r="CP648" s="306" t="str">
        <f t="shared" ca="1" si="228"/>
        <v>Richarlison (Brazil)</v>
      </c>
    </row>
    <row r="649" spans="72:94" x14ac:dyDescent="0.3">
      <c r="BT649" s="306" t="str">
        <f t="shared" ca="1" si="225"/>
        <v>Brazil</v>
      </c>
      <c r="BU649" s="306">
        <f t="shared" si="226"/>
        <v>22</v>
      </c>
      <c r="BV649" s="306">
        <f t="shared" si="227"/>
        <v>23</v>
      </c>
      <c r="BW649" s="306" t="str">
        <f ca="1">OFFSET(C3,BU649,BV649)</f>
        <v>Rodrygo</v>
      </c>
      <c r="BX649" s="306">
        <f ca="1">COUNTIF('Group Stages'!J7:J102,BW649)</f>
        <v>0</v>
      </c>
      <c r="BY649" s="306">
        <f ca="1">COUNTIF('Group Stages'!K7:K102,BW649)</f>
        <v>0</v>
      </c>
      <c r="BZ649" s="306">
        <f ca="1">COUNTIF('Group Stages'!L7:L102,BW649)</f>
        <v>0</v>
      </c>
      <c r="CA649" s="306">
        <f ca="1">COUNTIF('Group Stages'!M7:M102,BW649)</f>
        <v>0</v>
      </c>
      <c r="CB649" s="306">
        <f ca="1">COUNTIF('Group Stages'!N7:N102,BW649)</f>
        <v>0</v>
      </c>
      <c r="CC649" s="306">
        <f ca="1">COUNTIF('Group Stages'!O7:O102,BW649)</f>
        <v>0</v>
      </c>
      <c r="CD649" s="306">
        <f ca="1">COUNTIF('Group Stages'!P7:P102,BW649)</f>
        <v>0</v>
      </c>
      <c r="CE649" s="306">
        <f ca="1">COUNTIF('Group Stages'!Q7:Q102,BW649)</f>
        <v>0</v>
      </c>
      <c r="CF649" s="306">
        <f ca="1">COUNTIF('Knock Out Stages'!K7:K50,BW649)</f>
        <v>0</v>
      </c>
      <c r="CG649" s="306">
        <f ca="1">COUNTIF('Knock Out Stages'!L7:L50,BW649)</f>
        <v>0</v>
      </c>
      <c r="CH649" s="306">
        <f ca="1">COUNTIF('Knock Out Stages'!M7:M50,BW649)</f>
        <v>0</v>
      </c>
      <c r="CI649" s="306">
        <f ca="1">COUNTIF('Knock Out Stages'!N7:N50,BW649)</f>
        <v>0</v>
      </c>
      <c r="CJ649" s="306">
        <f ca="1">COUNTIF('Knock Out Stages'!O7:O50,BW649)</f>
        <v>0</v>
      </c>
      <c r="CK649" s="306">
        <f ca="1">COUNTIF('Knock Out Stages'!P7:P50,BW649)</f>
        <v>0</v>
      </c>
      <c r="CL649" s="306">
        <f ca="1">COUNTIF('Knock Out Stages'!Q7:Q50,BW649)</f>
        <v>0</v>
      </c>
      <c r="CM649" s="306">
        <f ca="1">COUNTIF('Knock Out Stages'!R7:R50,BW649)</f>
        <v>0</v>
      </c>
      <c r="CN649" s="306">
        <f ca="1">IF(RIGHT('Group Stages'!$B$105,5)="T.com",SUM(BX649:CM649),0)</f>
        <v>0</v>
      </c>
      <c r="CO649" s="306">
        <f ca="1">RANK(CN649,CN3:CN834)+COUNTIF(CN3:CN649,CN649)-1</f>
        <v>647</v>
      </c>
      <c r="CP649" s="306" t="str">
        <f t="shared" ca="1" si="228"/>
        <v>Rodrygo (Brazil)</v>
      </c>
    </row>
    <row r="650" spans="72:94" x14ac:dyDescent="0.3">
      <c r="BT650" s="306" t="str">
        <f t="shared" ca="1" si="225"/>
        <v>Brazil</v>
      </c>
      <c r="BU650" s="306">
        <f t="shared" si="226"/>
        <v>23</v>
      </c>
      <c r="BV650" s="306">
        <f t="shared" si="227"/>
        <v>23</v>
      </c>
      <c r="BW650" s="306" t="str">
        <f ca="1">OFFSET(C3,BU650,BV650)</f>
        <v>Thiago Silva</v>
      </c>
      <c r="BX650" s="306">
        <f ca="1">COUNTIF('Group Stages'!J7:J102,BW650)</f>
        <v>0</v>
      </c>
      <c r="BY650" s="306">
        <f ca="1">COUNTIF('Group Stages'!K7:K102,BW650)</f>
        <v>0</v>
      </c>
      <c r="BZ650" s="306">
        <f ca="1">COUNTIF('Group Stages'!L7:L102,BW650)</f>
        <v>0</v>
      </c>
      <c r="CA650" s="306">
        <f ca="1">COUNTIF('Group Stages'!M7:M102,BW650)</f>
        <v>0</v>
      </c>
      <c r="CB650" s="306">
        <f ca="1">COUNTIF('Group Stages'!N7:N102,BW650)</f>
        <v>0</v>
      </c>
      <c r="CC650" s="306">
        <f ca="1">COUNTIF('Group Stages'!O7:O102,BW650)</f>
        <v>0</v>
      </c>
      <c r="CD650" s="306">
        <f ca="1">COUNTIF('Group Stages'!P7:P102,BW650)</f>
        <v>0</v>
      </c>
      <c r="CE650" s="306">
        <f ca="1">COUNTIF('Group Stages'!Q7:Q102,BW650)</f>
        <v>0</v>
      </c>
      <c r="CF650" s="306">
        <f ca="1">COUNTIF('Knock Out Stages'!K7:K50,BW650)</f>
        <v>0</v>
      </c>
      <c r="CG650" s="306">
        <f ca="1">COUNTIF('Knock Out Stages'!L7:L50,BW650)</f>
        <v>0</v>
      </c>
      <c r="CH650" s="306">
        <f ca="1">COUNTIF('Knock Out Stages'!M7:M50,BW650)</f>
        <v>0</v>
      </c>
      <c r="CI650" s="306">
        <f ca="1">COUNTIF('Knock Out Stages'!N7:N50,BW650)</f>
        <v>0</v>
      </c>
      <c r="CJ650" s="306">
        <f ca="1">COUNTIF('Knock Out Stages'!O7:O50,BW650)</f>
        <v>0</v>
      </c>
      <c r="CK650" s="306">
        <f ca="1">COUNTIF('Knock Out Stages'!P7:P50,BW650)</f>
        <v>0</v>
      </c>
      <c r="CL650" s="306">
        <f ca="1">COUNTIF('Knock Out Stages'!Q7:Q50,BW650)</f>
        <v>0</v>
      </c>
      <c r="CM650" s="306">
        <f ca="1">COUNTIF('Knock Out Stages'!R7:R50,BW650)</f>
        <v>0</v>
      </c>
      <c r="CN650" s="306">
        <f ca="1">IF(RIGHT('Group Stages'!$B$105,5)="T.com",SUM(BX650:CM650),0)</f>
        <v>0</v>
      </c>
      <c r="CO650" s="306">
        <f ca="1">RANK(CN650,CN3:CN834)+COUNTIF(CN3:CN650,CN650)-1</f>
        <v>648</v>
      </c>
      <c r="CP650" s="306" t="str">
        <f t="shared" ca="1" si="228"/>
        <v>Thiago Silva (Brazil)</v>
      </c>
    </row>
    <row r="651" spans="72:94" x14ac:dyDescent="0.3">
      <c r="BT651" s="306" t="str">
        <f t="shared" ca="1" si="225"/>
        <v>Brazil</v>
      </c>
      <c r="BU651" s="306">
        <f t="shared" si="226"/>
        <v>24</v>
      </c>
      <c r="BV651" s="306">
        <f t="shared" si="227"/>
        <v>23</v>
      </c>
      <c r="BW651" s="306" t="str">
        <f ca="1">OFFSET(C3,BU651,BV651)</f>
        <v>Vinícius Júnior</v>
      </c>
      <c r="BX651" s="306">
        <f ca="1">COUNTIF('Group Stages'!J7:J102,BW651)</f>
        <v>0</v>
      </c>
      <c r="BY651" s="306">
        <f ca="1">COUNTIF('Group Stages'!K7:K102,BW651)</f>
        <v>0</v>
      </c>
      <c r="BZ651" s="306">
        <f ca="1">COUNTIF('Group Stages'!L7:L102,BW651)</f>
        <v>0</v>
      </c>
      <c r="CA651" s="306">
        <f ca="1">COUNTIF('Group Stages'!M7:M102,BW651)</f>
        <v>0</v>
      </c>
      <c r="CB651" s="306">
        <f ca="1">COUNTIF('Group Stages'!N7:N102,BW651)</f>
        <v>0</v>
      </c>
      <c r="CC651" s="306">
        <f ca="1">COUNTIF('Group Stages'!O7:O102,BW651)</f>
        <v>0</v>
      </c>
      <c r="CD651" s="306">
        <f ca="1">COUNTIF('Group Stages'!P7:P102,BW651)</f>
        <v>0</v>
      </c>
      <c r="CE651" s="306">
        <f ca="1">COUNTIF('Group Stages'!Q7:Q102,BW651)</f>
        <v>0</v>
      </c>
      <c r="CF651" s="306">
        <f ca="1">COUNTIF('Knock Out Stages'!K7:K50,BW651)</f>
        <v>0</v>
      </c>
      <c r="CG651" s="306">
        <f ca="1">COUNTIF('Knock Out Stages'!L7:L50,BW651)</f>
        <v>0</v>
      </c>
      <c r="CH651" s="306">
        <f ca="1">COUNTIF('Knock Out Stages'!M7:M50,BW651)</f>
        <v>0</v>
      </c>
      <c r="CI651" s="306">
        <f ca="1">COUNTIF('Knock Out Stages'!N7:N50,BW651)</f>
        <v>0</v>
      </c>
      <c r="CJ651" s="306">
        <f ca="1">COUNTIF('Knock Out Stages'!O7:O50,BW651)</f>
        <v>0</v>
      </c>
      <c r="CK651" s="306">
        <f ca="1">COUNTIF('Knock Out Stages'!P7:P50,BW651)</f>
        <v>0</v>
      </c>
      <c r="CL651" s="306">
        <f ca="1">COUNTIF('Knock Out Stages'!Q7:Q50,BW651)</f>
        <v>0</v>
      </c>
      <c r="CM651" s="306">
        <f ca="1">COUNTIF('Knock Out Stages'!R7:R50,BW651)</f>
        <v>0</v>
      </c>
      <c r="CN651" s="306">
        <f ca="1">IF(RIGHT('Group Stages'!$B$105,5)="T.com",SUM(BX651:CM651),0)</f>
        <v>0</v>
      </c>
      <c r="CO651" s="306">
        <f ca="1">RANK(CN651,CN3:CN834)+COUNTIF(CN3:CN651,CN651)-1</f>
        <v>649</v>
      </c>
      <c r="CP651" s="306" t="str">
        <f t="shared" ca="1" si="228"/>
        <v>Vinícius Júnior (Brazil)</v>
      </c>
    </row>
    <row r="652" spans="72:94" x14ac:dyDescent="0.3">
      <c r="BT652" s="306" t="str">
        <f t="shared" ca="1" si="225"/>
        <v>Brazil</v>
      </c>
      <c r="BU652" s="306">
        <f t="shared" si="226"/>
        <v>25</v>
      </c>
      <c r="BV652" s="306">
        <f t="shared" si="227"/>
        <v>23</v>
      </c>
      <c r="BW652" s="306" t="str">
        <f ca="1">OFFSET(C3,BU652,BV652)</f>
        <v>Weverton</v>
      </c>
      <c r="BX652" s="306">
        <f ca="1">COUNTIF('Group Stages'!J7:J102,BW652)</f>
        <v>0</v>
      </c>
      <c r="BY652" s="306">
        <f ca="1">COUNTIF('Group Stages'!K7:K102,BW652)</f>
        <v>0</v>
      </c>
      <c r="BZ652" s="306">
        <f ca="1">COUNTIF('Group Stages'!L7:L102,BW652)</f>
        <v>0</v>
      </c>
      <c r="CA652" s="306">
        <f ca="1">COUNTIF('Group Stages'!M7:M102,BW652)</f>
        <v>0</v>
      </c>
      <c r="CB652" s="306">
        <f ca="1">COUNTIF('Group Stages'!N7:N102,BW652)</f>
        <v>0</v>
      </c>
      <c r="CC652" s="306">
        <f ca="1">COUNTIF('Group Stages'!O7:O102,BW652)</f>
        <v>0</v>
      </c>
      <c r="CD652" s="306">
        <f ca="1">COUNTIF('Group Stages'!P7:P102,BW652)</f>
        <v>0</v>
      </c>
      <c r="CE652" s="306">
        <f ca="1">COUNTIF('Group Stages'!Q7:Q102,BW652)</f>
        <v>0</v>
      </c>
      <c r="CF652" s="306">
        <f ca="1">COUNTIF('Knock Out Stages'!K7:K50,BW652)</f>
        <v>0</v>
      </c>
      <c r="CG652" s="306">
        <f ca="1">COUNTIF('Knock Out Stages'!L7:L50,BW652)</f>
        <v>0</v>
      </c>
      <c r="CH652" s="306">
        <f ca="1">COUNTIF('Knock Out Stages'!M7:M50,BW652)</f>
        <v>0</v>
      </c>
      <c r="CI652" s="306">
        <f ca="1">COUNTIF('Knock Out Stages'!N7:N50,BW652)</f>
        <v>0</v>
      </c>
      <c r="CJ652" s="306">
        <f ca="1">COUNTIF('Knock Out Stages'!O7:O50,BW652)</f>
        <v>0</v>
      </c>
      <c r="CK652" s="306">
        <f ca="1">COUNTIF('Knock Out Stages'!P7:P50,BW652)</f>
        <v>0</v>
      </c>
      <c r="CL652" s="306">
        <f ca="1">COUNTIF('Knock Out Stages'!Q7:Q50,BW652)</f>
        <v>0</v>
      </c>
      <c r="CM652" s="306">
        <f ca="1">COUNTIF('Knock Out Stages'!R7:R50,BW652)</f>
        <v>0</v>
      </c>
      <c r="CN652" s="306">
        <f ca="1">IF(RIGHT('Group Stages'!$B$105,5)="T.com",SUM(BX652:CM652),0)</f>
        <v>0</v>
      </c>
      <c r="CO652" s="306">
        <f ca="1">RANK(CN652,CN3:CN834)+COUNTIF(CN3:CN652,CN652)-1</f>
        <v>650</v>
      </c>
      <c r="CP652" s="306" t="str">
        <f t="shared" ca="1" si="228"/>
        <v>Weverton (Brazil)</v>
      </c>
    </row>
    <row r="653" spans="72:94" x14ac:dyDescent="0.3">
      <c r="BT653" s="306" t="str">
        <f ca="1">OFFSET(C2,BU653,BV653)</f>
        <v>Serbia</v>
      </c>
      <c r="BU653" s="306">
        <f t="shared" si="226"/>
        <v>0</v>
      </c>
      <c r="BV653" s="306">
        <f t="shared" si="227"/>
        <v>24</v>
      </c>
      <c r="BW653" s="306" t="str">
        <f ca="1">OFFSET(C3,BU653,BV653)</f>
        <v>Aleksandar Mitrović</v>
      </c>
      <c r="BX653" s="306">
        <f ca="1">COUNTIF('Group Stages'!J7:J102,BW653)</f>
        <v>0</v>
      </c>
      <c r="BY653" s="306">
        <f ca="1">COUNTIF('Group Stages'!K7:K102,BW653)</f>
        <v>0</v>
      </c>
      <c r="BZ653" s="306">
        <f ca="1">COUNTIF('Group Stages'!L7:L102,BW653)</f>
        <v>0</v>
      </c>
      <c r="CA653" s="306">
        <f ca="1">COUNTIF('Group Stages'!M7:M102,BW653)</f>
        <v>0</v>
      </c>
      <c r="CB653" s="306">
        <f ca="1">COUNTIF('Group Stages'!N7:N102,BW653)</f>
        <v>0</v>
      </c>
      <c r="CC653" s="306">
        <f ca="1">COUNTIF('Group Stages'!O7:O102,BW653)</f>
        <v>0</v>
      </c>
      <c r="CD653" s="306">
        <f ca="1">COUNTIF('Group Stages'!P7:P102,BW653)</f>
        <v>0</v>
      </c>
      <c r="CE653" s="306">
        <f ca="1">COUNTIF('Group Stages'!Q7:Q102,BW653)</f>
        <v>0</v>
      </c>
      <c r="CF653" s="306">
        <f ca="1">COUNTIF('Knock Out Stages'!K7:K50,BW653)</f>
        <v>0</v>
      </c>
      <c r="CG653" s="306">
        <f ca="1">COUNTIF('Knock Out Stages'!L7:L50,BW653)</f>
        <v>0</v>
      </c>
      <c r="CH653" s="306">
        <f ca="1">COUNTIF('Knock Out Stages'!M7:M50,BW653)</f>
        <v>0</v>
      </c>
      <c r="CI653" s="306">
        <f ca="1">COUNTIF('Knock Out Stages'!N7:N50,BW653)</f>
        <v>0</v>
      </c>
      <c r="CJ653" s="306">
        <f ca="1">COUNTIF('Knock Out Stages'!O7:O50,BW653)</f>
        <v>0</v>
      </c>
      <c r="CK653" s="306">
        <f ca="1">COUNTIF('Knock Out Stages'!P7:P50,BW653)</f>
        <v>0</v>
      </c>
      <c r="CL653" s="306">
        <f ca="1">COUNTIF('Knock Out Stages'!Q7:Q50,BW653)</f>
        <v>0</v>
      </c>
      <c r="CM653" s="306">
        <f ca="1">COUNTIF('Knock Out Stages'!R7:R50,BW653)</f>
        <v>0</v>
      </c>
      <c r="CN653" s="306">
        <f ca="1">IF(RIGHT('Group Stages'!$B$105,5)="T.com",SUM(BX653:CM653),0)</f>
        <v>0</v>
      </c>
      <c r="CO653" s="306">
        <f ca="1">RANK(CN653,CN3:CN834)+COUNTIF(CN3:CN653,CN653)-1</f>
        <v>651</v>
      </c>
      <c r="CP653" s="306" t="str">
        <f t="shared" ca="1" si="228"/>
        <v>Aleksandar Mitrović (Serbia)</v>
      </c>
    </row>
    <row r="654" spans="72:94" x14ac:dyDescent="0.3">
      <c r="BT654" s="306" t="str">
        <f t="shared" ref="BT654" ca="1" si="229">BT653</f>
        <v>Serbia</v>
      </c>
      <c r="BU654" s="306">
        <f t="shared" si="226"/>
        <v>1</v>
      </c>
      <c r="BV654" s="306">
        <f t="shared" si="227"/>
        <v>24</v>
      </c>
      <c r="BW654" s="306" t="str">
        <f ca="1">OFFSET(C3,BU654,BV654)</f>
        <v>Andrija Živković</v>
      </c>
      <c r="BX654" s="306">
        <f ca="1">COUNTIF('Group Stages'!J7:J102,BW654)</f>
        <v>0</v>
      </c>
      <c r="BY654" s="306">
        <f ca="1">COUNTIF('Group Stages'!K7:K102,BW654)</f>
        <v>0</v>
      </c>
      <c r="BZ654" s="306">
        <f ca="1">COUNTIF('Group Stages'!L7:L102,BW654)</f>
        <v>0</v>
      </c>
      <c r="CA654" s="306">
        <f ca="1">COUNTIF('Group Stages'!M7:M102,BW654)</f>
        <v>0</v>
      </c>
      <c r="CB654" s="306">
        <f ca="1">COUNTIF('Group Stages'!N7:N102,BW654)</f>
        <v>0</v>
      </c>
      <c r="CC654" s="306">
        <f ca="1">COUNTIF('Group Stages'!O7:O102,BW654)</f>
        <v>0</v>
      </c>
      <c r="CD654" s="306">
        <f ca="1">COUNTIF('Group Stages'!P7:P102,BW654)</f>
        <v>0</v>
      </c>
      <c r="CE654" s="306">
        <f ca="1">COUNTIF('Group Stages'!Q7:Q102,BW654)</f>
        <v>0</v>
      </c>
      <c r="CF654" s="306">
        <f ca="1">COUNTIF('Knock Out Stages'!K7:K50,BW654)</f>
        <v>0</v>
      </c>
      <c r="CG654" s="306">
        <f ca="1">COUNTIF('Knock Out Stages'!L7:L50,BW654)</f>
        <v>0</v>
      </c>
      <c r="CH654" s="306">
        <f ca="1">COUNTIF('Knock Out Stages'!M7:M50,BW654)</f>
        <v>0</v>
      </c>
      <c r="CI654" s="306">
        <f ca="1">COUNTIF('Knock Out Stages'!N7:N50,BW654)</f>
        <v>0</v>
      </c>
      <c r="CJ654" s="306">
        <f ca="1">COUNTIF('Knock Out Stages'!O7:O50,BW654)</f>
        <v>0</v>
      </c>
      <c r="CK654" s="306">
        <f ca="1">COUNTIF('Knock Out Stages'!P7:P50,BW654)</f>
        <v>0</v>
      </c>
      <c r="CL654" s="306">
        <f ca="1">COUNTIF('Knock Out Stages'!Q7:Q50,BW654)</f>
        <v>0</v>
      </c>
      <c r="CM654" s="306">
        <f ca="1">COUNTIF('Knock Out Stages'!R7:R50,BW654)</f>
        <v>0</v>
      </c>
      <c r="CN654" s="306">
        <f ca="1">IF(RIGHT('Group Stages'!$B$105,5)="T.com",SUM(BX654:CM654),0)</f>
        <v>0</v>
      </c>
      <c r="CO654" s="306">
        <f ca="1">RANK(CN654,CN3:CN834)+COUNTIF(CN3:CN654,CN654)-1</f>
        <v>652</v>
      </c>
      <c r="CP654" s="306" t="str">
        <f t="shared" ca="1" si="228"/>
        <v>Andrija Živković (Serbia)</v>
      </c>
    </row>
    <row r="655" spans="72:94" x14ac:dyDescent="0.3">
      <c r="BT655" s="306" t="str">
        <f t="shared" ca="1" si="225"/>
        <v>Serbia</v>
      </c>
      <c r="BU655" s="306">
        <f t="shared" si="226"/>
        <v>2</v>
      </c>
      <c r="BV655" s="306">
        <f t="shared" si="227"/>
        <v>24</v>
      </c>
      <c r="BW655" s="306" t="str">
        <f ca="1">OFFSET(C3,BU655,BV655)</f>
        <v>Darko Lazović</v>
      </c>
      <c r="BX655" s="306">
        <f ca="1">COUNTIF('Group Stages'!J7:J102,BW655)</f>
        <v>0</v>
      </c>
      <c r="BY655" s="306">
        <f ca="1">COUNTIF('Group Stages'!K7:K102,BW655)</f>
        <v>0</v>
      </c>
      <c r="BZ655" s="306">
        <f ca="1">COUNTIF('Group Stages'!L7:L102,BW655)</f>
        <v>0</v>
      </c>
      <c r="CA655" s="306">
        <f ca="1">COUNTIF('Group Stages'!M7:M102,BW655)</f>
        <v>0</v>
      </c>
      <c r="CB655" s="306">
        <f ca="1">COUNTIF('Group Stages'!N7:N102,BW655)</f>
        <v>0</v>
      </c>
      <c r="CC655" s="306">
        <f ca="1">COUNTIF('Group Stages'!O7:O102,BW655)</f>
        <v>0</v>
      </c>
      <c r="CD655" s="306">
        <f ca="1">COUNTIF('Group Stages'!P7:P102,BW655)</f>
        <v>0</v>
      </c>
      <c r="CE655" s="306">
        <f ca="1">COUNTIF('Group Stages'!Q7:Q102,BW655)</f>
        <v>0</v>
      </c>
      <c r="CF655" s="306">
        <f ca="1">COUNTIF('Knock Out Stages'!K7:K50,BW655)</f>
        <v>0</v>
      </c>
      <c r="CG655" s="306">
        <f ca="1">COUNTIF('Knock Out Stages'!L7:L50,BW655)</f>
        <v>0</v>
      </c>
      <c r="CH655" s="306">
        <f ca="1">COUNTIF('Knock Out Stages'!M7:M50,BW655)</f>
        <v>0</v>
      </c>
      <c r="CI655" s="306">
        <f ca="1">COUNTIF('Knock Out Stages'!N7:N50,BW655)</f>
        <v>0</v>
      </c>
      <c r="CJ655" s="306">
        <f ca="1">COUNTIF('Knock Out Stages'!O7:O50,BW655)</f>
        <v>0</v>
      </c>
      <c r="CK655" s="306">
        <f ca="1">COUNTIF('Knock Out Stages'!P7:P50,BW655)</f>
        <v>0</v>
      </c>
      <c r="CL655" s="306">
        <f ca="1">COUNTIF('Knock Out Stages'!Q7:Q50,BW655)</f>
        <v>0</v>
      </c>
      <c r="CM655" s="306">
        <f ca="1">COUNTIF('Knock Out Stages'!R7:R50,BW655)</f>
        <v>0</v>
      </c>
      <c r="CN655" s="306">
        <f ca="1">IF(RIGHT('Group Stages'!$B$105,5)="T.com",SUM(BX655:CM655),0)</f>
        <v>0</v>
      </c>
      <c r="CO655" s="306">
        <f ca="1">RANK(CN655,CN3:CN834)+COUNTIF(CN3:CN655,CN655)-1</f>
        <v>653</v>
      </c>
      <c r="CP655" s="306" t="str">
        <f t="shared" ca="1" si="228"/>
        <v>Darko Lazović (Serbia)</v>
      </c>
    </row>
    <row r="656" spans="72:94" x14ac:dyDescent="0.3">
      <c r="BT656" s="306" t="str">
        <f t="shared" ca="1" si="225"/>
        <v>Serbia</v>
      </c>
      <c r="BU656" s="306">
        <f t="shared" si="226"/>
        <v>3</v>
      </c>
      <c r="BV656" s="306">
        <f t="shared" si="227"/>
        <v>24</v>
      </c>
      <c r="BW656" s="306" t="str">
        <f ca="1">OFFSET(C3,BU656,BV656)</f>
        <v>Dušan Tadić</v>
      </c>
      <c r="BX656" s="306">
        <f ca="1">COUNTIF('Group Stages'!J7:J102,BW656)</f>
        <v>0</v>
      </c>
      <c r="BY656" s="306">
        <f ca="1">COUNTIF('Group Stages'!K7:K102,BW656)</f>
        <v>0</v>
      </c>
      <c r="BZ656" s="306">
        <f ca="1">COUNTIF('Group Stages'!L7:L102,BW656)</f>
        <v>0</v>
      </c>
      <c r="CA656" s="306">
        <f ca="1">COUNTIF('Group Stages'!M7:M102,BW656)</f>
        <v>0</v>
      </c>
      <c r="CB656" s="306">
        <f ca="1">COUNTIF('Group Stages'!N7:N102,BW656)</f>
        <v>0</v>
      </c>
      <c r="CC656" s="306">
        <f ca="1">COUNTIF('Group Stages'!O7:O102,BW656)</f>
        <v>0</v>
      </c>
      <c r="CD656" s="306">
        <f ca="1">COUNTIF('Group Stages'!P7:P102,BW656)</f>
        <v>0</v>
      </c>
      <c r="CE656" s="306">
        <f ca="1">COUNTIF('Group Stages'!Q7:Q102,BW656)</f>
        <v>0</v>
      </c>
      <c r="CF656" s="306">
        <f ca="1">COUNTIF('Knock Out Stages'!K7:K50,BW656)</f>
        <v>0</v>
      </c>
      <c r="CG656" s="306">
        <f ca="1">COUNTIF('Knock Out Stages'!L7:L50,BW656)</f>
        <v>0</v>
      </c>
      <c r="CH656" s="306">
        <f ca="1">COUNTIF('Knock Out Stages'!M7:M50,BW656)</f>
        <v>0</v>
      </c>
      <c r="CI656" s="306">
        <f ca="1">COUNTIF('Knock Out Stages'!N7:N50,BW656)</f>
        <v>0</v>
      </c>
      <c r="CJ656" s="306">
        <f ca="1">COUNTIF('Knock Out Stages'!O7:O50,BW656)</f>
        <v>0</v>
      </c>
      <c r="CK656" s="306">
        <f ca="1">COUNTIF('Knock Out Stages'!P7:P50,BW656)</f>
        <v>0</v>
      </c>
      <c r="CL656" s="306">
        <f ca="1">COUNTIF('Knock Out Stages'!Q7:Q50,BW656)</f>
        <v>0</v>
      </c>
      <c r="CM656" s="306">
        <f ca="1">COUNTIF('Knock Out Stages'!R7:R50,BW656)</f>
        <v>0</v>
      </c>
      <c r="CN656" s="306">
        <f ca="1">IF(RIGHT('Group Stages'!$B$105,5)="T.com",SUM(BX656:CM656),0)</f>
        <v>0</v>
      </c>
      <c r="CO656" s="306">
        <f ca="1">RANK(CN656,CN3:CN834)+COUNTIF(CN3:CN656,CN656)-1</f>
        <v>654</v>
      </c>
      <c r="CP656" s="306" t="str">
        <f t="shared" ca="1" si="228"/>
        <v>Dušan Tadić (Serbia)</v>
      </c>
    </row>
    <row r="657" spans="72:94" x14ac:dyDescent="0.3">
      <c r="BT657" s="306" t="str">
        <f t="shared" ca="1" si="225"/>
        <v>Serbia</v>
      </c>
      <c r="BU657" s="306">
        <f t="shared" si="226"/>
        <v>4</v>
      </c>
      <c r="BV657" s="306">
        <f t="shared" si="227"/>
        <v>24</v>
      </c>
      <c r="BW657" s="306" t="str">
        <f ca="1">OFFSET(C3,BU657,BV657)</f>
        <v>Dušan Vlahović</v>
      </c>
      <c r="BX657" s="306">
        <f ca="1">COUNTIF('Group Stages'!J7:J102,BW657)</f>
        <v>0</v>
      </c>
      <c r="BY657" s="306">
        <f ca="1">COUNTIF('Group Stages'!K7:K102,BW657)</f>
        <v>0</v>
      </c>
      <c r="BZ657" s="306">
        <f ca="1">COUNTIF('Group Stages'!L7:L102,BW657)</f>
        <v>0</v>
      </c>
      <c r="CA657" s="306">
        <f ca="1">COUNTIF('Group Stages'!M7:M102,BW657)</f>
        <v>0</v>
      </c>
      <c r="CB657" s="306">
        <f ca="1">COUNTIF('Group Stages'!N7:N102,BW657)</f>
        <v>0</v>
      </c>
      <c r="CC657" s="306">
        <f ca="1">COUNTIF('Group Stages'!O7:O102,BW657)</f>
        <v>0</v>
      </c>
      <c r="CD657" s="306">
        <f ca="1">COUNTIF('Group Stages'!P7:P102,BW657)</f>
        <v>0</v>
      </c>
      <c r="CE657" s="306">
        <f ca="1">COUNTIF('Group Stages'!Q7:Q102,BW657)</f>
        <v>0</v>
      </c>
      <c r="CF657" s="306">
        <f ca="1">COUNTIF('Knock Out Stages'!K7:K50,BW657)</f>
        <v>0</v>
      </c>
      <c r="CG657" s="306">
        <f ca="1">COUNTIF('Knock Out Stages'!L7:L50,BW657)</f>
        <v>0</v>
      </c>
      <c r="CH657" s="306">
        <f ca="1">COUNTIF('Knock Out Stages'!M7:M50,BW657)</f>
        <v>0</v>
      </c>
      <c r="CI657" s="306">
        <f ca="1">COUNTIF('Knock Out Stages'!N7:N50,BW657)</f>
        <v>0</v>
      </c>
      <c r="CJ657" s="306">
        <f ca="1">COUNTIF('Knock Out Stages'!O7:O50,BW657)</f>
        <v>0</v>
      </c>
      <c r="CK657" s="306">
        <f ca="1">COUNTIF('Knock Out Stages'!P7:P50,BW657)</f>
        <v>0</v>
      </c>
      <c r="CL657" s="306">
        <f ca="1">COUNTIF('Knock Out Stages'!Q7:Q50,BW657)</f>
        <v>0</v>
      </c>
      <c r="CM657" s="306">
        <f ca="1">COUNTIF('Knock Out Stages'!R7:R50,BW657)</f>
        <v>0</v>
      </c>
      <c r="CN657" s="306">
        <f ca="1">IF(RIGHT('Group Stages'!$B$105,5)="T.com",SUM(BX657:CM657),0)</f>
        <v>0</v>
      </c>
      <c r="CO657" s="306">
        <f ca="1">RANK(CN657,CN3:CN834)+COUNTIF(CN3:CN657,CN657)-1</f>
        <v>655</v>
      </c>
      <c r="CP657" s="306" t="str">
        <f t="shared" ca="1" si="228"/>
        <v>Dušan Vlahović (Serbia)</v>
      </c>
    </row>
    <row r="658" spans="72:94" x14ac:dyDescent="0.3">
      <c r="BT658" s="306" t="str">
        <f t="shared" ca="1" si="225"/>
        <v>Serbia</v>
      </c>
      <c r="BU658" s="306">
        <f t="shared" si="226"/>
        <v>5</v>
      </c>
      <c r="BV658" s="306">
        <f t="shared" si="227"/>
        <v>24</v>
      </c>
      <c r="BW658" s="306" t="str">
        <f ca="1">OFFSET(C3,BU658,BV658)</f>
        <v>Filip Đuričić</v>
      </c>
      <c r="BX658" s="306">
        <f ca="1">COUNTIF('Group Stages'!J7:J102,BW658)</f>
        <v>0</v>
      </c>
      <c r="BY658" s="306">
        <f ca="1">COUNTIF('Group Stages'!K7:K102,BW658)</f>
        <v>0</v>
      </c>
      <c r="BZ658" s="306">
        <f ca="1">COUNTIF('Group Stages'!L7:L102,BW658)</f>
        <v>0</v>
      </c>
      <c r="CA658" s="306">
        <f ca="1">COUNTIF('Group Stages'!M7:M102,BW658)</f>
        <v>0</v>
      </c>
      <c r="CB658" s="306">
        <f ca="1">COUNTIF('Group Stages'!N7:N102,BW658)</f>
        <v>0</v>
      </c>
      <c r="CC658" s="306">
        <f ca="1">COUNTIF('Group Stages'!O7:O102,BW658)</f>
        <v>0</v>
      </c>
      <c r="CD658" s="306">
        <f ca="1">COUNTIF('Group Stages'!P7:P102,BW658)</f>
        <v>0</v>
      </c>
      <c r="CE658" s="306">
        <f ca="1">COUNTIF('Group Stages'!Q7:Q102,BW658)</f>
        <v>0</v>
      </c>
      <c r="CF658" s="306">
        <f ca="1">COUNTIF('Knock Out Stages'!K7:K50,BW658)</f>
        <v>0</v>
      </c>
      <c r="CG658" s="306">
        <f ca="1">COUNTIF('Knock Out Stages'!L7:L50,BW658)</f>
        <v>0</v>
      </c>
      <c r="CH658" s="306">
        <f ca="1">COUNTIF('Knock Out Stages'!M7:M50,BW658)</f>
        <v>0</v>
      </c>
      <c r="CI658" s="306">
        <f ca="1">COUNTIF('Knock Out Stages'!N7:N50,BW658)</f>
        <v>0</v>
      </c>
      <c r="CJ658" s="306">
        <f ca="1">COUNTIF('Knock Out Stages'!O7:O50,BW658)</f>
        <v>0</v>
      </c>
      <c r="CK658" s="306">
        <f ca="1">COUNTIF('Knock Out Stages'!P7:P50,BW658)</f>
        <v>0</v>
      </c>
      <c r="CL658" s="306">
        <f ca="1">COUNTIF('Knock Out Stages'!Q7:Q50,BW658)</f>
        <v>0</v>
      </c>
      <c r="CM658" s="306">
        <f ca="1">COUNTIF('Knock Out Stages'!R7:R50,BW658)</f>
        <v>0</v>
      </c>
      <c r="CN658" s="306">
        <f ca="1">IF(RIGHT('Group Stages'!$B$105,5)="T.com",SUM(BX658:CM658),0)</f>
        <v>0</v>
      </c>
      <c r="CO658" s="306">
        <f ca="1">RANK(CN658,CN3:CN834)+COUNTIF(CN3:CN658,CN658)-1</f>
        <v>656</v>
      </c>
      <c r="CP658" s="306" t="str">
        <f t="shared" ca="1" si="228"/>
        <v>Filip Đuričić (Serbia)</v>
      </c>
    </row>
    <row r="659" spans="72:94" x14ac:dyDescent="0.3">
      <c r="BT659" s="306" t="str">
        <f t="shared" ca="1" si="225"/>
        <v>Serbia</v>
      </c>
      <c r="BU659" s="306">
        <f t="shared" si="226"/>
        <v>6</v>
      </c>
      <c r="BV659" s="306">
        <f t="shared" si="227"/>
        <v>24</v>
      </c>
      <c r="BW659" s="306" t="str">
        <f ca="1">OFFSET(C3,BU659,BV659)</f>
        <v>Filip Kostić</v>
      </c>
      <c r="BX659" s="306">
        <f ca="1">COUNTIF('Group Stages'!J7:J102,BW659)</f>
        <v>0</v>
      </c>
      <c r="BY659" s="306">
        <f ca="1">COUNTIF('Group Stages'!K7:K102,BW659)</f>
        <v>0</v>
      </c>
      <c r="BZ659" s="306">
        <f ca="1">COUNTIF('Group Stages'!L7:L102,BW659)</f>
        <v>0</v>
      </c>
      <c r="CA659" s="306">
        <f ca="1">COUNTIF('Group Stages'!M7:M102,BW659)</f>
        <v>0</v>
      </c>
      <c r="CB659" s="306">
        <f ca="1">COUNTIF('Group Stages'!N7:N102,BW659)</f>
        <v>0</v>
      </c>
      <c r="CC659" s="306">
        <f ca="1">COUNTIF('Group Stages'!O7:O102,BW659)</f>
        <v>0</v>
      </c>
      <c r="CD659" s="306">
        <f ca="1">COUNTIF('Group Stages'!P7:P102,BW659)</f>
        <v>0</v>
      </c>
      <c r="CE659" s="306">
        <f ca="1">COUNTIF('Group Stages'!Q7:Q102,BW659)</f>
        <v>0</v>
      </c>
      <c r="CF659" s="306">
        <f ca="1">COUNTIF('Knock Out Stages'!K7:K50,BW659)</f>
        <v>0</v>
      </c>
      <c r="CG659" s="306">
        <f ca="1">COUNTIF('Knock Out Stages'!L7:L50,BW659)</f>
        <v>0</v>
      </c>
      <c r="CH659" s="306">
        <f ca="1">COUNTIF('Knock Out Stages'!M7:M50,BW659)</f>
        <v>0</v>
      </c>
      <c r="CI659" s="306">
        <f ca="1">COUNTIF('Knock Out Stages'!N7:N50,BW659)</f>
        <v>0</v>
      </c>
      <c r="CJ659" s="306">
        <f ca="1">COUNTIF('Knock Out Stages'!O7:O50,BW659)</f>
        <v>0</v>
      </c>
      <c r="CK659" s="306">
        <f ca="1">COUNTIF('Knock Out Stages'!P7:P50,BW659)</f>
        <v>0</v>
      </c>
      <c r="CL659" s="306">
        <f ca="1">COUNTIF('Knock Out Stages'!Q7:Q50,BW659)</f>
        <v>0</v>
      </c>
      <c r="CM659" s="306">
        <f ca="1">COUNTIF('Knock Out Stages'!R7:R50,BW659)</f>
        <v>0</v>
      </c>
      <c r="CN659" s="306">
        <f ca="1">IF(RIGHT('Group Stages'!$B$105,5)="T.com",SUM(BX659:CM659),0)</f>
        <v>0</v>
      </c>
      <c r="CO659" s="306">
        <f ca="1">RANK(CN659,CN3:CN834)+COUNTIF(CN3:CN659,CN659)-1</f>
        <v>657</v>
      </c>
      <c r="CP659" s="306" t="str">
        <f t="shared" ca="1" si="228"/>
        <v>Filip Kostić (Serbia)</v>
      </c>
    </row>
    <row r="660" spans="72:94" x14ac:dyDescent="0.3">
      <c r="BT660" s="306" t="str">
        <f t="shared" ca="1" si="225"/>
        <v>Serbia</v>
      </c>
      <c r="BU660" s="306">
        <f t="shared" si="226"/>
        <v>7</v>
      </c>
      <c r="BV660" s="306">
        <f t="shared" si="227"/>
        <v>24</v>
      </c>
      <c r="BW660" s="306" t="str">
        <f ca="1">OFFSET(C3,BU660,BV660)</f>
        <v>Filip Mladenović</v>
      </c>
      <c r="BX660" s="306">
        <f ca="1">COUNTIF('Group Stages'!J7:J102,BW660)</f>
        <v>0</v>
      </c>
      <c r="BY660" s="306">
        <f ca="1">COUNTIF('Group Stages'!K7:K102,BW660)</f>
        <v>0</v>
      </c>
      <c r="BZ660" s="306">
        <f ca="1">COUNTIF('Group Stages'!L7:L102,BW660)</f>
        <v>0</v>
      </c>
      <c r="CA660" s="306">
        <f ca="1">COUNTIF('Group Stages'!M7:M102,BW660)</f>
        <v>0</v>
      </c>
      <c r="CB660" s="306">
        <f ca="1">COUNTIF('Group Stages'!N7:N102,BW660)</f>
        <v>0</v>
      </c>
      <c r="CC660" s="306">
        <f ca="1">COUNTIF('Group Stages'!O7:O102,BW660)</f>
        <v>0</v>
      </c>
      <c r="CD660" s="306">
        <f ca="1">COUNTIF('Group Stages'!P7:P102,BW660)</f>
        <v>0</v>
      </c>
      <c r="CE660" s="306">
        <f ca="1">COUNTIF('Group Stages'!Q7:Q102,BW660)</f>
        <v>0</v>
      </c>
      <c r="CF660" s="306">
        <f ca="1">COUNTIF('Knock Out Stages'!K7:K50,BW660)</f>
        <v>0</v>
      </c>
      <c r="CG660" s="306">
        <f ca="1">COUNTIF('Knock Out Stages'!L7:L50,BW660)</f>
        <v>0</v>
      </c>
      <c r="CH660" s="306">
        <f ca="1">COUNTIF('Knock Out Stages'!M7:M50,BW660)</f>
        <v>0</v>
      </c>
      <c r="CI660" s="306">
        <f ca="1">COUNTIF('Knock Out Stages'!N7:N50,BW660)</f>
        <v>0</v>
      </c>
      <c r="CJ660" s="306">
        <f ca="1">COUNTIF('Knock Out Stages'!O7:O50,BW660)</f>
        <v>0</v>
      </c>
      <c r="CK660" s="306">
        <f ca="1">COUNTIF('Knock Out Stages'!P7:P50,BW660)</f>
        <v>0</v>
      </c>
      <c r="CL660" s="306">
        <f ca="1">COUNTIF('Knock Out Stages'!Q7:Q50,BW660)</f>
        <v>0</v>
      </c>
      <c r="CM660" s="306">
        <f ca="1">COUNTIF('Knock Out Stages'!R7:R50,BW660)</f>
        <v>0</v>
      </c>
      <c r="CN660" s="306">
        <f ca="1">IF(RIGHT('Group Stages'!$B$105,5)="T.com",SUM(BX660:CM660),0)</f>
        <v>0</v>
      </c>
      <c r="CO660" s="306">
        <f ca="1">RANK(CN660,CN3:CN834)+COUNTIF(CN3:CN660,CN660)-1</f>
        <v>658</v>
      </c>
      <c r="CP660" s="306" t="str">
        <f t="shared" ca="1" si="228"/>
        <v>Filip Mladenović (Serbia)</v>
      </c>
    </row>
    <row r="661" spans="72:94" x14ac:dyDescent="0.3">
      <c r="BT661" s="306" t="str">
        <f t="shared" ca="1" si="225"/>
        <v>Serbia</v>
      </c>
      <c r="BU661" s="306">
        <f t="shared" si="226"/>
        <v>8</v>
      </c>
      <c r="BV661" s="306">
        <f t="shared" si="227"/>
        <v>24</v>
      </c>
      <c r="BW661" s="306" t="str">
        <f ca="1">OFFSET(C3,BU661,BV661)</f>
        <v>Ivan Ilić</v>
      </c>
      <c r="BX661" s="306">
        <f ca="1">COUNTIF('Group Stages'!J7:J102,BW661)</f>
        <v>0</v>
      </c>
      <c r="BY661" s="306">
        <f ca="1">COUNTIF('Group Stages'!K7:K102,BW661)</f>
        <v>0</v>
      </c>
      <c r="BZ661" s="306">
        <f ca="1">COUNTIF('Group Stages'!L7:L102,BW661)</f>
        <v>0</v>
      </c>
      <c r="CA661" s="306">
        <f ca="1">COUNTIF('Group Stages'!M7:M102,BW661)</f>
        <v>0</v>
      </c>
      <c r="CB661" s="306">
        <f ca="1">COUNTIF('Group Stages'!N7:N102,BW661)</f>
        <v>0</v>
      </c>
      <c r="CC661" s="306">
        <f ca="1">COUNTIF('Group Stages'!O7:O102,BW661)</f>
        <v>0</v>
      </c>
      <c r="CD661" s="306">
        <f ca="1">COUNTIF('Group Stages'!P7:P102,BW661)</f>
        <v>0</v>
      </c>
      <c r="CE661" s="306">
        <f ca="1">COUNTIF('Group Stages'!Q7:Q102,BW661)</f>
        <v>0</v>
      </c>
      <c r="CF661" s="306">
        <f ca="1">COUNTIF('Knock Out Stages'!K7:K50,BW661)</f>
        <v>0</v>
      </c>
      <c r="CG661" s="306">
        <f ca="1">COUNTIF('Knock Out Stages'!L7:L50,BW661)</f>
        <v>0</v>
      </c>
      <c r="CH661" s="306">
        <f ca="1">COUNTIF('Knock Out Stages'!M7:M50,BW661)</f>
        <v>0</v>
      </c>
      <c r="CI661" s="306">
        <f ca="1">COUNTIF('Knock Out Stages'!N7:N50,BW661)</f>
        <v>0</v>
      </c>
      <c r="CJ661" s="306">
        <f ca="1">COUNTIF('Knock Out Stages'!O7:O50,BW661)</f>
        <v>0</v>
      </c>
      <c r="CK661" s="306">
        <f ca="1">COUNTIF('Knock Out Stages'!P7:P50,BW661)</f>
        <v>0</v>
      </c>
      <c r="CL661" s="306">
        <f ca="1">COUNTIF('Knock Out Stages'!Q7:Q50,BW661)</f>
        <v>0</v>
      </c>
      <c r="CM661" s="306">
        <f ca="1">COUNTIF('Knock Out Stages'!R7:R50,BW661)</f>
        <v>0</v>
      </c>
      <c r="CN661" s="306">
        <f ca="1">IF(RIGHT('Group Stages'!$B$105,5)="T.com",SUM(BX661:CM661),0)</f>
        <v>0</v>
      </c>
      <c r="CO661" s="306">
        <f ca="1">RANK(CN661,CN3:CN834)+COUNTIF(CN3:CN661,CN661)-1</f>
        <v>659</v>
      </c>
      <c r="CP661" s="306" t="str">
        <f t="shared" ca="1" si="228"/>
        <v>Ivan Ilić (Serbia)</v>
      </c>
    </row>
    <row r="662" spans="72:94" x14ac:dyDescent="0.3">
      <c r="BT662" s="306" t="str">
        <f t="shared" ca="1" si="225"/>
        <v>Serbia</v>
      </c>
      <c r="BU662" s="306">
        <f t="shared" si="226"/>
        <v>9</v>
      </c>
      <c r="BV662" s="306">
        <f t="shared" si="227"/>
        <v>24</v>
      </c>
      <c r="BW662" s="306" t="str">
        <f ca="1">OFFSET(C3,BU662,BV662)</f>
        <v>Luka Jović</v>
      </c>
      <c r="BX662" s="306">
        <f ca="1">COUNTIF('Group Stages'!J7:J102,BW662)</f>
        <v>0</v>
      </c>
      <c r="BY662" s="306">
        <f ca="1">COUNTIF('Group Stages'!K7:K102,BW662)</f>
        <v>0</v>
      </c>
      <c r="BZ662" s="306">
        <f ca="1">COUNTIF('Group Stages'!L7:L102,BW662)</f>
        <v>0</v>
      </c>
      <c r="CA662" s="306">
        <f ca="1">COUNTIF('Group Stages'!M7:M102,BW662)</f>
        <v>0</v>
      </c>
      <c r="CB662" s="306">
        <f ca="1">COUNTIF('Group Stages'!N7:N102,BW662)</f>
        <v>0</v>
      </c>
      <c r="CC662" s="306">
        <f ca="1">COUNTIF('Group Stages'!O7:O102,BW662)</f>
        <v>0</v>
      </c>
      <c r="CD662" s="306">
        <f ca="1">COUNTIF('Group Stages'!P7:P102,BW662)</f>
        <v>0</v>
      </c>
      <c r="CE662" s="306">
        <f ca="1">COUNTIF('Group Stages'!Q7:Q102,BW662)</f>
        <v>0</v>
      </c>
      <c r="CF662" s="306">
        <f ca="1">COUNTIF('Knock Out Stages'!K7:K50,BW662)</f>
        <v>0</v>
      </c>
      <c r="CG662" s="306">
        <f ca="1">COUNTIF('Knock Out Stages'!L7:L50,BW662)</f>
        <v>0</v>
      </c>
      <c r="CH662" s="306">
        <f ca="1">COUNTIF('Knock Out Stages'!M7:M50,BW662)</f>
        <v>0</v>
      </c>
      <c r="CI662" s="306">
        <f ca="1">COUNTIF('Knock Out Stages'!N7:N50,BW662)</f>
        <v>0</v>
      </c>
      <c r="CJ662" s="306">
        <f ca="1">COUNTIF('Knock Out Stages'!O7:O50,BW662)</f>
        <v>0</v>
      </c>
      <c r="CK662" s="306">
        <f ca="1">COUNTIF('Knock Out Stages'!P7:P50,BW662)</f>
        <v>0</v>
      </c>
      <c r="CL662" s="306">
        <f ca="1">COUNTIF('Knock Out Stages'!Q7:Q50,BW662)</f>
        <v>0</v>
      </c>
      <c r="CM662" s="306">
        <f ca="1">COUNTIF('Knock Out Stages'!R7:R50,BW662)</f>
        <v>0</v>
      </c>
      <c r="CN662" s="306">
        <f ca="1">IF(RIGHT('Group Stages'!$B$105,5)="T.com",SUM(BX662:CM662),0)</f>
        <v>0</v>
      </c>
      <c r="CO662" s="306">
        <f ca="1">RANK(CN662,CN3:CN834)+COUNTIF(CN3:CN662,CN662)-1</f>
        <v>660</v>
      </c>
      <c r="CP662" s="306" t="str">
        <f t="shared" ca="1" si="228"/>
        <v>Luka Jović (Serbia)</v>
      </c>
    </row>
    <row r="663" spans="72:94" x14ac:dyDescent="0.3">
      <c r="BT663" s="306" t="str">
        <f t="shared" ca="1" si="225"/>
        <v>Serbia</v>
      </c>
      <c r="BU663" s="306">
        <f t="shared" si="226"/>
        <v>10</v>
      </c>
      <c r="BV663" s="306">
        <f t="shared" si="227"/>
        <v>24</v>
      </c>
      <c r="BW663" s="306" t="str">
        <f ca="1">OFFSET(C3,BU663,BV663)</f>
        <v>Marko Dmitrović</v>
      </c>
      <c r="BX663" s="306">
        <f ca="1">COUNTIF('Group Stages'!J7:J102,BW663)</f>
        <v>0</v>
      </c>
      <c r="BY663" s="306">
        <f ca="1">COUNTIF('Group Stages'!K7:K102,BW663)</f>
        <v>0</v>
      </c>
      <c r="BZ663" s="306">
        <f ca="1">COUNTIF('Group Stages'!L7:L102,BW663)</f>
        <v>0</v>
      </c>
      <c r="CA663" s="306">
        <f ca="1">COUNTIF('Group Stages'!M7:M102,BW663)</f>
        <v>0</v>
      </c>
      <c r="CB663" s="306">
        <f ca="1">COUNTIF('Group Stages'!N7:N102,BW663)</f>
        <v>0</v>
      </c>
      <c r="CC663" s="306">
        <f ca="1">COUNTIF('Group Stages'!O7:O102,BW663)</f>
        <v>0</v>
      </c>
      <c r="CD663" s="306">
        <f ca="1">COUNTIF('Group Stages'!P7:P102,BW663)</f>
        <v>0</v>
      </c>
      <c r="CE663" s="306">
        <f ca="1">COUNTIF('Group Stages'!Q7:Q102,BW663)</f>
        <v>0</v>
      </c>
      <c r="CF663" s="306">
        <f ca="1">COUNTIF('Knock Out Stages'!K7:K50,BW663)</f>
        <v>0</v>
      </c>
      <c r="CG663" s="306">
        <f ca="1">COUNTIF('Knock Out Stages'!L7:L50,BW663)</f>
        <v>0</v>
      </c>
      <c r="CH663" s="306">
        <f ca="1">COUNTIF('Knock Out Stages'!M7:M50,BW663)</f>
        <v>0</v>
      </c>
      <c r="CI663" s="306">
        <f ca="1">COUNTIF('Knock Out Stages'!N7:N50,BW663)</f>
        <v>0</v>
      </c>
      <c r="CJ663" s="306">
        <f ca="1">COUNTIF('Knock Out Stages'!O7:O50,BW663)</f>
        <v>0</v>
      </c>
      <c r="CK663" s="306">
        <f ca="1">COUNTIF('Knock Out Stages'!P7:P50,BW663)</f>
        <v>0</v>
      </c>
      <c r="CL663" s="306">
        <f ca="1">COUNTIF('Knock Out Stages'!Q7:Q50,BW663)</f>
        <v>0</v>
      </c>
      <c r="CM663" s="306">
        <f ca="1">COUNTIF('Knock Out Stages'!R7:R50,BW663)</f>
        <v>0</v>
      </c>
      <c r="CN663" s="306">
        <f ca="1">IF(RIGHT('Group Stages'!$B$105,5)="T.com",SUM(BX663:CM663),0)</f>
        <v>0</v>
      </c>
      <c r="CO663" s="306">
        <f ca="1">RANK(CN663,CN3:CN834)+COUNTIF(CN3:CN663,CN663)-1</f>
        <v>661</v>
      </c>
      <c r="CP663" s="306" t="str">
        <f t="shared" ca="1" si="228"/>
        <v>Marko Dmitrović (Serbia)</v>
      </c>
    </row>
    <row r="664" spans="72:94" x14ac:dyDescent="0.3">
      <c r="BT664" s="306" t="str">
        <f t="shared" ca="1" si="225"/>
        <v>Serbia</v>
      </c>
      <c r="BU664" s="306">
        <f t="shared" si="226"/>
        <v>11</v>
      </c>
      <c r="BV664" s="306">
        <f t="shared" si="227"/>
        <v>24</v>
      </c>
      <c r="BW664" s="306" t="str">
        <f ca="1">OFFSET(C3,BU664,BV664)</f>
        <v>Marko Grujić</v>
      </c>
      <c r="BX664" s="306">
        <f ca="1">COUNTIF('Group Stages'!J7:J102,BW664)</f>
        <v>0</v>
      </c>
      <c r="BY664" s="306">
        <f ca="1">COUNTIF('Group Stages'!K7:K102,BW664)</f>
        <v>0</v>
      </c>
      <c r="BZ664" s="306">
        <f ca="1">COUNTIF('Group Stages'!L7:L102,BW664)</f>
        <v>0</v>
      </c>
      <c r="CA664" s="306">
        <f ca="1">COUNTIF('Group Stages'!M7:M102,BW664)</f>
        <v>0</v>
      </c>
      <c r="CB664" s="306">
        <f ca="1">COUNTIF('Group Stages'!N7:N102,BW664)</f>
        <v>0</v>
      </c>
      <c r="CC664" s="306">
        <f ca="1">COUNTIF('Group Stages'!O7:O102,BW664)</f>
        <v>0</v>
      </c>
      <c r="CD664" s="306">
        <f ca="1">COUNTIF('Group Stages'!P7:P102,BW664)</f>
        <v>0</v>
      </c>
      <c r="CE664" s="306">
        <f ca="1">COUNTIF('Group Stages'!Q7:Q102,BW664)</f>
        <v>0</v>
      </c>
      <c r="CF664" s="306">
        <f ca="1">COUNTIF('Knock Out Stages'!K7:K50,BW664)</f>
        <v>0</v>
      </c>
      <c r="CG664" s="306">
        <f ca="1">COUNTIF('Knock Out Stages'!L7:L50,BW664)</f>
        <v>0</v>
      </c>
      <c r="CH664" s="306">
        <f ca="1">COUNTIF('Knock Out Stages'!M7:M50,BW664)</f>
        <v>0</v>
      </c>
      <c r="CI664" s="306">
        <f ca="1">COUNTIF('Knock Out Stages'!N7:N50,BW664)</f>
        <v>0</v>
      </c>
      <c r="CJ664" s="306">
        <f ca="1">COUNTIF('Knock Out Stages'!O7:O50,BW664)</f>
        <v>0</v>
      </c>
      <c r="CK664" s="306">
        <f ca="1">COUNTIF('Knock Out Stages'!P7:P50,BW664)</f>
        <v>0</v>
      </c>
      <c r="CL664" s="306">
        <f ca="1">COUNTIF('Knock Out Stages'!Q7:Q50,BW664)</f>
        <v>0</v>
      </c>
      <c r="CM664" s="306">
        <f ca="1">COUNTIF('Knock Out Stages'!R7:R50,BW664)</f>
        <v>0</v>
      </c>
      <c r="CN664" s="306">
        <f ca="1">IF(RIGHT('Group Stages'!$B$105,5)="T.com",SUM(BX664:CM664),0)</f>
        <v>0</v>
      </c>
      <c r="CO664" s="306">
        <f ca="1">RANK(CN664,CN3:CN834)+COUNTIF(CN3:CN664,CN664)-1</f>
        <v>662</v>
      </c>
      <c r="CP664" s="306" t="str">
        <f t="shared" ca="1" si="228"/>
        <v>Marko Grujić (Serbia)</v>
      </c>
    </row>
    <row r="665" spans="72:94" x14ac:dyDescent="0.3">
      <c r="BT665" s="306" t="str">
        <f t="shared" ca="1" si="225"/>
        <v>Serbia</v>
      </c>
      <c r="BU665" s="306">
        <f t="shared" si="226"/>
        <v>12</v>
      </c>
      <c r="BV665" s="306">
        <f t="shared" si="227"/>
        <v>24</v>
      </c>
      <c r="BW665" s="306" t="str">
        <f ca="1">OFFSET(C3,BU665,BV665)</f>
        <v>Miloš Veljković</v>
      </c>
      <c r="BX665" s="306">
        <f ca="1">COUNTIF('Group Stages'!J7:J102,BW665)</f>
        <v>0</v>
      </c>
      <c r="BY665" s="306">
        <f ca="1">COUNTIF('Group Stages'!K7:K102,BW665)</f>
        <v>0</v>
      </c>
      <c r="BZ665" s="306">
        <f ca="1">COUNTIF('Group Stages'!L7:L102,BW665)</f>
        <v>0</v>
      </c>
      <c r="CA665" s="306">
        <f ca="1">COUNTIF('Group Stages'!M7:M102,BW665)</f>
        <v>0</v>
      </c>
      <c r="CB665" s="306">
        <f ca="1">COUNTIF('Group Stages'!N7:N102,BW665)</f>
        <v>0</v>
      </c>
      <c r="CC665" s="306">
        <f ca="1">COUNTIF('Group Stages'!O7:O102,BW665)</f>
        <v>0</v>
      </c>
      <c r="CD665" s="306">
        <f ca="1">COUNTIF('Group Stages'!P7:P102,BW665)</f>
        <v>0</v>
      </c>
      <c r="CE665" s="306">
        <f ca="1">COUNTIF('Group Stages'!Q7:Q102,BW665)</f>
        <v>0</v>
      </c>
      <c r="CF665" s="306">
        <f ca="1">COUNTIF('Knock Out Stages'!K7:K50,BW665)</f>
        <v>0</v>
      </c>
      <c r="CG665" s="306">
        <f ca="1">COUNTIF('Knock Out Stages'!L7:L50,BW665)</f>
        <v>0</v>
      </c>
      <c r="CH665" s="306">
        <f ca="1">COUNTIF('Knock Out Stages'!M7:M50,BW665)</f>
        <v>0</v>
      </c>
      <c r="CI665" s="306">
        <f ca="1">COUNTIF('Knock Out Stages'!N7:N50,BW665)</f>
        <v>0</v>
      </c>
      <c r="CJ665" s="306">
        <f ca="1">COUNTIF('Knock Out Stages'!O7:O50,BW665)</f>
        <v>0</v>
      </c>
      <c r="CK665" s="306">
        <f ca="1">COUNTIF('Knock Out Stages'!P7:P50,BW665)</f>
        <v>0</v>
      </c>
      <c r="CL665" s="306">
        <f ca="1">COUNTIF('Knock Out Stages'!Q7:Q50,BW665)</f>
        <v>0</v>
      </c>
      <c r="CM665" s="306">
        <f ca="1">COUNTIF('Knock Out Stages'!R7:R50,BW665)</f>
        <v>0</v>
      </c>
      <c r="CN665" s="306">
        <f ca="1">IF(RIGHT('Group Stages'!$B$105,5)="T.com",SUM(BX665:CM665),0)</f>
        <v>0</v>
      </c>
      <c r="CO665" s="306">
        <f ca="1">RANK(CN665,CN3:CN834)+COUNTIF(CN3:CN665,CN665)-1</f>
        <v>663</v>
      </c>
      <c r="CP665" s="306" t="str">
        <f t="shared" ca="1" si="228"/>
        <v>Miloš Veljković (Serbia)</v>
      </c>
    </row>
    <row r="666" spans="72:94" x14ac:dyDescent="0.3">
      <c r="BT666" s="306" t="str">
        <f t="shared" ca="1" si="225"/>
        <v>Serbia</v>
      </c>
      <c r="BU666" s="306">
        <f t="shared" si="226"/>
        <v>13</v>
      </c>
      <c r="BV666" s="306">
        <f t="shared" si="227"/>
        <v>24</v>
      </c>
      <c r="BW666" s="306" t="str">
        <f ca="1">OFFSET(C3,BU666,BV666)</f>
        <v>Nemanja Gudelj</v>
      </c>
      <c r="BX666" s="306">
        <f ca="1">COUNTIF('Group Stages'!J7:J102,BW666)</f>
        <v>0</v>
      </c>
      <c r="BY666" s="306">
        <f ca="1">COUNTIF('Group Stages'!K7:K102,BW666)</f>
        <v>0</v>
      </c>
      <c r="BZ666" s="306">
        <f ca="1">COUNTIF('Group Stages'!L7:L102,BW666)</f>
        <v>0</v>
      </c>
      <c r="CA666" s="306">
        <f ca="1">COUNTIF('Group Stages'!M7:M102,BW666)</f>
        <v>0</v>
      </c>
      <c r="CB666" s="306">
        <f ca="1">COUNTIF('Group Stages'!N7:N102,BW666)</f>
        <v>0</v>
      </c>
      <c r="CC666" s="306">
        <f ca="1">COUNTIF('Group Stages'!O7:O102,BW666)</f>
        <v>0</v>
      </c>
      <c r="CD666" s="306">
        <f ca="1">COUNTIF('Group Stages'!P7:P102,BW666)</f>
        <v>0</v>
      </c>
      <c r="CE666" s="306">
        <f ca="1">COUNTIF('Group Stages'!Q7:Q102,BW666)</f>
        <v>0</v>
      </c>
      <c r="CF666" s="306">
        <f ca="1">COUNTIF('Knock Out Stages'!K7:K50,BW666)</f>
        <v>0</v>
      </c>
      <c r="CG666" s="306">
        <f ca="1">COUNTIF('Knock Out Stages'!L7:L50,BW666)</f>
        <v>0</v>
      </c>
      <c r="CH666" s="306">
        <f ca="1">COUNTIF('Knock Out Stages'!M7:M50,BW666)</f>
        <v>0</v>
      </c>
      <c r="CI666" s="306">
        <f ca="1">COUNTIF('Knock Out Stages'!N7:N50,BW666)</f>
        <v>0</v>
      </c>
      <c r="CJ666" s="306">
        <f ca="1">COUNTIF('Knock Out Stages'!O7:O50,BW666)</f>
        <v>0</v>
      </c>
      <c r="CK666" s="306">
        <f ca="1">COUNTIF('Knock Out Stages'!P7:P50,BW666)</f>
        <v>0</v>
      </c>
      <c r="CL666" s="306">
        <f ca="1">COUNTIF('Knock Out Stages'!Q7:Q50,BW666)</f>
        <v>0</v>
      </c>
      <c r="CM666" s="306">
        <f ca="1">COUNTIF('Knock Out Stages'!R7:R50,BW666)</f>
        <v>0</v>
      </c>
      <c r="CN666" s="306">
        <f ca="1">IF(RIGHT('Group Stages'!$B$105,5)="T.com",SUM(BX666:CM666),0)</f>
        <v>0</v>
      </c>
      <c r="CO666" s="306">
        <f ca="1">RANK(CN666,CN3:CN834)+COUNTIF(CN3:CN666,CN666)-1</f>
        <v>664</v>
      </c>
      <c r="CP666" s="306" t="str">
        <f t="shared" ca="1" si="228"/>
        <v>Nemanja Gudelj (Serbia)</v>
      </c>
    </row>
    <row r="667" spans="72:94" x14ac:dyDescent="0.3">
      <c r="BT667" s="306" t="str">
        <f t="shared" ca="1" si="225"/>
        <v>Serbia</v>
      </c>
      <c r="BU667" s="306">
        <f t="shared" si="226"/>
        <v>14</v>
      </c>
      <c r="BV667" s="306">
        <f t="shared" si="227"/>
        <v>24</v>
      </c>
      <c r="BW667" s="306" t="str">
        <f ca="1">OFFSET(C3,BU667,BV667)</f>
        <v>Nemanja Maksimović</v>
      </c>
      <c r="BX667" s="306">
        <f ca="1">COUNTIF('Group Stages'!J7:J102,BW667)</f>
        <v>0</v>
      </c>
      <c r="BY667" s="306">
        <f ca="1">COUNTIF('Group Stages'!K7:K102,BW667)</f>
        <v>0</v>
      </c>
      <c r="BZ667" s="306">
        <f ca="1">COUNTIF('Group Stages'!L7:L102,BW667)</f>
        <v>0</v>
      </c>
      <c r="CA667" s="306">
        <f ca="1">COUNTIF('Group Stages'!M7:M102,BW667)</f>
        <v>0</v>
      </c>
      <c r="CB667" s="306">
        <f ca="1">COUNTIF('Group Stages'!N7:N102,BW667)</f>
        <v>0</v>
      </c>
      <c r="CC667" s="306">
        <f ca="1">COUNTIF('Group Stages'!O7:O102,BW667)</f>
        <v>0</v>
      </c>
      <c r="CD667" s="306">
        <f ca="1">COUNTIF('Group Stages'!P7:P102,BW667)</f>
        <v>0</v>
      </c>
      <c r="CE667" s="306">
        <f ca="1">COUNTIF('Group Stages'!Q7:Q102,BW667)</f>
        <v>0</v>
      </c>
      <c r="CF667" s="306">
        <f ca="1">COUNTIF('Knock Out Stages'!K7:K50,BW667)</f>
        <v>0</v>
      </c>
      <c r="CG667" s="306">
        <f ca="1">COUNTIF('Knock Out Stages'!L7:L50,BW667)</f>
        <v>0</v>
      </c>
      <c r="CH667" s="306">
        <f ca="1">COUNTIF('Knock Out Stages'!M7:M50,BW667)</f>
        <v>0</v>
      </c>
      <c r="CI667" s="306">
        <f ca="1">COUNTIF('Knock Out Stages'!N7:N50,BW667)</f>
        <v>0</v>
      </c>
      <c r="CJ667" s="306">
        <f ca="1">COUNTIF('Knock Out Stages'!O7:O50,BW667)</f>
        <v>0</v>
      </c>
      <c r="CK667" s="306">
        <f ca="1">COUNTIF('Knock Out Stages'!P7:P50,BW667)</f>
        <v>0</v>
      </c>
      <c r="CL667" s="306">
        <f ca="1">COUNTIF('Knock Out Stages'!Q7:Q50,BW667)</f>
        <v>0</v>
      </c>
      <c r="CM667" s="306">
        <f ca="1">COUNTIF('Knock Out Stages'!R7:R50,BW667)</f>
        <v>0</v>
      </c>
      <c r="CN667" s="306">
        <f ca="1">IF(RIGHT('Group Stages'!$B$105,5)="T.com",SUM(BX667:CM667),0)</f>
        <v>0</v>
      </c>
      <c r="CO667" s="306">
        <f ca="1">RANK(CN667,CN3:CN834)+COUNTIF(CN3:CN667,CN667)-1</f>
        <v>665</v>
      </c>
      <c r="CP667" s="306" t="str">
        <f t="shared" ca="1" si="228"/>
        <v>Nemanja Maksimović (Serbia)</v>
      </c>
    </row>
    <row r="668" spans="72:94" x14ac:dyDescent="0.3">
      <c r="BT668" s="306" t="str">
        <f t="shared" ca="1" si="225"/>
        <v>Serbia</v>
      </c>
      <c r="BU668" s="306">
        <f t="shared" si="226"/>
        <v>15</v>
      </c>
      <c r="BV668" s="306">
        <f t="shared" si="227"/>
        <v>24</v>
      </c>
      <c r="BW668" s="306" t="str">
        <f ca="1">OFFSET(C3,BU668,BV668)</f>
        <v>Nemanja Radonjić</v>
      </c>
      <c r="BX668" s="306">
        <f ca="1">COUNTIF('Group Stages'!J7:J102,BW668)</f>
        <v>0</v>
      </c>
      <c r="BY668" s="306">
        <f ca="1">COUNTIF('Group Stages'!K7:K102,BW668)</f>
        <v>0</v>
      </c>
      <c r="BZ668" s="306">
        <f ca="1">COUNTIF('Group Stages'!L7:L102,BW668)</f>
        <v>0</v>
      </c>
      <c r="CA668" s="306">
        <f ca="1">COUNTIF('Group Stages'!M7:M102,BW668)</f>
        <v>0</v>
      </c>
      <c r="CB668" s="306">
        <f ca="1">COUNTIF('Group Stages'!N7:N102,BW668)</f>
        <v>0</v>
      </c>
      <c r="CC668" s="306">
        <f ca="1">COUNTIF('Group Stages'!O7:O102,BW668)</f>
        <v>0</v>
      </c>
      <c r="CD668" s="306">
        <f ca="1">COUNTIF('Group Stages'!P7:P102,BW668)</f>
        <v>0</v>
      </c>
      <c r="CE668" s="306">
        <f ca="1">COUNTIF('Group Stages'!Q7:Q102,BW668)</f>
        <v>0</v>
      </c>
      <c r="CF668" s="306">
        <f ca="1">COUNTIF('Knock Out Stages'!K7:K50,BW668)</f>
        <v>0</v>
      </c>
      <c r="CG668" s="306">
        <f ca="1">COUNTIF('Knock Out Stages'!L7:L50,BW668)</f>
        <v>0</v>
      </c>
      <c r="CH668" s="306">
        <f ca="1">COUNTIF('Knock Out Stages'!M7:M50,BW668)</f>
        <v>0</v>
      </c>
      <c r="CI668" s="306">
        <f ca="1">COUNTIF('Knock Out Stages'!N7:N50,BW668)</f>
        <v>0</v>
      </c>
      <c r="CJ668" s="306">
        <f ca="1">COUNTIF('Knock Out Stages'!O7:O50,BW668)</f>
        <v>0</v>
      </c>
      <c r="CK668" s="306">
        <f ca="1">COUNTIF('Knock Out Stages'!P7:P50,BW668)</f>
        <v>0</v>
      </c>
      <c r="CL668" s="306">
        <f ca="1">COUNTIF('Knock Out Stages'!Q7:Q50,BW668)</f>
        <v>0</v>
      </c>
      <c r="CM668" s="306">
        <f ca="1">COUNTIF('Knock Out Stages'!R7:R50,BW668)</f>
        <v>0</v>
      </c>
      <c r="CN668" s="306">
        <f ca="1">IF(RIGHT('Group Stages'!$B$105,5)="T.com",SUM(BX668:CM668),0)</f>
        <v>0</v>
      </c>
      <c r="CO668" s="306">
        <f ca="1">RANK(CN668,CN3:CN834)+COUNTIF(CN3:CN668,CN668)-1</f>
        <v>666</v>
      </c>
      <c r="CP668" s="306" t="str">
        <f t="shared" ca="1" si="228"/>
        <v>Nemanja Radonjić (Serbia)</v>
      </c>
    </row>
    <row r="669" spans="72:94" x14ac:dyDescent="0.3">
      <c r="BT669" s="306" t="str">
        <f t="shared" ca="1" si="225"/>
        <v>Serbia</v>
      </c>
      <c r="BU669" s="306">
        <f t="shared" si="226"/>
        <v>16</v>
      </c>
      <c r="BV669" s="306">
        <f t="shared" si="227"/>
        <v>24</v>
      </c>
      <c r="BW669" s="306" t="str">
        <f ca="1">OFFSET(C3,BU669,BV669)</f>
        <v>Nikola Milenković</v>
      </c>
      <c r="BX669" s="306">
        <f ca="1">COUNTIF('Group Stages'!J7:J102,BW669)</f>
        <v>0</v>
      </c>
      <c r="BY669" s="306">
        <f ca="1">COUNTIF('Group Stages'!K7:K102,BW669)</f>
        <v>0</v>
      </c>
      <c r="BZ669" s="306">
        <f ca="1">COUNTIF('Group Stages'!L7:L102,BW669)</f>
        <v>0</v>
      </c>
      <c r="CA669" s="306">
        <f ca="1">COUNTIF('Group Stages'!M7:M102,BW669)</f>
        <v>0</v>
      </c>
      <c r="CB669" s="306">
        <f ca="1">COUNTIF('Group Stages'!N7:N102,BW669)</f>
        <v>0</v>
      </c>
      <c r="CC669" s="306">
        <f ca="1">COUNTIF('Group Stages'!O7:O102,BW669)</f>
        <v>0</v>
      </c>
      <c r="CD669" s="306">
        <f ca="1">COUNTIF('Group Stages'!P7:P102,BW669)</f>
        <v>0</v>
      </c>
      <c r="CE669" s="306">
        <f ca="1">COUNTIF('Group Stages'!Q7:Q102,BW669)</f>
        <v>0</v>
      </c>
      <c r="CF669" s="306">
        <f ca="1">COUNTIF('Knock Out Stages'!K7:K50,BW669)</f>
        <v>0</v>
      </c>
      <c r="CG669" s="306">
        <f ca="1">COUNTIF('Knock Out Stages'!L7:L50,BW669)</f>
        <v>0</v>
      </c>
      <c r="CH669" s="306">
        <f ca="1">COUNTIF('Knock Out Stages'!M7:M50,BW669)</f>
        <v>0</v>
      </c>
      <c r="CI669" s="306">
        <f ca="1">COUNTIF('Knock Out Stages'!N7:N50,BW669)</f>
        <v>0</v>
      </c>
      <c r="CJ669" s="306">
        <f ca="1">COUNTIF('Knock Out Stages'!O7:O50,BW669)</f>
        <v>0</v>
      </c>
      <c r="CK669" s="306">
        <f ca="1">COUNTIF('Knock Out Stages'!P7:P50,BW669)</f>
        <v>0</v>
      </c>
      <c r="CL669" s="306">
        <f ca="1">COUNTIF('Knock Out Stages'!Q7:Q50,BW669)</f>
        <v>0</v>
      </c>
      <c r="CM669" s="306">
        <f ca="1">COUNTIF('Knock Out Stages'!R7:R50,BW669)</f>
        <v>0</v>
      </c>
      <c r="CN669" s="306">
        <f ca="1">IF(RIGHT('Group Stages'!$B$105,5)="T.com",SUM(BX669:CM669),0)</f>
        <v>0</v>
      </c>
      <c r="CO669" s="306">
        <f ca="1">RANK(CN669,CN3:CN834)+COUNTIF(CN3:CN669,CN669)-1</f>
        <v>667</v>
      </c>
      <c r="CP669" s="306" t="str">
        <f t="shared" ca="1" si="228"/>
        <v>Nikola Milenković (Serbia)</v>
      </c>
    </row>
    <row r="670" spans="72:94" x14ac:dyDescent="0.3">
      <c r="BT670" s="306" t="str">
        <f t="shared" ca="1" si="225"/>
        <v>Serbia</v>
      </c>
      <c r="BU670" s="306">
        <f t="shared" si="226"/>
        <v>17</v>
      </c>
      <c r="BV670" s="306">
        <f t="shared" si="227"/>
        <v>24</v>
      </c>
      <c r="BW670" s="306" t="str">
        <f ca="1">OFFSET(C3,BU670,BV670)</f>
        <v>Predrag Rajković</v>
      </c>
      <c r="BX670" s="306">
        <f ca="1">COUNTIF('Group Stages'!J7:J102,BW670)</f>
        <v>0</v>
      </c>
      <c r="BY670" s="306">
        <f ca="1">COUNTIF('Group Stages'!K7:K102,BW670)</f>
        <v>0</v>
      </c>
      <c r="BZ670" s="306">
        <f ca="1">COUNTIF('Group Stages'!L7:L102,BW670)</f>
        <v>0</v>
      </c>
      <c r="CA670" s="306">
        <f ca="1">COUNTIF('Group Stages'!M7:M102,BW670)</f>
        <v>0</v>
      </c>
      <c r="CB670" s="306">
        <f ca="1">COUNTIF('Group Stages'!N7:N102,BW670)</f>
        <v>0</v>
      </c>
      <c r="CC670" s="306">
        <f ca="1">COUNTIF('Group Stages'!O7:O102,BW670)</f>
        <v>0</v>
      </c>
      <c r="CD670" s="306">
        <f ca="1">COUNTIF('Group Stages'!P7:P102,BW670)</f>
        <v>0</v>
      </c>
      <c r="CE670" s="306">
        <f ca="1">COUNTIF('Group Stages'!Q7:Q102,BW670)</f>
        <v>0</v>
      </c>
      <c r="CF670" s="306">
        <f ca="1">COUNTIF('Knock Out Stages'!K7:K50,BW670)</f>
        <v>0</v>
      </c>
      <c r="CG670" s="306">
        <f ca="1">COUNTIF('Knock Out Stages'!L7:L50,BW670)</f>
        <v>0</v>
      </c>
      <c r="CH670" s="306">
        <f ca="1">COUNTIF('Knock Out Stages'!M7:M50,BW670)</f>
        <v>0</v>
      </c>
      <c r="CI670" s="306">
        <f ca="1">COUNTIF('Knock Out Stages'!N7:N50,BW670)</f>
        <v>0</v>
      </c>
      <c r="CJ670" s="306">
        <f ca="1">COUNTIF('Knock Out Stages'!O7:O50,BW670)</f>
        <v>0</v>
      </c>
      <c r="CK670" s="306">
        <f ca="1">COUNTIF('Knock Out Stages'!P7:P50,BW670)</f>
        <v>0</v>
      </c>
      <c r="CL670" s="306">
        <f ca="1">COUNTIF('Knock Out Stages'!Q7:Q50,BW670)</f>
        <v>0</v>
      </c>
      <c r="CM670" s="306">
        <f ca="1">COUNTIF('Knock Out Stages'!R7:R50,BW670)</f>
        <v>0</v>
      </c>
      <c r="CN670" s="306">
        <f ca="1">IF(RIGHT('Group Stages'!$B$105,5)="T.com",SUM(BX670:CM670),0)</f>
        <v>0</v>
      </c>
      <c r="CO670" s="306">
        <f ca="1">RANK(CN670,CN3:CN834)+COUNTIF(CN3:CN670,CN670)-1</f>
        <v>668</v>
      </c>
      <c r="CP670" s="306" t="str">
        <f t="shared" ca="1" si="228"/>
        <v>Predrag Rajković (Serbia)</v>
      </c>
    </row>
    <row r="671" spans="72:94" x14ac:dyDescent="0.3">
      <c r="BT671" s="306" t="str">
        <f t="shared" ca="1" si="225"/>
        <v>Serbia</v>
      </c>
      <c r="BU671" s="306">
        <f t="shared" si="226"/>
        <v>18</v>
      </c>
      <c r="BV671" s="306">
        <f t="shared" si="227"/>
        <v>24</v>
      </c>
      <c r="BW671" s="306" t="str">
        <f ca="1">OFFSET(C3,BU671,BV671)</f>
        <v>Saša Lukić</v>
      </c>
      <c r="BX671" s="306">
        <f ca="1">COUNTIF('Group Stages'!J7:J102,BW671)</f>
        <v>0</v>
      </c>
      <c r="BY671" s="306">
        <f ca="1">COUNTIF('Group Stages'!K7:K102,BW671)</f>
        <v>0</v>
      </c>
      <c r="BZ671" s="306">
        <f ca="1">COUNTIF('Group Stages'!L7:L102,BW671)</f>
        <v>0</v>
      </c>
      <c r="CA671" s="306">
        <f ca="1">COUNTIF('Group Stages'!M7:M102,BW671)</f>
        <v>0</v>
      </c>
      <c r="CB671" s="306">
        <f ca="1">COUNTIF('Group Stages'!N7:N102,BW671)</f>
        <v>0</v>
      </c>
      <c r="CC671" s="306">
        <f ca="1">COUNTIF('Group Stages'!O7:O102,BW671)</f>
        <v>0</v>
      </c>
      <c r="CD671" s="306">
        <f ca="1">COUNTIF('Group Stages'!P7:P102,BW671)</f>
        <v>0</v>
      </c>
      <c r="CE671" s="306">
        <f ca="1">COUNTIF('Group Stages'!Q7:Q102,BW671)</f>
        <v>0</v>
      </c>
      <c r="CF671" s="306">
        <f ca="1">COUNTIF('Knock Out Stages'!K7:K50,BW671)</f>
        <v>0</v>
      </c>
      <c r="CG671" s="306">
        <f ca="1">COUNTIF('Knock Out Stages'!L7:L50,BW671)</f>
        <v>0</v>
      </c>
      <c r="CH671" s="306">
        <f ca="1">COUNTIF('Knock Out Stages'!M7:M50,BW671)</f>
        <v>0</v>
      </c>
      <c r="CI671" s="306">
        <f ca="1">COUNTIF('Knock Out Stages'!N7:N50,BW671)</f>
        <v>0</v>
      </c>
      <c r="CJ671" s="306">
        <f ca="1">COUNTIF('Knock Out Stages'!O7:O50,BW671)</f>
        <v>0</v>
      </c>
      <c r="CK671" s="306">
        <f ca="1">COUNTIF('Knock Out Stages'!P7:P50,BW671)</f>
        <v>0</v>
      </c>
      <c r="CL671" s="306">
        <f ca="1">COUNTIF('Knock Out Stages'!Q7:Q50,BW671)</f>
        <v>0</v>
      </c>
      <c r="CM671" s="306">
        <f ca="1">COUNTIF('Knock Out Stages'!R7:R50,BW671)</f>
        <v>0</v>
      </c>
      <c r="CN671" s="306">
        <f ca="1">IF(RIGHT('Group Stages'!$B$105,5)="T.com",SUM(BX671:CM671),0)</f>
        <v>0</v>
      </c>
      <c r="CO671" s="306">
        <f ca="1">RANK(CN671,CN3:CN834)+COUNTIF(CN3:CN671,CN671)-1</f>
        <v>669</v>
      </c>
      <c r="CP671" s="306" t="str">
        <f t="shared" ca="1" si="228"/>
        <v>Saša Lukić (Serbia)</v>
      </c>
    </row>
    <row r="672" spans="72:94" x14ac:dyDescent="0.3">
      <c r="BT672" s="306" t="str">
        <f t="shared" ca="1" si="225"/>
        <v>Serbia</v>
      </c>
      <c r="BU672" s="306">
        <f t="shared" si="226"/>
        <v>19</v>
      </c>
      <c r="BV672" s="306">
        <f t="shared" si="227"/>
        <v>24</v>
      </c>
      <c r="BW672" s="306" t="str">
        <f ca="1">OFFSET(C3,BU672,BV672)</f>
        <v>Sergej Milinković-Savić</v>
      </c>
      <c r="BX672" s="306">
        <f ca="1">COUNTIF('Group Stages'!J7:J102,BW672)</f>
        <v>0</v>
      </c>
      <c r="BY672" s="306">
        <f ca="1">COUNTIF('Group Stages'!K7:K102,BW672)</f>
        <v>0</v>
      </c>
      <c r="BZ672" s="306">
        <f ca="1">COUNTIF('Group Stages'!L7:L102,BW672)</f>
        <v>0</v>
      </c>
      <c r="CA672" s="306">
        <f ca="1">COUNTIF('Group Stages'!M7:M102,BW672)</f>
        <v>0</v>
      </c>
      <c r="CB672" s="306">
        <f ca="1">COUNTIF('Group Stages'!N7:N102,BW672)</f>
        <v>0</v>
      </c>
      <c r="CC672" s="306">
        <f ca="1">COUNTIF('Group Stages'!O7:O102,BW672)</f>
        <v>0</v>
      </c>
      <c r="CD672" s="306">
        <f ca="1">COUNTIF('Group Stages'!P7:P102,BW672)</f>
        <v>0</v>
      </c>
      <c r="CE672" s="306">
        <f ca="1">COUNTIF('Group Stages'!Q7:Q102,BW672)</f>
        <v>0</v>
      </c>
      <c r="CF672" s="306">
        <f ca="1">COUNTIF('Knock Out Stages'!K7:K50,BW672)</f>
        <v>0</v>
      </c>
      <c r="CG672" s="306">
        <f ca="1">COUNTIF('Knock Out Stages'!L7:L50,BW672)</f>
        <v>0</v>
      </c>
      <c r="CH672" s="306">
        <f ca="1">COUNTIF('Knock Out Stages'!M7:M50,BW672)</f>
        <v>0</v>
      </c>
      <c r="CI672" s="306">
        <f ca="1">COUNTIF('Knock Out Stages'!N7:N50,BW672)</f>
        <v>0</v>
      </c>
      <c r="CJ672" s="306">
        <f ca="1">COUNTIF('Knock Out Stages'!O7:O50,BW672)</f>
        <v>0</v>
      </c>
      <c r="CK672" s="306">
        <f ca="1">COUNTIF('Knock Out Stages'!P7:P50,BW672)</f>
        <v>0</v>
      </c>
      <c r="CL672" s="306">
        <f ca="1">COUNTIF('Knock Out Stages'!Q7:Q50,BW672)</f>
        <v>0</v>
      </c>
      <c r="CM672" s="306">
        <f ca="1">COUNTIF('Knock Out Stages'!R7:R50,BW672)</f>
        <v>0</v>
      </c>
      <c r="CN672" s="306">
        <f ca="1">IF(RIGHT('Group Stages'!$B$105,5)="T.com",SUM(BX672:CM672),0)</f>
        <v>0</v>
      </c>
      <c r="CO672" s="306">
        <f ca="1">RANK(CN672,CN3:CN834)+COUNTIF(CN3:CN672,CN672)-1</f>
        <v>670</v>
      </c>
      <c r="CP672" s="306" t="str">
        <f t="shared" ca="1" si="228"/>
        <v>Sergej Milinković-Savić (Serbia)</v>
      </c>
    </row>
    <row r="673" spans="72:94" x14ac:dyDescent="0.3">
      <c r="BT673" s="306" t="str">
        <f t="shared" ca="1" si="225"/>
        <v>Serbia</v>
      </c>
      <c r="BU673" s="306">
        <f t="shared" si="226"/>
        <v>20</v>
      </c>
      <c r="BV673" s="306">
        <f t="shared" si="227"/>
        <v>24</v>
      </c>
      <c r="BW673" s="306" t="str">
        <f ca="1">OFFSET(C3,BU673,BV673)</f>
        <v>Srđan Babić</v>
      </c>
      <c r="BX673" s="306">
        <f ca="1">COUNTIF('Group Stages'!J7:J102,BW673)</f>
        <v>0</v>
      </c>
      <c r="BY673" s="306">
        <f ca="1">COUNTIF('Group Stages'!K7:K102,BW673)</f>
        <v>0</v>
      </c>
      <c r="BZ673" s="306">
        <f ca="1">COUNTIF('Group Stages'!L7:L102,BW673)</f>
        <v>0</v>
      </c>
      <c r="CA673" s="306">
        <f ca="1">COUNTIF('Group Stages'!M7:M102,BW673)</f>
        <v>0</v>
      </c>
      <c r="CB673" s="306">
        <f ca="1">COUNTIF('Group Stages'!N7:N102,BW673)</f>
        <v>0</v>
      </c>
      <c r="CC673" s="306">
        <f ca="1">COUNTIF('Group Stages'!O7:O102,BW673)</f>
        <v>0</v>
      </c>
      <c r="CD673" s="306">
        <f ca="1">COUNTIF('Group Stages'!P7:P102,BW673)</f>
        <v>0</v>
      </c>
      <c r="CE673" s="306">
        <f ca="1">COUNTIF('Group Stages'!Q7:Q102,BW673)</f>
        <v>0</v>
      </c>
      <c r="CF673" s="306">
        <f ca="1">COUNTIF('Knock Out Stages'!K7:K50,BW673)</f>
        <v>0</v>
      </c>
      <c r="CG673" s="306">
        <f ca="1">COUNTIF('Knock Out Stages'!L7:L50,BW673)</f>
        <v>0</v>
      </c>
      <c r="CH673" s="306">
        <f ca="1">COUNTIF('Knock Out Stages'!M7:M50,BW673)</f>
        <v>0</v>
      </c>
      <c r="CI673" s="306">
        <f ca="1">COUNTIF('Knock Out Stages'!N7:N50,BW673)</f>
        <v>0</v>
      </c>
      <c r="CJ673" s="306">
        <f ca="1">COUNTIF('Knock Out Stages'!O7:O50,BW673)</f>
        <v>0</v>
      </c>
      <c r="CK673" s="306">
        <f ca="1">COUNTIF('Knock Out Stages'!P7:P50,BW673)</f>
        <v>0</v>
      </c>
      <c r="CL673" s="306">
        <f ca="1">COUNTIF('Knock Out Stages'!Q7:Q50,BW673)</f>
        <v>0</v>
      </c>
      <c r="CM673" s="306">
        <f ca="1">COUNTIF('Knock Out Stages'!R7:R50,BW673)</f>
        <v>0</v>
      </c>
      <c r="CN673" s="306">
        <f ca="1">IF(RIGHT('Group Stages'!$B$105,5)="T.com",SUM(BX673:CM673),0)</f>
        <v>0</v>
      </c>
      <c r="CO673" s="306">
        <f ca="1">RANK(CN673,CN3:CN834)+COUNTIF(CN3:CN673,CN673)-1</f>
        <v>671</v>
      </c>
      <c r="CP673" s="306" t="str">
        <f t="shared" ca="1" si="228"/>
        <v>Srđan Babić (Serbia)</v>
      </c>
    </row>
    <row r="674" spans="72:94" x14ac:dyDescent="0.3">
      <c r="BT674" s="306" t="str">
        <f t="shared" ca="1" si="225"/>
        <v>Serbia</v>
      </c>
      <c r="BU674" s="306">
        <f t="shared" si="226"/>
        <v>21</v>
      </c>
      <c r="BV674" s="306">
        <f t="shared" si="227"/>
        <v>24</v>
      </c>
      <c r="BW674" s="306" t="str">
        <f ca="1">OFFSET(C3,BU674,BV674)</f>
        <v>Stefan Mitrović</v>
      </c>
      <c r="BX674" s="306">
        <f ca="1">COUNTIF('Group Stages'!J7:J102,BW674)</f>
        <v>0</v>
      </c>
      <c r="BY674" s="306">
        <f ca="1">COUNTIF('Group Stages'!K7:K102,BW674)</f>
        <v>0</v>
      </c>
      <c r="BZ674" s="306">
        <f ca="1">COUNTIF('Group Stages'!L7:L102,BW674)</f>
        <v>0</v>
      </c>
      <c r="CA674" s="306">
        <f ca="1">COUNTIF('Group Stages'!M7:M102,BW674)</f>
        <v>0</v>
      </c>
      <c r="CB674" s="306">
        <f ca="1">COUNTIF('Group Stages'!N7:N102,BW674)</f>
        <v>0</v>
      </c>
      <c r="CC674" s="306">
        <f ca="1">COUNTIF('Group Stages'!O7:O102,BW674)</f>
        <v>0</v>
      </c>
      <c r="CD674" s="306">
        <f ca="1">COUNTIF('Group Stages'!P7:P102,BW674)</f>
        <v>0</v>
      </c>
      <c r="CE674" s="306">
        <f ca="1">COUNTIF('Group Stages'!Q7:Q102,BW674)</f>
        <v>0</v>
      </c>
      <c r="CF674" s="306">
        <f ca="1">COUNTIF('Knock Out Stages'!K7:K50,BW674)</f>
        <v>0</v>
      </c>
      <c r="CG674" s="306">
        <f ca="1">COUNTIF('Knock Out Stages'!L7:L50,BW674)</f>
        <v>0</v>
      </c>
      <c r="CH674" s="306">
        <f ca="1">COUNTIF('Knock Out Stages'!M7:M50,BW674)</f>
        <v>0</v>
      </c>
      <c r="CI674" s="306">
        <f ca="1">COUNTIF('Knock Out Stages'!N7:N50,BW674)</f>
        <v>0</v>
      </c>
      <c r="CJ674" s="306">
        <f ca="1">COUNTIF('Knock Out Stages'!O7:O50,BW674)</f>
        <v>0</v>
      </c>
      <c r="CK674" s="306">
        <f ca="1">COUNTIF('Knock Out Stages'!P7:P50,BW674)</f>
        <v>0</v>
      </c>
      <c r="CL674" s="306">
        <f ca="1">COUNTIF('Knock Out Stages'!Q7:Q50,BW674)</f>
        <v>0</v>
      </c>
      <c r="CM674" s="306">
        <f ca="1">COUNTIF('Knock Out Stages'!R7:R50,BW674)</f>
        <v>0</v>
      </c>
      <c r="CN674" s="306">
        <f ca="1">IF(RIGHT('Group Stages'!$B$105,5)="T.com",SUM(BX674:CM674),0)</f>
        <v>0</v>
      </c>
      <c r="CO674" s="306">
        <f ca="1">RANK(CN674,CN3:CN834)+COUNTIF(CN3:CN674,CN674)-1</f>
        <v>672</v>
      </c>
      <c r="CP674" s="306" t="str">
        <f t="shared" ca="1" si="228"/>
        <v>Stefan Mitrović (Serbia)</v>
      </c>
    </row>
    <row r="675" spans="72:94" x14ac:dyDescent="0.3">
      <c r="BT675" s="306" t="str">
        <f t="shared" ca="1" si="225"/>
        <v>Serbia</v>
      </c>
      <c r="BU675" s="306">
        <f t="shared" si="226"/>
        <v>22</v>
      </c>
      <c r="BV675" s="306">
        <f t="shared" si="227"/>
        <v>24</v>
      </c>
      <c r="BW675" s="306" t="str">
        <f ca="1">OFFSET(C3,BU675,BV675)</f>
        <v>Strahinja Eraković</v>
      </c>
      <c r="BX675" s="306">
        <f ca="1">COUNTIF('Group Stages'!J7:J102,BW675)</f>
        <v>0</v>
      </c>
      <c r="BY675" s="306">
        <f ca="1">COUNTIF('Group Stages'!K7:K102,BW675)</f>
        <v>0</v>
      </c>
      <c r="BZ675" s="306">
        <f ca="1">COUNTIF('Group Stages'!L7:L102,BW675)</f>
        <v>0</v>
      </c>
      <c r="CA675" s="306">
        <f ca="1">COUNTIF('Group Stages'!M7:M102,BW675)</f>
        <v>0</v>
      </c>
      <c r="CB675" s="306">
        <f ca="1">COUNTIF('Group Stages'!N7:N102,BW675)</f>
        <v>0</v>
      </c>
      <c r="CC675" s="306">
        <f ca="1">COUNTIF('Group Stages'!O7:O102,BW675)</f>
        <v>0</v>
      </c>
      <c r="CD675" s="306">
        <f ca="1">COUNTIF('Group Stages'!P7:P102,BW675)</f>
        <v>0</v>
      </c>
      <c r="CE675" s="306">
        <f ca="1">COUNTIF('Group Stages'!Q7:Q102,BW675)</f>
        <v>0</v>
      </c>
      <c r="CF675" s="306">
        <f ca="1">COUNTIF('Knock Out Stages'!K7:K50,BW675)</f>
        <v>0</v>
      </c>
      <c r="CG675" s="306">
        <f ca="1">COUNTIF('Knock Out Stages'!L7:L50,BW675)</f>
        <v>0</v>
      </c>
      <c r="CH675" s="306">
        <f ca="1">COUNTIF('Knock Out Stages'!M7:M50,BW675)</f>
        <v>0</v>
      </c>
      <c r="CI675" s="306">
        <f ca="1">COUNTIF('Knock Out Stages'!N7:N50,BW675)</f>
        <v>0</v>
      </c>
      <c r="CJ675" s="306">
        <f ca="1">COUNTIF('Knock Out Stages'!O7:O50,BW675)</f>
        <v>0</v>
      </c>
      <c r="CK675" s="306">
        <f ca="1">COUNTIF('Knock Out Stages'!P7:P50,BW675)</f>
        <v>0</v>
      </c>
      <c r="CL675" s="306">
        <f ca="1">COUNTIF('Knock Out Stages'!Q7:Q50,BW675)</f>
        <v>0</v>
      </c>
      <c r="CM675" s="306">
        <f ca="1">COUNTIF('Knock Out Stages'!R7:R50,BW675)</f>
        <v>0</v>
      </c>
      <c r="CN675" s="306">
        <f ca="1">IF(RIGHT('Group Stages'!$B$105,5)="T.com",SUM(BX675:CM675),0)</f>
        <v>0</v>
      </c>
      <c r="CO675" s="306">
        <f ca="1">RANK(CN675,CN3:CN834)+COUNTIF(CN3:CN675,CN675)-1</f>
        <v>673</v>
      </c>
      <c r="CP675" s="306" t="str">
        <f t="shared" ca="1" si="228"/>
        <v>Strahinja Eraković (Serbia)</v>
      </c>
    </row>
    <row r="676" spans="72:94" x14ac:dyDescent="0.3">
      <c r="BT676" s="306" t="str">
        <f t="shared" ca="1" si="225"/>
        <v>Serbia</v>
      </c>
      <c r="BU676" s="306">
        <f t="shared" si="226"/>
        <v>23</v>
      </c>
      <c r="BV676" s="306">
        <f t="shared" si="227"/>
        <v>24</v>
      </c>
      <c r="BW676" s="306" t="str">
        <f ca="1">OFFSET(C3,BU676,BV676)</f>
        <v>Strahinja Pavlović</v>
      </c>
      <c r="BX676" s="306">
        <f ca="1">COUNTIF('Group Stages'!J7:J102,BW676)</f>
        <v>0</v>
      </c>
      <c r="BY676" s="306">
        <f ca="1">COUNTIF('Group Stages'!K7:K102,BW676)</f>
        <v>0</v>
      </c>
      <c r="BZ676" s="306">
        <f ca="1">COUNTIF('Group Stages'!L7:L102,BW676)</f>
        <v>0</v>
      </c>
      <c r="CA676" s="306">
        <f ca="1">COUNTIF('Group Stages'!M7:M102,BW676)</f>
        <v>0</v>
      </c>
      <c r="CB676" s="306">
        <f ca="1">COUNTIF('Group Stages'!N7:N102,BW676)</f>
        <v>0</v>
      </c>
      <c r="CC676" s="306">
        <f ca="1">COUNTIF('Group Stages'!O7:O102,BW676)</f>
        <v>0</v>
      </c>
      <c r="CD676" s="306">
        <f ca="1">COUNTIF('Group Stages'!P7:P102,BW676)</f>
        <v>0</v>
      </c>
      <c r="CE676" s="306">
        <f ca="1">COUNTIF('Group Stages'!Q7:Q102,BW676)</f>
        <v>0</v>
      </c>
      <c r="CF676" s="306">
        <f ca="1">COUNTIF('Knock Out Stages'!K7:K50,BW676)</f>
        <v>0</v>
      </c>
      <c r="CG676" s="306">
        <f ca="1">COUNTIF('Knock Out Stages'!L7:L50,BW676)</f>
        <v>0</v>
      </c>
      <c r="CH676" s="306">
        <f ca="1">COUNTIF('Knock Out Stages'!M7:M50,BW676)</f>
        <v>0</v>
      </c>
      <c r="CI676" s="306">
        <f ca="1">COUNTIF('Knock Out Stages'!N7:N50,BW676)</f>
        <v>0</v>
      </c>
      <c r="CJ676" s="306">
        <f ca="1">COUNTIF('Knock Out Stages'!O7:O50,BW676)</f>
        <v>0</v>
      </c>
      <c r="CK676" s="306">
        <f ca="1">COUNTIF('Knock Out Stages'!P7:P50,BW676)</f>
        <v>0</v>
      </c>
      <c r="CL676" s="306">
        <f ca="1">COUNTIF('Knock Out Stages'!Q7:Q50,BW676)</f>
        <v>0</v>
      </c>
      <c r="CM676" s="306">
        <f ca="1">COUNTIF('Knock Out Stages'!R7:R50,BW676)</f>
        <v>0</v>
      </c>
      <c r="CN676" s="306">
        <f ca="1">IF(RIGHT('Group Stages'!$B$105,5)="T.com",SUM(BX676:CM676),0)</f>
        <v>0</v>
      </c>
      <c r="CO676" s="306">
        <f ca="1">RANK(CN676,CN3:CN834)+COUNTIF(CN3:CN676,CN676)-1</f>
        <v>674</v>
      </c>
      <c r="CP676" s="306" t="str">
        <f t="shared" ca="1" si="228"/>
        <v>Strahinja Pavlović (Serbia)</v>
      </c>
    </row>
    <row r="677" spans="72:94" x14ac:dyDescent="0.3">
      <c r="BT677" s="306" t="str">
        <f t="shared" ca="1" si="225"/>
        <v>Serbia</v>
      </c>
      <c r="BU677" s="306">
        <f t="shared" si="226"/>
        <v>24</v>
      </c>
      <c r="BV677" s="306">
        <f t="shared" si="227"/>
        <v>24</v>
      </c>
      <c r="BW677" s="306" t="str">
        <f ca="1">OFFSET(C3,BU677,BV677)</f>
        <v>Uroš Račić</v>
      </c>
      <c r="BX677" s="306">
        <f ca="1">COUNTIF('Group Stages'!J7:J102,BW677)</f>
        <v>0</v>
      </c>
      <c r="BY677" s="306">
        <f ca="1">COUNTIF('Group Stages'!K7:K102,BW677)</f>
        <v>0</v>
      </c>
      <c r="BZ677" s="306">
        <f ca="1">COUNTIF('Group Stages'!L7:L102,BW677)</f>
        <v>0</v>
      </c>
      <c r="CA677" s="306">
        <f ca="1">COUNTIF('Group Stages'!M7:M102,BW677)</f>
        <v>0</v>
      </c>
      <c r="CB677" s="306">
        <f ca="1">COUNTIF('Group Stages'!N7:N102,BW677)</f>
        <v>0</v>
      </c>
      <c r="CC677" s="306">
        <f ca="1">COUNTIF('Group Stages'!O7:O102,BW677)</f>
        <v>0</v>
      </c>
      <c r="CD677" s="306">
        <f ca="1">COUNTIF('Group Stages'!P7:P102,BW677)</f>
        <v>0</v>
      </c>
      <c r="CE677" s="306">
        <f ca="1">COUNTIF('Group Stages'!Q7:Q102,BW677)</f>
        <v>0</v>
      </c>
      <c r="CF677" s="306">
        <f ca="1">COUNTIF('Knock Out Stages'!K7:K50,BW677)</f>
        <v>0</v>
      </c>
      <c r="CG677" s="306">
        <f ca="1">COUNTIF('Knock Out Stages'!L7:L50,BW677)</f>
        <v>0</v>
      </c>
      <c r="CH677" s="306">
        <f ca="1">COUNTIF('Knock Out Stages'!M7:M50,BW677)</f>
        <v>0</v>
      </c>
      <c r="CI677" s="306">
        <f ca="1">COUNTIF('Knock Out Stages'!N7:N50,BW677)</f>
        <v>0</v>
      </c>
      <c r="CJ677" s="306">
        <f ca="1">COUNTIF('Knock Out Stages'!O7:O50,BW677)</f>
        <v>0</v>
      </c>
      <c r="CK677" s="306">
        <f ca="1">COUNTIF('Knock Out Stages'!P7:P50,BW677)</f>
        <v>0</v>
      </c>
      <c r="CL677" s="306">
        <f ca="1">COUNTIF('Knock Out Stages'!Q7:Q50,BW677)</f>
        <v>0</v>
      </c>
      <c r="CM677" s="306">
        <f ca="1">COUNTIF('Knock Out Stages'!R7:R50,BW677)</f>
        <v>0</v>
      </c>
      <c r="CN677" s="306">
        <f ca="1">IF(RIGHT('Group Stages'!$B$105,5)="T.com",SUM(BX677:CM677),0)</f>
        <v>0</v>
      </c>
      <c r="CO677" s="306">
        <f ca="1">RANK(CN677,CN3:CN834)+COUNTIF(CN3:CN677,CN677)-1</f>
        <v>675</v>
      </c>
      <c r="CP677" s="306" t="str">
        <f t="shared" ca="1" si="228"/>
        <v>Uroš Račić (Serbia)</v>
      </c>
    </row>
    <row r="678" spans="72:94" x14ac:dyDescent="0.3">
      <c r="BT678" s="306" t="str">
        <f t="shared" ca="1" si="225"/>
        <v>Serbia</v>
      </c>
      <c r="BU678" s="306">
        <f t="shared" si="226"/>
        <v>25</v>
      </c>
      <c r="BV678" s="306">
        <f t="shared" si="227"/>
        <v>24</v>
      </c>
      <c r="BW678" s="306" t="str">
        <f ca="1">OFFSET(C3,BU678,BV678)</f>
        <v>Vanja Milinković-Savić</v>
      </c>
      <c r="BX678" s="306">
        <f ca="1">COUNTIF('Group Stages'!J7:J102,BW678)</f>
        <v>0</v>
      </c>
      <c r="BY678" s="306">
        <f ca="1">COUNTIF('Group Stages'!K7:K102,BW678)</f>
        <v>0</v>
      </c>
      <c r="BZ678" s="306">
        <f ca="1">COUNTIF('Group Stages'!L7:L102,BW678)</f>
        <v>0</v>
      </c>
      <c r="CA678" s="306">
        <f ca="1">COUNTIF('Group Stages'!M7:M102,BW678)</f>
        <v>0</v>
      </c>
      <c r="CB678" s="306">
        <f ca="1">COUNTIF('Group Stages'!N7:N102,BW678)</f>
        <v>0</v>
      </c>
      <c r="CC678" s="306">
        <f ca="1">COUNTIF('Group Stages'!O7:O102,BW678)</f>
        <v>0</v>
      </c>
      <c r="CD678" s="306">
        <f ca="1">COUNTIF('Group Stages'!P7:P102,BW678)</f>
        <v>0</v>
      </c>
      <c r="CE678" s="306">
        <f ca="1">COUNTIF('Group Stages'!Q7:Q102,BW678)</f>
        <v>0</v>
      </c>
      <c r="CF678" s="306">
        <f ca="1">COUNTIF('Knock Out Stages'!K7:K50,BW678)</f>
        <v>0</v>
      </c>
      <c r="CG678" s="306">
        <f ca="1">COUNTIF('Knock Out Stages'!L7:L50,BW678)</f>
        <v>0</v>
      </c>
      <c r="CH678" s="306">
        <f ca="1">COUNTIF('Knock Out Stages'!M7:M50,BW678)</f>
        <v>0</v>
      </c>
      <c r="CI678" s="306">
        <f ca="1">COUNTIF('Knock Out Stages'!N7:N50,BW678)</f>
        <v>0</v>
      </c>
      <c r="CJ678" s="306">
        <f ca="1">COUNTIF('Knock Out Stages'!O7:O50,BW678)</f>
        <v>0</v>
      </c>
      <c r="CK678" s="306">
        <f ca="1">COUNTIF('Knock Out Stages'!P7:P50,BW678)</f>
        <v>0</v>
      </c>
      <c r="CL678" s="306">
        <f ca="1">COUNTIF('Knock Out Stages'!Q7:Q50,BW678)</f>
        <v>0</v>
      </c>
      <c r="CM678" s="306">
        <f ca="1">COUNTIF('Knock Out Stages'!R7:R50,BW678)</f>
        <v>0</v>
      </c>
      <c r="CN678" s="306">
        <f ca="1">IF(RIGHT('Group Stages'!$B$105,5)="T.com",SUM(BX678:CM678),0)</f>
        <v>0</v>
      </c>
      <c r="CO678" s="306">
        <f ca="1">RANK(CN678,CN3:CN834)+COUNTIF(CN3:CN678,CN678)-1</f>
        <v>676</v>
      </c>
      <c r="CP678" s="306" t="str">
        <f t="shared" ca="1" si="228"/>
        <v>Vanja Milinković-Savić (Serbia)</v>
      </c>
    </row>
    <row r="679" spans="72:94" x14ac:dyDescent="0.3">
      <c r="BT679" s="306" t="str">
        <f ca="1">OFFSET(C2,BU679,BV679)</f>
        <v>Switzerland</v>
      </c>
      <c r="BU679" s="306">
        <f t="shared" si="226"/>
        <v>0</v>
      </c>
      <c r="BV679" s="306">
        <f t="shared" si="227"/>
        <v>25</v>
      </c>
      <c r="BW679" s="306" t="str">
        <f ca="1">OFFSET(C3,BU679,BV679)</f>
        <v>Ardon Jashari</v>
      </c>
      <c r="BX679" s="306">
        <f ca="1">COUNTIF('Group Stages'!J7:J102,BW679)</f>
        <v>0</v>
      </c>
      <c r="BY679" s="306">
        <f ca="1">COUNTIF('Group Stages'!K7:K102,BW679)</f>
        <v>0</v>
      </c>
      <c r="BZ679" s="306">
        <f ca="1">COUNTIF('Group Stages'!L7:L102,BW679)</f>
        <v>0</v>
      </c>
      <c r="CA679" s="306">
        <f ca="1">COUNTIF('Group Stages'!M7:M102,BW679)</f>
        <v>0</v>
      </c>
      <c r="CB679" s="306">
        <f ca="1">COUNTIF('Group Stages'!N7:N102,BW679)</f>
        <v>0</v>
      </c>
      <c r="CC679" s="306">
        <f ca="1">COUNTIF('Group Stages'!O7:O102,BW679)</f>
        <v>0</v>
      </c>
      <c r="CD679" s="306">
        <f ca="1">COUNTIF('Group Stages'!P7:P102,BW679)</f>
        <v>0</v>
      </c>
      <c r="CE679" s="306">
        <f ca="1">COUNTIF('Group Stages'!Q7:Q102,BW679)</f>
        <v>0</v>
      </c>
      <c r="CF679" s="306">
        <f ca="1">COUNTIF('Knock Out Stages'!K7:K50,BW679)</f>
        <v>0</v>
      </c>
      <c r="CG679" s="306">
        <f ca="1">COUNTIF('Knock Out Stages'!L7:L50,BW679)</f>
        <v>0</v>
      </c>
      <c r="CH679" s="306">
        <f ca="1">COUNTIF('Knock Out Stages'!M7:M50,BW679)</f>
        <v>0</v>
      </c>
      <c r="CI679" s="306">
        <f ca="1">COUNTIF('Knock Out Stages'!N7:N50,BW679)</f>
        <v>0</v>
      </c>
      <c r="CJ679" s="306">
        <f ca="1">COUNTIF('Knock Out Stages'!O7:O50,BW679)</f>
        <v>0</v>
      </c>
      <c r="CK679" s="306">
        <f ca="1">COUNTIF('Knock Out Stages'!P7:P50,BW679)</f>
        <v>0</v>
      </c>
      <c r="CL679" s="306">
        <f ca="1">COUNTIF('Knock Out Stages'!Q7:Q50,BW679)</f>
        <v>0</v>
      </c>
      <c r="CM679" s="306">
        <f ca="1">COUNTIF('Knock Out Stages'!R7:R50,BW679)</f>
        <v>0</v>
      </c>
      <c r="CN679" s="306">
        <f ca="1">IF(RIGHT('Group Stages'!$B$105,5)="T.com",SUM(BX679:CM679),0)</f>
        <v>0</v>
      </c>
      <c r="CO679" s="306">
        <f ca="1">RANK(CN679,CN3:CN834)+COUNTIF(CN3:CN679,CN679)-1</f>
        <v>677</v>
      </c>
      <c r="CP679" s="306" t="str">
        <f t="shared" ca="1" si="228"/>
        <v>Ardon Jashari (Switzerland)</v>
      </c>
    </row>
    <row r="680" spans="72:94" x14ac:dyDescent="0.3">
      <c r="BT680" s="306" t="str">
        <f t="shared" ref="BT680" ca="1" si="230">BT679</f>
        <v>Switzerland</v>
      </c>
      <c r="BU680" s="306">
        <f t="shared" si="226"/>
        <v>1</v>
      </c>
      <c r="BV680" s="306">
        <f t="shared" si="227"/>
        <v>25</v>
      </c>
      <c r="BW680" s="306" t="str">
        <f ca="1">OFFSET(C3,BU680,BV680)</f>
        <v>Breel Embolo</v>
      </c>
      <c r="BX680" s="306">
        <f ca="1">COUNTIF('Group Stages'!J7:J102,BW680)</f>
        <v>0</v>
      </c>
      <c r="BY680" s="306">
        <f ca="1">COUNTIF('Group Stages'!K7:K102,BW680)</f>
        <v>0</v>
      </c>
      <c r="BZ680" s="306">
        <f ca="1">COUNTIF('Group Stages'!L7:L102,BW680)</f>
        <v>0</v>
      </c>
      <c r="CA680" s="306">
        <f ca="1">COUNTIF('Group Stages'!M7:M102,BW680)</f>
        <v>0</v>
      </c>
      <c r="CB680" s="306">
        <f ca="1">COUNTIF('Group Stages'!N7:N102,BW680)</f>
        <v>0</v>
      </c>
      <c r="CC680" s="306">
        <f ca="1">COUNTIF('Group Stages'!O7:O102,BW680)</f>
        <v>0</v>
      </c>
      <c r="CD680" s="306">
        <f ca="1">COUNTIF('Group Stages'!P7:P102,BW680)</f>
        <v>0</v>
      </c>
      <c r="CE680" s="306">
        <f ca="1">COUNTIF('Group Stages'!Q7:Q102,BW680)</f>
        <v>0</v>
      </c>
      <c r="CF680" s="306">
        <f ca="1">COUNTIF('Knock Out Stages'!K7:K50,BW680)</f>
        <v>0</v>
      </c>
      <c r="CG680" s="306">
        <f ca="1">COUNTIF('Knock Out Stages'!L7:L50,BW680)</f>
        <v>0</v>
      </c>
      <c r="CH680" s="306">
        <f ca="1">COUNTIF('Knock Out Stages'!M7:M50,BW680)</f>
        <v>0</v>
      </c>
      <c r="CI680" s="306">
        <f ca="1">COUNTIF('Knock Out Stages'!N7:N50,BW680)</f>
        <v>0</v>
      </c>
      <c r="CJ680" s="306">
        <f ca="1">COUNTIF('Knock Out Stages'!O7:O50,BW680)</f>
        <v>0</v>
      </c>
      <c r="CK680" s="306">
        <f ca="1">COUNTIF('Knock Out Stages'!P7:P50,BW680)</f>
        <v>0</v>
      </c>
      <c r="CL680" s="306">
        <f ca="1">COUNTIF('Knock Out Stages'!Q7:Q50,BW680)</f>
        <v>0</v>
      </c>
      <c r="CM680" s="306">
        <f ca="1">COUNTIF('Knock Out Stages'!R7:R50,BW680)</f>
        <v>0</v>
      </c>
      <c r="CN680" s="306">
        <f ca="1">IF(RIGHT('Group Stages'!$B$105,5)="T.com",SUM(BX680:CM680),0)</f>
        <v>0</v>
      </c>
      <c r="CO680" s="306">
        <f ca="1">RANK(CN680,CN3:CN834)+COUNTIF(CN3:CN680,CN680)-1</f>
        <v>678</v>
      </c>
      <c r="CP680" s="306" t="str">
        <f t="shared" ca="1" si="228"/>
        <v>Breel Embolo (Switzerland)</v>
      </c>
    </row>
    <row r="681" spans="72:94" x14ac:dyDescent="0.3">
      <c r="BT681" s="306" t="str">
        <f t="shared" ca="1" si="225"/>
        <v>Switzerland</v>
      </c>
      <c r="BU681" s="306">
        <f t="shared" si="226"/>
        <v>2</v>
      </c>
      <c r="BV681" s="306">
        <f t="shared" si="227"/>
        <v>25</v>
      </c>
      <c r="BW681" s="306" t="str">
        <f ca="1">OFFSET(C3,BU681,BV681)</f>
        <v>Christian Fassnacht</v>
      </c>
      <c r="BX681" s="306">
        <f ca="1">COUNTIF('Group Stages'!J7:J102,BW681)</f>
        <v>0</v>
      </c>
      <c r="BY681" s="306">
        <f ca="1">COUNTIF('Group Stages'!K7:K102,BW681)</f>
        <v>0</v>
      </c>
      <c r="BZ681" s="306">
        <f ca="1">COUNTIF('Group Stages'!L7:L102,BW681)</f>
        <v>0</v>
      </c>
      <c r="CA681" s="306">
        <f ca="1">COUNTIF('Group Stages'!M7:M102,BW681)</f>
        <v>0</v>
      </c>
      <c r="CB681" s="306">
        <f ca="1">COUNTIF('Group Stages'!N7:N102,BW681)</f>
        <v>0</v>
      </c>
      <c r="CC681" s="306">
        <f ca="1">COUNTIF('Group Stages'!O7:O102,BW681)</f>
        <v>0</v>
      </c>
      <c r="CD681" s="306">
        <f ca="1">COUNTIF('Group Stages'!P7:P102,BW681)</f>
        <v>0</v>
      </c>
      <c r="CE681" s="306">
        <f ca="1">COUNTIF('Group Stages'!Q7:Q102,BW681)</f>
        <v>0</v>
      </c>
      <c r="CF681" s="306">
        <f ca="1">COUNTIF('Knock Out Stages'!K7:K50,BW681)</f>
        <v>0</v>
      </c>
      <c r="CG681" s="306">
        <f ca="1">COUNTIF('Knock Out Stages'!L7:L50,BW681)</f>
        <v>0</v>
      </c>
      <c r="CH681" s="306">
        <f ca="1">COUNTIF('Knock Out Stages'!M7:M50,BW681)</f>
        <v>0</v>
      </c>
      <c r="CI681" s="306">
        <f ca="1">COUNTIF('Knock Out Stages'!N7:N50,BW681)</f>
        <v>0</v>
      </c>
      <c r="CJ681" s="306">
        <f ca="1">COUNTIF('Knock Out Stages'!O7:O50,BW681)</f>
        <v>0</v>
      </c>
      <c r="CK681" s="306">
        <f ca="1">COUNTIF('Knock Out Stages'!P7:P50,BW681)</f>
        <v>0</v>
      </c>
      <c r="CL681" s="306">
        <f ca="1">COUNTIF('Knock Out Stages'!Q7:Q50,BW681)</f>
        <v>0</v>
      </c>
      <c r="CM681" s="306">
        <f ca="1">COUNTIF('Knock Out Stages'!R7:R50,BW681)</f>
        <v>0</v>
      </c>
      <c r="CN681" s="306">
        <f ca="1">IF(RIGHT('Group Stages'!$B$105,5)="T.com",SUM(BX681:CM681),0)</f>
        <v>0</v>
      </c>
      <c r="CO681" s="306">
        <f ca="1">RANK(CN681,CN3:CN834)+COUNTIF(CN3:CN681,CN681)-1</f>
        <v>679</v>
      </c>
      <c r="CP681" s="306" t="str">
        <f t="shared" ca="1" si="228"/>
        <v>Christian Fassnacht (Switzerland)</v>
      </c>
    </row>
    <row r="682" spans="72:94" x14ac:dyDescent="0.3">
      <c r="BT682" s="306" t="str">
        <f t="shared" ca="1" si="225"/>
        <v>Switzerland</v>
      </c>
      <c r="BU682" s="306">
        <f t="shared" si="226"/>
        <v>3</v>
      </c>
      <c r="BV682" s="306">
        <f t="shared" si="227"/>
        <v>25</v>
      </c>
      <c r="BW682" s="306" t="str">
        <f ca="1">OFFSET(C3,BU682,BV682)</f>
        <v>Denis Zakaria</v>
      </c>
      <c r="BX682" s="306">
        <f ca="1">COUNTIF('Group Stages'!J7:J102,BW682)</f>
        <v>0</v>
      </c>
      <c r="BY682" s="306">
        <f ca="1">COUNTIF('Group Stages'!K7:K102,BW682)</f>
        <v>0</v>
      </c>
      <c r="BZ682" s="306">
        <f ca="1">COUNTIF('Group Stages'!L7:L102,BW682)</f>
        <v>0</v>
      </c>
      <c r="CA682" s="306">
        <f ca="1">COUNTIF('Group Stages'!M7:M102,BW682)</f>
        <v>0</v>
      </c>
      <c r="CB682" s="306">
        <f ca="1">COUNTIF('Group Stages'!N7:N102,BW682)</f>
        <v>0</v>
      </c>
      <c r="CC682" s="306">
        <f ca="1">COUNTIF('Group Stages'!O7:O102,BW682)</f>
        <v>0</v>
      </c>
      <c r="CD682" s="306">
        <f ca="1">COUNTIF('Group Stages'!P7:P102,BW682)</f>
        <v>0</v>
      </c>
      <c r="CE682" s="306">
        <f ca="1">COUNTIF('Group Stages'!Q7:Q102,BW682)</f>
        <v>0</v>
      </c>
      <c r="CF682" s="306">
        <f ca="1">COUNTIF('Knock Out Stages'!K7:K50,BW682)</f>
        <v>0</v>
      </c>
      <c r="CG682" s="306">
        <f ca="1">COUNTIF('Knock Out Stages'!L7:L50,BW682)</f>
        <v>0</v>
      </c>
      <c r="CH682" s="306">
        <f ca="1">COUNTIF('Knock Out Stages'!M7:M50,BW682)</f>
        <v>0</v>
      </c>
      <c r="CI682" s="306">
        <f ca="1">COUNTIF('Knock Out Stages'!N7:N50,BW682)</f>
        <v>0</v>
      </c>
      <c r="CJ682" s="306">
        <f ca="1">COUNTIF('Knock Out Stages'!O7:O50,BW682)</f>
        <v>0</v>
      </c>
      <c r="CK682" s="306">
        <f ca="1">COUNTIF('Knock Out Stages'!P7:P50,BW682)</f>
        <v>0</v>
      </c>
      <c r="CL682" s="306">
        <f ca="1">COUNTIF('Knock Out Stages'!Q7:Q50,BW682)</f>
        <v>0</v>
      </c>
      <c r="CM682" s="306">
        <f ca="1">COUNTIF('Knock Out Stages'!R7:R50,BW682)</f>
        <v>0</v>
      </c>
      <c r="CN682" s="306">
        <f ca="1">IF(RIGHT('Group Stages'!$B$105,5)="T.com",SUM(BX682:CM682),0)</f>
        <v>0</v>
      </c>
      <c r="CO682" s="306">
        <f ca="1">RANK(CN682,CN3:CN834)+COUNTIF(CN3:CN682,CN682)-1</f>
        <v>680</v>
      </c>
      <c r="CP682" s="306" t="str">
        <f t="shared" ca="1" si="228"/>
        <v>Denis Zakaria (Switzerland)</v>
      </c>
    </row>
    <row r="683" spans="72:94" x14ac:dyDescent="0.3">
      <c r="BT683" s="306" t="str">
        <f t="shared" ca="1" si="225"/>
        <v>Switzerland</v>
      </c>
      <c r="BU683" s="306">
        <f t="shared" si="226"/>
        <v>4</v>
      </c>
      <c r="BV683" s="306">
        <f t="shared" si="227"/>
        <v>25</v>
      </c>
      <c r="BW683" s="306" t="str">
        <f ca="1">OFFSET(C3,BU683,BV683)</f>
        <v>Djibril Sow</v>
      </c>
      <c r="BX683" s="306">
        <f ca="1">COUNTIF('Group Stages'!J7:J102,BW683)</f>
        <v>0</v>
      </c>
      <c r="BY683" s="306">
        <f ca="1">COUNTIF('Group Stages'!K7:K102,BW683)</f>
        <v>0</v>
      </c>
      <c r="BZ683" s="306">
        <f ca="1">COUNTIF('Group Stages'!L7:L102,BW683)</f>
        <v>0</v>
      </c>
      <c r="CA683" s="306">
        <f ca="1">COUNTIF('Group Stages'!M7:M102,BW683)</f>
        <v>0</v>
      </c>
      <c r="CB683" s="306">
        <f ca="1">COUNTIF('Group Stages'!N7:N102,BW683)</f>
        <v>0</v>
      </c>
      <c r="CC683" s="306">
        <f ca="1">COUNTIF('Group Stages'!O7:O102,BW683)</f>
        <v>0</v>
      </c>
      <c r="CD683" s="306">
        <f ca="1">COUNTIF('Group Stages'!P7:P102,BW683)</f>
        <v>0</v>
      </c>
      <c r="CE683" s="306">
        <f ca="1">COUNTIF('Group Stages'!Q7:Q102,BW683)</f>
        <v>0</v>
      </c>
      <c r="CF683" s="306">
        <f ca="1">COUNTIF('Knock Out Stages'!K7:K50,BW683)</f>
        <v>0</v>
      </c>
      <c r="CG683" s="306">
        <f ca="1">COUNTIF('Knock Out Stages'!L7:L50,BW683)</f>
        <v>0</v>
      </c>
      <c r="CH683" s="306">
        <f ca="1">COUNTIF('Knock Out Stages'!M7:M50,BW683)</f>
        <v>0</v>
      </c>
      <c r="CI683" s="306">
        <f ca="1">COUNTIF('Knock Out Stages'!N7:N50,BW683)</f>
        <v>0</v>
      </c>
      <c r="CJ683" s="306">
        <f ca="1">COUNTIF('Knock Out Stages'!O7:O50,BW683)</f>
        <v>0</v>
      </c>
      <c r="CK683" s="306">
        <f ca="1">COUNTIF('Knock Out Stages'!P7:P50,BW683)</f>
        <v>0</v>
      </c>
      <c r="CL683" s="306">
        <f ca="1">COUNTIF('Knock Out Stages'!Q7:Q50,BW683)</f>
        <v>0</v>
      </c>
      <c r="CM683" s="306">
        <f ca="1">COUNTIF('Knock Out Stages'!R7:R50,BW683)</f>
        <v>0</v>
      </c>
      <c r="CN683" s="306">
        <f ca="1">IF(RIGHT('Group Stages'!$B$105,5)="T.com",SUM(BX683:CM683),0)</f>
        <v>0</v>
      </c>
      <c r="CO683" s="306">
        <f ca="1">RANK(CN683,CN3:CN834)+COUNTIF(CN3:CN683,CN683)-1</f>
        <v>681</v>
      </c>
      <c r="CP683" s="306" t="str">
        <f t="shared" ca="1" si="228"/>
        <v>Djibril Sow (Switzerland)</v>
      </c>
    </row>
    <row r="684" spans="72:94" x14ac:dyDescent="0.3">
      <c r="BT684" s="306" t="str">
        <f t="shared" ca="1" si="225"/>
        <v>Switzerland</v>
      </c>
      <c r="BU684" s="306">
        <f t="shared" si="226"/>
        <v>5</v>
      </c>
      <c r="BV684" s="306">
        <f t="shared" si="227"/>
        <v>25</v>
      </c>
      <c r="BW684" s="306" t="str">
        <f ca="1">OFFSET(C3,BU684,BV684)</f>
        <v>Edimilson Fernandes</v>
      </c>
      <c r="BX684" s="306">
        <f ca="1">COUNTIF('Group Stages'!J7:J102,BW684)</f>
        <v>0</v>
      </c>
      <c r="BY684" s="306">
        <f ca="1">COUNTIF('Group Stages'!K7:K102,BW684)</f>
        <v>0</v>
      </c>
      <c r="BZ684" s="306">
        <f ca="1">COUNTIF('Group Stages'!L7:L102,BW684)</f>
        <v>0</v>
      </c>
      <c r="CA684" s="306">
        <f ca="1">COUNTIF('Group Stages'!M7:M102,BW684)</f>
        <v>0</v>
      </c>
      <c r="CB684" s="306">
        <f ca="1">COUNTIF('Group Stages'!N7:N102,BW684)</f>
        <v>0</v>
      </c>
      <c r="CC684" s="306">
        <f ca="1">COUNTIF('Group Stages'!O7:O102,BW684)</f>
        <v>0</v>
      </c>
      <c r="CD684" s="306">
        <f ca="1">COUNTIF('Group Stages'!P7:P102,BW684)</f>
        <v>0</v>
      </c>
      <c r="CE684" s="306">
        <f ca="1">COUNTIF('Group Stages'!Q7:Q102,BW684)</f>
        <v>0</v>
      </c>
      <c r="CF684" s="306">
        <f ca="1">COUNTIF('Knock Out Stages'!K7:K50,BW684)</f>
        <v>0</v>
      </c>
      <c r="CG684" s="306">
        <f ca="1">COUNTIF('Knock Out Stages'!L7:L50,BW684)</f>
        <v>0</v>
      </c>
      <c r="CH684" s="306">
        <f ca="1">COUNTIF('Knock Out Stages'!M7:M50,BW684)</f>
        <v>0</v>
      </c>
      <c r="CI684" s="306">
        <f ca="1">COUNTIF('Knock Out Stages'!N7:N50,BW684)</f>
        <v>0</v>
      </c>
      <c r="CJ684" s="306">
        <f ca="1">COUNTIF('Knock Out Stages'!O7:O50,BW684)</f>
        <v>0</v>
      </c>
      <c r="CK684" s="306">
        <f ca="1">COUNTIF('Knock Out Stages'!P7:P50,BW684)</f>
        <v>0</v>
      </c>
      <c r="CL684" s="306">
        <f ca="1">COUNTIF('Knock Out Stages'!Q7:Q50,BW684)</f>
        <v>0</v>
      </c>
      <c r="CM684" s="306">
        <f ca="1">COUNTIF('Knock Out Stages'!R7:R50,BW684)</f>
        <v>0</v>
      </c>
      <c r="CN684" s="306">
        <f ca="1">IF(RIGHT('Group Stages'!$B$105,5)="T.com",SUM(BX684:CM684),0)</f>
        <v>0</v>
      </c>
      <c r="CO684" s="306">
        <f ca="1">RANK(CN684,CN3:CN834)+COUNTIF(CN3:CN684,CN684)-1</f>
        <v>682</v>
      </c>
      <c r="CP684" s="306" t="str">
        <f t="shared" ca="1" si="228"/>
        <v>Edimilson Fernandes (Switzerland)</v>
      </c>
    </row>
    <row r="685" spans="72:94" x14ac:dyDescent="0.3">
      <c r="BT685" s="306" t="str">
        <f t="shared" ca="1" si="225"/>
        <v>Switzerland</v>
      </c>
      <c r="BU685" s="306">
        <f t="shared" si="226"/>
        <v>6</v>
      </c>
      <c r="BV685" s="306">
        <f t="shared" si="227"/>
        <v>25</v>
      </c>
      <c r="BW685" s="306" t="str">
        <f ca="1">OFFSET(C3,BU685,BV685)</f>
        <v>Eray Cömert</v>
      </c>
      <c r="BX685" s="306">
        <f ca="1">COUNTIF('Group Stages'!J7:J102,BW685)</f>
        <v>0</v>
      </c>
      <c r="BY685" s="306">
        <f ca="1">COUNTIF('Group Stages'!K7:K102,BW685)</f>
        <v>0</v>
      </c>
      <c r="BZ685" s="306">
        <f ca="1">COUNTIF('Group Stages'!L7:L102,BW685)</f>
        <v>0</v>
      </c>
      <c r="CA685" s="306">
        <f ca="1">COUNTIF('Group Stages'!M7:M102,BW685)</f>
        <v>0</v>
      </c>
      <c r="CB685" s="306">
        <f ca="1">COUNTIF('Group Stages'!N7:N102,BW685)</f>
        <v>0</v>
      </c>
      <c r="CC685" s="306">
        <f ca="1">COUNTIF('Group Stages'!O7:O102,BW685)</f>
        <v>0</v>
      </c>
      <c r="CD685" s="306">
        <f ca="1">COUNTIF('Group Stages'!P7:P102,BW685)</f>
        <v>0</v>
      </c>
      <c r="CE685" s="306">
        <f ca="1">COUNTIF('Group Stages'!Q7:Q102,BW685)</f>
        <v>0</v>
      </c>
      <c r="CF685" s="306">
        <f ca="1">COUNTIF('Knock Out Stages'!K7:K50,BW685)</f>
        <v>0</v>
      </c>
      <c r="CG685" s="306">
        <f ca="1">COUNTIF('Knock Out Stages'!L7:L50,BW685)</f>
        <v>0</v>
      </c>
      <c r="CH685" s="306">
        <f ca="1">COUNTIF('Knock Out Stages'!M7:M50,BW685)</f>
        <v>0</v>
      </c>
      <c r="CI685" s="306">
        <f ca="1">COUNTIF('Knock Out Stages'!N7:N50,BW685)</f>
        <v>0</v>
      </c>
      <c r="CJ685" s="306">
        <f ca="1">COUNTIF('Knock Out Stages'!O7:O50,BW685)</f>
        <v>0</v>
      </c>
      <c r="CK685" s="306">
        <f ca="1">COUNTIF('Knock Out Stages'!P7:P50,BW685)</f>
        <v>0</v>
      </c>
      <c r="CL685" s="306">
        <f ca="1">COUNTIF('Knock Out Stages'!Q7:Q50,BW685)</f>
        <v>0</v>
      </c>
      <c r="CM685" s="306">
        <f ca="1">COUNTIF('Knock Out Stages'!R7:R50,BW685)</f>
        <v>0</v>
      </c>
      <c r="CN685" s="306">
        <f ca="1">IF(RIGHT('Group Stages'!$B$105,5)="T.com",SUM(BX685:CM685),0)</f>
        <v>0</v>
      </c>
      <c r="CO685" s="306">
        <f ca="1">RANK(CN685,CN3:CN834)+COUNTIF(CN3:CN685,CN685)-1</f>
        <v>683</v>
      </c>
      <c r="CP685" s="306" t="str">
        <f t="shared" ca="1" si="228"/>
        <v>Eray Cömert (Switzerland)</v>
      </c>
    </row>
    <row r="686" spans="72:94" x14ac:dyDescent="0.3">
      <c r="BT686" s="306" t="str">
        <f t="shared" ca="1" si="225"/>
        <v>Switzerland</v>
      </c>
      <c r="BU686" s="306">
        <f t="shared" si="226"/>
        <v>7</v>
      </c>
      <c r="BV686" s="306">
        <f t="shared" si="227"/>
        <v>25</v>
      </c>
      <c r="BW686" s="306" t="str">
        <f ca="1">OFFSET(C3,BU686,BV686)</f>
        <v>Fabian Frei</v>
      </c>
      <c r="BX686" s="306">
        <f ca="1">COUNTIF('Group Stages'!J7:J102,BW686)</f>
        <v>0</v>
      </c>
      <c r="BY686" s="306">
        <f ca="1">COUNTIF('Group Stages'!K7:K102,BW686)</f>
        <v>0</v>
      </c>
      <c r="BZ686" s="306">
        <f ca="1">COUNTIF('Group Stages'!L7:L102,BW686)</f>
        <v>0</v>
      </c>
      <c r="CA686" s="306">
        <f ca="1">COUNTIF('Group Stages'!M7:M102,BW686)</f>
        <v>0</v>
      </c>
      <c r="CB686" s="306">
        <f ca="1">COUNTIF('Group Stages'!N7:N102,BW686)</f>
        <v>0</v>
      </c>
      <c r="CC686" s="306">
        <f ca="1">COUNTIF('Group Stages'!O7:O102,BW686)</f>
        <v>0</v>
      </c>
      <c r="CD686" s="306">
        <f ca="1">COUNTIF('Group Stages'!P7:P102,BW686)</f>
        <v>0</v>
      </c>
      <c r="CE686" s="306">
        <f ca="1">COUNTIF('Group Stages'!Q7:Q102,BW686)</f>
        <v>0</v>
      </c>
      <c r="CF686" s="306">
        <f ca="1">COUNTIF('Knock Out Stages'!K7:K50,BW686)</f>
        <v>0</v>
      </c>
      <c r="CG686" s="306">
        <f ca="1">COUNTIF('Knock Out Stages'!L7:L50,BW686)</f>
        <v>0</v>
      </c>
      <c r="CH686" s="306">
        <f ca="1">COUNTIF('Knock Out Stages'!M7:M50,BW686)</f>
        <v>0</v>
      </c>
      <c r="CI686" s="306">
        <f ca="1">COUNTIF('Knock Out Stages'!N7:N50,BW686)</f>
        <v>0</v>
      </c>
      <c r="CJ686" s="306">
        <f ca="1">COUNTIF('Knock Out Stages'!O7:O50,BW686)</f>
        <v>0</v>
      </c>
      <c r="CK686" s="306">
        <f ca="1">COUNTIF('Knock Out Stages'!P7:P50,BW686)</f>
        <v>0</v>
      </c>
      <c r="CL686" s="306">
        <f ca="1">COUNTIF('Knock Out Stages'!Q7:Q50,BW686)</f>
        <v>0</v>
      </c>
      <c r="CM686" s="306">
        <f ca="1">COUNTIF('Knock Out Stages'!R7:R50,BW686)</f>
        <v>0</v>
      </c>
      <c r="CN686" s="306">
        <f ca="1">IF(RIGHT('Group Stages'!$B$105,5)="T.com",SUM(BX686:CM686),0)</f>
        <v>0</v>
      </c>
      <c r="CO686" s="306">
        <f ca="1">RANK(CN686,CN3:CN834)+COUNTIF(CN3:CN686,CN686)-1</f>
        <v>684</v>
      </c>
      <c r="CP686" s="306" t="str">
        <f t="shared" ca="1" si="228"/>
        <v>Fabian Frei (Switzerland)</v>
      </c>
    </row>
    <row r="687" spans="72:94" x14ac:dyDescent="0.3">
      <c r="BT687" s="306" t="str">
        <f t="shared" ca="1" si="225"/>
        <v>Switzerland</v>
      </c>
      <c r="BU687" s="306">
        <f t="shared" si="226"/>
        <v>8</v>
      </c>
      <c r="BV687" s="306">
        <f t="shared" si="227"/>
        <v>25</v>
      </c>
      <c r="BW687" s="306" t="str">
        <f ca="1">OFFSET(C3,BU687,BV687)</f>
        <v>Fabian Rieder</v>
      </c>
      <c r="BX687" s="306">
        <f ca="1">COUNTIF('Group Stages'!J7:J102,BW687)</f>
        <v>0</v>
      </c>
      <c r="BY687" s="306">
        <f ca="1">COUNTIF('Group Stages'!K7:K102,BW687)</f>
        <v>0</v>
      </c>
      <c r="BZ687" s="306">
        <f ca="1">COUNTIF('Group Stages'!L7:L102,BW687)</f>
        <v>0</v>
      </c>
      <c r="CA687" s="306">
        <f ca="1">COUNTIF('Group Stages'!M7:M102,BW687)</f>
        <v>0</v>
      </c>
      <c r="CB687" s="306">
        <f ca="1">COUNTIF('Group Stages'!N7:N102,BW687)</f>
        <v>0</v>
      </c>
      <c r="CC687" s="306">
        <f ca="1">COUNTIF('Group Stages'!O7:O102,BW687)</f>
        <v>0</v>
      </c>
      <c r="CD687" s="306">
        <f ca="1">COUNTIF('Group Stages'!P7:P102,BW687)</f>
        <v>0</v>
      </c>
      <c r="CE687" s="306">
        <f ca="1">COUNTIF('Group Stages'!Q7:Q102,BW687)</f>
        <v>0</v>
      </c>
      <c r="CF687" s="306">
        <f ca="1">COUNTIF('Knock Out Stages'!K7:K50,BW687)</f>
        <v>0</v>
      </c>
      <c r="CG687" s="306">
        <f ca="1">COUNTIF('Knock Out Stages'!L7:L50,BW687)</f>
        <v>0</v>
      </c>
      <c r="CH687" s="306">
        <f ca="1">COUNTIF('Knock Out Stages'!M7:M50,BW687)</f>
        <v>0</v>
      </c>
      <c r="CI687" s="306">
        <f ca="1">COUNTIF('Knock Out Stages'!N7:N50,BW687)</f>
        <v>0</v>
      </c>
      <c r="CJ687" s="306">
        <f ca="1">COUNTIF('Knock Out Stages'!O7:O50,BW687)</f>
        <v>0</v>
      </c>
      <c r="CK687" s="306">
        <f ca="1">COUNTIF('Knock Out Stages'!P7:P50,BW687)</f>
        <v>0</v>
      </c>
      <c r="CL687" s="306">
        <f ca="1">COUNTIF('Knock Out Stages'!Q7:Q50,BW687)</f>
        <v>0</v>
      </c>
      <c r="CM687" s="306">
        <f ca="1">COUNTIF('Knock Out Stages'!R7:R50,BW687)</f>
        <v>0</v>
      </c>
      <c r="CN687" s="306">
        <f ca="1">IF(RIGHT('Group Stages'!$B$105,5)="T.com",SUM(BX687:CM687),0)</f>
        <v>0</v>
      </c>
      <c r="CO687" s="306">
        <f ca="1">RANK(CN687,CN3:CN834)+COUNTIF(CN3:CN687,CN687)-1</f>
        <v>685</v>
      </c>
      <c r="CP687" s="306" t="str">
        <f t="shared" ca="1" si="228"/>
        <v>Fabian Rieder (Switzerland)</v>
      </c>
    </row>
    <row r="688" spans="72:94" x14ac:dyDescent="0.3">
      <c r="BT688" s="306" t="str">
        <f t="shared" ca="1" si="225"/>
        <v>Switzerland</v>
      </c>
      <c r="BU688" s="306">
        <f t="shared" si="226"/>
        <v>9</v>
      </c>
      <c r="BV688" s="306">
        <f t="shared" si="227"/>
        <v>25</v>
      </c>
      <c r="BW688" s="306" t="str">
        <f ca="1">OFFSET(C3,BU688,BV688)</f>
        <v>Fabian Schär</v>
      </c>
      <c r="BX688" s="306">
        <f ca="1">COUNTIF('Group Stages'!J7:J102,BW688)</f>
        <v>0</v>
      </c>
      <c r="BY688" s="306">
        <f ca="1">COUNTIF('Group Stages'!K7:K102,BW688)</f>
        <v>0</v>
      </c>
      <c r="BZ688" s="306">
        <f ca="1">COUNTIF('Group Stages'!L7:L102,BW688)</f>
        <v>0</v>
      </c>
      <c r="CA688" s="306">
        <f ca="1">COUNTIF('Group Stages'!M7:M102,BW688)</f>
        <v>0</v>
      </c>
      <c r="CB688" s="306">
        <f ca="1">COUNTIF('Group Stages'!N7:N102,BW688)</f>
        <v>0</v>
      </c>
      <c r="CC688" s="306">
        <f ca="1">COUNTIF('Group Stages'!O7:O102,BW688)</f>
        <v>0</v>
      </c>
      <c r="CD688" s="306">
        <f ca="1">COUNTIF('Group Stages'!P7:P102,BW688)</f>
        <v>0</v>
      </c>
      <c r="CE688" s="306">
        <f ca="1">COUNTIF('Group Stages'!Q7:Q102,BW688)</f>
        <v>0</v>
      </c>
      <c r="CF688" s="306">
        <f ca="1">COUNTIF('Knock Out Stages'!K7:K50,BW688)</f>
        <v>0</v>
      </c>
      <c r="CG688" s="306">
        <f ca="1">COUNTIF('Knock Out Stages'!L7:L50,BW688)</f>
        <v>0</v>
      </c>
      <c r="CH688" s="306">
        <f ca="1">COUNTIF('Knock Out Stages'!M7:M50,BW688)</f>
        <v>0</v>
      </c>
      <c r="CI688" s="306">
        <f ca="1">COUNTIF('Knock Out Stages'!N7:N50,BW688)</f>
        <v>0</v>
      </c>
      <c r="CJ688" s="306">
        <f ca="1">COUNTIF('Knock Out Stages'!O7:O50,BW688)</f>
        <v>0</v>
      </c>
      <c r="CK688" s="306">
        <f ca="1">COUNTIF('Knock Out Stages'!P7:P50,BW688)</f>
        <v>0</v>
      </c>
      <c r="CL688" s="306">
        <f ca="1">COUNTIF('Knock Out Stages'!Q7:Q50,BW688)</f>
        <v>0</v>
      </c>
      <c r="CM688" s="306">
        <f ca="1">COUNTIF('Knock Out Stages'!R7:R50,BW688)</f>
        <v>0</v>
      </c>
      <c r="CN688" s="306">
        <f ca="1">IF(RIGHT('Group Stages'!$B$105,5)="T.com",SUM(BX688:CM688),0)</f>
        <v>0</v>
      </c>
      <c r="CO688" s="306">
        <f ca="1">RANK(CN688,CN3:CN834)+COUNTIF(CN3:CN688,CN688)-1</f>
        <v>686</v>
      </c>
      <c r="CP688" s="306" t="str">
        <f t="shared" ca="1" si="228"/>
        <v>Fabian Schär (Switzerland)</v>
      </c>
    </row>
    <row r="689" spans="72:94" x14ac:dyDescent="0.3">
      <c r="BT689" s="306" t="str">
        <f t="shared" ca="1" si="225"/>
        <v>Switzerland</v>
      </c>
      <c r="BU689" s="306">
        <f t="shared" si="226"/>
        <v>10</v>
      </c>
      <c r="BV689" s="306">
        <f t="shared" si="227"/>
        <v>25</v>
      </c>
      <c r="BW689" s="306" t="str">
        <f ca="1">OFFSET(C3,BU689,BV689)</f>
        <v>Granit Xhaka</v>
      </c>
      <c r="BX689" s="306">
        <f ca="1">COUNTIF('Group Stages'!J7:J102,BW689)</f>
        <v>0</v>
      </c>
      <c r="BY689" s="306">
        <f ca="1">COUNTIF('Group Stages'!K7:K102,BW689)</f>
        <v>0</v>
      </c>
      <c r="BZ689" s="306">
        <f ca="1">COUNTIF('Group Stages'!L7:L102,BW689)</f>
        <v>0</v>
      </c>
      <c r="CA689" s="306">
        <f ca="1">COUNTIF('Group Stages'!M7:M102,BW689)</f>
        <v>0</v>
      </c>
      <c r="CB689" s="306">
        <f ca="1">COUNTIF('Group Stages'!N7:N102,BW689)</f>
        <v>0</v>
      </c>
      <c r="CC689" s="306">
        <f ca="1">COUNTIF('Group Stages'!O7:O102,BW689)</f>
        <v>0</v>
      </c>
      <c r="CD689" s="306">
        <f ca="1">COUNTIF('Group Stages'!P7:P102,BW689)</f>
        <v>0</v>
      </c>
      <c r="CE689" s="306">
        <f ca="1">COUNTIF('Group Stages'!Q7:Q102,BW689)</f>
        <v>0</v>
      </c>
      <c r="CF689" s="306">
        <f ca="1">COUNTIF('Knock Out Stages'!K7:K50,BW689)</f>
        <v>0</v>
      </c>
      <c r="CG689" s="306">
        <f ca="1">COUNTIF('Knock Out Stages'!L7:L50,BW689)</f>
        <v>0</v>
      </c>
      <c r="CH689" s="306">
        <f ca="1">COUNTIF('Knock Out Stages'!M7:M50,BW689)</f>
        <v>0</v>
      </c>
      <c r="CI689" s="306">
        <f ca="1">COUNTIF('Knock Out Stages'!N7:N50,BW689)</f>
        <v>0</v>
      </c>
      <c r="CJ689" s="306">
        <f ca="1">COUNTIF('Knock Out Stages'!O7:O50,BW689)</f>
        <v>0</v>
      </c>
      <c r="CK689" s="306">
        <f ca="1">COUNTIF('Knock Out Stages'!P7:P50,BW689)</f>
        <v>0</v>
      </c>
      <c r="CL689" s="306">
        <f ca="1">COUNTIF('Knock Out Stages'!Q7:Q50,BW689)</f>
        <v>0</v>
      </c>
      <c r="CM689" s="306">
        <f ca="1">COUNTIF('Knock Out Stages'!R7:R50,BW689)</f>
        <v>0</v>
      </c>
      <c r="CN689" s="306">
        <f ca="1">IF(RIGHT('Group Stages'!$B$105,5)="T.com",SUM(BX689:CM689),0)</f>
        <v>0</v>
      </c>
      <c r="CO689" s="306">
        <f ca="1">RANK(CN689,CN3:CN834)+COUNTIF(CN3:CN689,CN689)-1</f>
        <v>687</v>
      </c>
      <c r="CP689" s="306" t="str">
        <f t="shared" ca="1" si="228"/>
        <v>Granit Xhaka (Switzerland)</v>
      </c>
    </row>
    <row r="690" spans="72:94" x14ac:dyDescent="0.3">
      <c r="BT690" s="306" t="str">
        <f t="shared" ca="1" si="225"/>
        <v>Switzerland</v>
      </c>
      <c r="BU690" s="306">
        <f t="shared" si="226"/>
        <v>11</v>
      </c>
      <c r="BV690" s="306">
        <f t="shared" si="227"/>
        <v>25</v>
      </c>
      <c r="BW690" s="306" t="str">
        <f ca="1">OFFSET(C3,BU690,BV690)</f>
        <v>Gregor Kobel</v>
      </c>
      <c r="BX690" s="306">
        <f ca="1">COUNTIF('Group Stages'!J7:J102,BW690)</f>
        <v>0</v>
      </c>
      <c r="BY690" s="306">
        <f ca="1">COUNTIF('Group Stages'!K7:K102,BW690)</f>
        <v>0</v>
      </c>
      <c r="BZ690" s="306">
        <f ca="1">COUNTIF('Group Stages'!L7:L102,BW690)</f>
        <v>0</v>
      </c>
      <c r="CA690" s="306">
        <f ca="1">COUNTIF('Group Stages'!M7:M102,BW690)</f>
        <v>0</v>
      </c>
      <c r="CB690" s="306">
        <f ca="1">COUNTIF('Group Stages'!N7:N102,BW690)</f>
        <v>0</v>
      </c>
      <c r="CC690" s="306">
        <f ca="1">COUNTIF('Group Stages'!O7:O102,BW690)</f>
        <v>0</v>
      </c>
      <c r="CD690" s="306">
        <f ca="1">COUNTIF('Group Stages'!P7:P102,BW690)</f>
        <v>0</v>
      </c>
      <c r="CE690" s="306">
        <f ca="1">COUNTIF('Group Stages'!Q7:Q102,BW690)</f>
        <v>0</v>
      </c>
      <c r="CF690" s="306">
        <f ca="1">COUNTIF('Knock Out Stages'!K7:K50,BW690)</f>
        <v>0</v>
      </c>
      <c r="CG690" s="306">
        <f ca="1">COUNTIF('Knock Out Stages'!L7:L50,BW690)</f>
        <v>0</v>
      </c>
      <c r="CH690" s="306">
        <f ca="1">COUNTIF('Knock Out Stages'!M7:M50,BW690)</f>
        <v>0</v>
      </c>
      <c r="CI690" s="306">
        <f ca="1">COUNTIF('Knock Out Stages'!N7:N50,BW690)</f>
        <v>0</v>
      </c>
      <c r="CJ690" s="306">
        <f ca="1">COUNTIF('Knock Out Stages'!O7:O50,BW690)</f>
        <v>0</v>
      </c>
      <c r="CK690" s="306">
        <f ca="1">COUNTIF('Knock Out Stages'!P7:P50,BW690)</f>
        <v>0</v>
      </c>
      <c r="CL690" s="306">
        <f ca="1">COUNTIF('Knock Out Stages'!Q7:Q50,BW690)</f>
        <v>0</v>
      </c>
      <c r="CM690" s="306">
        <f ca="1">COUNTIF('Knock Out Stages'!R7:R50,BW690)</f>
        <v>0</v>
      </c>
      <c r="CN690" s="306">
        <f ca="1">IF(RIGHT('Group Stages'!$B$105,5)="T.com",SUM(BX690:CM690),0)</f>
        <v>0</v>
      </c>
      <c r="CO690" s="306">
        <f ca="1">RANK(CN690,CN3:CN834)+COUNTIF(CN3:CN690,CN690)-1</f>
        <v>688</v>
      </c>
      <c r="CP690" s="306" t="str">
        <f t="shared" ca="1" si="228"/>
        <v>Gregor Kobel (Switzerland)</v>
      </c>
    </row>
    <row r="691" spans="72:94" x14ac:dyDescent="0.3">
      <c r="BT691" s="306" t="str">
        <f t="shared" ca="1" si="225"/>
        <v>Switzerland</v>
      </c>
      <c r="BU691" s="306">
        <f t="shared" si="226"/>
        <v>12</v>
      </c>
      <c r="BV691" s="306">
        <f t="shared" si="227"/>
        <v>25</v>
      </c>
      <c r="BW691" s="306" t="str">
        <f ca="1">OFFSET(C3,BU691,BV691)</f>
        <v>Haris Seferovic</v>
      </c>
      <c r="BX691" s="306">
        <f ca="1">COUNTIF('Group Stages'!J7:J102,BW691)</f>
        <v>0</v>
      </c>
      <c r="BY691" s="306">
        <f ca="1">COUNTIF('Group Stages'!K7:K102,BW691)</f>
        <v>0</v>
      </c>
      <c r="BZ691" s="306">
        <f ca="1">COUNTIF('Group Stages'!L7:L102,BW691)</f>
        <v>0</v>
      </c>
      <c r="CA691" s="306">
        <f ca="1">COUNTIF('Group Stages'!M7:M102,BW691)</f>
        <v>0</v>
      </c>
      <c r="CB691" s="306">
        <f ca="1">COUNTIF('Group Stages'!N7:N102,BW691)</f>
        <v>0</v>
      </c>
      <c r="CC691" s="306">
        <f ca="1">COUNTIF('Group Stages'!O7:O102,BW691)</f>
        <v>0</v>
      </c>
      <c r="CD691" s="306">
        <f ca="1">COUNTIF('Group Stages'!P7:P102,BW691)</f>
        <v>0</v>
      </c>
      <c r="CE691" s="306">
        <f ca="1">COUNTIF('Group Stages'!Q7:Q102,BW691)</f>
        <v>0</v>
      </c>
      <c r="CF691" s="306">
        <f ca="1">COUNTIF('Knock Out Stages'!K7:K50,BW691)</f>
        <v>0</v>
      </c>
      <c r="CG691" s="306">
        <f ca="1">COUNTIF('Knock Out Stages'!L7:L50,BW691)</f>
        <v>0</v>
      </c>
      <c r="CH691" s="306">
        <f ca="1">COUNTIF('Knock Out Stages'!M7:M50,BW691)</f>
        <v>0</v>
      </c>
      <c r="CI691" s="306">
        <f ca="1">COUNTIF('Knock Out Stages'!N7:N50,BW691)</f>
        <v>0</v>
      </c>
      <c r="CJ691" s="306">
        <f ca="1">COUNTIF('Knock Out Stages'!O7:O50,BW691)</f>
        <v>0</v>
      </c>
      <c r="CK691" s="306">
        <f ca="1">COUNTIF('Knock Out Stages'!P7:P50,BW691)</f>
        <v>0</v>
      </c>
      <c r="CL691" s="306">
        <f ca="1">COUNTIF('Knock Out Stages'!Q7:Q50,BW691)</f>
        <v>0</v>
      </c>
      <c r="CM691" s="306">
        <f ca="1">COUNTIF('Knock Out Stages'!R7:R50,BW691)</f>
        <v>0</v>
      </c>
      <c r="CN691" s="306">
        <f ca="1">IF(RIGHT('Group Stages'!$B$105,5)="T.com",SUM(BX691:CM691),0)</f>
        <v>0</v>
      </c>
      <c r="CO691" s="306">
        <f ca="1">RANK(CN691,CN3:CN834)+COUNTIF(CN3:CN691,CN691)-1</f>
        <v>689</v>
      </c>
      <c r="CP691" s="306" t="str">
        <f t="shared" ca="1" si="228"/>
        <v>Haris Seferovic (Switzerland)</v>
      </c>
    </row>
    <row r="692" spans="72:94" x14ac:dyDescent="0.3">
      <c r="BT692" s="306" t="str">
        <f t="shared" ca="1" si="225"/>
        <v>Switzerland</v>
      </c>
      <c r="BU692" s="306">
        <f t="shared" si="226"/>
        <v>13</v>
      </c>
      <c r="BV692" s="306">
        <f t="shared" si="227"/>
        <v>25</v>
      </c>
      <c r="BW692" s="306" t="str">
        <f ca="1">OFFSET(C3,BU692,BV692)</f>
        <v>Jonas Omlin</v>
      </c>
      <c r="BX692" s="306">
        <f ca="1">COUNTIF('Group Stages'!J7:J102,BW692)</f>
        <v>0</v>
      </c>
      <c r="BY692" s="306">
        <f ca="1">COUNTIF('Group Stages'!K7:K102,BW692)</f>
        <v>0</v>
      </c>
      <c r="BZ692" s="306">
        <f ca="1">COUNTIF('Group Stages'!L7:L102,BW692)</f>
        <v>0</v>
      </c>
      <c r="CA692" s="306">
        <f ca="1">COUNTIF('Group Stages'!M7:M102,BW692)</f>
        <v>0</v>
      </c>
      <c r="CB692" s="306">
        <f ca="1">COUNTIF('Group Stages'!N7:N102,BW692)</f>
        <v>0</v>
      </c>
      <c r="CC692" s="306">
        <f ca="1">COUNTIF('Group Stages'!O7:O102,BW692)</f>
        <v>0</v>
      </c>
      <c r="CD692" s="306">
        <f ca="1">COUNTIF('Group Stages'!P7:P102,BW692)</f>
        <v>0</v>
      </c>
      <c r="CE692" s="306">
        <f ca="1">COUNTIF('Group Stages'!Q7:Q102,BW692)</f>
        <v>0</v>
      </c>
      <c r="CF692" s="306">
        <f ca="1">COUNTIF('Knock Out Stages'!K7:K50,BW692)</f>
        <v>0</v>
      </c>
      <c r="CG692" s="306">
        <f ca="1">COUNTIF('Knock Out Stages'!L7:L50,BW692)</f>
        <v>0</v>
      </c>
      <c r="CH692" s="306">
        <f ca="1">COUNTIF('Knock Out Stages'!M7:M50,BW692)</f>
        <v>0</v>
      </c>
      <c r="CI692" s="306">
        <f ca="1">COUNTIF('Knock Out Stages'!N7:N50,BW692)</f>
        <v>0</v>
      </c>
      <c r="CJ692" s="306">
        <f ca="1">COUNTIF('Knock Out Stages'!O7:O50,BW692)</f>
        <v>0</v>
      </c>
      <c r="CK692" s="306">
        <f ca="1">COUNTIF('Knock Out Stages'!P7:P50,BW692)</f>
        <v>0</v>
      </c>
      <c r="CL692" s="306">
        <f ca="1">COUNTIF('Knock Out Stages'!Q7:Q50,BW692)</f>
        <v>0</v>
      </c>
      <c r="CM692" s="306">
        <f ca="1">COUNTIF('Knock Out Stages'!R7:R50,BW692)</f>
        <v>0</v>
      </c>
      <c r="CN692" s="306">
        <f ca="1">IF(RIGHT('Group Stages'!$B$105,5)="T.com",SUM(BX692:CM692),0)</f>
        <v>0</v>
      </c>
      <c r="CO692" s="306">
        <f ca="1">RANK(CN692,CN3:CN834)+COUNTIF(CN3:CN692,CN692)-1</f>
        <v>690</v>
      </c>
      <c r="CP692" s="306" t="str">
        <f t="shared" ca="1" si="228"/>
        <v>Jonas Omlin (Switzerland)</v>
      </c>
    </row>
    <row r="693" spans="72:94" x14ac:dyDescent="0.3">
      <c r="BT693" s="306" t="str">
        <f t="shared" ca="1" si="225"/>
        <v>Switzerland</v>
      </c>
      <c r="BU693" s="306">
        <f t="shared" si="226"/>
        <v>14</v>
      </c>
      <c r="BV693" s="306">
        <f t="shared" si="227"/>
        <v>25</v>
      </c>
      <c r="BW693" s="306" t="str">
        <f ca="1">OFFSET(C3,BU693,BV693)</f>
        <v>Manuel Akanji</v>
      </c>
      <c r="BX693" s="306">
        <f ca="1">COUNTIF('Group Stages'!J7:J102,BW693)</f>
        <v>0</v>
      </c>
      <c r="BY693" s="306">
        <f ca="1">COUNTIF('Group Stages'!K7:K102,BW693)</f>
        <v>0</v>
      </c>
      <c r="BZ693" s="306">
        <f ca="1">COUNTIF('Group Stages'!L7:L102,BW693)</f>
        <v>0</v>
      </c>
      <c r="CA693" s="306">
        <f ca="1">COUNTIF('Group Stages'!M7:M102,BW693)</f>
        <v>0</v>
      </c>
      <c r="CB693" s="306">
        <f ca="1">COUNTIF('Group Stages'!N7:N102,BW693)</f>
        <v>0</v>
      </c>
      <c r="CC693" s="306">
        <f ca="1">COUNTIF('Group Stages'!O7:O102,BW693)</f>
        <v>0</v>
      </c>
      <c r="CD693" s="306">
        <f ca="1">COUNTIF('Group Stages'!P7:P102,BW693)</f>
        <v>0</v>
      </c>
      <c r="CE693" s="306">
        <f ca="1">COUNTIF('Group Stages'!Q7:Q102,BW693)</f>
        <v>0</v>
      </c>
      <c r="CF693" s="306">
        <f ca="1">COUNTIF('Knock Out Stages'!K7:K50,BW693)</f>
        <v>0</v>
      </c>
      <c r="CG693" s="306">
        <f ca="1">COUNTIF('Knock Out Stages'!L7:L50,BW693)</f>
        <v>0</v>
      </c>
      <c r="CH693" s="306">
        <f ca="1">COUNTIF('Knock Out Stages'!M7:M50,BW693)</f>
        <v>0</v>
      </c>
      <c r="CI693" s="306">
        <f ca="1">COUNTIF('Knock Out Stages'!N7:N50,BW693)</f>
        <v>0</v>
      </c>
      <c r="CJ693" s="306">
        <f ca="1">COUNTIF('Knock Out Stages'!O7:O50,BW693)</f>
        <v>0</v>
      </c>
      <c r="CK693" s="306">
        <f ca="1">COUNTIF('Knock Out Stages'!P7:P50,BW693)</f>
        <v>0</v>
      </c>
      <c r="CL693" s="306">
        <f ca="1">COUNTIF('Knock Out Stages'!Q7:Q50,BW693)</f>
        <v>0</v>
      </c>
      <c r="CM693" s="306">
        <f ca="1">COUNTIF('Knock Out Stages'!R7:R50,BW693)</f>
        <v>0</v>
      </c>
      <c r="CN693" s="306">
        <f ca="1">IF(RIGHT('Group Stages'!$B$105,5)="T.com",SUM(BX693:CM693),0)</f>
        <v>0</v>
      </c>
      <c r="CO693" s="306">
        <f ca="1">RANK(CN693,CN3:CN834)+COUNTIF(CN3:CN693,CN693)-1</f>
        <v>691</v>
      </c>
      <c r="CP693" s="306" t="str">
        <f t="shared" ca="1" si="228"/>
        <v>Manuel Akanji (Switzerland)</v>
      </c>
    </row>
    <row r="694" spans="72:94" x14ac:dyDescent="0.3">
      <c r="BT694" s="306" t="str">
        <f t="shared" ca="1" si="225"/>
        <v>Switzerland</v>
      </c>
      <c r="BU694" s="306">
        <f t="shared" si="226"/>
        <v>15</v>
      </c>
      <c r="BV694" s="306">
        <f t="shared" si="227"/>
        <v>25</v>
      </c>
      <c r="BW694" s="306" t="str">
        <f ca="1">OFFSET(C3,BU694,BV694)</f>
        <v>Michel Aebischer</v>
      </c>
      <c r="BX694" s="306">
        <f ca="1">COUNTIF('Group Stages'!J7:J102,BW694)</f>
        <v>0</v>
      </c>
      <c r="BY694" s="306">
        <f ca="1">COUNTIF('Group Stages'!K7:K102,BW694)</f>
        <v>0</v>
      </c>
      <c r="BZ694" s="306">
        <f ca="1">COUNTIF('Group Stages'!L7:L102,BW694)</f>
        <v>0</v>
      </c>
      <c r="CA694" s="306">
        <f ca="1">COUNTIF('Group Stages'!M7:M102,BW694)</f>
        <v>0</v>
      </c>
      <c r="CB694" s="306">
        <f ca="1">COUNTIF('Group Stages'!N7:N102,BW694)</f>
        <v>0</v>
      </c>
      <c r="CC694" s="306">
        <f ca="1">COUNTIF('Group Stages'!O7:O102,BW694)</f>
        <v>0</v>
      </c>
      <c r="CD694" s="306">
        <f ca="1">COUNTIF('Group Stages'!P7:P102,BW694)</f>
        <v>0</v>
      </c>
      <c r="CE694" s="306">
        <f ca="1">COUNTIF('Group Stages'!Q7:Q102,BW694)</f>
        <v>0</v>
      </c>
      <c r="CF694" s="306">
        <f ca="1">COUNTIF('Knock Out Stages'!K7:K50,BW694)</f>
        <v>0</v>
      </c>
      <c r="CG694" s="306">
        <f ca="1">COUNTIF('Knock Out Stages'!L7:L50,BW694)</f>
        <v>0</v>
      </c>
      <c r="CH694" s="306">
        <f ca="1">COUNTIF('Knock Out Stages'!M7:M50,BW694)</f>
        <v>0</v>
      </c>
      <c r="CI694" s="306">
        <f ca="1">COUNTIF('Knock Out Stages'!N7:N50,BW694)</f>
        <v>0</v>
      </c>
      <c r="CJ694" s="306">
        <f ca="1">COUNTIF('Knock Out Stages'!O7:O50,BW694)</f>
        <v>0</v>
      </c>
      <c r="CK694" s="306">
        <f ca="1">COUNTIF('Knock Out Stages'!P7:P50,BW694)</f>
        <v>0</v>
      </c>
      <c r="CL694" s="306">
        <f ca="1">COUNTIF('Knock Out Stages'!Q7:Q50,BW694)</f>
        <v>0</v>
      </c>
      <c r="CM694" s="306">
        <f ca="1">COUNTIF('Knock Out Stages'!R7:R50,BW694)</f>
        <v>0</v>
      </c>
      <c r="CN694" s="306">
        <f ca="1">IF(RIGHT('Group Stages'!$B$105,5)="T.com",SUM(BX694:CM694),0)</f>
        <v>0</v>
      </c>
      <c r="CO694" s="306">
        <f ca="1">RANK(CN694,CN3:CN834)+COUNTIF(CN3:CN694,CN694)-1</f>
        <v>692</v>
      </c>
      <c r="CP694" s="306" t="str">
        <f t="shared" ca="1" si="228"/>
        <v>Michel Aebischer (Switzerland)</v>
      </c>
    </row>
    <row r="695" spans="72:94" x14ac:dyDescent="0.3">
      <c r="BT695" s="306" t="str">
        <f t="shared" ca="1" si="225"/>
        <v>Switzerland</v>
      </c>
      <c r="BU695" s="306">
        <f t="shared" si="226"/>
        <v>16</v>
      </c>
      <c r="BV695" s="306">
        <f t="shared" si="227"/>
        <v>25</v>
      </c>
      <c r="BW695" s="306" t="str">
        <f ca="1">OFFSET(C3,BU695,BV695)</f>
        <v>Nico Elvedi</v>
      </c>
      <c r="BX695" s="306">
        <f ca="1">COUNTIF('Group Stages'!J7:J102,BW695)</f>
        <v>0</v>
      </c>
      <c r="BY695" s="306">
        <f ca="1">COUNTIF('Group Stages'!K7:K102,BW695)</f>
        <v>0</v>
      </c>
      <c r="BZ695" s="306">
        <f ca="1">COUNTIF('Group Stages'!L7:L102,BW695)</f>
        <v>0</v>
      </c>
      <c r="CA695" s="306">
        <f ca="1">COUNTIF('Group Stages'!M7:M102,BW695)</f>
        <v>0</v>
      </c>
      <c r="CB695" s="306">
        <f ca="1">COUNTIF('Group Stages'!N7:N102,BW695)</f>
        <v>0</v>
      </c>
      <c r="CC695" s="306">
        <f ca="1">COUNTIF('Group Stages'!O7:O102,BW695)</f>
        <v>0</v>
      </c>
      <c r="CD695" s="306">
        <f ca="1">COUNTIF('Group Stages'!P7:P102,BW695)</f>
        <v>0</v>
      </c>
      <c r="CE695" s="306">
        <f ca="1">COUNTIF('Group Stages'!Q7:Q102,BW695)</f>
        <v>0</v>
      </c>
      <c r="CF695" s="306">
        <f ca="1">COUNTIF('Knock Out Stages'!K7:K50,BW695)</f>
        <v>0</v>
      </c>
      <c r="CG695" s="306">
        <f ca="1">COUNTIF('Knock Out Stages'!L7:L50,BW695)</f>
        <v>0</v>
      </c>
      <c r="CH695" s="306">
        <f ca="1">COUNTIF('Knock Out Stages'!M7:M50,BW695)</f>
        <v>0</v>
      </c>
      <c r="CI695" s="306">
        <f ca="1">COUNTIF('Knock Out Stages'!N7:N50,BW695)</f>
        <v>0</v>
      </c>
      <c r="CJ695" s="306">
        <f ca="1">COUNTIF('Knock Out Stages'!O7:O50,BW695)</f>
        <v>0</v>
      </c>
      <c r="CK695" s="306">
        <f ca="1">COUNTIF('Knock Out Stages'!P7:P50,BW695)</f>
        <v>0</v>
      </c>
      <c r="CL695" s="306">
        <f ca="1">COUNTIF('Knock Out Stages'!Q7:Q50,BW695)</f>
        <v>0</v>
      </c>
      <c r="CM695" s="306">
        <f ca="1">COUNTIF('Knock Out Stages'!R7:R50,BW695)</f>
        <v>0</v>
      </c>
      <c r="CN695" s="306">
        <f ca="1">IF(RIGHT('Group Stages'!$B$105,5)="T.com",SUM(BX695:CM695),0)</f>
        <v>0</v>
      </c>
      <c r="CO695" s="306">
        <f ca="1">RANK(CN695,CN3:CN834)+COUNTIF(CN3:CN695,CN695)-1</f>
        <v>693</v>
      </c>
      <c r="CP695" s="306" t="str">
        <f t="shared" ca="1" si="228"/>
        <v>Nico Elvedi (Switzerland)</v>
      </c>
    </row>
    <row r="696" spans="72:94" x14ac:dyDescent="0.3">
      <c r="BT696" s="306" t="str">
        <f t="shared" ref="BT696:BT759" ca="1" si="231">BT695</f>
        <v>Switzerland</v>
      </c>
      <c r="BU696" s="306">
        <f t="shared" ref="BU696:BU759" si="232">BU670</f>
        <v>17</v>
      </c>
      <c r="BV696" s="306">
        <f t="shared" ref="BV696:BV759" si="233">BV670+1</f>
        <v>25</v>
      </c>
      <c r="BW696" s="306" t="str">
        <f ca="1">OFFSET(C3,BU696,BV696)</f>
        <v>Noah Okafor</v>
      </c>
      <c r="BX696" s="306">
        <f ca="1">COUNTIF('Group Stages'!J7:J102,BW696)</f>
        <v>0</v>
      </c>
      <c r="BY696" s="306">
        <f ca="1">COUNTIF('Group Stages'!K7:K102,BW696)</f>
        <v>0</v>
      </c>
      <c r="BZ696" s="306">
        <f ca="1">COUNTIF('Group Stages'!L7:L102,BW696)</f>
        <v>0</v>
      </c>
      <c r="CA696" s="306">
        <f ca="1">COUNTIF('Group Stages'!M7:M102,BW696)</f>
        <v>0</v>
      </c>
      <c r="CB696" s="306">
        <f ca="1">COUNTIF('Group Stages'!N7:N102,BW696)</f>
        <v>0</v>
      </c>
      <c r="CC696" s="306">
        <f ca="1">COUNTIF('Group Stages'!O7:O102,BW696)</f>
        <v>0</v>
      </c>
      <c r="CD696" s="306">
        <f ca="1">COUNTIF('Group Stages'!P7:P102,BW696)</f>
        <v>0</v>
      </c>
      <c r="CE696" s="306">
        <f ca="1">COUNTIF('Group Stages'!Q7:Q102,BW696)</f>
        <v>0</v>
      </c>
      <c r="CF696" s="306">
        <f ca="1">COUNTIF('Knock Out Stages'!K7:K50,BW696)</f>
        <v>0</v>
      </c>
      <c r="CG696" s="306">
        <f ca="1">COUNTIF('Knock Out Stages'!L7:L50,BW696)</f>
        <v>0</v>
      </c>
      <c r="CH696" s="306">
        <f ca="1">COUNTIF('Knock Out Stages'!M7:M50,BW696)</f>
        <v>0</v>
      </c>
      <c r="CI696" s="306">
        <f ca="1">COUNTIF('Knock Out Stages'!N7:N50,BW696)</f>
        <v>0</v>
      </c>
      <c r="CJ696" s="306">
        <f ca="1">COUNTIF('Knock Out Stages'!O7:O50,BW696)</f>
        <v>0</v>
      </c>
      <c r="CK696" s="306">
        <f ca="1">COUNTIF('Knock Out Stages'!P7:P50,BW696)</f>
        <v>0</v>
      </c>
      <c r="CL696" s="306">
        <f ca="1">COUNTIF('Knock Out Stages'!Q7:Q50,BW696)</f>
        <v>0</v>
      </c>
      <c r="CM696" s="306">
        <f ca="1">COUNTIF('Knock Out Stages'!R7:R50,BW696)</f>
        <v>0</v>
      </c>
      <c r="CN696" s="306">
        <f ca="1">IF(RIGHT('Group Stages'!$B$105,5)="T.com",SUM(BX696:CM696),0)</f>
        <v>0</v>
      </c>
      <c r="CO696" s="306">
        <f ca="1">RANK(CN696,CN3:CN834)+COUNTIF(CN3:CN696,CN696)-1</f>
        <v>694</v>
      </c>
      <c r="CP696" s="306" t="str">
        <f t="shared" ca="1" si="228"/>
        <v>Noah Okafor (Switzerland)</v>
      </c>
    </row>
    <row r="697" spans="72:94" x14ac:dyDescent="0.3">
      <c r="BT697" s="306" t="str">
        <f t="shared" ca="1" si="231"/>
        <v>Switzerland</v>
      </c>
      <c r="BU697" s="306">
        <f t="shared" si="232"/>
        <v>18</v>
      </c>
      <c r="BV697" s="306">
        <f t="shared" si="233"/>
        <v>25</v>
      </c>
      <c r="BW697" s="306" t="str">
        <f ca="1">OFFSET(C3,BU697,BV697)</f>
        <v>Philipp Köhn</v>
      </c>
      <c r="BX697" s="306">
        <f ca="1">COUNTIF('Group Stages'!J7:J102,BW697)</f>
        <v>0</v>
      </c>
      <c r="BY697" s="306">
        <f ca="1">COUNTIF('Group Stages'!K7:K102,BW697)</f>
        <v>0</v>
      </c>
      <c r="BZ697" s="306">
        <f ca="1">COUNTIF('Group Stages'!L7:L102,BW697)</f>
        <v>0</v>
      </c>
      <c r="CA697" s="306">
        <f ca="1">COUNTIF('Group Stages'!M7:M102,BW697)</f>
        <v>0</v>
      </c>
      <c r="CB697" s="306">
        <f ca="1">COUNTIF('Group Stages'!N7:N102,BW697)</f>
        <v>0</v>
      </c>
      <c r="CC697" s="306">
        <f ca="1">COUNTIF('Group Stages'!O7:O102,BW697)</f>
        <v>0</v>
      </c>
      <c r="CD697" s="306">
        <f ca="1">COUNTIF('Group Stages'!P7:P102,BW697)</f>
        <v>0</v>
      </c>
      <c r="CE697" s="306">
        <f ca="1">COUNTIF('Group Stages'!Q7:Q102,BW697)</f>
        <v>0</v>
      </c>
      <c r="CF697" s="306">
        <f ca="1">COUNTIF('Knock Out Stages'!K7:K50,BW697)</f>
        <v>0</v>
      </c>
      <c r="CG697" s="306">
        <f ca="1">COUNTIF('Knock Out Stages'!L7:L50,BW697)</f>
        <v>0</v>
      </c>
      <c r="CH697" s="306">
        <f ca="1">COUNTIF('Knock Out Stages'!M7:M50,BW697)</f>
        <v>0</v>
      </c>
      <c r="CI697" s="306">
        <f ca="1">COUNTIF('Knock Out Stages'!N7:N50,BW697)</f>
        <v>0</v>
      </c>
      <c r="CJ697" s="306">
        <f ca="1">COUNTIF('Knock Out Stages'!O7:O50,BW697)</f>
        <v>0</v>
      </c>
      <c r="CK697" s="306">
        <f ca="1">COUNTIF('Knock Out Stages'!P7:P50,BW697)</f>
        <v>0</v>
      </c>
      <c r="CL697" s="306">
        <f ca="1">COUNTIF('Knock Out Stages'!Q7:Q50,BW697)</f>
        <v>0</v>
      </c>
      <c r="CM697" s="306">
        <f ca="1">COUNTIF('Knock Out Stages'!R7:R50,BW697)</f>
        <v>0</v>
      </c>
      <c r="CN697" s="306">
        <f ca="1">IF(RIGHT('Group Stages'!$B$105,5)="T.com",SUM(BX697:CM697),0)</f>
        <v>0</v>
      </c>
      <c r="CO697" s="306">
        <f ca="1">RANK(CN697,CN3:CN834)+COUNTIF(CN3:CN697,CN697)-1</f>
        <v>695</v>
      </c>
      <c r="CP697" s="306" t="str">
        <f t="shared" ca="1" si="228"/>
        <v>Philipp Köhn (Switzerland)</v>
      </c>
    </row>
    <row r="698" spans="72:94" x14ac:dyDescent="0.3">
      <c r="BT698" s="306" t="str">
        <f t="shared" ca="1" si="231"/>
        <v>Switzerland</v>
      </c>
      <c r="BU698" s="306">
        <f t="shared" si="232"/>
        <v>19</v>
      </c>
      <c r="BV698" s="306">
        <f t="shared" si="233"/>
        <v>25</v>
      </c>
      <c r="BW698" s="306" t="str">
        <f ca="1">OFFSET(C3,BU698,BV698)</f>
        <v>Remo Freuler</v>
      </c>
      <c r="BX698" s="306">
        <f ca="1">COUNTIF('Group Stages'!J7:J102,BW698)</f>
        <v>0</v>
      </c>
      <c r="BY698" s="306">
        <f ca="1">COUNTIF('Group Stages'!K7:K102,BW698)</f>
        <v>0</v>
      </c>
      <c r="BZ698" s="306">
        <f ca="1">COUNTIF('Group Stages'!L7:L102,BW698)</f>
        <v>0</v>
      </c>
      <c r="CA698" s="306">
        <f ca="1">COUNTIF('Group Stages'!M7:M102,BW698)</f>
        <v>0</v>
      </c>
      <c r="CB698" s="306">
        <f ca="1">COUNTIF('Group Stages'!N7:N102,BW698)</f>
        <v>0</v>
      </c>
      <c r="CC698" s="306">
        <f ca="1">COUNTIF('Group Stages'!O7:O102,BW698)</f>
        <v>0</v>
      </c>
      <c r="CD698" s="306">
        <f ca="1">COUNTIF('Group Stages'!P7:P102,BW698)</f>
        <v>0</v>
      </c>
      <c r="CE698" s="306">
        <f ca="1">COUNTIF('Group Stages'!Q7:Q102,BW698)</f>
        <v>0</v>
      </c>
      <c r="CF698" s="306">
        <f ca="1">COUNTIF('Knock Out Stages'!K7:K50,BW698)</f>
        <v>0</v>
      </c>
      <c r="CG698" s="306">
        <f ca="1">COUNTIF('Knock Out Stages'!L7:L50,BW698)</f>
        <v>0</v>
      </c>
      <c r="CH698" s="306">
        <f ca="1">COUNTIF('Knock Out Stages'!M7:M50,BW698)</f>
        <v>0</v>
      </c>
      <c r="CI698" s="306">
        <f ca="1">COUNTIF('Knock Out Stages'!N7:N50,BW698)</f>
        <v>0</v>
      </c>
      <c r="CJ698" s="306">
        <f ca="1">COUNTIF('Knock Out Stages'!O7:O50,BW698)</f>
        <v>0</v>
      </c>
      <c r="CK698" s="306">
        <f ca="1">COUNTIF('Knock Out Stages'!P7:P50,BW698)</f>
        <v>0</v>
      </c>
      <c r="CL698" s="306">
        <f ca="1">COUNTIF('Knock Out Stages'!Q7:Q50,BW698)</f>
        <v>0</v>
      </c>
      <c r="CM698" s="306">
        <f ca="1">COUNTIF('Knock Out Stages'!R7:R50,BW698)</f>
        <v>0</v>
      </c>
      <c r="CN698" s="306">
        <f ca="1">IF(RIGHT('Group Stages'!$B$105,5)="T.com",SUM(BX698:CM698),0)</f>
        <v>0</v>
      </c>
      <c r="CO698" s="306">
        <f ca="1">RANK(CN698,CN3:CN834)+COUNTIF(CN3:CN698,CN698)-1</f>
        <v>696</v>
      </c>
      <c r="CP698" s="306" t="str">
        <f t="shared" ca="1" si="228"/>
        <v>Remo Freuler (Switzerland)</v>
      </c>
    </row>
    <row r="699" spans="72:94" x14ac:dyDescent="0.3">
      <c r="BT699" s="306" t="str">
        <f t="shared" ca="1" si="231"/>
        <v>Switzerland</v>
      </c>
      <c r="BU699" s="306">
        <f t="shared" si="232"/>
        <v>20</v>
      </c>
      <c r="BV699" s="306">
        <f t="shared" si="233"/>
        <v>25</v>
      </c>
      <c r="BW699" s="306" t="str">
        <f ca="1">OFFSET(C3,BU699,BV699)</f>
        <v>Renato Steffen</v>
      </c>
      <c r="BX699" s="306">
        <f ca="1">COUNTIF('Group Stages'!J7:J102,BW699)</f>
        <v>0</v>
      </c>
      <c r="BY699" s="306">
        <f ca="1">COUNTIF('Group Stages'!K7:K102,BW699)</f>
        <v>0</v>
      </c>
      <c r="BZ699" s="306">
        <f ca="1">COUNTIF('Group Stages'!L7:L102,BW699)</f>
        <v>0</v>
      </c>
      <c r="CA699" s="306">
        <f ca="1">COUNTIF('Group Stages'!M7:M102,BW699)</f>
        <v>0</v>
      </c>
      <c r="CB699" s="306">
        <f ca="1">COUNTIF('Group Stages'!N7:N102,BW699)</f>
        <v>0</v>
      </c>
      <c r="CC699" s="306">
        <f ca="1">COUNTIF('Group Stages'!O7:O102,BW699)</f>
        <v>0</v>
      </c>
      <c r="CD699" s="306">
        <f ca="1">COUNTIF('Group Stages'!P7:P102,BW699)</f>
        <v>0</v>
      </c>
      <c r="CE699" s="306">
        <f ca="1">COUNTIF('Group Stages'!Q7:Q102,BW699)</f>
        <v>0</v>
      </c>
      <c r="CF699" s="306">
        <f ca="1">COUNTIF('Knock Out Stages'!K7:K50,BW699)</f>
        <v>0</v>
      </c>
      <c r="CG699" s="306">
        <f ca="1">COUNTIF('Knock Out Stages'!L7:L50,BW699)</f>
        <v>0</v>
      </c>
      <c r="CH699" s="306">
        <f ca="1">COUNTIF('Knock Out Stages'!M7:M50,BW699)</f>
        <v>0</v>
      </c>
      <c r="CI699" s="306">
        <f ca="1">COUNTIF('Knock Out Stages'!N7:N50,BW699)</f>
        <v>0</v>
      </c>
      <c r="CJ699" s="306">
        <f ca="1">COUNTIF('Knock Out Stages'!O7:O50,BW699)</f>
        <v>0</v>
      </c>
      <c r="CK699" s="306">
        <f ca="1">COUNTIF('Knock Out Stages'!P7:P50,BW699)</f>
        <v>0</v>
      </c>
      <c r="CL699" s="306">
        <f ca="1">COUNTIF('Knock Out Stages'!Q7:Q50,BW699)</f>
        <v>0</v>
      </c>
      <c r="CM699" s="306">
        <f ca="1">COUNTIF('Knock Out Stages'!R7:R50,BW699)</f>
        <v>0</v>
      </c>
      <c r="CN699" s="306">
        <f ca="1">IF(RIGHT('Group Stages'!$B$105,5)="T.com",SUM(BX699:CM699),0)</f>
        <v>0</v>
      </c>
      <c r="CO699" s="306">
        <f ca="1">RANK(CN699,CN3:CN834)+COUNTIF(CN3:CN699,CN699)-1</f>
        <v>697</v>
      </c>
      <c r="CP699" s="306" t="str">
        <f t="shared" ca="1" si="228"/>
        <v>Renato Steffen (Switzerland)</v>
      </c>
    </row>
    <row r="700" spans="72:94" x14ac:dyDescent="0.3">
      <c r="BT700" s="306" t="str">
        <f t="shared" ca="1" si="231"/>
        <v>Switzerland</v>
      </c>
      <c r="BU700" s="306">
        <f t="shared" si="232"/>
        <v>21</v>
      </c>
      <c r="BV700" s="306">
        <f t="shared" si="233"/>
        <v>25</v>
      </c>
      <c r="BW700" s="306" t="str">
        <f ca="1">OFFSET(C3,BU700,BV700)</f>
        <v>Ricardo Rodriguez</v>
      </c>
      <c r="BX700" s="306">
        <f ca="1">COUNTIF('Group Stages'!J7:J102,BW700)</f>
        <v>0</v>
      </c>
      <c r="BY700" s="306">
        <f ca="1">COUNTIF('Group Stages'!K7:K102,BW700)</f>
        <v>0</v>
      </c>
      <c r="BZ700" s="306">
        <f ca="1">COUNTIF('Group Stages'!L7:L102,BW700)</f>
        <v>0</v>
      </c>
      <c r="CA700" s="306">
        <f ca="1">COUNTIF('Group Stages'!M7:M102,BW700)</f>
        <v>0</v>
      </c>
      <c r="CB700" s="306">
        <f ca="1">COUNTIF('Group Stages'!N7:N102,BW700)</f>
        <v>0</v>
      </c>
      <c r="CC700" s="306">
        <f ca="1">COUNTIF('Group Stages'!O7:O102,BW700)</f>
        <v>0</v>
      </c>
      <c r="CD700" s="306">
        <f ca="1">COUNTIF('Group Stages'!P7:P102,BW700)</f>
        <v>0</v>
      </c>
      <c r="CE700" s="306">
        <f ca="1">COUNTIF('Group Stages'!Q7:Q102,BW700)</f>
        <v>0</v>
      </c>
      <c r="CF700" s="306">
        <f ca="1">COUNTIF('Knock Out Stages'!K7:K50,BW700)</f>
        <v>0</v>
      </c>
      <c r="CG700" s="306">
        <f ca="1">COUNTIF('Knock Out Stages'!L7:L50,BW700)</f>
        <v>0</v>
      </c>
      <c r="CH700" s="306">
        <f ca="1">COUNTIF('Knock Out Stages'!M7:M50,BW700)</f>
        <v>0</v>
      </c>
      <c r="CI700" s="306">
        <f ca="1">COUNTIF('Knock Out Stages'!N7:N50,BW700)</f>
        <v>0</v>
      </c>
      <c r="CJ700" s="306">
        <f ca="1">COUNTIF('Knock Out Stages'!O7:O50,BW700)</f>
        <v>0</v>
      </c>
      <c r="CK700" s="306">
        <f ca="1">COUNTIF('Knock Out Stages'!P7:P50,BW700)</f>
        <v>0</v>
      </c>
      <c r="CL700" s="306">
        <f ca="1">COUNTIF('Knock Out Stages'!Q7:Q50,BW700)</f>
        <v>0</v>
      </c>
      <c r="CM700" s="306">
        <f ca="1">COUNTIF('Knock Out Stages'!R7:R50,BW700)</f>
        <v>0</v>
      </c>
      <c r="CN700" s="306">
        <f ca="1">IF(RIGHT('Group Stages'!$B$105,5)="T.com",SUM(BX700:CM700),0)</f>
        <v>0</v>
      </c>
      <c r="CO700" s="306">
        <f ca="1">RANK(CN700,CN3:CN834)+COUNTIF(CN3:CN700,CN700)-1</f>
        <v>698</v>
      </c>
      <c r="CP700" s="306" t="str">
        <f t="shared" ca="1" si="228"/>
        <v>Ricardo Rodriguez (Switzerland)</v>
      </c>
    </row>
    <row r="701" spans="72:94" x14ac:dyDescent="0.3">
      <c r="BT701" s="306" t="str">
        <f t="shared" ca="1" si="231"/>
        <v>Switzerland</v>
      </c>
      <c r="BU701" s="306">
        <f t="shared" si="232"/>
        <v>22</v>
      </c>
      <c r="BV701" s="306">
        <f t="shared" si="233"/>
        <v>25</v>
      </c>
      <c r="BW701" s="306" t="str">
        <f ca="1">OFFSET(C3,BU701,BV701)</f>
        <v>Ruben Vargas</v>
      </c>
      <c r="BX701" s="306">
        <f ca="1">COUNTIF('Group Stages'!J7:J102,BW701)</f>
        <v>0</v>
      </c>
      <c r="BY701" s="306">
        <f ca="1">COUNTIF('Group Stages'!K7:K102,BW701)</f>
        <v>0</v>
      </c>
      <c r="BZ701" s="306">
        <f ca="1">COUNTIF('Group Stages'!L7:L102,BW701)</f>
        <v>0</v>
      </c>
      <c r="CA701" s="306">
        <f ca="1">COUNTIF('Group Stages'!M7:M102,BW701)</f>
        <v>0</v>
      </c>
      <c r="CB701" s="306">
        <f ca="1">COUNTIF('Group Stages'!N7:N102,BW701)</f>
        <v>0</v>
      </c>
      <c r="CC701" s="306">
        <f ca="1">COUNTIF('Group Stages'!O7:O102,BW701)</f>
        <v>0</v>
      </c>
      <c r="CD701" s="306">
        <f ca="1">COUNTIF('Group Stages'!P7:P102,BW701)</f>
        <v>0</v>
      </c>
      <c r="CE701" s="306">
        <f ca="1">COUNTIF('Group Stages'!Q7:Q102,BW701)</f>
        <v>0</v>
      </c>
      <c r="CF701" s="306">
        <f ca="1">COUNTIF('Knock Out Stages'!K7:K50,BW701)</f>
        <v>0</v>
      </c>
      <c r="CG701" s="306">
        <f ca="1">COUNTIF('Knock Out Stages'!L7:L50,BW701)</f>
        <v>0</v>
      </c>
      <c r="CH701" s="306">
        <f ca="1">COUNTIF('Knock Out Stages'!M7:M50,BW701)</f>
        <v>0</v>
      </c>
      <c r="CI701" s="306">
        <f ca="1">COUNTIF('Knock Out Stages'!N7:N50,BW701)</f>
        <v>0</v>
      </c>
      <c r="CJ701" s="306">
        <f ca="1">COUNTIF('Knock Out Stages'!O7:O50,BW701)</f>
        <v>0</v>
      </c>
      <c r="CK701" s="306">
        <f ca="1">COUNTIF('Knock Out Stages'!P7:P50,BW701)</f>
        <v>0</v>
      </c>
      <c r="CL701" s="306">
        <f ca="1">COUNTIF('Knock Out Stages'!Q7:Q50,BW701)</f>
        <v>0</v>
      </c>
      <c r="CM701" s="306">
        <f ca="1">COUNTIF('Knock Out Stages'!R7:R50,BW701)</f>
        <v>0</v>
      </c>
      <c r="CN701" s="306">
        <f ca="1">IF(RIGHT('Group Stages'!$B$105,5)="T.com",SUM(BX701:CM701),0)</f>
        <v>0</v>
      </c>
      <c r="CO701" s="306">
        <f ca="1">RANK(CN701,CN3:CN834)+COUNTIF(CN3:CN701,CN701)-1</f>
        <v>699</v>
      </c>
      <c r="CP701" s="306" t="str">
        <f t="shared" ca="1" si="228"/>
        <v>Ruben Vargas (Switzerland)</v>
      </c>
    </row>
    <row r="702" spans="72:94" x14ac:dyDescent="0.3">
      <c r="BT702" s="306" t="str">
        <f t="shared" ca="1" si="231"/>
        <v>Switzerland</v>
      </c>
      <c r="BU702" s="306">
        <f t="shared" si="232"/>
        <v>23</v>
      </c>
      <c r="BV702" s="306">
        <f t="shared" si="233"/>
        <v>25</v>
      </c>
      <c r="BW702" s="306" t="str">
        <f ca="1">OFFSET(C3,BU702,BV702)</f>
        <v>Silvan Widmer</v>
      </c>
      <c r="BX702" s="306">
        <f ca="1">COUNTIF('Group Stages'!J7:J102,BW702)</f>
        <v>0</v>
      </c>
      <c r="BY702" s="306">
        <f ca="1">COUNTIF('Group Stages'!K7:K102,BW702)</f>
        <v>0</v>
      </c>
      <c r="BZ702" s="306">
        <f ca="1">COUNTIF('Group Stages'!L7:L102,BW702)</f>
        <v>0</v>
      </c>
      <c r="CA702" s="306">
        <f ca="1">COUNTIF('Group Stages'!M7:M102,BW702)</f>
        <v>0</v>
      </c>
      <c r="CB702" s="306">
        <f ca="1">COUNTIF('Group Stages'!N7:N102,BW702)</f>
        <v>0</v>
      </c>
      <c r="CC702" s="306">
        <f ca="1">COUNTIF('Group Stages'!O7:O102,BW702)</f>
        <v>0</v>
      </c>
      <c r="CD702" s="306">
        <f ca="1">COUNTIF('Group Stages'!P7:P102,BW702)</f>
        <v>0</v>
      </c>
      <c r="CE702" s="306">
        <f ca="1">COUNTIF('Group Stages'!Q7:Q102,BW702)</f>
        <v>0</v>
      </c>
      <c r="CF702" s="306">
        <f ca="1">COUNTIF('Knock Out Stages'!K7:K50,BW702)</f>
        <v>0</v>
      </c>
      <c r="CG702" s="306">
        <f ca="1">COUNTIF('Knock Out Stages'!L7:L50,BW702)</f>
        <v>0</v>
      </c>
      <c r="CH702" s="306">
        <f ca="1">COUNTIF('Knock Out Stages'!M7:M50,BW702)</f>
        <v>0</v>
      </c>
      <c r="CI702" s="306">
        <f ca="1">COUNTIF('Knock Out Stages'!N7:N50,BW702)</f>
        <v>0</v>
      </c>
      <c r="CJ702" s="306">
        <f ca="1">COUNTIF('Knock Out Stages'!O7:O50,BW702)</f>
        <v>0</v>
      </c>
      <c r="CK702" s="306">
        <f ca="1">COUNTIF('Knock Out Stages'!P7:P50,BW702)</f>
        <v>0</v>
      </c>
      <c r="CL702" s="306">
        <f ca="1">COUNTIF('Knock Out Stages'!Q7:Q50,BW702)</f>
        <v>0</v>
      </c>
      <c r="CM702" s="306">
        <f ca="1">COUNTIF('Knock Out Stages'!R7:R50,BW702)</f>
        <v>0</v>
      </c>
      <c r="CN702" s="306">
        <f ca="1">IF(RIGHT('Group Stages'!$B$105,5)="T.com",SUM(BX702:CM702),0)</f>
        <v>0</v>
      </c>
      <c r="CO702" s="306">
        <f ca="1">RANK(CN702,CN3:CN834)+COUNTIF(CN3:CN702,CN702)-1</f>
        <v>700</v>
      </c>
      <c r="CP702" s="306" t="str">
        <f t="shared" ca="1" si="228"/>
        <v>Silvan Widmer (Switzerland)</v>
      </c>
    </row>
    <row r="703" spans="72:94" x14ac:dyDescent="0.3">
      <c r="BT703" s="306" t="str">
        <f t="shared" ca="1" si="231"/>
        <v>Switzerland</v>
      </c>
      <c r="BU703" s="306">
        <f t="shared" si="232"/>
        <v>24</v>
      </c>
      <c r="BV703" s="306">
        <f t="shared" si="233"/>
        <v>25</v>
      </c>
      <c r="BW703" s="306" t="str">
        <f ca="1">OFFSET(C3,BU703,BV703)</f>
        <v>Xherdan Shaqiri</v>
      </c>
      <c r="BX703" s="306">
        <f ca="1">COUNTIF('Group Stages'!J7:J102,BW703)</f>
        <v>0</v>
      </c>
      <c r="BY703" s="306">
        <f ca="1">COUNTIF('Group Stages'!K7:K102,BW703)</f>
        <v>0</v>
      </c>
      <c r="BZ703" s="306">
        <f ca="1">COUNTIF('Group Stages'!L7:L102,BW703)</f>
        <v>0</v>
      </c>
      <c r="CA703" s="306">
        <f ca="1">COUNTIF('Group Stages'!M7:M102,BW703)</f>
        <v>0</v>
      </c>
      <c r="CB703" s="306">
        <f ca="1">COUNTIF('Group Stages'!N7:N102,BW703)</f>
        <v>0</v>
      </c>
      <c r="CC703" s="306">
        <f ca="1">COUNTIF('Group Stages'!O7:O102,BW703)</f>
        <v>0</v>
      </c>
      <c r="CD703" s="306">
        <f ca="1">COUNTIF('Group Stages'!P7:P102,BW703)</f>
        <v>0</v>
      </c>
      <c r="CE703" s="306">
        <f ca="1">COUNTIF('Group Stages'!Q7:Q102,BW703)</f>
        <v>0</v>
      </c>
      <c r="CF703" s="306">
        <f ca="1">COUNTIF('Knock Out Stages'!K7:K50,BW703)</f>
        <v>0</v>
      </c>
      <c r="CG703" s="306">
        <f ca="1">COUNTIF('Knock Out Stages'!L7:L50,BW703)</f>
        <v>0</v>
      </c>
      <c r="CH703" s="306">
        <f ca="1">COUNTIF('Knock Out Stages'!M7:M50,BW703)</f>
        <v>0</v>
      </c>
      <c r="CI703" s="306">
        <f ca="1">COUNTIF('Knock Out Stages'!N7:N50,BW703)</f>
        <v>0</v>
      </c>
      <c r="CJ703" s="306">
        <f ca="1">COUNTIF('Knock Out Stages'!O7:O50,BW703)</f>
        <v>0</v>
      </c>
      <c r="CK703" s="306">
        <f ca="1">COUNTIF('Knock Out Stages'!P7:P50,BW703)</f>
        <v>0</v>
      </c>
      <c r="CL703" s="306">
        <f ca="1">COUNTIF('Knock Out Stages'!Q7:Q50,BW703)</f>
        <v>0</v>
      </c>
      <c r="CM703" s="306">
        <f ca="1">COUNTIF('Knock Out Stages'!R7:R50,BW703)</f>
        <v>0</v>
      </c>
      <c r="CN703" s="306">
        <f ca="1">IF(RIGHT('Group Stages'!$B$105,5)="T.com",SUM(BX703:CM703),0)</f>
        <v>0</v>
      </c>
      <c r="CO703" s="306">
        <f ca="1">RANK(CN703,CN3:CN834)+COUNTIF(CN3:CN703,CN703)-1</f>
        <v>701</v>
      </c>
      <c r="CP703" s="306" t="str">
        <f t="shared" ca="1" si="228"/>
        <v>Xherdan Shaqiri (Switzerland)</v>
      </c>
    </row>
    <row r="704" spans="72:94" x14ac:dyDescent="0.3">
      <c r="BT704" s="306" t="str">
        <f t="shared" ca="1" si="231"/>
        <v>Switzerland</v>
      </c>
      <c r="BU704" s="306">
        <f t="shared" si="232"/>
        <v>25</v>
      </c>
      <c r="BV704" s="306">
        <f t="shared" si="233"/>
        <v>25</v>
      </c>
      <c r="BW704" s="306" t="str">
        <f ca="1">OFFSET(C3,BU704,BV704)</f>
        <v>Yann Sommer</v>
      </c>
      <c r="BX704" s="306">
        <f ca="1">COUNTIF('Group Stages'!J7:J102,BW704)</f>
        <v>0</v>
      </c>
      <c r="BY704" s="306">
        <f ca="1">COUNTIF('Group Stages'!K7:K102,BW704)</f>
        <v>0</v>
      </c>
      <c r="BZ704" s="306">
        <f ca="1">COUNTIF('Group Stages'!L7:L102,BW704)</f>
        <v>0</v>
      </c>
      <c r="CA704" s="306">
        <f ca="1">COUNTIF('Group Stages'!M7:M102,BW704)</f>
        <v>0</v>
      </c>
      <c r="CB704" s="306">
        <f ca="1">COUNTIF('Group Stages'!N7:N102,BW704)</f>
        <v>0</v>
      </c>
      <c r="CC704" s="306">
        <f ca="1">COUNTIF('Group Stages'!O7:O102,BW704)</f>
        <v>0</v>
      </c>
      <c r="CD704" s="306">
        <f ca="1">COUNTIF('Group Stages'!P7:P102,BW704)</f>
        <v>0</v>
      </c>
      <c r="CE704" s="306">
        <f ca="1">COUNTIF('Group Stages'!Q7:Q102,BW704)</f>
        <v>0</v>
      </c>
      <c r="CF704" s="306">
        <f ca="1">COUNTIF('Knock Out Stages'!K7:K50,BW704)</f>
        <v>0</v>
      </c>
      <c r="CG704" s="306">
        <f ca="1">COUNTIF('Knock Out Stages'!L7:L50,BW704)</f>
        <v>0</v>
      </c>
      <c r="CH704" s="306">
        <f ca="1">COUNTIF('Knock Out Stages'!M7:M50,BW704)</f>
        <v>0</v>
      </c>
      <c r="CI704" s="306">
        <f ca="1">COUNTIF('Knock Out Stages'!N7:N50,BW704)</f>
        <v>0</v>
      </c>
      <c r="CJ704" s="306">
        <f ca="1">COUNTIF('Knock Out Stages'!O7:O50,BW704)</f>
        <v>0</v>
      </c>
      <c r="CK704" s="306">
        <f ca="1">COUNTIF('Knock Out Stages'!P7:P50,BW704)</f>
        <v>0</v>
      </c>
      <c r="CL704" s="306">
        <f ca="1">COUNTIF('Knock Out Stages'!Q7:Q50,BW704)</f>
        <v>0</v>
      </c>
      <c r="CM704" s="306">
        <f ca="1">COUNTIF('Knock Out Stages'!R7:R50,BW704)</f>
        <v>0</v>
      </c>
      <c r="CN704" s="306">
        <f ca="1">IF(RIGHT('Group Stages'!$B$105,5)="T.com",SUM(BX704:CM704),0)</f>
        <v>0</v>
      </c>
      <c r="CO704" s="306">
        <f ca="1">RANK(CN704,CN3:CN834)+COUNTIF(CN3:CN704,CN704)-1</f>
        <v>702</v>
      </c>
      <c r="CP704" s="306" t="str">
        <f t="shared" ca="1" si="228"/>
        <v>Yann Sommer (Switzerland)</v>
      </c>
    </row>
    <row r="705" spans="72:94" x14ac:dyDescent="0.3">
      <c r="BT705" s="306" t="str">
        <f ca="1">OFFSET(C2,BU705,BV705)</f>
        <v>Cameroon</v>
      </c>
      <c r="BU705" s="306">
        <f t="shared" si="232"/>
        <v>0</v>
      </c>
      <c r="BV705" s="306">
        <f t="shared" si="233"/>
        <v>26</v>
      </c>
      <c r="BW705" s="306" t="str">
        <f ca="1">OFFSET(C3,BU705,BV705)</f>
        <v>André Onana</v>
      </c>
      <c r="BX705" s="306">
        <f ca="1">COUNTIF('Group Stages'!J7:J102,BW705)</f>
        <v>0</v>
      </c>
      <c r="BY705" s="306">
        <f ca="1">COUNTIF('Group Stages'!K7:K102,BW705)</f>
        <v>0</v>
      </c>
      <c r="BZ705" s="306">
        <f ca="1">COUNTIF('Group Stages'!L7:L102,BW705)</f>
        <v>0</v>
      </c>
      <c r="CA705" s="306">
        <f ca="1">COUNTIF('Group Stages'!M7:M102,BW705)</f>
        <v>0</v>
      </c>
      <c r="CB705" s="306">
        <f ca="1">COUNTIF('Group Stages'!N7:N102,BW705)</f>
        <v>0</v>
      </c>
      <c r="CC705" s="306">
        <f ca="1">COUNTIF('Group Stages'!O7:O102,BW705)</f>
        <v>0</v>
      </c>
      <c r="CD705" s="306">
        <f ca="1">COUNTIF('Group Stages'!P7:P102,BW705)</f>
        <v>0</v>
      </c>
      <c r="CE705" s="306">
        <f ca="1">COUNTIF('Group Stages'!Q7:Q102,BW705)</f>
        <v>0</v>
      </c>
      <c r="CF705" s="306">
        <f ca="1">COUNTIF('Knock Out Stages'!K7:K50,BW705)</f>
        <v>0</v>
      </c>
      <c r="CG705" s="306">
        <f ca="1">COUNTIF('Knock Out Stages'!L7:L50,BW705)</f>
        <v>0</v>
      </c>
      <c r="CH705" s="306">
        <f ca="1">COUNTIF('Knock Out Stages'!M7:M50,BW705)</f>
        <v>0</v>
      </c>
      <c r="CI705" s="306">
        <f ca="1">COUNTIF('Knock Out Stages'!N7:N50,BW705)</f>
        <v>0</v>
      </c>
      <c r="CJ705" s="306">
        <f ca="1">COUNTIF('Knock Out Stages'!O7:O50,BW705)</f>
        <v>0</v>
      </c>
      <c r="CK705" s="306">
        <f ca="1">COUNTIF('Knock Out Stages'!P7:P50,BW705)</f>
        <v>0</v>
      </c>
      <c r="CL705" s="306">
        <f ca="1">COUNTIF('Knock Out Stages'!Q7:Q50,BW705)</f>
        <v>0</v>
      </c>
      <c r="CM705" s="306">
        <f ca="1">COUNTIF('Knock Out Stages'!R7:R50,BW705)</f>
        <v>0</v>
      </c>
      <c r="CN705" s="306">
        <f ca="1">IF(RIGHT('Group Stages'!$B$105,5)="T.com",SUM(BX705:CM705),0)</f>
        <v>0</v>
      </c>
      <c r="CO705" s="306">
        <f ca="1">RANK(CN705,CN3:CN834)+COUNTIF(CN3:CN705,CN705)-1</f>
        <v>703</v>
      </c>
      <c r="CP705" s="306" t="str">
        <f t="shared" ca="1" si="228"/>
        <v>André Onana (Cameroon)</v>
      </c>
    </row>
    <row r="706" spans="72:94" x14ac:dyDescent="0.3">
      <c r="BT706" s="306" t="str">
        <f t="shared" ref="BT706" ca="1" si="234">BT705</f>
        <v>Cameroon</v>
      </c>
      <c r="BU706" s="306">
        <f t="shared" si="232"/>
        <v>1</v>
      </c>
      <c r="BV706" s="306">
        <f t="shared" si="233"/>
        <v>26</v>
      </c>
      <c r="BW706" s="306" t="str">
        <f ca="1">OFFSET(C3,BU706,BV706)</f>
        <v>André-Frank Zambo Anguissa</v>
      </c>
      <c r="BX706" s="306">
        <f ca="1">COUNTIF('Group Stages'!J7:J102,BW706)</f>
        <v>0</v>
      </c>
      <c r="BY706" s="306">
        <f ca="1">COUNTIF('Group Stages'!K7:K102,BW706)</f>
        <v>0</v>
      </c>
      <c r="BZ706" s="306">
        <f ca="1">COUNTIF('Group Stages'!L7:L102,BW706)</f>
        <v>0</v>
      </c>
      <c r="CA706" s="306">
        <f ca="1">COUNTIF('Group Stages'!M7:M102,BW706)</f>
        <v>0</v>
      </c>
      <c r="CB706" s="306">
        <f ca="1">COUNTIF('Group Stages'!N7:N102,BW706)</f>
        <v>0</v>
      </c>
      <c r="CC706" s="306">
        <f ca="1">COUNTIF('Group Stages'!O7:O102,BW706)</f>
        <v>0</v>
      </c>
      <c r="CD706" s="306">
        <f ca="1">COUNTIF('Group Stages'!P7:P102,BW706)</f>
        <v>0</v>
      </c>
      <c r="CE706" s="306">
        <f ca="1">COUNTIF('Group Stages'!Q7:Q102,BW706)</f>
        <v>0</v>
      </c>
      <c r="CF706" s="306">
        <f ca="1">COUNTIF('Knock Out Stages'!K7:K50,BW706)</f>
        <v>0</v>
      </c>
      <c r="CG706" s="306">
        <f ca="1">COUNTIF('Knock Out Stages'!L7:L50,BW706)</f>
        <v>0</v>
      </c>
      <c r="CH706" s="306">
        <f ca="1">COUNTIF('Knock Out Stages'!M7:M50,BW706)</f>
        <v>0</v>
      </c>
      <c r="CI706" s="306">
        <f ca="1">COUNTIF('Knock Out Stages'!N7:N50,BW706)</f>
        <v>0</v>
      </c>
      <c r="CJ706" s="306">
        <f ca="1">COUNTIF('Knock Out Stages'!O7:O50,BW706)</f>
        <v>0</v>
      </c>
      <c r="CK706" s="306">
        <f ca="1">COUNTIF('Knock Out Stages'!P7:P50,BW706)</f>
        <v>0</v>
      </c>
      <c r="CL706" s="306">
        <f ca="1">COUNTIF('Knock Out Stages'!Q7:Q50,BW706)</f>
        <v>0</v>
      </c>
      <c r="CM706" s="306">
        <f ca="1">COUNTIF('Knock Out Stages'!R7:R50,BW706)</f>
        <v>0</v>
      </c>
      <c r="CN706" s="306">
        <f ca="1">IF(RIGHT('Group Stages'!$B$105,5)="T.com",SUM(BX706:CM706),0)</f>
        <v>0</v>
      </c>
      <c r="CO706" s="306">
        <f ca="1">RANK(CN706,CN3:CN834)+COUNTIF(CN3:CN706,CN706)-1</f>
        <v>704</v>
      </c>
      <c r="CP706" s="306" t="str">
        <f t="shared" ca="1" si="228"/>
        <v>André-Frank Zambo Anguissa (Cameroon)</v>
      </c>
    </row>
    <row r="707" spans="72:94" x14ac:dyDescent="0.3">
      <c r="BT707" s="306" t="str">
        <f t="shared" ca="1" si="231"/>
        <v>Cameroon</v>
      </c>
      <c r="BU707" s="306">
        <f t="shared" si="232"/>
        <v>2</v>
      </c>
      <c r="BV707" s="306">
        <f t="shared" si="233"/>
        <v>26</v>
      </c>
      <c r="BW707" s="306" t="str">
        <f ca="1">OFFSET(C3,BU707,BV707)</f>
        <v>Bryan Mbeumo</v>
      </c>
      <c r="BX707" s="306">
        <f ca="1">COUNTIF('Group Stages'!J7:J102,BW707)</f>
        <v>0</v>
      </c>
      <c r="BY707" s="306">
        <f ca="1">COUNTIF('Group Stages'!K7:K102,BW707)</f>
        <v>0</v>
      </c>
      <c r="BZ707" s="306">
        <f ca="1">COUNTIF('Group Stages'!L7:L102,BW707)</f>
        <v>0</v>
      </c>
      <c r="CA707" s="306">
        <f ca="1">COUNTIF('Group Stages'!M7:M102,BW707)</f>
        <v>0</v>
      </c>
      <c r="CB707" s="306">
        <f ca="1">COUNTIF('Group Stages'!N7:N102,BW707)</f>
        <v>0</v>
      </c>
      <c r="CC707" s="306">
        <f ca="1">COUNTIF('Group Stages'!O7:O102,BW707)</f>
        <v>0</v>
      </c>
      <c r="CD707" s="306">
        <f ca="1">COUNTIF('Group Stages'!P7:P102,BW707)</f>
        <v>0</v>
      </c>
      <c r="CE707" s="306">
        <f ca="1">COUNTIF('Group Stages'!Q7:Q102,BW707)</f>
        <v>0</v>
      </c>
      <c r="CF707" s="306">
        <f ca="1">COUNTIF('Knock Out Stages'!K7:K50,BW707)</f>
        <v>0</v>
      </c>
      <c r="CG707" s="306">
        <f ca="1">COUNTIF('Knock Out Stages'!L7:L50,BW707)</f>
        <v>0</v>
      </c>
      <c r="CH707" s="306">
        <f ca="1">COUNTIF('Knock Out Stages'!M7:M50,BW707)</f>
        <v>0</v>
      </c>
      <c r="CI707" s="306">
        <f ca="1">COUNTIF('Knock Out Stages'!N7:N50,BW707)</f>
        <v>0</v>
      </c>
      <c r="CJ707" s="306">
        <f ca="1">COUNTIF('Knock Out Stages'!O7:O50,BW707)</f>
        <v>0</v>
      </c>
      <c r="CK707" s="306">
        <f ca="1">COUNTIF('Knock Out Stages'!P7:P50,BW707)</f>
        <v>0</v>
      </c>
      <c r="CL707" s="306">
        <f ca="1">COUNTIF('Knock Out Stages'!Q7:Q50,BW707)</f>
        <v>0</v>
      </c>
      <c r="CM707" s="306">
        <f ca="1">COUNTIF('Knock Out Stages'!R7:R50,BW707)</f>
        <v>0</v>
      </c>
      <c r="CN707" s="306">
        <f ca="1">IF(RIGHT('Group Stages'!$B$105,5)="T.com",SUM(BX707:CM707),0)</f>
        <v>0</v>
      </c>
      <c r="CO707" s="306">
        <f ca="1">RANK(CN707,CN3:CN834)+COUNTIF(CN3:CN707,CN707)-1</f>
        <v>705</v>
      </c>
      <c r="CP707" s="306" t="str">
        <f t="shared" ca="1" si="228"/>
        <v>Bryan Mbeumo (Cameroon)</v>
      </c>
    </row>
    <row r="708" spans="72:94" x14ac:dyDescent="0.3">
      <c r="BT708" s="306" t="str">
        <f t="shared" ca="1" si="231"/>
        <v>Cameroon</v>
      </c>
      <c r="BU708" s="306">
        <f t="shared" si="232"/>
        <v>3</v>
      </c>
      <c r="BV708" s="306">
        <f t="shared" si="233"/>
        <v>26</v>
      </c>
      <c r="BW708" s="306" t="str">
        <f ca="1">OFFSET(C3,BU708,BV708)</f>
        <v>Christian Bassogog</v>
      </c>
      <c r="BX708" s="306">
        <f ca="1">COUNTIF('Group Stages'!J7:J102,BW708)</f>
        <v>0</v>
      </c>
      <c r="BY708" s="306">
        <f ca="1">COUNTIF('Group Stages'!K7:K102,BW708)</f>
        <v>0</v>
      </c>
      <c r="BZ708" s="306">
        <f ca="1">COUNTIF('Group Stages'!L7:L102,BW708)</f>
        <v>0</v>
      </c>
      <c r="CA708" s="306">
        <f ca="1">COUNTIF('Group Stages'!M7:M102,BW708)</f>
        <v>0</v>
      </c>
      <c r="CB708" s="306">
        <f ca="1">COUNTIF('Group Stages'!N7:N102,BW708)</f>
        <v>0</v>
      </c>
      <c r="CC708" s="306">
        <f ca="1">COUNTIF('Group Stages'!O7:O102,BW708)</f>
        <v>0</v>
      </c>
      <c r="CD708" s="306">
        <f ca="1">COUNTIF('Group Stages'!P7:P102,BW708)</f>
        <v>0</v>
      </c>
      <c r="CE708" s="306">
        <f ca="1">COUNTIF('Group Stages'!Q7:Q102,BW708)</f>
        <v>0</v>
      </c>
      <c r="CF708" s="306">
        <f ca="1">COUNTIF('Knock Out Stages'!K7:K50,BW708)</f>
        <v>0</v>
      </c>
      <c r="CG708" s="306">
        <f ca="1">COUNTIF('Knock Out Stages'!L7:L50,BW708)</f>
        <v>0</v>
      </c>
      <c r="CH708" s="306">
        <f ca="1">COUNTIF('Knock Out Stages'!M7:M50,BW708)</f>
        <v>0</v>
      </c>
      <c r="CI708" s="306">
        <f ca="1">COUNTIF('Knock Out Stages'!N7:N50,BW708)</f>
        <v>0</v>
      </c>
      <c r="CJ708" s="306">
        <f ca="1">COUNTIF('Knock Out Stages'!O7:O50,BW708)</f>
        <v>0</v>
      </c>
      <c r="CK708" s="306">
        <f ca="1">COUNTIF('Knock Out Stages'!P7:P50,BW708)</f>
        <v>0</v>
      </c>
      <c r="CL708" s="306">
        <f ca="1">COUNTIF('Knock Out Stages'!Q7:Q50,BW708)</f>
        <v>0</v>
      </c>
      <c r="CM708" s="306">
        <f ca="1">COUNTIF('Knock Out Stages'!R7:R50,BW708)</f>
        <v>0</v>
      </c>
      <c r="CN708" s="306">
        <f ca="1">IF(RIGHT('Group Stages'!$B$105,5)="T.com",SUM(BX708:CM708),0)</f>
        <v>0</v>
      </c>
      <c r="CO708" s="306">
        <f ca="1">RANK(CN708,CN3:CN834)+COUNTIF(CN3:CN708,CN708)-1</f>
        <v>706</v>
      </c>
      <c r="CP708" s="306" t="str">
        <f t="shared" ref="CP708:CP771" ca="1" si="235">BW708&amp;" ("&amp;BT708&amp;")"</f>
        <v>Christian Bassogog (Cameroon)</v>
      </c>
    </row>
    <row r="709" spans="72:94" x14ac:dyDescent="0.3">
      <c r="BT709" s="306" t="str">
        <f t="shared" ca="1" si="231"/>
        <v>Cameroon</v>
      </c>
      <c r="BU709" s="306">
        <f t="shared" si="232"/>
        <v>4</v>
      </c>
      <c r="BV709" s="306">
        <f t="shared" si="233"/>
        <v>26</v>
      </c>
      <c r="BW709" s="306" t="str">
        <f ca="1">OFFSET(C3,BU709,BV709)</f>
        <v>Christopher Wooh</v>
      </c>
      <c r="BX709" s="306">
        <f ca="1">COUNTIF('Group Stages'!J7:J102,BW709)</f>
        <v>0</v>
      </c>
      <c r="BY709" s="306">
        <f ca="1">COUNTIF('Group Stages'!K7:K102,BW709)</f>
        <v>0</v>
      </c>
      <c r="BZ709" s="306">
        <f ca="1">COUNTIF('Group Stages'!L7:L102,BW709)</f>
        <v>0</v>
      </c>
      <c r="CA709" s="306">
        <f ca="1">COUNTIF('Group Stages'!M7:M102,BW709)</f>
        <v>0</v>
      </c>
      <c r="CB709" s="306">
        <f ca="1">COUNTIF('Group Stages'!N7:N102,BW709)</f>
        <v>0</v>
      </c>
      <c r="CC709" s="306">
        <f ca="1">COUNTIF('Group Stages'!O7:O102,BW709)</f>
        <v>0</v>
      </c>
      <c r="CD709" s="306">
        <f ca="1">COUNTIF('Group Stages'!P7:P102,BW709)</f>
        <v>0</v>
      </c>
      <c r="CE709" s="306">
        <f ca="1">COUNTIF('Group Stages'!Q7:Q102,BW709)</f>
        <v>0</v>
      </c>
      <c r="CF709" s="306">
        <f ca="1">COUNTIF('Knock Out Stages'!K7:K50,BW709)</f>
        <v>0</v>
      </c>
      <c r="CG709" s="306">
        <f ca="1">COUNTIF('Knock Out Stages'!L7:L50,BW709)</f>
        <v>0</v>
      </c>
      <c r="CH709" s="306">
        <f ca="1">COUNTIF('Knock Out Stages'!M7:M50,BW709)</f>
        <v>0</v>
      </c>
      <c r="CI709" s="306">
        <f ca="1">COUNTIF('Knock Out Stages'!N7:N50,BW709)</f>
        <v>0</v>
      </c>
      <c r="CJ709" s="306">
        <f ca="1">COUNTIF('Knock Out Stages'!O7:O50,BW709)</f>
        <v>0</v>
      </c>
      <c r="CK709" s="306">
        <f ca="1">COUNTIF('Knock Out Stages'!P7:P50,BW709)</f>
        <v>0</v>
      </c>
      <c r="CL709" s="306">
        <f ca="1">COUNTIF('Knock Out Stages'!Q7:Q50,BW709)</f>
        <v>0</v>
      </c>
      <c r="CM709" s="306">
        <f ca="1">COUNTIF('Knock Out Stages'!R7:R50,BW709)</f>
        <v>0</v>
      </c>
      <c r="CN709" s="306">
        <f ca="1">IF(RIGHT('Group Stages'!$B$105,5)="T.com",SUM(BX709:CM709),0)</f>
        <v>0</v>
      </c>
      <c r="CO709" s="306">
        <f ca="1">RANK(CN709,CN3:CN834)+COUNTIF(CN3:CN709,CN709)-1</f>
        <v>707</v>
      </c>
      <c r="CP709" s="306" t="str">
        <f t="shared" ca="1" si="235"/>
        <v>Christopher Wooh (Cameroon)</v>
      </c>
    </row>
    <row r="710" spans="72:94" x14ac:dyDescent="0.3">
      <c r="BT710" s="306" t="str">
        <f t="shared" ca="1" si="231"/>
        <v>Cameroon</v>
      </c>
      <c r="BU710" s="306">
        <f t="shared" si="232"/>
        <v>5</v>
      </c>
      <c r="BV710" s="306">
        <f t="shared" si="233"/>
        <v>26</v>
      </c>
      <c r="BW710" s="306" t="str">
        <f ca="1">OFFSET(C3,BU710,BV710)</f>
        <v>Collins Fai</v>
      </c>
      <c r="BX710" s="306">
        <f ca="1">COUNTIF('Group Stages'!J7:J102,BW710)</f>
        <v>0</v>
      </c>
      <c r="BY710" s="306">
        <f ca="1">COUNTIF('Group Stages'!K7:K102,BW710)</f>
        <v>0</v>
      </c>
      <c r="BZ710" s="306">
        <f ca="1">COUNTIF('Group Stages'!L7:L102,BW710)</f>
        <v>0</v>
      </c>
      <c r="CA710" s="306">
        <f ca="1">COUNTIF('Group Stages'!M7:M102,BW710)</f>
        <v>0</v>
      </c>
      <c r="CB710" s="306">
        <f ca="1">COUNTIF('Group Stages'!N7:N102,BW710)</f>
        <v>0</v>
      </c>
      <c r="CC710" s="306">
        <f ca="1">COUNTIF('Group Stages'!O7:O102,BW710)</f>
        <v>0</v>
      </c>
      <c r="CD710" s="306">
        <f ca="1">COUNTIF('Group Stages'!P7:P102,BW710)</f>
        <v>0</v>
      </c>
      <c r="CE710" s="306">
        <f ca="1">COUNTIF('Group Stages'!Q7:Q102,BW710)</f>
        <v>0</v>
      </c>
      <c r="CF710" s="306">
        <f ca="1">COUNTIF('Knock Out Stages'!K7:K50,BW710)</f>
        <v>0</v>
      </c>
      <c r="CG710" s="306">
        <f ca="1">COUNTIF('Knock Out Stages'!L7:L50,BW710)</f>
        <v>0</v>
      </c>
      <c r="CH710" s="306">
        <f ca="1">COUNTIF('Knock Out Stages'!M7:M50,BW710)</f>
        <v>0</v>
      </c>
      <c r="CI710" s="306">
        <f ca="1">COUNTIF('Knock Out Stages'!N7:N50,BW710)</f>
        <v>0</v>
      </c>
      <c r="CJ710" s="306">
        <f ca="1">COUNTIF('Knock Out Stages'!O7:O50,BW710)</f>
        <v>0</v>
      </c>
      <c r="CK710" s="306">
        <f ca="1">COUNTIF('Knock Out Stages'!P7:P50,BW710)</f>
        <v>0</v>
      </c>
      <c r="CL710" s="306">
        <f ca="1">COUNTIF('Knock Out Stages'!Q7:Q50,BW710)</f>
        <v>0</v>
      </c>
      <c r="CM710" s="306">
        <f ca="1">COUNTIF('Knock Out Stages'!R7:R50,BW710)</f>
        <v>0</v>
      </c>
      <c r="CN710" s="306">
        <f ca="1">IF(RIGHT('Group Stages'!$B$105,5)="T.com",SUM(BX710:CM710),0)</f>
        <v>0</v>
      </c>
      <c r="CO710" s="306">
        <f ca="1">RANK(CN710,CN3:CN834)+COUNTIF(CN3:CN710,CN710)-1</f>
        <v>708</v>
      </c>
      <c r="CP710" s="306" t="str">
        <f t="shared" ca="1" si="235"/>
        <v>Collins Fai (Cameroon)</v>
      </c>
    </row>
    <row r="711" spans="72:94" x14ac:dyDescent="0.3">
      <c r="BT711" s="306" t="str">
        <f t="shared" ca="1" si="231"/>
        <v>Cameroon</v>
      </c>
      <c r="BU711" s="306">
        <f t="shared" si="232"/>
        <v>6</v>
      </c>
      <c r="BV711" s="306">
        <f t="shared" si="233"/>
        <v>26</v>
      </c>
      <c r="BW711" s="306" t="str">
        <f ca="1">OFFSET(C3,BU711,BV711)</f>
        <v>Devis Epassy</v>
      </c>
      <c r="BX711" s="306">
        <f ca="1">COUNTIF('Group Stages'!J7:J102,BW711)</f>
        <v>0</v>
      </c>
      <c r="BY711" s="306">
        <f ca="1">COUNTIF('Group Stages'!K7:K102,BW711)</f>
        <v>0</v>
      </c>
      <c r="BZ711" s="306">
        <f ca="1">COUNTIF('Group Stages'!L7:L102,BW711)</f>
        <v>0</v>
      </c>
      <c r="CA711" s="306">
        <f ca="1">COUNTIF('Group Stages'!M7:M102,BW711)</f>
        <v>0</v>
      </c>
      <c r="CB711" s="306">
        <f ca="1">COUNTIF('Group Stages'!N7:N102,BW711)</f>
        <v>0</v>
      </c>
      <c r="CC711" s="306">
        <f ca="1">COUNTIF('Group Stages'!O7:O102,BW711)</f>
        <v>0</v>
      </c>
      <c r="CD711" s="306">
        <f ca="1">COUNTIF('Group Stages'!P7:P102,BW711)</f>
        <v>0</v>
      </c>
      <c r="CE711" s="306">
        <f ca="1">COUNTIF('Group Stages'!Q7:Q102,BW711)</f>
        <v>0</v>
      </c>
      <c r="CF711" s="306">
        <f ca="1">COUNTIF('Knock Out Stages'!K7:K50,BW711)</f>
        <v>0</v>
      </c>
      <c r="CG711" s="306">
        <f ca="1">COUNTIF('Knock Out Stages'!L7:L50,BW711)</f>
        <v>0</v>
      </c>
      <c r="CH711" s="306">
        <f ca="1">COUNTIF('Knock Out Stages'!M7:M50,BW711)</f>
        <v>0</v>
      </c>
      <c r="CI711" s="306">
        <f ca="1">COUNTIF('Knock Out Stages'!N7:N50,BW711)</f>
        <v>0</v>
      </c>
      <c r="CJ711" s="306">
        <f ca="1">COUNTIF('Knock Out Stages'!O7:O50,BW711)</f>
        <v>0</v>
      </c>
      <c r="CK711" s="306">
        <f ca="1">COUNTIF('Knock Out Stages'!P7:P50,BW711)</f>
        <v>0</v>
      </c>
      <c r="CL711" s="306">
        <f ca="1">COUNTIF('Knock Out Stages'!Q7:Q50,BW711)</f>
        <v>0</v>
      </c>
      <c r="CM711" s="306">
        <f ca="1">COUNTIF('Knock Out Stages'!R7:R50,BW711)</f>
        <v>0</v>
      </c>
      <c r="CN711" s="306">
        <f ca="1">IF(RIGHT('Group Stages'!$B$105,5)="T.com",SUM(BX711:CM711),0)</f>
        <v>0</v>
      </c>
      <c r="CO711" s="306">
        <f ca="1">RANK(CN711,CN3:CN834)+COUNTIF(CN3:CN711,CN711)-1</f>
        <v>709</v>
      </c>
      <c r="CP711" s="306" t="str">
        <f t="shared" ca="1" si="235"/>
        <v>Devis Epassy (Cameroon)</v>
      </c>
    </row>
    <row r="712" spans="72:94" x14ac:dyDescent="0.3">
      <c r="BT712" s="306" t="str">
        <f t="shared" ca="1" si="231"/>
        <v>Cameroon</v>
      </c>
      <c r="BU712" s="306">
        <f t="shared" si="232"/>
        <v>7</v>
      </c>
      <c r="BV712" s="306">
        <f t="shared" si="233"/>
        <v>26</v>
      </c>
      <c r="BW712" s="306" t="str">
        <f ca="1">OFFSET(C3,BU712,BV712)</f>
        <v>Enzo Ebosse</v>
      </c>
      <c r="BX712" s="306">
        <f ca="1">COUNTIF('Group Stages'!J7:J102,BW712)</f>
        <v>0</v>
      </c>
      <c r="BY712" s="306">
        <f ca="1">COUNTIF('Group Stages'!K7:K102,BW712)</f>
        <v>0</v>
      </c>
      <c r="BZ712" s="306">
        <f ca="1">COUNTIF('Group Stages'!L7:L102,BW712)</f>
        <v>0</v>
      </c>
      <c r="CA712" s="306">
        <f ca="1">COUNTIF('Group Stages'!M7:M102,BW712)</f>
        <v>0</v>
      </c>
      <c r="CB712" s="306">
        <f ca="1">COUNTIF('Group Stages'!N7:N102,BW712)</f>
        <v>0</v>
      </c>
      <c r="CC712" s="306">
        <f ca="1">COUNTIF('Group Stages'!O7:O102,BW712)</f>
        <v>0</v>
      </c>
      <c r="CD712" s="306">
        <f ca="1">COUNTIF('Group Stages'!P7:P102,BW712)</f>
        <v>0</v>
      </c>
      <c r="CE712" s="306">
        <f ca="1">COUNTIF('Group Stages'!Q7:Q102,BW712)</f>
        <v>0</v>
      </c>
      <c r="CF712" s="306">
        <f ca="1">COUNTIF('Knock Out Stages'!K7:K50,BW712)</f>
        <v>0</v>
      </c>
      <c r="CG712" s="306">
        <f ca="1">COUNTIF('Knock Out Stages'!L7:L50,BW712)</f>
        <v>0</v>
      </c>
      <c r="CH712" s="306">
        <f ca="1">COUNTIF('Knock Out Stages'!M7:M50,BW712)</f>
        <v>0</v>
      </c>
      <c r="CI712" s="306">
        <f ca="1">COUNTIF('Knock Out Stages'!N7:N50,BW712)</f>
        <v>0</v>
      </c>
      <c r="CJ712" s="306">
        <f ca="1">COUNTIF('Knock Out Stages'!O7:O50,BW712)</f>
        <v>0</v>
      </c>
      <c r="CK712" s="306">
        <f ca="1">COUNTIF('Knock Out Stages'!P7:P50,BW712)</f>
        <v>0</v>
      </c>
      <c r="CL712" s="306">
        <f ca="1">COUNTIF('Knock Out Stages'!Q7:Q50,BW712)</f>
        <v>0</v>
      </c>
      <c r="CM712" s="306">
        <f ca="1">COUNTIF('Knock Out Stages'!R7:R50,BW712)</f>
        <v>0</v>
      </c>
      <c r="CN712" s="306">
        <f ca="1">IF(RIGHT('Group Stages'!$B$105,5)="T.com",SUM(BX712:CM712),0)</f>
        <v>0</v>
      </c>
      <c r="CO712" s="306">
        <f ca="1">RANK(CN712,CN3:CN834)+COUNTIF(CN3:CN712,CN712)-1</f>
        <v>710</v>
      </c>
      <c r="CP712" s="306" t="str">
        <f t="shared" ca="1" si="235"/>
        <v>Enzo Ebosse (Cameroon)</v>
      </c>
    </row>
    <row r="713" spans="72:94" x14ac:dyDescent="0.3">
      <c r="BT713" s="306" t="str">
        <f t="shared" ca="1" si="231"/>
        <v>Cameroon</v>
      </c>
      <c r="BU713" s="306">
        <f t="shared" si="232"/>
        <v>8</v>
      </c>
      <c r="BV713" s="306">
        <f t="shared" si="233"/>
        <v>26</v>
      </c>
      <c r="BW713" s="306" t="str">
        <f ca="1">OFFSET(C3,BU713,BV713)</f>
        <v>Eric Maxim Choupo-Moting</v>
      </c>
      <c r="BX713" s="306">
        <f ca="1">COUNTIF('Group Stages'!J7:J102,BW713)</f>
        <v>0</v>
      </c>
      <c r="BY713" s="306">
        <f ca="1">COUNTIF('Group Stages'!K7:K102,BW713)</f>
        <v>0</v>
      </c>
      <c r="BZ713" s="306">
        <f ca="1">COUNTIF('Group Stages'!L7:L102,BW713)</f>
        <v>0</v>
      </c>
      <c r="CA713" s="306">
        <f ca="1">COUNTIF('Group Stages'!M7:M102,BW713)</f>
        <v>0</v>
      </c>
      <c r="CB713" s="306">
        <f ca="1">COUNTIF('Group Stages'!N7:N102,BW713)</f>
        <v>0</v>
      </c>
      <c r="CC713" s="306">
        <f ca="1">COUNTIF('Group Stages'!O7:O102,BW713)</f>
        <v>0</v>
      </c>
      <c r="CD713" s="306">
        <f ca="1">COUNTIF('Group Stages'!P7:P102,BW713)</f>
        <v>0</v>
      </c>
      <c r="CE713" s="306">
        <f ca="1">COUNTIF('Group Stages'!Q7:Q102,BW713)</f>
        <v>0</v>
      </c>
      <c r="CF713" s="306">
        <f ca="1">COUNTIF('Knock Out Stages'!K7:K50,BW713)</f>
        <v>0</v>
      </c>
      <c r="CG713" s="306">
        <f ca="1">COUNTIF('Knock Out Stages'!L7:L50,BW713)</f>
        <v>0</v>
      </c>
      <c r="CH713" s="306">
        <f ca="1">COUNTIF('Knock Out Stages'!M7:M50,BW713)</f>
        <v>0</v>
      </c>
      <c r="CI713" s="306">
        <f ca="1">COUNTIF('Knock Out Stages'!N7:N50,BW713)</f>
        <v>0</v>
      </c>
      <c r="CJ713" s="306">
        <f ca="1">COUNTIF('Knock Out Stages'!O7:O50,BW713)</f>
        <v>0</v>
      </c>
      <c r="CK713" s="306">
        <f ca="1">COUNTIF('Knock Out Stages'!P7:P50,BW713)</f>
        <v>0</v>
      </c>
      <c r="CL713" s="306">
        <f ca="1">COUNTIF('Knock Out Stages'!Q7:Q50,BW713)</f>
        <v>0</v>
      </c>
      <c r="CM713" s="306">
        <f ca="1">COUNTIF('Knock Out Stages'!R7:R50,BW713)</f>
        <v>0</v>
      </c>
      <c r="CN713" s="306">
        <f ca="1">IF(RIGHT('Group Stages'!$B$105,5)="T.com",SUM(BX713:CM713),0)</f>
        <v>0</v>
      </c>
      <c r="CO713" s="306">
        <f ca="1">RANK(CN713,CN3:CN834)+COUNTIF(CN3:CN713,CN713)-1</f>
        <v>711</v>
      </c>
      <c r="CP713" s="306" t="str">
        <f t="shared" ca="1" si="235"/>
        <v>Eric Maxim Choupo-Moting (Cameroon)</v>
      </c>
    </row>
    <row r="714" spans="72:94" x14ac:dyDescent="0.3">
      <c r="BT714" s="306" t="str">
        <f t="shared" ca="1" si="231"/>
        <v>Cameroon</v>
      </c>
      <c r="BU714" s="306">
        <f t="shared" si="232"/>
        <v>9</v>
      </c>
      <c r="BV714" s="306">
        <f t="shared" si="233"/>
        <v>26</v>
      </c>
      <c r="BW714" s="306" t="str">
        <f ca="1">OFFSET(C3,BU714,BV714)</f>
        <v>Gaël Ondoua</v>
      </c>
      <c r="BX714" s="306">
        <f ca="1">COUNTIF('Group Stages'!J7:J102,BW714)</f>
        <v>0</v>
      </c>
      <c r="BY714" s="306">
        <f ca="1">COUNTIF('Group Stages'!K7:K102,BW714)</f>
        <v>0</v>
      </c>
      <c r="BZ714" s="306">
        <f ca="1">COUNTIF('Group Stages'!L7:L102,BW714)</f>
        <v>0</v>
      </c>
      <c r="CA714" s="306">
        <f ca="1">COUNTIF('Group Stages'!M7:M102,BW714)</f>
        <v>0</v>
      </c>
      <c r="CB714" s="306">
        <f ca="1">COUNTIF('Group Stages'!N7:N102,BW714)</f>
        <v>0</v>
      </c>
      <c r="CC714" s="306">
        <f ca="1">COUNTIF('Group Stages'!O7:O102,BW714)</f>
        <v>0</v>
      </c>
      <c r="CD714" s="306">
        <f ca="1">COUNTIF('Group Stages'!P7:P102,BW714)</f>
        <v>0</v>
      </c>
      <c r="CE714" s="306">
        <f ca="1">COUNTIF('Group Stages'!Q7:Q102,BW714)</f>
        <v>0</v>
      </c>
      <c r="CF714" s="306">
        <f ca="1">COUNTIF('Knock Out Stages'!K7:K50,BW714)</f>
        <v>0</v>
      </c>
      <c r="CG714" s="306">
        <f ca="1">COUNTIF('Knock Out Stages'!L7:L50,BW714)</f>
        <v>0</v>
      </c>
      <c r="CH714" s="306">
        <f ca="1">COUNTIF('Knock Out Stages'!M7:M50,BW714)</f>
        <v>0</v>
      </c>
      <c r="CI714" s="306">
        <f ca="1">COUNTIF('Knock Out Stages'!N7:N50,BW714)</f>
        <v>0</v>
      </c>
      <c r="CJ714" s="306">
        <f ca="1">COUNTIF('Knock Out Stages'!O7:O50,BW714)</f>
        <v>0</v>
      </c>
      <c r="CK714" s="306">
        <f ca="1">COUNTIF('Knock Out Stages'!P7:P50,BW714)</f>
        <v>0</v>
      </c>
      <c r="CL714" s="306">
        <f ca="1">COUNTIF('Knock Out Stages'!Q7:Q50,BW714)</f>
        <v>0</v>
      </c>
      <c r="CM714" s="306">
        <f ca="1">COUNTIF('Knock Out Stages'!R7:R50,BW714)</f>
        <v>0</v>
      </c>
      <c r="CN714" s="306">
        <f ca="1">IF(RIGHT('Group Stages'!$B$105,5)="T.com",SUM(BX714:CM714),0)</f>
        <v>0</v>
      </c>
      <c r="CO714" s="306">
        <f ca="1">RANK(CN714,CN3:CN834)+COUNTIF(CN3:CN714,CN714)-1</f>
        <v>712</v>
      </c>
      <c r="CP714" s="306" t="str">
        <f t="shared" ca="1" si="235"/>
        <v>Gaël Ondoua (Cameroon)</v>
      </c>
    </row>
    <row r="715" spans="72:94" x14ac:dyDescent="0.3">
      <c r="BT715" s="306" t="str">
        <f t="shared" ca="1" si="231"/>
        <v>Cameroon</v>
      </c>
      <c r="BU715" s="306">
        <f t="shared" si="232"/>
        <v>10</v>
      </c>
      <c r="BV715" s="306">
        <f t="shared" si="233"/>
        <v>26</v>
      </c>
      <c r="BW715" s="306" t="str">
        <f ca="1">OFFSET(C3,BU715,BV715)</f>
        <v>Georges-Kévin Nkoudou</v>
      </c>
      <c r="BX715" s="306">
        <f ca="1">COUNTIF('Group Stages'!J7:J102,BW715)</f>
        <v>0</v>
      </c>
      <c r="BY715" s="306">
        <f ca="1">COUNTIF('Group Stages'!K7:K102,BW715)</f>
        <v>0</v>
      </c>
      <c r="BZ715" s="306">
        <f ca="1">COUNTIF('Group Stages'!L7:L102,BW715)</f>
        <v>0</v>
      </c>
      <c r="CA715" s="306">
        <f ca="1">COUNTIF('Group Stages'!M7:M102,BW715)</f>
        <v>0</v>
      </c>
      <c r="CB715" s="306">
        <f ca="1">COUNTIF('Group Stages'!N7:N102,BW715)</f>
        <v>0</v>
      </c>
      <c r="CC715" s="306">
        <f ca="1">COUNTIF('Group Stages'!O7:O102,BW715)</f>
        <v>0</v>
      </c>
      <c r="CD715" s="306">
        <f ca="1">COUNTIF('Group Stages'!P7:P102,BW715)</f>
        <v>0</v>
      </c>
      <c r="CE715" s="306">
        <f ca="1">COUNTIF('Group Stages'!Q7:Q102,BW715)</f>
        <v>0</v>
      </c>
      <c r="CF715" s="306">
        <f ca="1">COUNTIF('Knock Out Stages'!K7:K50,BW715)</f>
        <v>0</v>
      </c>
      <c r="CG715" s="306">
        <f ca="1">COUNTIF('Knock Out Stages'!L7:L50,BW715)</f>
        <v>0</v>
      </c>
      <c r="CH715" s="306">
        <f ca="1">COUNTIF('Knock Out Stages'!M7:M50,BW715)</f>
        <v>0</v>
      </c>
      <c r="CI715" s="306">
        <f ca="1">COUNTIF('Knock Out Stages'!N7:N50,BW715)</f>
        <v>0</v>
      </c>
      <c r="CJ715" s="306">
        <f ca="1">COUNTIF('Knock Out Stages'!O7:O50,BW715)</f>
        <v>0</v>
      </c>
      <c r="CK715" s="306">
        <f ca="1">COUNTIF('Knock Out Stages'!P7:P50,BW715)</f>
        <v>0</v>
      </c>
      <c r="CL715" s="306">
        <f ca="1">COUNTIF('Knock Out Stages'!Q7:Q50,BW715)</f>
        <v>0</v>
      </c>
      <c r="CM715" s="306">
        <f ca="1">COUNTIF('Knock Out Stages'!R7:R50,BW715)</f>
        <v>0</v>
      </c>
      <c r="CN715" s="306">
        <f ca="1">IF(RIGHT('Group Stages'!$B$105,5)="T.com",SUM(BX715:CM715),0)</f>
        <v>0</v>
      </c>
      <c r="CO715" s="306">
        <f ca="1">RANK(CN715,CN3:CN834)+COUNTIF(CN3:CN715,CN715)-1</f>
        <v>713</v>
      </c>
      <c r="CP715" s="306" t="str">
        <f t="shared" ca="1" si="235"/>
        <v>Georges-Kévin Nkoudou (Cameroon)</v>
      </c>
    </row>
    <row r="716" spans="72:94" x14ac:dyDescent="0.3">
      <c r="BT716" s="306" t="str">
        <f t="shared" ca="1" si="231"/>
        <v>Cameroon</v>
      </c>
      <c r="BU716" s="306">
        <f t="shared" si="232"/>
        <v>11</v>
      </c>
      <c r="BV716" s="306">
        <f t="shared" si="233"/>
        <v>26</v>
      </c>
      <c r="BW716" s="306" t="str">
        <f ca="1">OFFSET(C3,BU716,BV716)</f>
        <v>Jean-Charles Castelletto</v>
      </c>
      <c r="BX716" s="306">
        <f ca="1">COUNTIF('Group Stages'!J7:J102,BW716)</f>
        <v>0</v>
      </c>
      <c r="BY716" s="306">
        <f ca="1">COUNTIF('Group Stages'!K7:K102,BW716)</f>
        <v>0</v>
      </c>
      <c r="BZ716" s="306">
        <f ca="1">COUNTIF('Group Stages'!L7:L102,BW716)</f>
        <v>0</v>
      </c>
      <c r="CA716" s="306">
        <f ca="1">COUNTIF('Group Stages'!M7:M102,BW716)</f>
        <v>0</v>
      </c>
      <c r="CB716" s="306">
        <f ca="1">COUNTIF('Group Stages'!N7:N102,BW716)</f>
        <v>0</v>
      </c>
      <c r="CC716" s="306">
        <f ca="1">COUNTIF('Group Stages'!O7:O102,BW716)</f>
        <v>0</v>
      </c>
      <c r="CD716" s="306">
        <f ca="1">COUNTIF('Group Stages'!P7:P102,BW716)</f>
        <v>0</v>
      </c>
      <c r="CE716" s="306">
        <f ca="1">COUNTIF('Group Stages'!Q7:Q102,BW716)</f>
        <v>0</v>
      </c>
      <c r="CF716" s="306">
        <f ca="1">COUNTIF('Knock Out Stages'!K7:K50,BW716)</f>
        <v>0</v>
      </c>
      <c r="CG716" s="306">
        <f ca="1">COUNTIF('Knock Out Stages'!L7:L50,BW716)</f>
        <v>0</v>
      </c>
      <c r="CH716" s="306">
        <f ca="1">COUNTIF('Knock Out Stages'!M7:M50,BW716)</f>
        <v>0</v>
      </c>
      <c r="CI716" s="306">
        <f ca="1">COUNTIF('Knock Out Stages'!N7:N50,BW716)</f>
        <v>0</v>
      </c>
      <c r="CJ716" s="306">
        <f ca="1">COUNTIF('Knock Out Stages'!O7:O50,BW716)</f>
        <v>0</v>
      </c>
      <c r="CK716" s="306">
        <f ca="1">COUNTIF('Knock Out Stages'!P7:P50,BW716)</f>
        <v>0</v>
      </c>
      <c r="CL716" s="306">
        <f ca="1">COUNTIF('Knock Out Stages'!Q7:Q50,BW716)</f>
        <v>0</v>
      </c>
      <c r="CM716" s="306">
        <f ca="1">COUNTIF('Knock Out Stages'!R7:R50,BW716)</f>
        <v>0</v>
      </c>
      <c r="CN716" s="306">
        <f ca="1">IF(RIGHT('Group Stages'!$B$105,5)="T.com",SUM(BX716:CM716),0)</f>
        <v>0</v>
      </c>
      <c r="CO716" s="306">
        <f ca="1">RANK(CN716,CN3:CN834)+COUNTIF(CN3:CN716,CN716)-1</f>
        <v>714</v>
      </c>
      <c r="CP716" s="306" t="str">
        <f t="shared" ca="1" si="235"/>
        <v>Jean-Charles Castelletto (Cameroon)</v>
      </c>
    </row>
    <row r="717" spans="72:94" x14ac:dyDescent="0.3">
      <c r="BT717" s="306" t="str">
        <f t="shared" ca="1" si="231"/>
        <v>Cameroon</v>
      </c>
      <c r="BU717" s="306">
        <f t="shared" si="232"/>
        <v>12</v>
      </c>
      <c r="BV717" s="306">
        <f t="shared" si="233"/>
        <v>26</v>
      </c>
      <c r="BW717" s="306" t="str">
        <f ca="1">OFFSET(C3,BU717,BV717)</f>
        <v>Jean-Pierre Nsame</v>
      </c>
      <c r="BX717" s="306">
        <f ca="1">COUNTIF('Group Stages'!J7:J102,BW717)</f>
        <v>0</v>
      </c>
      <c r="BY717" s="306">
        <f ca="1">COUNTIF('Group Stages'!K7:K102,BW717)</f>
        <v>0</v>
      </c>
      <c r="BZ717" s="306">
        <f ca="1">COUNTIF('Group Stages'!L7:L102,BW717)</f>
        <v>0</v>
      </c>
      <c r="CA717" s="306">
        <f ca="1">COUNTIF('Group Stages'!M7:M102,BW717)</f>
        <v>0</v>
      </c>
      <c r="CB717" s="306">
        <f ca="1">COUNTIF('Group Stages'!N7:N102,BW717)</f>
        <v>0</v>
      </c>
      <c r="CC717" s="306">
        <f ca="1">COUNTIF('Group Stages'!O7:O102,BW717)</f>
        <v>0</v>
      </c>
      <c r="CD717" s="306">
        <f ca="1">COUNTIF('Group Stages'!P7:P102,BW717)</f>
        <v>0</v>
      </c>
      <c r="CE717" s="306">
        <f ca="1">COUNTIF('Group Stages'!Q7:Q102,BW717)</f>
        <v>0</v>
      </c>
      <c r="CF717" s="306">
        <f ca="1">COUNTIF('Knock Out Stages'!K7:K50,BW717)</f>
        <v>0</v>
      </c>
      <c r="CG717" s="306">
        <f ca="1">COUNTIF('Knock Out Stages'!L7:L50,BW717)</f>
        <v>0</v>
      </c>
      <c r="CH717" s="306">
        <f ca="1">COUNTIF('Knock Out Stages'!M7:M50,BW717)</f>
        <v>0</v>
      </c>
      <c r="CI717" s="306">
        <f ca="1">COUNTIF('Knock Out Stages'!N7:N50,BW717)</f>
        <v>0</v>
      </c>
      <c r="CJ717" s="306">
        <f ca="1">COUNTIF('Knock Out Stages'!O7:O50,BW717)</f>
        <v>0</v>
      </c>
      <c r="CK717" s="306">
        <f ca="1">COUNTIF('Knock Out Stages'!P7:P50,BW717)</f>
        <v>0</v>
      </c>
      <c r="CL717" s="306">
        <f ca="1">COUNTIF('Knock Out Stages'!Q7:Q50,BW717)</f>
        <v>0</v>
      </c>
      <c r="CM717" s="306">
        <f ca="1">COUNTIF('Knock Out Stages'!R7:R50,BW717)</f>
        <v>0</v>
      </c>
      <c r="CN717" s="306">
        <f ca="1">IF(RIGHT('Group Stages'!$B$105,5)="T.com",SUM(BX717:CM717),0)</f>
        <v>0</v>
      </c>
      <c r="CO717" s="306">
        <f ca="1">RANK(CN717,CN3:CN834)+COUNTIF(CN3:CN717,CN717)-1</f>
        <v>715</v>
      </c>
      <c r="CP717" s="306" t="str">
        <f t="shared" ca="1" si="235"/>
        <v>Jean-Pierre Nsame (Cameroon)</v>
      </c>
    </row>
    <row r="718" spans="72:94" x14ac:dyDescent="0.3">
      <c r="BT718" s="306" t="str">
        <f t="shared" ca="1" si="231"/>
        <v>Cameroon</v>
      </c>
      <c r="BU718" s="306">
        <f t="shared" si="232"/>
        <v>13</v>
      </c>
      <c r="BV718" s="306">
        <f t="shared" si="233"/>
        <v>26</v>
      </c>
      <c r="BW718" s="306" t="str">
        <f ca="1">OFFSET(C3,BU718,BV718)</f>
        <v>Jerome Ngom Mbekeli</v>
      </c>
      <c r="BX718" s="306">
        <f ca="1">COUNTIF('Group Stages'!J7:J102,BW718)</f>
        <v>0</v>
      </c>
      <c r="BY718" s="306">
        <f ca="1">COUNTIF('Group Stages'!K7:K102,BW718)</f>
        <v>0</v>
      </c>
      <c r="BZ718" s="306">
        <f ca="1">COUNTIF('Group Stages'!L7:L102,BW718)</f>
        <v>0</v>
      </c>
      <c r="CA718" s="306">
        <f ca="1">COUNTIF('Group Stages'!M7:M102,BW718)</f>
        <v>0</v>
      </c>
      <c r="CB718" s="306">
        <f ca="1">COUNTIF('Group Stages'!N7:N102,BW718)</f>
        <v>0</v>
      </c>
      <c r="CC718" s="306">
        <f ca="1">COUNTIF('Group Stages'!O7:O102,BW718)</f>
        <v>0</v>
      </c>
      <c r="CD718" s="306">
        <f ca="1">COUNTIF('Group Stages'!P7:P102,BW718)</f>
        <v>0</v>
      </c>
      <c r="CE718" s="306">
        <f ca="1">COUNTIF('Group Stages'!Q7:Q102,BW718)</f>
        <v>0</v>
      </c>
      <c r="CF718" s="306">
        <f ca="1">COUNTIF('Knock Out Stages'!K7:K50,BW718)</f>
        <v>0</v>
      </c>
      <c r="CG718" s="306">
        <f ca="1">COUNTIF('Knock Out Stages'!L7:L50,BW718)</f>
        <v>0</v>
      </c>
      <c r="CH718" s="306">
        <f ca="1">COUNTIF('Knock Out Stages'!M7:M50,BW718)</f>
        <v>0</v>
      </c>
      <c r="CI718" s="306">
        <f ca="1">COUNTIF('Knock Out Stages'!N7:N50,BW718)</f>
        <v>0</v>
      </c>
      <c r="CJ718" s="306">
        <f ca="1">COUNTIF('Knock Out Stages'!O7:O50,BW718)</f>
        <v>0</v>
      </c>
      <c r="CK718" s="306">
        <f ca="1">COUNTIF('Knock Out Stages'!P7:P50,BW718)</f>
        <v>0</v>
      </c>
      <c r="CL718" s="306">
        <f ca="1">COUNTIF('Knock Out Stages'!Q7:Q50,BW718)</f>
        <v>0</v>
      </c>
      <c r="CM718" s="306">
        <f ca="1">COUNTIF('Knock Out Stages'!R7:R50,BW718)</f>
        <v>0</v>
      </c>
      <c r="CN718" s="306">
        <f ca="1">IF(RIGHT('Group Stages'!$B$105,5)="T.com",SUM(BX718:CM718),0)</f>
        <v>0</v>
      </c>
      <c r="CO718" s="306">
        <f ca="1">RANK(CN718,CN3:CN834)+COUNTIF(CN3:CN718,CN718)-1</f>
        <v>716</v>
      </c>
      <c r="CP718" s="306" t="str">
        <f t="shared" ca="1" si="235"/>
        <v>Jerome Ngom Mbekeli (Cameroon)</v>
      </c>
    </row>
    <row r="719" spans="72:94" x14ac:dyDescent="0.3">
      <c r="BT719" s="306" t="str">
        <f t="shared" ca="1" si="231"/>
        <v>Cameroon</v>
      </c>
      <c r="BU719" s="306">
        <f t="shared" si="232"/>
        <v>14</v>
      </c>
      <c r="BV719" s="306">
        <f t="shared" si="233"/>
        <v>26</v>
      </c>
      <c r="BW719" s="306" t="str">
        <f ca="1">OFFSET(C3,BU719,BV719)</f>
        <v>Karl Toko Ekambi</v>
      </c>
      <c r="BX719" s="306">
        <f ca="1">COUNTIF('Group Stages'!J7:J102,BW719)</f>
        <v>0</v>
      </c>
      <c r="BY719" s="306">
        <f ca="1">COUNTIF('Group Stages'!K7:K102,BW719)</f>
        <v>0</v>
      </c>
      <c r="BZ719" s="306">
        <f ca="1">COUNTIF('Group Stages'!L7:L102,BW719)</f>
        <v>0</v>
      </c>
      <c r="CA719" s="306">
        <f ca="1">COUNTIF('Group Stages'!M7:M102,BW719)</f>
        <v>0</v>
      </c>
      <c r="CB719" s="306">
        <f ca="1">COUNTIF('Group Stages'!N7:N102,BW719)</f>
        <v>0</v>
      </c>
      <c r="CC719" s="306">
        <f ca="1">COUNTIF('Group Stages'!O7:O102,BW719)</f>
        <v>0</v>
      </c>
      <c r="CD719" s="306">
        <f ca="1">COUNTIF('Group Stages'!P7:P102,BW719)</f>
        <v>0</v>
      </c>
      <c r="CE719" s="306">
        <f ca="1">COUNTIF('Group Stages'!Q7:Q102,BW719)</f>
        <v>0</v>
      </c>
      <c r="CF719" s="306">
        <f ca="1">COUNTIF('Knock Out Stages'!K7:K50,BW719)</f>
        <v>0</v>
      </c>
      <c r="CG719" s="306">
        <f ca="1">COUNTIF('Knock Out Stages'!L7:L50,BW719)</f>
        <v>0</v>
      </c>
      <c r="CH719" s="306">
        <f ca="1">COUNTIF('Knock Out Stages'!M7:M50,BW719)</f>
        <v>0</v>
      </c>
      <c r="CI719" s="306">
        <f ca="1">COUNTIF('Knock Out Stages'!N7:N50,BW719)</f>
        <v>0</v>
      </c>
      <c r="CJ719" s="306">
        <f ca="1">COUNTIF('Knock Out Stages'!O7:O50,BW719)</f>
        <v>0</v>
      </c>
      <c r="CK719" s="306">
        <f ca="1">COUNTIF('Knock Out Stages'!P7:P50,BW719)</f>
        <v>0</v>
      </c>
      <c r="CL719" s="306">
        <f ca="1">COUNTIF('Knock Out Stages'!Q7:Q50,BW719)</f>
        <v>0</v>
      </c>
      <c r="CM719" s="306">
        <f ca="1">COUNTIF('Knock Out Stages'!R7:R50,BW719)</f>
        <v>0</v>
      </c>
      <c r="CN719" s="306">
        <f ca="1">IF(RIGHT('Group Stages'!$B$105,5)="T.com",SUM(BX719:CM719),0)</f>
        <v>0</v>
      </c>
      <c r="CO719" s="306">
        <f ca="1">RANK(CN719,CN3:CN834)+COUNTIF(CN3:CN719,CN719)-1</f>
        <v>717</v>
      </c>
      <c r="CP719" s="306" t="str">
        <f t="shared" ca="1" si="235"/>
        <v>Karl Toko Ekambi (Cameroon)</v>
      </c>
    </row>
    <row r="720" spans="72:94" x14ac:dyDescent="0.3">
      <c r="BT720" s="306" t="str">
        <f t="shared" ca="1" si="231"/>
        <v>Cameroon</v>
      </c>
      <c r="BU720" s="306">
        <f t="shared" si="232"/>
        <v>15</v>
      </c>
      <c r="BV720" s="306">
        <f t="shared" si="233"/>
        <v>26</v>
      </c>
      <c r="BW720" s="306" t="str">
        <f ca="1">OFFSET(C3,BU720,BV720)</f>
        <v>Marou Souaibou</v>
      </c>
      <c r="BX720" s="306">
        <f ca="1">COUNTIF('Group Stages'!J7:J102,BW720)</f>
        <v>0</v>
      </c>
      <c r="BY720" s="306">
        <f ca="1">COUNTIF('Group Stages'!K7:K102,BW720)</f>
        <v>0</v>
      </c>
      <c r="BZ720" s="306">
        <f ca="1">COUNTIF('Group Stages'!L7:L102,BW720)</f>
        <v>0</v>
      </c>
      <c r="CA720" s="306">
        <f ca="1">COUNTIF('Group Stages'!M7:M102,BW720)</f>
        <v>0</v>
      </c>
      <c r="CB720" s="306">
        <f ca="1">COUNTIF('Group Stages'!N7:N102,BW720)</f>
        <v>0</v>
      </c>
      <c r="CC720" s="306">
        <f ca="1">COUNTIF('Group Stages'!O7:O102,BW720)</f>
        <v>0</v>
      </c>
      <c r="CD720" s="306">
        <f ca="1">COUNTIF('Group Stages'!P7:P102,BW720)</f>
        <v>0</v>
      </c>
      <c r="CE720" s="306">
        <f ca="1">COUNTIF('Group Stages'!Q7:Q102,BW720)</f>
        <v>0</v>
      </c>
      <c r="CF720" s="306">
        <f ca="1">COUNTIF('Knock Out Stages'!K7:K50,BW720)</f>
        <v>0</v>
      </c>
      <c r="CG720" s="306">
        <f ca="1">COUNTIF('Knock Out Stages'!L7:L50,BW720)</f>
        <v>0</v>
      </c>
      <c r="CH720" s="306">
        <f ca="1">COUNTIF('Knock Out Stages'!M7:M50,BW720)</f>
        <v>0</v>
      </c>
      <c r="CI720" s="306">
        <f ca="1">COUNTIF('Knock Out Stages'!N7:N50,BW720)</f>
        <v>0</v>
      </c>
      <c r="CJ720" s="306">
        <f ca="1">COUNTIF('Knock Out Stages'!O7:O50,BW720)</f>
        <v>0</v>
      </c>
      <c r="CK720" s="306">
        <f ca="1">COUNTIF('Knock Out Stages'!P7:P50,BW720)</f>
        <v>0</v>
      </c>
      <c r="CL720" s="306">
        <f ca="1">COUNTIF('Knock Out Stages'!Q7:Q50,BW720)</f>
        <v>0</v>
      </c>
      <c r="CM720" s="306">
        <f ca="1">COUNTIF('Knock Out Stages'!R7:R50,BW720)</f>
        <v>0</v>
      </c>
      <c r="CN720" s="306">
        <f ca="1">IF(RIGHT('Group Stages'!$B$105,5)="T.com",SUM(BX720:CM720),0)</f>
        <v>0</v>
      </c>
      <c r="CO720" s="306">
        <f ca="1">RANK(CN720,CN3:CN834)+COUNTIF(CN3:CN720,CN720)-1</f>
        <v>718</v>
      </c>
      <c r="CP720" s="306" t="str">
        <f t="shared" ca="1" si="235"/>
        <v>Marou Souaibou (Cameroon)</v>
      </c>
    </row>
    <row r="721" spans="72:94" x14ac:dyDescent="0.3">
      <c r="BT721" s="306" t="str">
        <f t="shared" ca="1" si="231"/>
        <v>Cameroon</v>
      </c>
      <c r="BU721" s="306">
        <f t="shared" si="232"/>
        <v>16</v>
      </c>
      <c r="BV721" s="306">
        <f t="shared" si="233"/>
        <v>26</v>
      </c>
      <c r="BW721" s="306" t="str">
        <f ca="1">OFFSET(C3,BU721,BV721)</f>
        <v>Martin Hongla</v>
      </c>
      <c r="BX721" s="306">
        <f ca="1">COUNTIF('Group Stages'!J7:J102,BW721)</f>
        <v>0</v>
      </c>
      <c r="BY721" s="306">
        <f ca="1">COUNTIF('Group Stages'!K7:K102,BW721)</f>
        <v>0</v>
      </c>
      <c r="BZ721" s="306">
        <f ca="1">COUNTIF('Group Stages'!L7:L102,BW721)</f>
        <v>0</v>
      </c>
      <c r="CA721" s="306">
        <f ca="1">COUNTIF('Group Stages'!M7:M102,BW721)</f>
        <v>0</v>
      </c>
      <c r="CB721" s="306">
        <f ca="1">COUNTIF('Group Stages'!N7:N102,BW721)</f>
        <v>0</v>
      </c>
      <c r="CC721" s="306">
        <f ca="1">COUNTIF('Group Stages'!O7:O102,BW721)</f>
        <v>0</v>
      </c>
      <c r="CD721" s="306">
        <f ca="1">COUNTIF('Group Stages'!P7:P102,BW721)</f>
        <v>0</v>
      </c>
      <c r="CE721" s="306">
        <f ca="1">COUNTIF('Group Stages'!Q7:Q102,BW721)</f>
        <v>0</v>
      </c>
      <c r="CF721" s="306">
        <f ca="1">COUNTIF('Knock Out Stages'!K7:K50,BW721)</f>
        <v>0</v>
      </c>
      <c r="CG721" s="306">
        <f ca="1">COUNTIF('Knock Out Stages'!L7:L50,BW721)</f>
        <v>0</v>
      </c>
      <c r="CH721" s="306">
        <f ca="1">COUNTIF('Knock Out Stages'!M7:M50,BW721)</f>
        <v>0</v>
      </c>
      <c r="CI721" s="306">
        <f ca="1">COUNTIF('Knock Out Stages'!N7:N50,BW721)</f>
        <v>0</v>
      </c>
      <c r="CJ721" s="306">
        <f ca="1">COUNTIF('Knock Out Stages'!O7:O50,BW721)</f>
        <v>0</v>
      </c>
      <c r="CK721" s="306">
        <f ca="1">COUNTIF('Knock Out Stages'!P7:P50,BW721)</f>
        <v>0</v>
      </c>
      <c r="CL721" s="306">
        <f ca="1">COUNTIF('Knock Out Stages'!Q7:Q50,BW721)</f>
        <v>0</v>
      </c>
      <c r="CM721" s="306">
        <f ca="1">COUNTIF('Knock Out Stages'!R7:R50,BW721)</f>
        <v>0</v>
      </c>
      <c r="CN721" s="306">
        <f ca="1">IF(RIGHT('Group Stages'!$B$105,5)="T.com",SUM(BX721:CM721),0)</f>
        <v>0</v>
      </c>
      <c r="CO721" s="306">
        <f ca="1">RANK(CN721,CN3:CN834)+COUNTIF(CN3:CN721,CN721)-1</f>
        <v>719</v>
      </c>
      <c r="CP721" s="306" t="str">
        <f t="shared" ca="1" si="235"/>
        <v>Martin Hongla (Cameroon)</v>
      </c>
    </row>
    <row r="722" spans="72:94" x14ac:dyDescent="0.3">
      <c r="BT722" s="306" t="str">
        <f t="shared" ca="1" si="231"/>
        <v>Cameroon</v>
      </c>
      <c r="BU722" s="306">
        <f t="shared" si="232"/>
        <v>17</v>
      </c>
      <c r="BV722" s="306">
        <f t="shared" si="233"/>
        <v>26</v>
      </c>
      <c r="BW722" s="306" t="str">
        <f ca="1">OFFSET(C3,BU722,BV722)</f>
        <v>Nicolas Nkoulou</v>
      </c>
      <c r="BX722" s="306">
        <f ca="1">COUNTIF('Group Stages'!J7:J102,BW722)</f>
        <v>0</v>
      </c>
      <c r="BY722" s="306">
        <f ca="1">COUNTIF('Group Stages'!K7:K102,BW722)</f>
        <v>0</v>
      </c>
      <c r="BZ722" s="306">
        <f ca="1">COUNTIF('Group Stages'!L7:L102,BW722)</f>
        <v>0</v>
      </c>
      <c r="CA722" s="306">
        <f ca="1">COUNTIF('Group Stages'!M7:M102,BW722)</f>
        <v>0</v>
      </c>
      <c r="CB722" s="306">
        <f ca="1">COUNTIF('Group Stages'!N7:N102,BW722)</f>
        <v>0</v>
      </c>
      <c r="CC722" s="306">
        <f ca="1">COUNTIF('Group Stages'!O7:O102,BW722)</f>
        <v>0</v>
      </c>
      <c r="CD722" s="306">
        <f ca="1">COUNTIF('Group Stages'!P7:P102,BW722)</f>
        <v>0</v>
      </c>
      <c r="CE722" s="306">
        <f ca="1">COUNTIF('Group Stages'!Q7:Q102,BW722)</f>
        <v>0</v>
      </c>
      <c r="CF722" s="306">
        <f ca="1">COUNTIF('Knock Out Stages'!K7:K50,BW722)</f>
        <v>0</v>
      </c>
      <c r="CG722" s="306">
        <f ca="1">COUNTIF('Knock Out Stages'!L7:L50,BW722)</f>
        <v>0</v>
      </c>
      <c r="CH722" s="306">
        <f ca="1">COUNTIF('Knock Out Stages'!M7:M50,BW722)</f>
        <v>0</v>
      </c>
      <c r="CI722" s="306">
        <f ca="1">COUNTIF('Knock Out Stages'!N7:N50,BW722)</f>
        <v>0</v>
      </c>
      <c r="CJ722" s="306">
        <f ca="1">COUNTIF('Knock Out Stages'!O7:O50,BW722)</f>
        <v>0</v>
      </c>
      <c r="CK722" s="306">
        <f ca="1">COUNTIF('Knock Out Stages'!P7:P50,BW722)</f>
        <v>0</v>
      </c>
      <c r="CL722" s="306">
        <f ca="1">COUNTIF('Knock Out Stages'!Q7:Q50,BW722)</f>
        <v>0</v>
      </c>
      <c r="CM722" s="306">
        <f ca="1">COUNTIF('Knock Out Stages'!R7:R50,BW722)</f>
        <v>0</v>
      </c>
      <c r="CN722" s="306">
        <f ca="1">IF(RIGHT('Group Stages'!$B$105,5)="T.com",SUM(BX722:CM722),0)</f>
        <v>0</v>
      </c>
      <c r="CO722" s="306">
        <f ca="1">RANK(CN722,CN3:CN834)+COUNTIF(CN3:CN722,CN722)-1</f>
        <v>720</v>
      </c>
      <c r="CP722" s="306" t="str">
        <f t="shared" ca="1" si="235"/>
        <v>Nicolas Nkoulou (Cameroon)</v>
      </c>
    </row>
    <row r="723" spans="72:94" x14ac:dyDescent="0.3">
      <c r="BT723" s="306" t="str">
        <f t="shared" ca="1" si="231"/>
        <v>Cameroon</v>
      </c>
      <c r="BU723" s="306">
        <f t="shared" si="232"/>
        <v>18</v>
      </c>
      <c r="BV723" s="306">
        <f t="shared" si="233"/>
        <v>26</v>
      </c>
      <c r="BW723" s="306" t="str">
        <f ca="1">OFFSET(C3,BU723,BV723)</f>
        <v>Nouhou Tolo</v>
      </c>
      <c r="BX723" s="306">
        <f ca="1">COUNTIF('Group Stages'!J7:J102,BW723)</f>
        <v>0</v>
      </c>
      <c r="BY723" s="306">
        <f ca="1">COUNTIF('Group Stages'!K7:K102,BW723)</f>
        <v>0</v>
      </c>
      <c r="BZ723" s="306">
        <f ca="1">COUNTIF('Group Stages'!L7:L102,BW723)</f>
        <v>0</v>
      </c>
      <c r="CA723" s="306">
        <f ca="1">COUNTIF('Group Stages'!M7:M102,BW723)</f>
        <v>0</v>
      </c>
      <c r="CB723" s="306">
        <f ca="1">COUNTIF('Group Stages'!N7:N102,BW723)</f>
        <v>0</v>
      </c>
      <c r="CC723" s="306">
        <f ca="1">COUNTIF('Group Stages'!O7:O102,BW723)</f>
        <v>0</v>
      </c>
      <c r="CD723" s="306">
        <f ca="1">COUNTIF('Group Stages'!P7:P102,BW723)</f>
        <v>0</v>
      </c>
      <c r="CE723" s="306">
        <f ca="1">COUNTIF('Group Stages'!Q7:Q102,BW723)</f>
        <v>0</v>
      </c>
      <c r="CF723" s="306">
        <f ca="1">COUNTIF('Knock Out Stages'!K7:K50,BW723)</f>
        <v>0</v>
      </c>
      <c r="CG723" s="306">
        <f ca="1">COUNTIF('Knock Out Stages'!L7:L50,BW723)</f>
        <v>0</v>
      </c>
      <c r="CH723" s="306">
        <f ca="1">COUNTIF('Knock Out Stages'!M7:M50,BW723)</f>
        <v>0</v>
      </c>
      <c r="CI723" s="306">
        <f ca="1">COUNTIF('Knock Out Stages'!N7:N50,BW723)</f>
        <v>0</v>
      </c>
      <c r="CJ723" s="306">
        <f ca="1">COUNTIF('Knock Out Stages'!O7:O50,BW723)</f>
        <v>0</v>
      </c>
      <c r="CK723" s="306">
        <f ca="1">COUNTIF('Knock Out Stages'!P7:P50,BW723)</f>
        <v>0</v>
      </c>
      <c r="CL723" s="306">
        <f ca="1">COUNTIF('Knock Out Stages'!Q7:Q50,BW723)</f>
        <v>0</v>
      </c>
      <c r="CM723" s="306">
        <f ca="1">COUNTIF('Knock Out Stages'!R7:R50,BW723)</f>
        <v>0</v>
      </c>
      <c r="CN723" s="306">
        <f ca="1">IF(RIGHT('Group Stages'!$B$105,5)="T.com",SUM(BX723:CM723),0)</f>
        <v>0</v>
      </c>
      <c r="CO723" s="306">
        <f ca="1">RANK(CN723,CN3:CN834)+COUNTIF(CN3:CN723,CN723)-1</f>
        <v>721</v>
      </c>
      <c r="CP723" s="306" t="str">
        <f t="shared" ca="1" si="235"/>
        <v>Nouhou Tolo (Cameroon)</v>
      </c>
    </row>
    <row r="724" spans="72:94" x14ac:dyDescent="0.3">
      <c r="BT724" s="306" t="str">
        <f t="shared" ca="1" si="231"/>
        <v>Cameroon</v>
      </c>
      <c r="BU724" s="306">
        <f t="shared" si="232"/>
        <v>19</v>
      </c>
      <c r="BV724" s="306">
        <f t="shared" si="233"/>
        <v>26</v>
      </c>
      <c r="BW724" s="306" t="str">
        <f ca="1">OFFSET(C3,BU724,BV724)</f>
        <v>Olivier Mbaizo</v>
      </c>
      <c r="BX724" s="306">
        <f ca="1">COUNTIF('Group Stages'!J7:J102,BW724)</f>
        <v>0</v>
      </c>
      <c r="BY724" s="306">
        <f ca="1">COUNTIF('Group Stages'!K7:K102,BW724)</f>
        <v>0</v>
      </c>
      <c r="BZ724" s="306">
        <f ca="1">COUNTIF('Group Stages'!L7:L102,BW724)</f>
        <v>0</v>
      </c>
      <c r="CA724" s="306">
        <f ca="1">COUNTIF('Group Stages'!M7:M102,BW724)</f>
        <v>0</v>
      </c>
      <c r="CB724" s="306">
        <f ca="1">COUNTIF('Group Stages'!N7:N102,BW724)</f>
        <v>0</v>
      </c>
      <c r="CC724" s="306">
        <f ca="1">COUNTIF('Group Stages'!O7:O102,BW724)</f>
        <v>0</v>
      </c>
      <c r="CD724" s="306">
        <f ca="1">COUNTIF('Group Stages'!P7:P102,BW724)</f>
        <v>0</v>
      </c>
      <c r="CE724" s="306">
        <f ca="1">COUNTIF('Group Stages'!Q7:Q102,BW724)</f>
        <v>0</v>
      </c>
      <c r="CF724" s="306">
        <f ca="1">COUNTIF('Knock Out Stages'!K7:K50,BW724)</f>
        <v>0</v>
      </c>
      <c r="CG724" s="306">
        <f ca="1">COUNTIF('Knock Out Stages'!L7:L50,BW724)</f>
        <v>0</v>
      </c>
      <c r="CH724" s="306">
        <f ca="1">COUNTIF('Knock Out Stages'!M7:M50,BW724)</f>
        <v>0</v>
      </c>
      <c r="CI724" s="306">
        <f ca="1">COUNTIF('Knock Out Stages'!N7:N50,BW724)</f>
        <v>0</v>
      </c>
      <c r="CJ724" s="306">
        <f ca="1">COUNTIF('Knock Out Stages'!O7:O50,BW724)</f>
        <v>0</v>
      </c>
      <c r="CK724" s="306">
        <f ca="1">COUNTIF('Knock Out Stages'!P7:P50,BW724)</f>
        <v>0</v>
      </c>
      <c r="CL724" s="306">
        <f ca="1">COUNTIF('Knock Out Stages'!Q7:Q50,BW724)</f>
        <v>0</v>
      </c>
      <c r="CM724" s="306">
        <f ca="1">COUNTIF('Knock Out Stages'!R7:R50,BW724)</f>
        <v>0</v>
      </c>
      <c r="CN724" s="306">
        <f ca="1">IF(RIGHT('Group Stages'!$B$105,5)="T.com",SUM(BX724:CM724),0)</f>
        <v>0</v>
      </c>
      <c r="CO724" s="306">
        <f ca="1">RANK(CN724,CN3:CN834)+COUNTIF(CN3:CN724,CN724)-1</f>
        <v>722</v>
      </c>
      <c r="CP724" s="306" t="str">
        <f t="shared" ca="1" si="235"/>
        <v>Olivier Mbaizo (Cameroon)</v>
      </c>
    </row>
    <row r="725" spans="72:94" x14ac:dyDescent="0.3">
      <c r="BT725" s="306" t="str">
        <f t="shared" ca="1" si="231"/>
        <v>Cameroon</v>
      </c>
      <c r="BU725" s="306">
        <f t="shared" si="232"/>
        <v>20</v>
      </c>
      <c r="BV725" s="306">
        <f t="shared" si="233"/>
        <v>26</v>
      </c>
      <c r="BW725" s="306" t="str">
        <f ca="1">OFFSET(C3,BU725,BV725)</f>
        <v>Olivier Ntcham</v>
      </c>
      <c r="BX725" s="306">
        <f ca="1">COUNTIF('Group Stages'!J7:J102,BW725)</f>
        <v>0</v>
      </c>
      <c r="BY725" s="306">
        <f ca="1">COUNTIF('Group Stages'!K7:K102,BW725)</f>
        <v>0</v>
      </c>
      <c r="BZ725" s="306">
        <f ca="1">COUNTIF('Group Stages'!L7:L102,BW725)</f>
        <v>0</v>
      </c>
      <c r="CA725" s="306">
        <f ca="1">COUNTIF('Group Stages'!M7:M102,BW725)</f>
        <v>0</v>
      </c>
      <c r="CB725" s="306">
        <f ca="1">COUNTIF('Group Stages'!N7:N102,BW725)</f>
        <v>0</v>
      </c>
      <c r="CC725" s="306">
        <f ca="1">COUNTIF('Group Stages'!O7:O102,BW725)</f>
        <v>0</v>
      </c>
      <c r="CD725" s="306">
        <f ca="1">COUNTIF('Group Stages'!P7:P102,BW725)</f>
        <v>0</v>
      </c>
      <c r="CE725" s="306">
        <f ca="1">COUNTIF('Group Stages'!Q7:Q102,BW725)</f>
        <v>0</v>
      </c>
      <c r="CF725" s="306">
        <f ca="1">COUNTIF('Knock Out Stages'!K7:K50,BW725)</f>
        <v>0</v>
      </c>
      <c r="CG725" s="306">
        <f ca="1">COUNTIF('Knock Out Stages'!L7:L50,BW725)</f>
        <v>0</v>
      </c>
      <c r="CH725" s="306">
        <f ca="1">COUNTIF('Knock Out Stages'!M7:M50,BW725)</f>
        <v>0</v>
      </c>
      <c r="CI725" s="306">
        <f ca="1">COUNTIF('Knock Out Stages'!N7:N50,BW725)</f>
        <v>0</v>
      </c>
      <c r="CJ725" s="306">
        <f ca="1">COUNTIF('Knock Out Stages'!O7:O50,BW725)</f>
        <v>0</v>
      </c>
      <c r="CK725" s="306">
        <f ca="1">COUNTIF('Knock Out Stages'!P7:P50,BW725)</f>
        <v>0</v>
      </c>
      <c r="CL725" s="306">
        <f ca="1">COUNTIF('Knock Out Stages'!Q7:Q50,BW725)</f>
        <v>0</v>
      </c>
      <c r="CM725" s="306">
        <f ca="1">COUNTIF('Knock Out Stages'!R7:R50,BW725)</f>
        <v>0</v>
      </c>
      <c r="CN725" s="306">
        <f ca="1">IF(RIGHT('Group Stages'!$B$105,5)="T.com",SUM(BX725:CM725),0)</f>
        <v>0</v>
      </c>
      <c r="CO725" s="306">
        <f ca="1">RANK(CN725,CN3:CN834)+COUNTIF(CN3:CN725,CN725)-1</f>
        <v>723</v>
      </c>
      <c r="CP725" s="306" t="str">
        <f t="shared" ca="1" si="235"/>
        <v>Olivier Ntcham (Cameroon)</v>
      </c>
    </row>
    <row r="726" spans="72:94" x14ac:dyDescent="0.3">
      <c r="BT726" s="306" t="str">
        <f t="shared" ca="1" si="231"/>
        <v>Cameroon</v>
      </c>
      <c r="BU726" s="306">
        <f t="shared" si="232"/>
        <v>21</v>
      </c>
      <c r="BV726" s="306">
        <f t="shared" si="233"/>
        <v>26</v>
      </c>
      <c r="BW726" s="306" t="str">
        <f ca="1">OFFSET(C3,BU726,BV726)</f>
        <v>Oumar Gonzalez</v>
      </c>
      <c r="BX726" s="306">
        <f ca="1">COUNTIF('Group Stages'!J7:J102,BW726)</f>
        <v>0</v>
      </c>
      <c r="BY726" s="306">
        <f ca="1">COUNTIF('Group Stages'!K7:K102,BW726)</f>
        <v>0</v>
      </c>
      <c r="BZ726" s="306">
        <f ca="1">COUNTIF('Group Stages'!L7:L102,BW726)</f>
        <v>0</v>
      </c>
      <c r="CA726" s="306">
        <f ca="1">COUNTIF('Group Stages'!M7:M102,BW726)</f>
        <v>0</v>
      </c>
      <c r="CB726" s="306">
        <f ca="1">COUNTIF('Group Stages'!N7:N102,BW726)</f>
        <v>0</v>
      </c>
      <c r="CC726" s="306">
        <f ca="1">COUNTIF('Group Stages'!O7:O102,BW726)</f>
        <v>0</v>
      </c>
      <c r="CD726" s="306">
        <f ca="1">COUNTIF('Group Stages'!P7:P102,BW726)</f>
        <v>0</v>
      </c>
      <c r="CE726" s="306">
        <f ca="1">COUNTIF('Group Stages'!Q7:Q102,BW726)</f>
        <v>0</v>
      </c>
      <c r="CF726" s="306">
        <f ca="1">COUNTIF('Knock Out Stages'!K7:K50,BW726)</f>
        <v>0</v>
      </c>
      <c r="CG726" s="306">
        <f ca="1">COUNTIF('Knock Out Stages'!L7:L50,BW726)</f>
        <v>0</v>
      </c>
      <c r="CH726" s="306">
        <f ca="1">COUNTIF('Knock Out Stages'!M7:M50,BW726)</f>
        <v>0</v>
      </c>
      <c r="CI726" s="306">
        <f ca="1">COUNTIF('Knock Out Stages'!N7:N50,BW726)</f>
        <v>0</v>
      </c>
      <c r="CJ726" s="306">
        <f ca="1">COUNTIF('Knock Out Stages'!O7:O50,BW726)</f>
        <v>0</v>
      </c>
      <c r="CK726" s="306">
        <f ca="1">COUNTIF('Knock Out Stages'!P7:P50,BW726)</f>
        <v>0</v>
      </c>
      <c r="CL726" s="306">
        <f ca="1">COUNTIF('Knock Out Stages'!Q7:Q50,BW726)</f>
        <v>0</v>
      </c>
      <c r="CM726" s="306">
        <f ca="1">COUNTIF('Knock Out Stages'!R7:R50,BW726)</f>
        <v>0</v>
      </c>
      <c r="CN726" s="306">
        <f ca="1">IF(RIGHT('Group Stages'!$B$105,5)="T.com",SUM(BX726:CM726),0)</f>
        <v>0</v>
      </c>
      <c r="CO726" s="306">
        <f ca="1">RANK(CN726,CN3:CN834)+COUNTIF(CN3:CN726,CN726)-1</f>
        <v>724</v>
      </c>
      <c r="CP726" s="306" t="str">
        <f t="shared" ca="1" si="235"/>
        <v>Oumar Gonzalez (Cameroon)</v>
      </c>
    </row>
    <row r="727" spans="72:94" x14ac:dyDescent="0.3">
      <c r="BT727" s="306" t="str">
        <f t="shared" ca="1" si="231"/>
        <v>Cameroon</v>
      </c>
      <c r="BU727" s="306">
        <f t="shared" si="232"/>
        <v>22</v>
      </c>
      <c r="BV727" s="306">
        <f t="shared" si="233"/>
        <v>26</v>
      </c>
      <c r="BW727" s="306" t="str">
        <f ca="1">OFFSET(C3,BU727,BV727)</f>
        <v>Pierre Kunde</v>
      </c>
      <c r="BX727" s="306">
        <f ca="1">COUNTIF('Group Stages'!J7:J102,BW727)</f>
        <v>0</v>
      </c>
      <c r="BY727" s="306">
        <f ca="1">COUNTIF('Group Stages'!K7:K102,BW727)</f>
        <v>0</v>
      </c>
      <c r="BZ727" s="306">
        <f ca="1">COUNTIF('Group Stages'!L7:L102,BW727)</f>
        <v>0</v>
      </c>
      <c r="CA727" s="306">
        <f ca="1">COUNTIF('Group Stages'!M7:M102,BW727)</f>
        <v>0</v>
      </c>
      <c r="CB727" s="306">
        <f ca="1">COUNTIF('Group Stages'!N7:N102,BW727)</f>
        <v>0</v>
      </c>
      <c r="CC727" s="306">
        <f ca="1">COUNTIF('Group Stages'!O7:O102,BW727)</f>
        <v>0</v>
      </c>
      <c r="CD727" s="306">
        <f ca="1">COUNTIF('Group Stages'!P7:P102,BW727)</f>
        <v>0</v>
      </c>
      <c r="CE727" s="306">
        <f ca="1">COUNTIF('Group Stages'!Q7:Q102,BW727)</f>
        <v>0</v>
      </c>
      <c r="CF727" s="306">
        <f ca="1">COUNTIF('Knock Out Stages'!K7:K50,BW727)</f>
        <v>0</v>
      </c>
      <c r="CG727" s="306">
        <f ca="1">COUNTIF('Knock Out Stages'!L7:L50,BW727)</f>
        <v>0</v>
      </c>
      <c r="CH727" s="306">
        <f ca="1">COUNTIF('Knock Out Stages'!M7:M50,BW727)</f>
        <v>0</v>
      </c>
      <c r="CI727" s="306">
        <f ca="1">COUNTIF('Knock Out Stages'!N7:N50,BW727)</f>
        <v>0</v>
      </c>
      <c r="CJ727" s="306">
        <f ca="1">COUNTIF('Knock Out Stages'!O7:O50,BW727)</f>
        <v>0</v>
      </c>
      <c r="CK727" s="306">
        <f ca="1">COUNTIF('Knock Out Stages'!P7:P50,BW727)</f>
        <v>0</v>
      </c>
      <c r="CL727" s="306">
        <f ca="1">COUNTIF('Knock Out Stages'!Q7:Q50,BW727)</f>
        <v>0</v>
      </c>
      <c r="CM727" s="306">
        <f ca="1">COUNTIF('Knock Out Stages'!R7:R50,BW727)</f>
        <v>0</v>
      </c>
      <c r="CN727" s="306">
        <f ca="1">IF(RIGHT('Group Stages'!$B$105,5)="T.com",SUM(BX727:CM727),0)</f>
        <v>0</v>
      </c>
      <c r="CO727" s="306">
        <f ca="1">RANK(CN727,CN3:CN834)+COUNTIF(CN3:CN727,CN727)-1</f>
        <v>725</v>
      </c>
      <c r="CP727" s="306" t="str">
        <f t="shared" ca="1" si="235"/>
        <v>Pierre Kunde (Cameroon)</v>
      </c>
    </row>
    <row r="728" spans="72:94" x14ac:dyDescent="0.3">
      <c r="BT728" s="306" t="str">
        <f t="shared" ca="1" si="231"/>
        <v>Cameroon</v>
      </c>
      <c r="BU728" s="306">
        <f t="shared" si="232"/>
        <v>23</v>
      </c>
      <c r="BV728" s="306">
        <f t="shared" si="233"/>
        <v>26</v>
      </c>
      <c r="BW728" s="306" t="str">
        <f ca="1">OFFSET(C3,BU728,BV728)</f>
        <v>Samuel Gouet</v>
      </c>
      <c r="BX728" s="306">
        <f ca="1">COUNTIF('Group Stages'!J7:J102,BW728)</f>
        <v>0</v>
      </c>
      <c r="BY728" s="306">
        <f ca="1">COUNTIF('Group Stages'!K7:K102,BW728)</f>
        <v>0</v>
      </c>
      <c r="BZ728" s="306">
        <f ca="1">COUNTIF('Group Stages'!L7:L102,BW728)</f>
        <v>0</v>
      </c>
      <c r="CA728" s="306">
        <f ca="1">COUNTIF('Group Stages'!M7:M102,BW728)</f>
        <v>0</v>
      </c>
      <c r="CB728" s="306">
        <f ca="1">COUNTIF('Group Stages'!N7:N102,BW728)</f>
        <v>0</v>
      </c>
      <c r="CC728" s="306">
        <f ca="1">COUNTIF('Group Stages'!O7:O102,BW728)</f>
        <v>0</v>
      </c>
      <c r="CD728" s="306">
        <f ca="1">COUNTIF('Group Stages'!P7:P102,BW728)</f>
        <v>0</v>
      </c>
      <c r="CE728" s="306">
        <f ca="1">COUNTIF('Group Stages'!Q7:Q102,BW728)</f>
        <v>0</v>
      </c>
      <c r="CF728" s="306">
        <f ca="1">COUNTIF('Knock Out Stages'!K7:K50,BW728)</f>
        <v>0</v>
      </c>
      <c r="CG728" s="306">
        <f ca="1">COUNTIF('Knock Out Stages'!L7:L50,BW728)</f>
        <v>0</v>
      </c>
      <c r="CH728" s="306">
        <f ca="1">COUNTIF('Knock Out Stages'!M7:M50,BW728)</f>
        <v>0</v>
      </c>
      <c r="CI728" s="306">
        <f ca="1">COUNTIF('Knock Out Stages'!N7:N50,BW728)</f>
        <v>0</v>
      </c>
      <c r="CJ728" s="306">
        <f ca="1">COUNTIF('Knock Out Stages'!O7:O50,BW728)</f>
        <v>0</v>
      </c>
      <c r="CK728" s="306">
        <f ca="1">COUNTIF('Knock Out Stages'!P7:P50,BW728)</f>
        <v>0</v>
      </c>
      <c r="CL728" s="306">
        <f ca="1">COUNTIF('Knock Out Stages'!Q7:Q50,BW728)</f>
        <v>0</v>
      </c>
      <c r="CM728" s="306">
        <f ca="1">COUNTIF('Knock Out Stages'!R7:R50,BW728)</f>
        <v>0</v>
      </c>
      <c r="CN728" s="306">
        <f ca="1">IF(RIGHT('Group Stages'!$B$105,5)="T.com",SUM(BX728:CM728),0)</f>
        <v>0</v>
      </c>
      <c r="CO728" s="306">
        <f ca="1">RANK(CN728,CN3:CN834)+COUNTIF(CN3:CN728,CN728)-1</f>
        <v>726</v>
      </c>
      <c r="CP728" s="306" t="str">
        <f t="shared" ca="1" si="235"/>
        <v>Samuel Gouet (Cameroon)</v>
      </c>
    </row>
    <row r="729" spans="72:94" x14ac:dyDescent="0.3">
      <c r="BT729" s="306" t="str">
        <f t="shared" ca="1" si="231"/>
        <v>Cameroon</v>
      </c>
      <c r="BU729" s="306">
        <f t="shared" si="232"/>
        <v>24</v>
      </c>
      <c r="BV729" s="306">
        <f t="shared" si="233"/>
        <v>26</v>
      </c>
      <c r="BW729" s="306" t="str">
        <f ca="1">OFFSET(C3,BU729,BV729)</f>
        <v>Simon Ngapandouetnbu</v>
      </c>
      <c r="BX729" s="306">
        <f ca="1">COUNTIF('Group Stages'!J7:J102,BW729)</f>
        <v>0</v>
      </c>
      <c r="BY729" s="306">
        <f ca="1">COUNTIF('Group Stages'!K7:K102,BW729)</f>
        <v>0</v>
      </c>
      <c r="BZ729" s="306">
        <f ca="1">COUNTIF('Group Stages'!L7:L102,BW729)</f>
        <v>0</v>
      </c>
      <c r="CA729" s="306">
        <f ca="1">COUNTIF('Group Stages'!M7:M102,BW729)</f>
        <v>0</v>
      </c>
      <c r="CB729" s="306">
        <f ca="1">COUNTIF('Group Stages'!N7:N102,BW729)</f>
        <v>0</v>
      </c>
      <c r="CC729" s="306">
        <f ca="1">COUNTIF('Group Stages'!O7:O102,BW729)</f>
        <v>0</v>
      </c>
      <c r="CD729" s="306">
        <f ca="1">COUNTIF('Group Stages'!P7:P102,BW729)</f>
        <v>0</v>
      </c>
      <c r="CE729" s="306">
        <f ca="1">COUNTIF('Group Stages'!Q7:Q102,BW729)</f>
        <v>0</v>
      </c>
      <c r="CF729" s="306">
        <f ca="1">COUNTIF('Knock Out Stages'!K7:K50,BW729)</f>
        <v>0</v>
      </c>
      <c r="CG729" s="306">
        <f ca="1">COUNTIF('Knock Out Stages'!L7:L50,BW729)</f>
        <v>0</v>
      </c>
      <c r="CH729" s="306">
        <f ca="1">COUNTIF('Knock Out Stages'!M7:M50,BW729)</f>
        <v>0</v>
      </c>
      <c r="CI729" s="306">
        <f ca="1">COUNTIF('Knock Out Stages'!N7:N50,BW729)</f>
        <v>0</v>
      </c>
      <c r="CJ729" s="306">
        <f ca="1">COUNTIF('Knock Out Stages'!O7:O50,BW729)</f>
        <v>0</v>
      </c>
      <c r="CK729" s="306">
        <f ca="1">COUNTIF('Knock Out Stages'!P7:P50,BW729)</f>
        <v>0</v>
      </c>
      <c r="CL729" s="306">
        <f ca="1">COUNTIF('Knock Out Stages'!Q7:Q50,BW729)</f>
        <v>0</v>
      </c>
      <c r="CM729" s="306">
        <f ca="1">COUNTIF('Knock Out Stages'!R7:R50,BW729)</f>
        <v>0</v>
      </c>
      <c r="CN729" s="306">
        <f ca="1">IF(RIGHT('Group Stages'!$B$105,5)="T.com",SUM(BX729:CM729),0)</f>
        <v>0</v>
      </c>
      <c r="CO729" s="306">
        <f ca="1">RANK(CN729,CN3:CN834)+COUNTIF(CN3:CN729,CN729)-1</f>
        <v>727</v>
      </c>
      <c r="CP729" s="306" t="str">
        <f t="shared" ca="1" si="235"/>
        <v>Simon Ngapandouetnbu (Cameroon)</v>
      </c>
    </row>
    <row r="730" spans="72:94" x14ac:dyDescent="0.3">
      <c r="BT730" s="306" t="str">
        <f t="shared" ca="1" si="231"/>
        <v>Cameroon</v>
      </c>
      <c r="BU730" s="306">
        <f t="shared" si="232"/>
        <v>25</v>
      </c>
      <c r="BV730" s="306">
        <f t="shared" si="233"/>
        <v>26</v>
      </c>
      <c r="BW730" s="306" t="str">
        <f ca="1">OFFSET(C3,BU730,BV730)</f>
        <v>Vincent Aboubakar</v>
      </c>
      <c r="BX730" s="306">
        <f ca="1">COUNTIF('Group Stages'!J7:J102,BW730)</f>
        <v>0</v>
      </c>
      <c r="BY730" s="306">
        <f ca="1">COUNTIF('Group Stages'!K7:K102,BW730)</f>
        <v>0</v>
      </c>
      <c r="BZ730" s="306">
        <f ca="1">COUNTIF('Group Stages'!L7:L102,BW730)</f>
        <v>0</v>
      </c>
      <c r="CA730" s="306">
        <f ca="1">COUNTIF('Group Stages'!M7:M102,BW730)</f>
        <v>0</v>
      </c>
      <c r="CB730" s="306">
        <f ca="1">COUNTIF('Group Stages'!N7:N102,BW730)</f>
        <v>0</v>
      </c>
      <c r="CC730" s="306">
        <f ca="1">COUNTIF('Group Stages'!O7:O102,BW730)</f>
        <v>0</v>
      </c>
      <c r="CD730" s="306">
        <f ca="1">COUNTIF('Group Stages'!P7:P102,BW730)</f>
        <v>0</v>
      </c>
      <c r="CE730" s="306">
        <f ca="1">COUNTIF('Group Stages'!Q7:Q102,BW730)</f>
        <v>0</v>
      </c>
      <c r="CF730" s="306">
        <f ca="1">COUNTIF('Knock Out Stages'!K7:K50,BW730)</f>
        <v>0</v>
      </c>
      <c r="CG730" s="306">
        <f ca="1">COUNTIF('Knock Out Stages'!L7:L50,BW730)</f>
        <v>0</v>
      </c>
      <c r="CH730" s="306">
        <f ca="1">COUNTIF('Knock Out Stages'!M7:M50,BW730)</f>
        <v>0</v>
      </c>
      <c r="CI730" s="306">
        <f ca="1">COUNTIF('Knock Out Stages'!N7:N50,BW730)</f>
        <v>0</v>
      </c>
      <c r="CJ730" s="306">
        <f ca="1">COUNTIF('Knock Out Stages'!O7:O50,BW730)</f>
        <v>0</v>
      </c>
      <c r="CK730" s="306">
        <f ca="1">COUNTIF('Knock Out Stages'!P7:P50,BW730)</f>
        <v>0</v>
      </c>
      <c r="CL730" s="306">
        <f ca="1">COUNTIF('Knock Out Stages'!Q7:Q50,BW730)</f>
        <v>0</v>
      </c>
      <c r="CM730" s="306">
        <f ca="1">COUNTIF('Knock Out Stages'!R7:R50,BW730)</f>
        <v>0</v>
      </c>
      <c r="CN730" s="306">
        <f ca="1">IF(RIGHT('Group Stages'!$B$105,5)="T.com",SUM(BX730:CM730),0)</f>
        <v>0</v>
      </c>
      <c r="CO730" s="306">
        <f ca="1">RANK(CN730,CN3:CN834)+COUNTIF(CN3:CN730,CN730)-1</f>
        <v>728</v>
      </c>
      <c r="CP730" s="306" t="str">
        <f t="shared" ca="1" si="235"/>
        <v>Vincent Aboubakar (Cameroon)</v>
      </c>
    </row>
    <row r="731" spans="72:94" x14ac:dyDescent="0.3">
      <c r="BT731" s="306" t="str">
        <f ca="1">OFFSET(C2,BU731,BV731)</f>
        <v>Portugal</v>
      </c>
      <c r="BU731" s="306">
        <f t="shared" si="232"/>
        <v>0</v>
      </c>
      <c r="BV731" s="306">
        <f t="shared" si="233"/>
        <v>27</v>
      </c>
      <c r="BW731" s="306" t="str">
        <f ca="1">OFFSET(C3,BU731,BV731)</f>
        <v>André Silva</v>
      </c>
      <c r="BX731" s="306">
        <f ca="1">COUNTIF('Group Stages'!J7:J102,BW731)</f>
        <v>0</v>
      </c>
      <c r="BY731" s="306">
        <f ca="1">COUNTIF('Group Stages'!K7:K102,BW731)</f>
        <v>0</v>
      </c>
      <c r="BZ731" s="306">
        <f ca="1">COUNTIF('Group Stages'!L7:L102,BW731)</f>
        <v>0</v>
      </c>
      <c r="CA731" s="306">
        <f ca="1">COUNTIF('Group Stages'!M7:M102,BW731)</f>
        <v>0</v>
      </c>
      <c r="CB731" s="306">
        <f ca="1">COUNTIF('Group Stages'!N7:N102,BW731)</f>
        <v>0</v>
      </c>
      <c r="CC731" s="306">
        <f ca="1">COUNTIF('Group Stages'!O7:O102,BW731)</f>
        <v>0</v>
      </c>
      <c r="CD731" s="306">
        <f ca="1">COUNTIF('Group Stages'!P7:P102,BW731)</f>
        <v>0</v>
      </c>
      <c r="CE731" s="306">
        <f ca="1">COUNTIF('Group Stages'!Q7:Q102,BW731)</f>
        <v>0</v>
      </c>
      <c r="CF731" s="306">
        <f ca="1">COUNTIF('Knock Out Stages'!K7:K50,BW731)</f>
        <v>0</v>
      </c>
      <c r="CG731" s="306">
        <f ca="1">COUNTIF('Knock Out Stages'!L7:L50,BW731)</f>
        <v>0</v>
      </c>
      <c r="CH731" s="306">
        <f ca="1">COUNTIF('Knock Out Stages'!M7:M50,BW731)</f>
        <v>0</v>
      </c>
      <c r="CI731" s="306">
        <f ca="1">COUNTIF('Knock Out Stages'!N7:N50,BW731)</f>
        <v>0</v>
      </c>
      <c r="CJ731" s="306">
        <f ca="1">COUNTIF('Knock Out Stages'!O7:O50,BW731)</f>
        <v>0</v>
      </c>
      <c r="CK731" s="306">
        <f ca="1">COUNTIF('Knock Out Stages'!P7:P50,BW731)</f>
        <v>0</v>
      </c>
      <c r="CL731" s="306">
        <f ca="1">COUNTIF('Knock Out Stages'!Q7:Q50,BW731)</f>
        <v>0</v>
      </c>
      <c r="CM731" s="306">
        <f ca="1">COUNTIF('Knock Out Stages'!R7:R50,BW731)</f>
        <v>0</v>
      </c>
      <c r="CN731" s="306">
        <f ca="1">IF(RIGHT('Group Stages'!$B$105,5)="T.com",SUM(BX731:CM731),0)</f>
        <v>0</v>
      </c>
      <c r="CO731" s="306">
        <f ca="1">RANK(CN731,CN3:CN834)+COUNTIF(CN3:CN731,CN731)-1</f>
        <v>729</v>
      </c>
      <c r="CP731" s="306" t="str">
        <f t="shared" ca="1" si="235"/>
        <v>André Silva (Portugal)</v>
      </c>
    </row>
    <row r="732" spans="72:94" x14ac:dyDescent="0.3">
      <c r="BT732" s="306" t="str">
        <f t="shared" ref="BT732" ca="1" si="236">BT731</f>
        <v>Portugal</v>
      </c>
      <c r="BU732" s="306">
        <f t="shared" si="232"/>
        <v>1</v>
      </c>
      <c r="BV732" s="306">
        <f t="shared" si="233"/>
        <v>27</v>
      </c>
      <c r="BW732" s="306" t="str">
        <f ca="1">OFFSET(C3,BU732,BV732)</f>
        <v>António Silva</v>
      </c>
      <c r="BX732" s="306">
        <f ca="1">COUNTIF('Group Stages'!J7:J102,BW732)</f>
        <v>0</v>
      </c>
      <c r="BY732" s="306">
        <f ca="1">COUNTIF('Group Stages'!K7:K102,BW732)</f>
        <v>0</v>
      </c>
      <c r="BZ732" s="306">
        <f ca="1">COUNTIF('Group Stages'!L7:L102,BW732)</f>
        <v>0</v>
      </c>
      <c r="CA732" s="306">
        <f ca="1">COUNTIF('Group Stages'!M7:M102,BW732)</f>
        <v>0</v>
      </c>
      <c r="CB732" s="306">
        <f ca="1">COUNTIF('Group Stages'!N7:N102,BW732)</f>
        <v>0</v>
      </c>
      <c r="CC732" s="306">
        <f ca="1">COUNTIF('Group Stages'!O7:O102,BW732)</f>
        <v>0</v>
      </c>
      <c r="CD732" s="306">
        <f ca="1">COUNTIF('Group Stages'!P7:P102,BW732)</f>
        <v>0</v>
      </c>
      <c r="CE732" s="306">
        <f ca="1">COUNTIF('Group Stages'!Q7:Q102,BW732)</f>
        <v>0</v>
      </c>
      <c r="CF732" s="306">
        <f ca="1">COUNTIF('Knock Out Stages'!K7:K50,BW732)</f>
        <v>0</v>
      </c>
      <c r="CG732" s="306">
        <f ca="1">COUNTIF('Knock Out Stages'!L7:L50,BW732)</f>
        <v>0</v>
      </c>
      <c r="CH732" s="306">
        <f ca="1">COUNTIF('Knock Out Stages'!M7:M50,BW732)</f>
        <v>0</v>
      </c>
      <c r="CI732" s="306">
        <f ca="1">COUNTIF('Knock Out Stages'!N7:N50,BW732)</f>
        <v>0</v>
      </c>
      <c r="CJ732" s="306">
        <f ca="1">COUNTIF('Knock Out Stages'!O7:O50,BW732)</f>
        <v>0</v>
      </c>
      <c r="CK732" s="306">
        <f ca="1">COUNTIF('Knock Out Stages'!P7:P50,BW732)</f>
        <v>0</v>
      </c>
      <c r="CL732" s="306">
        <f ca="1">COUNTIF('Knock Out Stages'!Q7:Q50,BW732)</f>
        <v>0</v>
      </c>
      <c r="CM732" s="306">
        <f ca="1">COUNTIF('Knock Out Stages'!R7:R50,BW732)</f>
        <v>0</v>
      </c>
      <c r="CN732" s="306">
        <f ca="1">IF(RIGHT('Group Stages'!$B$105,5)="T.com",SUM(BX732:CM732),0)</f>
        <v>0</v>
      </c>
      <c r="CO732" s="306">
        <f ca="1">RANK(CN732,CN3:CN834)+COUNTIF(CN3:CN732,CN732)-1</f>
        <v>730</v>
      </c>
      <c r="CP732" s="306" t="str">
        <f t="shared" ca="1" si="235"/>
        <v>António Silva (Portugal)</v>
      </c>
    </row>
    <row r="733" spans="72:94" x14ac:dyDescent="0.3">
      <c r="BT733" s="306" t="str">
        <f t="shared" ca="1" si="231"/>
        <v>Portugal</v>
      </c>
      <c r="BU733" s="306">
        <f t="shared" si="232"/>
        <v>2</v>
      </c>
      <c r="BV733" s="306">
        <f t="shared" si="233"/>
        <v>27</v>
      </c>
      <c r="BW733" s="306" t="str">
        <f ca="1">OFFSET(C3,BU733,BV733)</f>
        <v>Bernardo Silva</v>
      </c>
      <c r="BX733" s="306">
        <f ca="1">COUNTIF('Group Stages'!J7:J102,BW733)</f>
        <v>0</v>
      </c>
      <c r="BY733" s="306">
        <f ca="1">COUNTIF('Group Stages'!K7:K102,BW733)</f>
        <v>0</v>
      </c>
      <c r="BZ733" s="306">
        <f ca="1">COUNTIF('Group Stages'!L7:L102,BW733)</f>
        <v>0</v>
      </c>
      <c r="CA733" s="306">
        <f ca="1">COUNTIF('Group Stages'!M7:M102,BW733)</f>
        <v>0</v>
      </c>
      <c r="CB733" s="306">
        <f ca="1">COUNTIF('Group Stages'!N7:N102,BW733)</f>
        <v>0</v>
      </c>
      <c r="CC733" s="306">
        <f ca="1">COUNTIF('Group Stages'!O7:O102,BW733)</f>
        <v>0</v>
      </c>
      <c r="CD733" s="306">
        <f ca="1">COUNTIF('Group Stages'!P7:P102,BW733)</f>
        <v>0</v>
      </c>
      <c r="CE733" s="306">
        <f ca="1">COUNTIF('Group Stages'!Q7:Q102,BW733)</f>
        <v>0</v>
      </c>
      <c r="CF733" s="306">
        <f ca="1">COUNTIF('Knock Out Stages'!K7:K50,BW733)</f>
        <v>0</v>
      </c>
      <c r="CG733" s="306">
        <f ca="1">COUNTIF('Knock Out Stages'!L7:L50,BW733)</f>
        <v>0</v>
      </c>
      <c r="CH733" s="306">
        <f ca="1">COUNTIF('Knock Out Stages'!M7:M50,BW733)</f>
        <v>0</v>
      </c>
      <c r="CI733" s="306">
        <f ca="1">COUNTIF('Knock Out Stages'!N7:N50,BW733)</f>
        <v>0</v>
      </c>
      <c r="CJ733" s="306">
        <f ca="1">COUNTIF('Knock Out Stages'!O7:O50,BW733)</f>
        <v>0</v>
      </c>
      <c r="CK733" s="306">
        <f ca="1">COUNTIF('Knock Out Stages'!P7:P50,BW733)</f>
        <v>0</v>
      </c>
      <c r="CL733" s="306">
        <f ca="1">COUNTIF('Knock Out Stages'!Q7:Q50,BW733)</f>
        <v>0</v>
      </c>
      <c r="CM733" s="306">
        <f ca="1">COUNTIF('Knock Out Stages'!R7:R50,BW733)</f>
        <v>0</v>
      </c>
      <c r="CN733" s="306">
        <f ca="1">IF(RIGHT('Group Stages'!$B$105,5)="T.com",SUM(BX733:CM733),0)</f>
        <v>0</v>
      </c>
      <c r="CO733" s="306">
        <f ca="1">RANK(CN733,CN3:CN834)+COUNTIF(CN3:CN733,CN733)-1</f>
        <v>731</v>
      </c>
      <c r="CP733" s="306" t="str">
        <f t="shared" ca="1" si="235"/>
        <v>Bernardo Silva (Portugal)</v>
      </c>
    </row>
    <row r="734" spans="72:94" x14ac:dyDescent="0.3">
      <c r="BT734" s="306" t="str">
        <f t="shared" ca="1" si="231"/>
        <v>Portugal</v>
      </c>
      <c r="BU734" s="306">
        <f t="shared" si="232"/>
        <v>3</v>
      </c>
      <c r="BV734" s="306">
        <f t="shared" si="233"/>
        <v>27</v>
      </c>
      <c r="BW734" s="306" t="str">
        <f ca="1">OFFSET(C3,BU734,BV734)</f>
        <v>Bruno Fernandes</v>
      </c>
      <c r="BX734" s="306">
        <f ca="1">COUNTIF('Group Stages'!J7:J102,BW734)</f>
        <v>0</v>
      </c>
      <c r="BY734" s="306">
        <f ca="1">COUNTIF('Group Stages'!K7:K102,BW734)</f>
        <v>0</v>
      </c>
      <c r="BZ734" s="306">
        <f ca="1">COUNTIF('Group Stages'!L7:L102,BW734)</f>
        <v>0</v>
      </c>
      <c r="CA734" s="306">
        <f ca="1">COUNTIF('Group Stages'!M7:M102,BW734)</f>
        <v>0</v>
      </c>
      <c r="CB734" s="306">
        <f ca="1">COUNTIF('Group Stages'!N7:N102,BW734)</f>
        <v>0</v>
      </c>
      <c r="CC734" s="306">
        <f ca="1">COUNTIF('Group Stages'!O7:O102,BW734)</f>
        <v>0</v>
      </c>
      <c r="CD734" s="306">
        <f ca="1">COUNTIF('Group Stages'!P7:P102,BW734)</f>
        <v>0</v>
      </c>
      <c r="CE734" s="306">
        <f ca="1">COUNTIF('Group Stages'!Q7:Q102,BW734)</f>
        <v>0</v>
      </c>
      <c r="CF734" s="306">
        <f ca="1">COUNTIF('Knock Out Stages'!K7:K50,BW734)</f>
        <v>0</v>
      </c>
      <c r="CG734" s="306">
        <f ca="1">COUNTIF('Knock Out Stages'!L7:L50,BW734)</f>
        <v>0</v>
      </c>
      <c r="CH734" s="306">
        <f ca="1">COUNTIF('Knock Out Stages'!M7:M50,BW734)</f>
        <v>0</v>
      </c>
      <c r="CI734" s="306">
        <f ca="1">COUNTIF('Knock Out Stages'!N7:N50,BW734)</f>
        <v>0</v>
      </c>
      <c r="CJ734" s="306">
        <f ca="1">COUNTIF('Knock Out Stages'!O7:O50,BW734)</f>
        <v>0</v>
      </c>
      <c r="CK734" s="306">
        <f ca="1">COUNTIF('Knock Out Stages'!P7:P50,BW734)</f>
        <v>0</v>
      </c>
      <c r="CL734" s="306">
        <f ca="1">COUNTIF('Knock Out Stages'!Q7:Q50,BW734)</f>
        <v>0</v>
      </c>
      <c r="CM734" s="306">
        <f ca="1">COUNTIF('Knock Out Stages'!R7:R50,BW734)</f>
        <v>0</v>
      </c>
      <c r="CN734" s="306">
        <f ca="1">IF(RIGHT('Group Stages'!$B$105,5)="T.com",SUM(BX734:CM734),0)</f>
        <v>0</v>
      </c>
      <c r="CO734" s="306">
        <f ca="1">RANK(CN734,CN3:CN834)+COUNTIF(CN3:CN734,CN734)-1</f>
        <v>732</v>
      </c>
      <c r="CP734" s="306" t="str">
        <f t="shared" ca="1" si="235"/>
        <v>Bruno Fernandes (Portugal)</v>
      </c>
    </row>
    <row r="735" spans="72:94" x14ac:dyDescent="0.3">
      <c r="BT735" s="306" t="str">
        <f t="shared" ca="1" si="231"/>
        <v>Portugal</v>
      </c>
      <c r="BU735" s="306">
        <f t="shared" si="232"/>
        <v>4</v>
      </c>
      <c r="BV735" s="306">
        <f t="shared" si="233"/>
        <v>27</v>
      </c>
      <c r="BW735" s="306" t="str">
        <f ca="1">OFFSET(C3,BU735,BV735)</f>
        <v>Cristiano Ronaldo</v>
      </c>
      <c r="BX735" s="306">
        <f ca="1">COUNTIF('Group Stages'!J7:J102,BW735)</f>
        <v>0</v>
      </c>
      <c r="BY735" s="306">
        <f ca="1">COUNTIF('Group Stages'!K7:K102,BW735)</f>
        <v>0</v>
      </c>
      <c r="BZ735" s="306">
        <f ca="1">COUNTIF('Group Stages'!L7:L102,BW735)</f>
        <v>0</v>
      </c>
      <c r="CA735" s="306">
        <f ca="1">COUNTIF('Group Stages'!M7:M102,BW735)</f>
        <v>0</v>
      </c>
      <c r="CB735" s="306">
        <f ca="1">COUNTIF('Group Stages'!N7:N102,BW735)</f>
        <v>0</v>
      </c>
      <c r="CC735" s="306">
        <f ca="1">COUNTIF('Group Stages'!O7:O102,BW735)</f>
        <v>0</v>
      </c>
      <c r="CD735" s="306">
        <f ca="1">COUNTIF('Group Stages'!P7:P102,BW735)</f>
        <v>0</v>
      </c>
      <c r="CE735" s="306">
        <f ca="1">COUNTIF('Group Stages'!Q7:Q102,BW735)</f>
        <v>0</v>
      </c>
      <c r="CF735" s="306">
        <f ca="1">COUNTIF('Knock Out Stages'!K7:K50,BW735)</f>
        <v>0</v>
      </c>
      <c r="CG735" s="306">
        <f ca="1">COUNTIF('Knock Out Stages'!L7:L50,BW735)</f>
        <v>0</v>
      </c>
      <c r="CH735" s="306">
        <f ca="1">COUNTIF('Knock Out Stages'!M7:M50,BW735)</f>
        <v>0</v>
      </c>
      <c r="CI735" s="306">
        <f ca="1">COUNTIF('Knock Out Stages'!N7:N50,BW735)</f>
        <v>0</v>
      </c>
      <c r="CJ735" s="306">
        <f ca="1">COUNTIF('Knock Out Stages'!O7:O50,BW735)</f>
        <v>0</v>
      </c>
      <c r="CK735" s="306">
        <f ca="1">COUNTIF('Knock Out Stages'!P7:P50,BW735)</f>
        <v>0</v>
      </c>
      <c r="CL735" s="306">
        <f ca="1">COUNTIF('Knock Out Stages'!Q7:Q50,BW735)</f>
        <v>0</v>
      </c>
      <c r="CM735" s="306">
        <f ca="1">COUNTIF('Knock Out Stages'!R7:R50,BW735)</f>
        <v>0</v>
      </c>
      <c r="CN735" s="306">
        <f ca="1">IF(RIGHT('Group Stages'!$B$105,5)="T.com",SUM(BX735:CM735),0)</f>
        <v>0</v>
      </c>
      <c r="CO735" s="306">
        <f ca="1">RANK(CN735,CN3:CN834)+COUNTIF(CN3:CN735,CN735)-1</f>
        <v>733</v>
      </c>
      <c r="CP735" s="306" t="str">
        <f t="shared" ca="1" si="235"/>
        <v>Cristiano Ronaldo (Portugal)</v>
      </c>
    </row>
    <row r="736" spans="72:94" x14ac:dyDescent="0.3">
      <c r="BT736" s="306" t="str">
        <f t="shared" ca="1" si="231"/>
        <v>Portugal</v>
      </c>
      <c r="BU736" s="306">
        <f t="shared" si="232"/>
        <v>5</v>
      </c>
      <c r="BV736" s="306">
        <f t="shared" si="233"/>
        <v>27</v>
      </c>
      <c r="BW736" s="306" t="str">
        <f ca="1">OFFSET(C3,BU736,BV736)</f>
        <v>Danilo Pereira</v>
      </c>
      <c r="BX736" s="306">
        <f ca="1">COUNTIF('Group Stages'!J7:J102,BW736)</f>
        <v>0</v>
      </c>
      <c r="BY736" s="306">
        <f ca="1">COUNTIF('Group Stages'!K7:K102,BW736)</f>
        <v>0</v>
      </c>
      <c r="BZ736" s="306">
        <f ca="1">COUNTIF('Group Stages'!L7:L102,BW736)</f>
        <v>0</v>
      </c>
      <c r="CA736" s="306">
        <f ca="1">COUNTIF('Group Stages'!M7:M102,BW736)</f>
        <v>0</v>
      </c>
      <c r="CB736" s="306">
        <f ca="1">COUNTIF('Group Stages'!N7:N102,BW736)</f>
        <v>0</v>
      </c>
      <c r="CC736" s="306">
        <f ca="1">COUNTIF('Group Stages'!O7:O102,BW736)</f>
        <v>0</v>
      </c>
      <c r="CD736" s="306">
        <f ca="1">COUNTIF('Group Stages'!P7:P102,BW736)</f>
        <v>0</v>
      </c>
      <c r="CE736" s="306">
        <f ca="1">COUNTIF('Group Stages'!Q7:Q102,BW736)</f>
        <v>0</v>
      </c>
      <c r="CF736" s="306">
        <f ca="1">COUNTIF('Knock Out Stages'!K7:K50,BW736)</f>
        <v>0</v>
      </c>
      <c r="CG736" s="306">
        <f ca="1">COUNTIF('Knock Out Stages'!L7:L50,BW736)</f>
        <v>0</v>
      </c>
      <c r="CH736" s="306">
        <f ca="1">COUNTIF('Knock Out Stages'!M7:M50,BW736)</f>
        <v>0</v>
      </c>
      <c r="CI736" s="306">
        <f ca="1">COUNTIF('Knock Out Stages'!N7:N50,BW736)</f>
        <v>0</v>
      </c>
      <c r="CJ736" s="306">
        <f ca="1">COUNTIF('Knock Out Stages'!O7:O50,BW736)</f>
        <v>0</v>
      </c>
      <c r="CK736" s="306">
        <f ca="1">COUNTIF('Knock Out Stages'!P7:P50,BW736)</f>
        <v>0</v>
      </c>
      <c r="CL736" s="306">
        <f ca="1">COUNTIF('Knock Out Stages'!Q7:Q50,BW736)</f>
        <v>0</v>
      </c>
      <c r="CM736" s="306">
        <f ca="1">COUNTIF('Knock Out Stages'!R7:R50,BW736)</f>
        <v>0</v>
      </c>
      <c r="CN736" s="306">
        <f ca="1">IF(RIGHT('Group Stages'!$B$105,5)="T.com",SUM(BX736:CM736),0)</f>
        <v>0</v>
      </c>
      <c r="CO736" s="306">
        <f ca="1">RANK(CN736,CN3:CN834)+COUNTIF(CN3:CN736,CN736)-1</f>
        <v>734</v>
      </c>
      <c r="CP736" s="306" t="str">
        <f t="shared" ca="1" si="235"/>
        <v>Danilo Pereira (Portugal)</v>
      </c>
    </row>
    <row r="737" spans="72:94" x14ac:dyDescent="0.3">
      <c r="BT737" s="306" t="str">
        <f t="shared" ca="1" si="231"/>
        <v>Portugal</v>
      </c>
      <c r="BU737" s="306">
        <f t="shared" si="232"/>
        <v>6</v>
      </c>
      <c r="BV737" s="306">
        <f t="shared" si="233"/>
        <v>27</v>
      </c>
      <c r="BW737" s="306" t="str">
        <f ca="1">OFFSET(C3,BU737,BV737)</f>
        <v>Diogo Costa</v>
      </c>
      <c r="BX737" s="306">
        <f ca="1">COUNTIF('Group Stages'!J7:J102,BW737)</f>
        <v>0</v>
      </c>
      <c r="BY737" s="306">
        <f ca="1">COUNTIF('Group Stages'!K7:K102,BW737)</f>
        <v>0</v>
      </c>
      <c r="BZ737" s="306">
        <f ca="1">COUNTIF('Group Stages'!L7:L102,BW737)</f>
        <v>0</v>
      </c>
      <c r="CA737" s="306">
        <f ca="1">COUNTIF('Group Stages'!M7:M102,BW737)</f>
        <v>0</v>
      </c>
      <c r="CB737" s="306">
        <f ca="1">COUNTIF('Group Stages'!N7:N102,BW737)</f>
        <v>0</v>
      </c>
      <c r="CC737" s="306">
        <f ca="1">COUNTIF('Group Stages'!O7:O102,BW737)</f>
        <v>0</v>
      </c>
      <c r="CD737" s="306">
        <f ca="1">COUNTIF('Group Stages'!P7:P102,BW737)</f>
        <v>0</v>
      </c>
      <c r="CE737" s="306">
        <f ca="1">COUNTIF('Group Stages'!Q7:Q102,BW737)</f>
        <v>0</v>
      </c>
      <c r="CF737" s="306">
        <f ca="1">COUNTIF('Knock Out Stages'!K7:K50,BW737)</f>
        <v>0</v>
      </c>
      <c r="CG737" s="306">
        <f ca="1">COUNTIF('Knock Out Stages'!L7:L50,BW737)</f>
        <v>0</v>
      </c>
      <c r="CH737" s="306">
        <f ca="1">COUNTIF('Knock Out Stages'!M7:M50,BW737)</f>
        <v>0</v>
      </c>
      <c r="CI737" s="306">
        <f ca="1">COUNTIF('Knock Out Stages'!N7:N50,BW737)</f>
        <v>0</v>
      </c>
      <c r="CJ737" s="306">
        <f ca="1">COUNTIF('Knock Out Stages'!O7:O50,BW737)</f>
        <v>0</v>
      </c>
      <c r="CK737" s="306">
        <f ca="1">COUNTIF('Knock Out Stages'!P7:P50,BW737)</f>
        <v>0</v>
      </c>
      <c r="CL737" s="306">
        <f ca="1">COUNTIF('Knock Out Stages'!Q7:Q50,BW737)</f>
        <v>0</v>
      </c>
      <c r="CM737" s="306">
        <f ca="1">COUNTIF('Knock Out Stages'!R7:R50,BW737)</f>
        <v>0</v>
      </c>
      <c r="CN737" s="306">
        <f ca="1">IF(RIGHT('Group Stages'!$B$105,5)="T.com",SUM(BX737:CM737),0)</f>
        <v>0</v>
      </c>
      <c r="CO737" s="306">
        <f ca="1">RANK(CN737,CN3:CN834)+COUNTIF(CN3:CN737,CN737)-1</f>
        <v>735</v>
      </c>
      <c r="CP737" s="306" t="str">
        <f t="shared" ca="1" si="235"/>
        <v>Diogo Costa (Portugal)</v>
      </c>
    </row>
    <row r="738" spans="72:94" x14ac:dyDescent="0.3">
      <c r="BT738" s="306" t="str">
        <f t="shared" ca="1" si="231"/>
        <v>Portugal</v>
      </c>
      <c r="BU738" s="306">
        <f t="shared" si="232"/>
        <v>7</v>
      </c>
      <c r="BV738" s="306">
        <f t="shared" si="233"/>
        <v>27</v>
      </c>
      <c r="BW738" s="306" t="str">
        <f ca="1">OFFSET(C3,BU738,BV738)</f>
        <v>Diogo Dalot</v>
      </c>
      <c r="BX738" s="306">
        <f ca="1">COUNTIF('Group Stages'!J7:J102,BW738)</f>
        <v>0</v>
      </c>
      <c r="BY738" s="306">
        <f ca="1">COUNTIF('Group Stages'!K7:K102,BW738)</f>
        <v>0</v>
      </c>
      <c r="BZ738" s="306">
        <f ca="1">COUNTIF('Group Stages'!L7:L102,BW738)</f>
        <v>0</v>
      </c>
      <c r="CA738" s="306">
        <f ca="1">COUNTIF('Group Stages'!M7:M102,BW738)</f>
        <v>0</v>
      </c>
      <c r="CB738" s="306">
        <f ca="1">COUNTIF('Group Stages'!N7:N102,BW738)</f>
        <v>0</v>
      </c>
      <c r="CC738" s="306">
        <f ca="1">COUNTIF('Group Stages'!O7:O102,BW738)</f>
        <v>0</v>
      </c>
      <c r="CD738" s="306">
        <f ca="1">COUNTIF('Group Stages'!P7:P102,BW738)</f>
        <v>0</v>
      </c>
      <c r="CE738" s="306">
        <f ca="1">COUNTIF('Group Stages'!Q7:Q102,BW738)</f>
        <v>0</v>
      </c>
      <c r="CF738" s="306">
        <f ca="1">COUNTIF('Knock Out Stages'!K7:K50,BW738)</f>
        <v>0</v>
      </c>
      <c r="CG738" s="306">
        <f ca="1">COUNTIF('Knock Out Stages'!L7:L50,BW738)</f>
        <v>0</v>
      </c>
      <c r="CH738" s="306">
        <f ca="1">COUNTIF('Knock Out Stages'!M7:M50,BW738)</f>
        <v>0</v>
      </c>
      <c r="CI738" s="306">
        <f ca="1">COUNTIF('Knock Out Stages'!N7:N50,BW738)</f>
        <v>0</v>
      </c>
      <c r="CJ738" s="306">
        <f ca="1">COUNTIF('Knock Out Stages'!O7:O50,BW738)</f>
        <v>0</v>
      </c>
      <c r="CK738" s="306">
        <f ca="1">COUNTIF('Knock Out Stages'!P7:P50,BW738)</f>
        <v>0</v>
      </c>
      <c r="CL738" s="306">
        <f ca="1">COUNTIF('Knock Out Stages'!Q7:Q50,BW738)</f>
        <v>0</v>
      </c>
      <c r="CM738" s="306">
        <f ca="1">COUNTIF('Knock Out Stages'!R7:R50,BW738)</f>
        <v>0</v>
      </c>
      <c r="CN738" s="306">
        <f ca="1">IF(RIGHT('Group Stages'!$B$105,5)="T.com",SUM(BX738:CM738),0)</f>
        <v>0</v>
      </c>
      <c r="CO738" s="306">
        <f ca="1">RANK(CN738,CN3:CN834)+COUNTIF(CN3:CN738,CN738)-1</f>
        <v>736</v>
      </c>
      <c r="CP738" s="306" t="str">
        <f t="shared" ca="1" si="235"/>
        <v>Diogo Dalot (Portugal)</v>
      </c>
    </row>
    <row r="739" spans="72:94" x14ac:dyDescent="0.3">
      <c r="BT739" s="306" t="str">
        <f t="shared" ca="1" si="231"/>
        <v>Portugal</v>
      </c>
      <c r="BU739" s="306">
        <f t="shared" si="232"/>
        <v>8</v>
      </c>
      <c r="BV739" s="306">
        <f t="shared" si="233"/>
        <v>27</v>
      </c>
      <c r="BW739" s="306" t="str">
        <f ca="1">OFFSET(C3,BU739,BV739)</f>
        <v>Gonçalo Ramos</v>
      </c>
      <c r="BX739" s="306">
        <f ca="1">COUNTIF('Group Stages'!J7:J102,BW739)</f>
        <v>0</v>
      </c>
      <c r="BY739" s="306">
        <f ca="1">COUNTIF('Group Stages'!K7:K102,BW739)</f>
        <v>0</v>
      </c>
      <c r="BZ739" s="306">
        <f ca="1">COUNTIF('Group Stages'!L7:L102,BW739)</f>
        <v>0</v>
      </c>
      <c r="CA739" s="306">
        <f ca="1">COUNTIF('Group Stages'!M7:M102,BW739)</f>
        <v>0</v>
      </c>
      <c r="CB739" s="306">
        <f ca="1">COUNTIF('Group Stages'!N7:N102,BW739)</f>
        <v>0</v>
      </c>
      <c r="CC739" s="306">
        <f ca="1">COUNTIF('Group Stages'!O7:O102,BW739)</f>
        <v>0</v>
      </c>
      <c r="CD739" s="306">
        <f ca="1">COUNTIF('Group Stages'!P7:P102,BW739)</f>
        <v>0</v>
      </c>
      <c r="CE739" s="306">
        <f ca="1">COUNTIF('Group Stages'!Q7:Q102,BW739)</f>
        <v>0</v>
      </c>
      <c r="CF739" s="306">
        <f ca="1">COUNTIF('Knock Out Stages'!K7:K50,BW739)</f>
        <v>0</v>
      </c>
      <c r="CG739" s="306">
        <f ca="1">COUNTIF('Knock Out Stages'!L7:L50,BW739)</f>
        <v>0</v>
      </c>
      <c r="CH739" s="306">
        <f ca="1">COUNTIF('Knock Out Stages'!M7:M50,BW739)</f>
        <v>0</v>
      </c>
      <c r="CI739" s="306">
        <f ca="1">COUNTIF('Knock Out Stages'!N7:N50,BW739)</f>
        <v>0</v>
      </c>
      <c r="CJ739" s="306">
        <f ca="1">COUNTIF('Knock Out Stages'!O7:O50,BW739)</f>
        <v>0</v>
      </c>
      <c r="CK739" s="306">
        <f ca="1">COUNTIF('Knock Out Stages'!P7:P50,BW739)</f>
        <v>0</v>
      </c>
      <c r="CL739" s="306">
        <f ca="1">COUNTIF('Knock Out Stages'!Q7:Q50,BW739)</f>
        <v>0</v>
      </c>
      <c r="CM739" s="306">
        <f ca="1">COUNTIF('Knock Out Stages'!R7:R50,BW739)</f>
        <v>0</v>
      </c>
      <c r="CN739" s="306">
        <f ca="1">IF(RIGHT('Group Stages'!$B$105,5)="T.com",SUM(BX739:CM739),0)</f>
        <v>0</v>
      </c>
      <c r="CO739" s="306">
        <f ca="1">RANK(CN739,CN3:CN834)+COUNTIF(CN3:CN739,CN739)-1</f>
        <v>737</v>
      </c>
      <c r="CP739" s="306" t="str">
        <f t="shared" ca="1" si="235"/>
        <v>Gonçalo Ramos (Portugal)</v>
      </c>
    </row>
    <row r="740" spans="72:94" x14ac:dyDescent="0.3">
      <c r="BT740" s="306" t="str">
        <f t="shared" ca="1" si="231"/>
        <v>Portugal</v>
      </c>
      <c r="BU740" s="306">
        <f t="shared" si="232"/>
        <v>9</v>
      </c>
      <c r="BV740" s="306">
        <f t="shared" si="233"/>
        <v>27</v>
      </c>
      <c r="BW740" s="306" t="str">
        <f ca="1">OFFSET(C3,BU740,BV740)</f>
        <v>João Cancelo</v>
      </c>
      <c r="BX740" s="306">
        <f ca="1">COUNTIF('Group Stages'!J7:J102,BW740)</f>
        <v>0</v>
      </c>
      <c r="BY740" s="306">
        <f ca="1">COUNTIF('Group Stages'!K7:K102,BW740)</f>
        <v>0</v>
      </c>
      <c r="BZ740" s="306">
        <f ca="1">COUNTIF('Group Stages'!L7:L102,BW740)</f>
        <v>0</v>
      </c>
      <c r="CA740" s="306">
        <f ca="1">COUNTIF('Group Stages'!M7:M102,BW740)</f>
        <v>0</v>
      </c>
      <c r="CB740" s="306">
        <f ca="1">COUNTIF('Group Stages'!N7:N102,BW740)</f>
        <v>0</v>
      </c>
      <c r="CC740" s="306">
        <f ca="1">COUNTIF('Group Stages'!O7:O102,BW740)</f>
        <v>0</v>
      </c>
      <c r="CD740" s="306">
        <f ca="1">COUNTIF('Group Stages'!P7:P102,BW740)</f>
        <v>0</v>
      </c>
      <c r="CE740" s="306">
        <f ca="1">COUNTIF('Group Stages'!Q7:Q102,BW740)</f>
        <v>0</v>
      </c>
      <c r="CF740" s="306">
        <f ca="1">COUNTIF('Knock Out Stages'!K7:K50,BW740)</f>
        <v>0</v>
      </c>
      <c r="CG740" s="306">
        <f ca="1">COUNTIF('Knock Out Stages'!L7:L50,BW740)</f>
        <v>0</v>
      </c>
      <c r="CH740" s="306">
        <f ca="1">COUNTIF('Knock Out Stages'!M7:M50,BW740)</f>
        <v>0</v>
      </c>
      <c r="CI740" s="306">
        <f ca="1">COUNTIF('Knock Out Stages'!N7:N50,BW740)</f>
        <v>0</v>
      </c>
      <c r="CJ740" s="306">
        <f ca="1">COUNTIF('Knock Out Stages'!O7:O50,BW740)</f>
        <v>0</v>
      </c>
      <c r="CK740" s="306">
        <f ca="1">COUNTIF('Knock Out Stages'!P7:P50,BW740)</f>
        <v>0</v>
      </c>
      <c r="CL740" s="306">
        <f ca="1">COUNTIF('Knock Out Stages'!Q7:Q50,BW740)</f>
        <v>0</v>
      </c>
      <c r="CM740" s="306">
        <f ca="1">COUNTIF('Knock Out Stages'!R7:R50,BW740)</f>
        <v>0</v>
      </c>
      <c r="CN740" s="306">
        <f ca="1">IF(RIGHT('Group Stages'!$B$105,5)="T.com",SUM(BX740:CM740),0)</f>
        <v>0</v>
      </c>
      <c r="CO740" s="306">
        <f ca="1">RANK(CN740,CN3:CN834)+COUNTIF(CN3:CN740,CN740)-1</f>
        <v>738</v>
      </c>
      <c r="CP740" s="306" t="str">
        <f t="shared" ca="1" si="235"/>
        <v>João Cancelo (Portugal)</v>
      </c>
    </row>
    <row r="741" spans="72:94" x14ac:dyDescent="0.3">
      <c r="BT741" s="306" t="str">
        <f t="shared" ca="1" si="231"/>
        <v>Portugal</v>
      </c>
      <c r="BU741" s="306">
        <f t="shared" si="232"/>
        <v>10</v>
      </c>
      <c r="BV741" s="306">
        <f t="shared" si="233"/>
        <v>27</v>
      </c>
      <c r="BW741" s="306" t="str">
        <f ca="1">OFFSET(C3,BU741,BV741)</f>
        <v>João Félix</v>
      </c>
      <c r="BX741" s="306">
        <f ca="1">COUNTIF('Group Stages'!J7:J102,BW741)</f>
        <v>0</v>
      </c>
      <c r="BY741" s="306">
        <f ca="1">COUNTIF('Group Stages'!K7:K102,BW741)</f>
        <v>0</v>
      </c>
      <c r="BZ741" s="306">
        <f ca="1">COUNTIF('Group Stages'!L7:L102,BW741)</f>
        <v>0</v>
      </c>
      <c r="CA741" s="306">
        <f ca="1">COUNTIF('Group Stages'!M7:M102,BW741)</f>
        <v>0</v>
      </c>
      <c r="CB741" s="306">
        <f ca="1">COUNTIF('Group Stages'!N7:N102,BW741)</f>
        <v>0</v>
      </c>
      <c r="CC741" s="306">
        <f ca="1">COUNTIF('Group Stages'!O7:O102,BW741)</f>
        <v>0</v>
      </c>
      <c r="CD741" s="306">
        <f ca="1">COUNTIF('Group Stages'!P7:P102,BW741)</f>
        <v>0</v>
      </c>
      <c r="CE741" s="306">
        <f ca="1">COUNTIF('Group Stages'!Q7:Q102,BW741)</f>
        <v>0</v>
      </c>
      <c r="CF741" s="306">
        <f ca="1">COUNTIF('Knock Out Stages'!K7:K50,BW741)</f>
        <v>0</v>
      </c>
      <c r="CG741" s="306">
        <f ca="1">COUNTIF('Knock Out Stages'!L7:L50,BW741)</f>
        <v>0</v>
      </c>
      <c r="CH741" s="306">
        <f ca="1">COUNTIF('Knock Out Stages'!M7:M50,BW741)</f>
        <v>0</v>
      </c>
      <c r="CI741" s="306">
        <f ca="1">COUNTIF('Knock Out Stages'!N7:N50,BW741)</f>
        <v>0</v>
      </c>
      <c r="CJ741" s="306">
        <f ca="1">COUNTIF('Knock Out Stages'!O7:O50,BW741)</f>
        <v>0</v>
      </c>
      <c r="CK741" s="306">
        <f ca="1">COUNTIF('Knock Out Stages'!P7:P50,BW741)</f>
        <v>0</v>
      </c>
      <c r="CL741" s="306">
        <f ca="1">COUNTIF('Knock Out Stages'!Q7:Q50,BW741)</f>
        <v>0</v>
      </c>
      <c r="CM741" s="306">
        <f ca="1">COUNTIF('Knock Out Stages'!R7:R50,BW741)</f>
        <v>0</v>
      </c>
      <c r="CN741" s="306">
        <f ca="1">IF(RIGHT('Group Stages'!$B$105,5)="T.com",SUM(BX741:CM741),0)</f>
        <v>0</v>
      </c>
      <c r="CO741" s="306">
        <f ca="1">RANK(CN741,CN3:CN834)+COUNTIF(CN3:CN741,CN741)-1</f>
        <v>739</v>
      </c>
      <c r="CP741" s="306" t="str">
        <f t="shared" ca="1" si="235"/>
        <v>João Félix (Portugal)</v>
      </c>
    </row>
    <row r="742" spans="72:94" x14ac:dyDescent="0.3">
      <c r="BT742" s="306" t="str">
        <f t="shared" ca="1" si="231"/>
        <v>Portugal</v>
      </c>
      <c r="BU742" s="306">
        <f t="shared" si="232"/>
        <v>11</v>
      </c>
      <c r="BV742" s="306">
        <f t="shared" si="233"/>
        <v>27</v>
      </c>
      <c r="BW742" s="306" t="str">
        <f ca="1">OFFSET(C3,BU742,BV742)</f>
        <v>João Mário</v>
      </c>
      <c r="BX742" s="306">
        <f ca="1">COUNTIF('Group Stages'!J7:J102,BW742)</f>
        <v>0</v>
      </c>
      <c r="BY742" s="306">
        <f ca="1">COUNTIF('Group Stages'!K7:K102,BW742)</f>
        <v>0</v>
      </c>
      <c r="BZ742" s="306">
        <f ca="1">COUNTIF('Group Stages'!L7:L102,BW742)</f>
        <v>0</v>
      </c>
      <c r="CA742" s="306">
        <f ca="1">COUNTIF('Group Stages'!M7:M102,BW742)</f>
        <v>0</v>
      </c>
      <c r="CB742" s="306">
        <f ca="1">COUNTIF('Group Stages'!N7:N102,BW742)</f>
        <v>0</v>
      </c>
      <c r="CC742" s="306">
        <f ca="1">COUNTIF('Group Stages'!O7:O102,BW742)</f>
        <v>0</v>
      </c>
      <c r="CD742" s="306">
        <f ca="1">COUNTIF('Group Stages'!P7:P102,BW742)</f>
        <v>0</v>
      </c>
      <c r="CE742" s="306">
        <f ca="1">COUNTIF('Group Stages'!Q7:Q102,BW742)</f>
        <v>0</v>
      </c>
      <c r="CF742" s="306">
        <f ca="1">COUNTIF('Knock Out Stages'!K7:K50,BW742)</f>
        <v>0</v>
      </c>
      <c r="CG742" s="306">
        <f ca="1">COUNTIF('Knock Out Stages'!L7:L50,BW742)</f>
        <v>0</v>
      </c>
      <c r="CH742" s="306">
        <f ca="1">COUNTIF('Knock Out Stages'!M7:M50,BW742)</f>
        <v>0</v>
      </c>
      <c r="CI742" s="306">
        <f ca="1">COUNTIF('Knock Out Stages'!N7:N50,BW742)</f>
        <v>0</v>
      </c>
      <c r="CJ742" s="306">
        <f ca="1">COUNTIF('Knock Out Stages'!O7:O50,BW742)</f>
        <v>0</v>
      </c>
      <c r="CK742" s="306">
        <f ca="1">COUNTIF('Knock Out Stages'!P7:P50,BW742)</f>
        <v>0</v>
      </c>
      <c r="CL742" s="306">
        <f ca="1">COUNTIF('Knock Out Stages'!Q7:Q50,BW742)</f>
        <v>0</v>
      </c>
      <c r="CM742" s="306">
        <f ca="1">COUNTIF('Knock Out Stages'!R7:R50,BW742)</f>
        <v>0</v>
      </c>
      <c r="CN742" s="306">
        <f ca="1">IF(RIGHT('Group Stages'!$B$105,5)="T.com",SUM(BX742:CM742),0)</f>
        <v>0</v>
      </c>
      <c r="CO742" s="306">
        <f ca="1">RANK(CN742,CN3:CN834)+COUNTIF(CN3:CN742,CN742)-1</f>
        <v>740</v>
      </c>
      <c r="CP742" s="306" t="str">
        <f t="shared" ca="1" si="235"/>
        <v>João Mário (Portugal)</v>
      </c>
    </row>
    <row r="743" spans="72:94" x14ac:dyDescent="0.3">
      <c r="BT743" s="306" t="str">
        <f t="shared" ca="1" si="231"/>
        <v>Portugal</v>
      </c>
      <c r="BU743" s="306">
        <f t="shared" si="232"/>
        <v>12</v>
      </c>
      <c r="BV743" s="306">
        <f t="shared" si="233"/>
        <v>27</v>
      </c>
      <c r="BW743" s="306" t="str">
        <f ca="1">OFFSET(C3,BU743,BV743)</f>
        <v>João Palhinha</v>
      </c>
      <c r="BX743" s="306">
        <f ca="1">COUNTIF('Group Stages'!J7:J102,BW743)</f>
        <v>0</v>
      </c>
      <c r="BY743" s="306">
        <f ca="1">COUNTIF('Group Stages'!K7:K102,BW743)</f>
        <v>0</v>
      </c>
      <c r="BZ743" s="306">
        <f ca="1">COUNTIF('Group Stages'!L7:L102,BW743)</f>
        <v>0</v>
      </c>
      <c r="CA743" s="306">
        <f ca="1">COUNTIF('Group Stages'!M7:M102,BW743)</f>
        <v>0</v>
      </c>
      <c r="CB743" s="306">
        <f ca="1">COUNTIF('Group Stages'!N7:N102,BW743)</f>
        <v>0</v>
      </c>
      <c r="CC743" s="306">
        <f ca="1">COUNTIF('Group Stages'!O7:O102,BW743)</f>
        <v>0</v>
      </c>
      <c r="CD743" s="306">
        <f ca="1">COUNTIF('Group Stages'!P7:P102,BW743)</f>
        <v>0</v>
      </c>
      <c r="CE743" s="306">
        <f ca="1">COUNTIF('Group Stages'!Q7:Q102,BW743)</f>
        <v>0</v>
      </c>
      <c r="CF743" s="306">
        <f ca="1">COUNTIF('Knock Out Stages'!K7:K50,BW743)</f>
        <v>0</v>
      </c>
      <c r="CG743" s="306">
        <f ca="1">COUNTIF('Knock Out Stages'!L7:L50,BW743)</f>
        <v>0</v>
      </c>
      <c r="CH743" s="306">
        <f ca="1">COUNTIF('Knock Out Stages'!M7:M50,BW743)</f>
        <v>0</v>
      </c>
      <c r="CI743" s="306">
        <f ca="1">COUNTIF('Knock Out Stages'!N7:N50,BW743)</f>
        <v>0</v>
      </c>
      <c r="CJ743" s="306">
        <f ca="1">COUNTIF('Knock Out Stages'!O7:O50,BW743)</f>
        <v>0</v>
      </c>
      <c r="CK743" s="306">
        <f ca="1">COUNTIF('Knock Out Stages'!P7:P50,BW743)</f>
        <v>0</v>
      </c>
      <c r="CL743" s="306">
        <f ca="1">COUNTIF('Knock Out Stages'!Q7:Q50,BW743)</f>
        <v>0</v>
      </c>
      <c r="CM743" s="306">
        <f ca="1">COUNTIF('Knock Out Stages'!R7:R50,BW743)</f>
        <v>0</v>
      </c>
      <c r="CN743" s="306">
        <f ca="1">IF(RIGHT('Group Stages'!$B$105,5)="T.com",SUM(BX743:CM743),0)</f>
        <v>0</v>
      </c>
      <c r="CO743" s="306">
        <f ca="1">RANK(CN743,CN3:CN834)+COUNTIF(CN3:CN743,CN743)-1</f>
        <v>741</v>
      </c>
      <c r="CP743" s="306" t="str">
        <f t="shared" ca="1" si="235"/>
        <v>João Palhinha (Portugal)</v>
      </c>
    </row>
    <row r="744" spans="72:94" x14ac:dyDescent="0.3">
      <c r="BT744" s="306" t="str">
        <f t="shared" ca="1" si="231"/>
        <v>Portugal</v>
      </c>
      <c r="BU744" s="306">
        <f t="shared" si="232"/>
        <v>13</v>
      </c>
      <c r="BV744" s="306">
        <f t="shared" si="233"/>
        <v>27</v>
      </c>
      <c r="BW744" s="306" t="str">
        <f ca="1">OFFSET(C3,BU744,BV744)</f>
        <v>José Sá</v>
      </c>
      <c r="BX744" s="306">
        <f ca="1">COUNTIF('Group Stages'!J7:J102,BW744)</f>
        <v>0</v>
      </c>
      <c r="BY744" s="306">
        <f ca="1">COUNTIF('Group Stages'!K7:K102,BW744)</f>
        <v>0</v>
      </c>
      <c r="BZ744" s="306">
        <f ca="1">COUNTIF('Group Stages'!L7:L102,BW744)</f>
        <v>0</v>
      </c>
      <c r="CA744" s="306">
        <f ca="1">COUNTIF('Group Stages'!M7:M102,BW744)</f>
        <v>0</v>
      </c>
      <c r="CB744" s="306">
        <f ca="1">COUNTIF('Group Stages'!N7:N102,BW744)</f>
        <v>0</v>
      </c>
      <c r="CC744" s="306">
        <f ca="1">COUNTIF('Group Stages'!O7:O102,BW744)</f>
        <v>0</v>
      </c>
      <c r="CD744" s="306">
        <f ca="1">COUNTIF('Group Stages'!P7:P102,BW744)</f>
        <v>0</v>
      </c>
      <c r="CE744" s="306">
        <f ca="1">COUNTIF('Group Stages'!Q7:Q102,BW744)</f>
        <v>0</v>
      </c>
      <c r="CF744" s="306">
        <f ca="1">COUNTIF('Knock Out Stages'!K7:K50,BW744)</f>
        <v>0</v>
      </c>
      <c r="CG744" s="306">
        <f ca="1">COUNTIF('Knock Out Stages'!L7:L50,BW744)</f>
        <v>0</v>
      </c>
      <c r="CH744" s="306">
        <f ca="1">COUNTIF('Knock Out Stages'!M7:M50,BW744)</f>
        <v>0</v>
      </c>
      <c r="CI744" s="306">
        <f ca="1">COUNTIF('Knock Out Stages'!N7:N50,BW744)</f>
        <v>0</v>
      </c>
      <c r="CJ744" s="306">
        <f ca="1">COUNTIF('Knock Out Stages'!O7:O50,BW744)</f>
        <v>0</v>
      </c>
      <c r="CK744" s="306">
        <f ca="1">COUNTIF('Knock Out Stages'!P7:P50,BW744)</f>
        <v>0</v>
      </c>
      <c r="CL744" s="306">
        <f ca="1">COUNTIF('Knock Out Stages'!Q7:Q50,BW744)</f>
        <v>0</v>
      </c>
      <c r="CM744" s="306">
        <f ca="1">COUNTIF('Knock Out Stages'!R7:R50,BW744)</f>
        <v>0</v>
      </c>
      <c r="CN744" s="306">
        <f ca="1">IF(RIGHT('Group Stages'!$B$105,5)="T.com",SUM(BX744:CM744),0)</f>
        <v>0</v>
      </c>
      <c r="CO744" s="306">
        <f ca="1">RANK(CN744,CN3:CN834)+COUNTIF(CN3:CN744,CN744)-1</f>
        <v>742</v>
      </c>
      <c r="CP744" s="306" t="str">
        <f t="shared" ca="1" si="235"/>
        <v>José Sá (Portugal)</v>
      </c>
    </row>
    <row r="745" spans="72:94" x14ac:dyDescent="0.3">
      <c r="BT745" s="306" t="str">
        <f t="shared" ca="1" si="231"/>
        <v>Portugal</v>
      </c>
      <c r="BU745" s="306">
        <f t="shared" si="232"/>
        <v>14</v>
      </c>
      <c r="BV745" s="306">
        <f t="shared" si="233"/>
        <v>27</v>
      </c>
      <c r="BW745" s="306" t="str">
        <f ca="1">OFFSET(C3,BU745,BV745)</f>
        <v>Matheus Nunes</v>
      </c>
      <c r="BX745" s="306">
        <f ca="1">COUNTIF('Group Stages'!J7:J102,BW745)</f>
        <v>0</v>
      </c>
      <c r="BY745" s="306">
        <f ca="1">COUNTIF('Group Stages'!K7:K102,BW745)</f>
        <v>0</v>
      </c>
      <c r="BZ745" s="306">
        <f ca="1">COUNTIF('Group Stages'!L7:L102,BW745)</f>
        <v>0</v>
      </c>
      <c r="CA745" s="306">
        <f ca="1">COUNTIF('Group Stages'!M7:M102,BW745)</f>
        <v>0</v>
      </c>
      <c r="CB745" s="306">
        <f ca="1">COUNTIF('Group Stages'!N7:N102,BW745)</f>
        <v>0</v>
      </c>
      <c r="CC745" s="306">
        <f ca="1">COUNTIF('Group Stages'!O7:O102,BW745)</f>
        <v>0</v>
      </c>
      <c r="CD745" s="306">
        <f ca="1">COUNTIF('Group Stages'!P7:P102,BW745)</f>
        <v>0</v>
      </c>
      <c r="CE745" s="306">
        <f ca="1">COUNTIF('Group Stages'!Q7:Q102,BW745)</f>
        <v>0</v>
      </c>
      <c r="CF745" s="306">
        <f ca="1">COUNTIF('Knock Out Stages'!K7:K50,BW745)</f>
        <v>0</v>
      </c>
      <c r="CG745" s="306">
        <f ca="1">COUNTIF('Knock Out Stages'!L7:L50,BW745)</f>
        <v>0</v>
      </c>
      <c r="CH745" s="306">
        <f ca="1">COUNTIF('Knock Out Stages'!M7:M50,BW745)</f>
        <v>0</v>
      </c>
      <c r="CI745" s="306">
        <f ca="1">COUNTIF('Knock Out Stages'!N7:N50,BW745)</f>
        <v>0</v>
      </c>
      <c r="CJ745" s="306">
        <f ca="1">COUNTIF('Knock Out Stages'!O7:O50,BW745)</f>
        <v>0</v>
      </c>
      <c r="CK745" s="306">
        <f ca="1">COUNTIF('Knock Out Stages'!P7:P50,BW745)</f>
        <v>0</v>
      </c>
      <c r="CL745" s="306">
        <f ca="1">COUNTIF('Knock Out Stages'!Q7:Q50,BW745)</f>
        <v>0</v>
      </c>
      <c r="CM745" s="306">
        <f ca="1">COUNTIF('Knock Out Stages'!R7:R50,BW745)</f>
        <v>0</v>
      </c>
      <c r="CN745" s="306">
        <f ca="1">IF(RIGHT('Group Stages'!$B$105,5)="T.com",SUM(BX745:CM745),0)</f>
        <v>0</v>
      </c>
      <c r="CO745" s="306">
        <f ca="1">RANK(CN745,CN3:CN834)+COUNTIF(CN3:CN745,CN745)-1</f>
        <v>743</v>
      </c>
      <c r="CP745" s="306" t="str">
        <f t="shared" ca="1" si="235"/>
        <v>Matheus Nunes (Portugal)</v>
      </c>
    </row>
    <row r="746" spans="72:94" x14ac:dyDescent="0.3">
      <c r="BT746" s="306" t="str">
        <f t="shared" ca="1" si="231"/>
        <v>Portugal</v>
      </c>
      <c r="BU746" s="306">
        <f t="shared" si="232"/>
        <v>15</v>
      </c>
      <c r="BV746" s="306">
        <f t="shared" si="233"/>
        <v>27</v>
      </c>
      <c r="BW746" s="306" t="str">
        <f ca="1">OFFSET(C3,BU746,BV746)</f>
        <v>Nuno Mendes</v>
      </c>
      <c r="BX746" s="306">
        <f ca="1">COUNTIF('Group Stages'!J7:J102,BW746)</f>
        <v>0</v>
      </c>
      <c r="BY746" s="306">
        <f ca="1">COUNTIF('Group Stages'!K7:K102,BW746)</f>
        <v>0</v>
      </c>
      <c r="BZ746" s="306">
        <f ca="1">COUNTIF('Group Stages'!L7:L102,BW746)</f>
        <v>0</v>
      </c>
      <c r="CA746" s="306">
        <f ca="1">COUNTIF('Group Stages'!M7:M102,BW746)</f>
        <v>0</v>
      </c>
      <c r="CB746" s="306">
        <f ca="1">COUNTIF('Group Stages'!N7:N102,BW746)</f>
        <v>0</v>
      </c>
      <c r="CC746" s="306">
        <f ca="1">COUNTIF('Group Stages'!O7:O102,BW746)</f>
        <v>0</v>
      </c>
      <c r="CD746" s="306">
        <f ca="1">COUNTIF('Group Stages'!P7:P102,BW746)</f>
        <v>0</v>
      </c>
      <c r="CE746" s="306">
        <f ca="1">COUNTIF('Group Stages'!Q7:Q102,BW746)</f>
        <v>0</v>
      </c>
      <c r="CF746" s="306">
        <f ca="1">COUNTIF('Knock Out Stages'!K7:K50,BW746)</f>
        <v>0</v>
      </c>
      <c r="CG746" s="306">
        <f ca="1">COUNTIF('Knock Out Stages'!L7:L50,BW746)</f>
        <v>0</v>
      </c>
      <c r="CH746" s="306">
        <f ca="1">COUNTIF('Knock Out Stages'!M7:M50,BW746)</f>
        <v>0</v>
      </c>
      <c r="CI746" s="306">
        <f ca="1">COUNTIF('Knock Out Stages'!N7:N50,BW746)</f>
        <v>0</v>
      </c>
      <c r="CJ746" s="306">
        <f ca="1">COUNTIF('Knock Out Stages'!O7:O50,BW746)</f>
        <v>0</v>
      </c>
      <c r="CK746" s="306">
        <f ca="1">COUNTIF('Knock Out Stages'!P7:P50,BW746)</f>
        <v>0</v>
      </c>
      <c r="CL746" s="306">
        <f ca="1">COUNTIF('Knock Out Stages'!Q7:Q50,BW746)</f>
        <v>0</v>
      </c>
      <c r="CM746" s="306">
        <f ca="1">COUNTIF('Knock Out Stages'!R7:R50,BW746)</f>
        <v>0</v>
      </c>
      <c r="CN746" s="306">
        <f ca="1">IF(RIGHT('Group Stages'!$B$105,5)="T.com",SUM(BX746:CM746),0)</f>
        <v>0</v>
      </c>
      <c r="CO746" s="306">
        <f ca="1">RANK(CN746,CN3:CN834)+COUNTIF(CN3:CN746,CN746)-1</f>
        <v>744</v>
      </c>
      <c r="CP746" s="306" t="str">
        <f t="shared" ca="1" si="235"/>
        <v>Nuno Mendes (Portugal)</v>
      </c>
    </row>
    <row r="747" spans="72:94" x14ac:dyDescent="0.3">
      <c r="BT747" s="306" t="str">
        <f t="shared" ca="1" si="231"/>
        <v>Portugal</v>
      </c>
      <c r="BU747" s="306">
        <f t="shared" si="232"/>
        <v>16</v>
      </c>
      <c r="BV747" s="306">
        <f t="shared" si="233"/>
        <v>27</v>
      </c>
      <c r="BW747" s="306" t="str">
        <f ca="1">OFFSET(C3,BU747,BV747)</f>
        <v>Otávio</v>
      </c>
      <c r="BX747" s="306">
        <f ca="1">COUNTIF('Group Stages'!J7:J102,BW747)</f>
        <v>0</v>
      </c>
      <c r="BY747" s="306">
        <f ca="1">COUNTIF('Group Stages'!K7:K102,BW747)</f>
        <v>0</v>
      </c>
      <c r="BZ747" s="306">
        <f ca="1">COUNTIF('Group Stages'!L7:L102,BW747)</f>
        <v>0</v>
      </c>
      <c r="CA747" s="306">
        <f ca="1">COUNTIF('Group Stages'!M7:M102,BW747)</f>
        <v>0</v>
      </c>
      <c r="CB747" s="306">
        <f ca="1">COUNTIF('Group Stages'!N7:N102,BW747)</f>
        <v>0</v>
      </c>
      <c r="CC747" s="306">
        <f ca="1">COUNTIF('Group Stages'!O7:O102,BW747)</f>
        <v>0</v>
      </c>
      <c r="CD747" s="306">
        <f ca="1">COUNTIF('Group Stages'!P7:P102,BW747)</f>
        <v>0</v>
      </c>
      <c r="CE747" s="306">
        <f ca="1">COUNTIF('Group Stages'!Q7:Q102,BW747)</f>
        <v>0</v>
      </c>
      <c r="CF747" s="306">
        <f ca="1">COUNTIF('Knock Out Stages'!K7:K50,BW747)</f>
        <v>0</v>
      </c>
      <c r="CG747" s="306">
        <f ca="1">COUNTIF('Knock Out Stages'!L7:L50,BW747)</f>
        <v>0</v>
      </c>
      <c r="CH747" s="306">
        <f ca="1">COUNTIF('Knock Out Stages'!M7:M50,BW747)</f>
        <v>0</v>
      </c>
      <c r="CI747" s="306">
        <f ca="1">COUNTIF('Knock Out Stages'!N7:N50,BW747)</f>
        <v>0</v>
      </c>
      <c r="CJ747" s="306">
        <f ca="1">COUNTIF('Knock Out Stages'!O7:O50,BW747)</f>
        <v>0</v>
      </c>
      <c r="CK747" s="306">
        <f ca="1">COUNTIF('Knock Out Stages'!P7:P50,BW747)</f>
        <v>0</v>
      </c>
      <c r="CL747" s="306">
        <f ca="1">COUNTIF('Knock Out Stages'!Q7:Q50,BW747)</f>
        <v>0</v>
      </c>
      <c r="CM747" s="306">
        <f ca="1">COUNTIF('Knock Out Stages'!R7:R50,BW747)</f>
        <v>0</v>
      </c>
      <c r="CN747" s="306">
        <f ca="1">IF(RIGHT('Group Stages'!$B$105,5)="T.com",SUM(BX747:CM747),0)</f>
        <v>0</v>
      </c>
      <c r="CO747" s="306">
        <f ca="1">RANK(CN747,CN3:CN834)+COUNTIF(CN3:CN747,CN747)-1</f>
        <v>745</v>
      </c>
      <c r="CP747" s="306" t="str">
        <f t="shared" ca="1" si="235"/>
        <v>Otávio (Portugal)</v>
      </c>
    </row>
    <row r="748" spans="72:94" x14ac:dyDescent="0.3">
      <c r="BT748" s="306" t="str">
        <f t="shared" ca="1" si="231"/>
        <v>Portugal</v>
      </c>
      <c r="BU748" s="306">
        <f t="shared" si="232"/>
        <v>17</v>
      </c>
      <c r="BV748" s="306">
        <f t="shared" si="233"/>
        <v>27</v>
      </c>
      <c r="BW748" s="306" t="str">
        <f ca="1">OFFSET(C3,BU748,BV748)</f>
        <v>Pepe</v>
      </c>
      <c r="BX748" s="306">
        <f ca="1">COUNTIF('Group Stages'!J7:J102,BW748)</f>
        <v>0</v>
      </c>
      <c r="BY748" s="306">
        <f ca="1">COUNTIF('Group Stages'!K7:K102,BW748)</f>
        <v>0</v>
      </c>
      <c r="BZ748" s="306">
        <f ca="1">COUNTIF('Group Stages'!L7:L102,BW748)</f>
        <v>0</v>
      </c>
      <c r="CA748" s="306">
        <f ca="1">COUNTIF('Group Stages'!M7:M102,BW748)</f>
        <v>0</v>
      </c>
      <c r="CB748" s="306">
        <f ca="1">COUNTIF('Group Stages'!N7:N102,BW748)</f>
        <v>0</v>
      </c>
      <c r="CC748" s="306">
        <f ca="1">COUNTIF('Group Stages'!O7:O102,BW748)</f>
        <v>0</v>
      </c>
      <c r="CD748" s="306">
        <f ca="1">COUNTIF('Group Stages'!P7:P102,BW748)</f>
        <v>0</v>
      </c>
      <c r="CE748" s="306">
        <f ca="1">COUNTIF('Group Stages'!Q7:Q102,BW748)</f>
        <v>0</v>
      </c>
      <c r="CF748" s="306">
        <f ca="1">COUNTIF('Knock Out Stages'!K7:K50,BW748)</f>
        <v>0</v>
      </c>
      <c r="CG748" s="306">
        <f ca="1">COUNTIF('Knock Out Stages'!L7:L50,BW748)</f>
        <v>0</v>
      </c>
      <c r="CH748" s="306">
        <f ca="1">COUNTIF('Knock Out Stages'!M7:M50,BW748)</f>
        <v>0</v>
      </c>
      <c r="CI748" s="306">
        <f ca="1">COUNTIF('Knock Out Stages'!N7:N50,BW748)</f>
        <v>0</v>
      </c>
      <c r="CJ748" s="306">
        <f ca="1">COUNTIF('Knock Out Stages'!O7:O50,BW748)</f>
        <v>0</v>
      </c>
      <c r="CK748" s="306">
        <f ca="1">COUNTIF('Knock Out Stages'!P7:P50,BW748)</f>
        <v>0</v>
      </c>
      <c r="CL748" s="306">
        <f ca="1">COUNTIF('Knock Out Stages'!Q7:Q50,BW748)</f>
        <v>0</v>
      </c>
      <c r="CM748" s="306">
        <f ca="1">COUNTIF('Knock Out Stages'!R7:R50,BW748)</f>
        <v>0</v>
      </c>
      <c r="CN748" s="306">
        <f ca="1">IF(RIGHT('Group Stages'!$B$105,5)="T.com",SUM(BX748:CM748),0)</f>
        <v>0</v>
      </c>
      <c r="CO748" s="306">
        <f ca="1">RANK(CN748,CN3:CN834)+COUNTIF(CN3:CN748,CN748)-1</f>
        <v>746</v>
      </c>
      <c r="CP748" s="306" t="str">
        <f t="shared" ca="1" si="235"/>
        <v>Pepe (Portugal)</v>
      </c>
    </row>
    <row r="749" spans="72:94" x14ac:dyDescent="0.3">
      <c r="BT749" s="306" t="str">
        <f t="shared" ca="1" si="231"/>
        <v>Portugal</v>
      </c>
      <c r="BU749" s="306">
        <f t="shared" si="232"/>
        <v>18</v>
      </c>
      <c r="BV749" s="306">
        <f t="shared" si="233"/>
        <v>27</v>
      </c>
      <c r="BW749" s="306" t="str">
        <f ca="1">OFFSET(C3,BU749,BV749)</f>
        <v>Rafael Leão</v>
      </c>
      <c r="BX749" s="306">
        <f ca="1">COUNTIF('Group Stages'!J7:J102,BW749)</f>
        <v>0</v>
      </c>
      <c r="BY749" s="306">
        <f ca="1">COUNTIF('Group Stages'!K7:K102,BW749)</f>
        <v>0</v>
      </c>
      <c r="BZ749" s="306">
        <f ca="1">COUNTIF('Group Stages'!L7:L102,BW749)</f>
        <v>0</v>
      </c>
      <c r="CA749" s="306">
        <f ca="1">COUNTIF('Group Stages'!M7:M102,BW749)</f>
        <v>0</v>
      </c>
      <c r="CB749" s="306">
        <f ca="1">COUNTIF('Group Stages'!N7:N102,BW749)</f>
        <v>0</v>
      </c>
      <c r="CC749" s="306">
        <f ca="1">COUNTIF('Group Stages'!O7:O102,BW749)</f>
        <v>0</v>
      </c>
      <c r="CD749" s="306">
        <f ca="1">COUNTIF('Group Stages'!P7:P102,BW749)</f>
        <v>0</v>
      </c>
      <c r="CE749" s="306">
        <f ca="1">COUNTIF('Group Stages'!Q7:Q102,BW749)</f>
        <v>0</v>
      </c>
      <c r="CF749" s="306">
        <f ca="1">COUNTIF('Knock Out Stages'!K7:K50,BW749)</f>
        <v>0</v>
      </c>
      <c r="CG749" s="306">
        <f ca="1">COUNTIF('Knock Out Stages'!L7:L50,BW749)</f>
        <v>0</v>
      </c>
      <c r="CH749" s="306">
        <f ca="1">COUNTIF('Knock Out Stages'!M7:M50,BW749)</f>
        <v>0</v>
      </c>
      <c r="CI749" s="306">
        <f ca="1">COUNTIF('Knock Out Stages'!N7:N50,BW749)</f>
        <v>0</v>
      </c>
      <c r="CJ749" s="306">
        <f ca="1">COUNTIF('Knock Out Stages'!O7:O50,BW749)</f>
        <v>0</v>
      </c>
      <c r="CK749" s="306">
        <f ca="1">COUNTIF('Knock Out Stages'!P7:P50,BW749)</f>
        <v>0</v>
      </c>
      <c r="CL749" s="306">
        <f ca="1">COUNTIF('Knock Out Stages'!Q7:Q50,BW749)</f>
        <v>0</v>
      </c>
      <c r="CM749" s="306">
        <f ca="1">COUNTIF('Knock Out Stages'!R7:R50,BW749)</f>
        <v>0</v>
      </c>
      <c r="CN749" s="306">
        <f ca="1">IF(RIGHT('Group Stages'!$B$105,5)="T.com",SUM(BX749:CM749),0)</f>
        <v>0</v>
      </c>
      <c r="CO749" s="306">
        <f ca="1">RANK(CN749,CN3:CN834)+COUNTIF(CN3:CN749,CN749)-1</f>
        <v>747</v>
      </c>
      <c r="CP749" s="306" t="str">
        <f t="shared" ca="1" si="235"/>
        <v>Rafael Leão (Portugal)</v>
      </c>
    </row>
    <row r="750" spans="72:94" x14ac:dyDescent="0.3">
      <c r="BT750" s="306" t="str">
        <f t="shared" ca="1" si="231"/>
        <v>Portugal</v>
      </c>
      <c r="BU750" s="306">
        <f t="shared" si="232"/>
        <v>19</v>
      </c>
      <c r="BV750" s="306">
        <f t="shared" si="233"/>
        <v>27</v>
      </c>
      <c r="BW750" s="306" t="str">
        <f ca="1">OFFSET(C3,BU750,BV750)</f>
        <v>Raphaël Guerreiro</v>
      </c>
      <c r="BX750" s="306">
        <f ca="1">COUNTIF('Group Stages'!J7:J102,BW750)</f>
        <v>0</v>
      </c>
      <c r="BY750" s="306">
        <f ca="1">COUNTIF('Group Stages'!K7:K102,BW750)</f>
        <v>0</v>
      </c>
      <c r="BZ750" s="306">
        <f ca="1">COUNTIF('Group Stages'!L7:L102,BW750)</f>
        <v>0</v>
      </c>
      <c r="CA750" s="306">
        <f ca="1">COUNTIF('Group Stages'!M7:M102,BW750)</f>
        <v>0</v>
      </c>
      <c r="CB750" s="306">
        <f ca="1">COUNTIF('Group Stages'!N7:N102,BW750)</f>
        <v>0</v>
      </c>
      <c r="CC750" s="306">
        <f ca="1">COUNTIF('Group Stages'!O7:O102,BW750)</f>
        <v>0</v>
      </c>
      <c r="CD750" s="306">
        <f ca="1">COUNTIF('Group Stages'!P7:P102,BW750)</f>
        <v>0</v>
      </c>
      <c r="CE750" s="306">
        <f ca="1">COUNTIF('Group Stages'!Q7:Q102,BW750)</f>
        <v>0</v>
      </c>
      <c r="CF750" s="306">
        <f ca="1">COUNTIF('Knock Out Stages'!K7:K50,BW750)</f>
        <v>0</v>
      </c>
      <c r="CG750" s="306">
        <f ca="1">COUNTIF('Knock Out Stages'!L7:L50,BW750)</f>
        <v>0</v>
      </c>
      <c r="CH750" s="306">
        <f ca="1">COUNTIF('Knock Out Stages'!M7:M50,BW750)</f>
        <v>0</v>
      </c>
      <c r="CI750" s="306">
        <f ca="1">COUNTIF('Knock Out Stages'!N7:N50,BW750)</f>
        <v>0</v>
      </c>
      <c r="CJ750" s="306">
        <f ca="1">COUNTIF('Knock Out Stages'!O7:O50,BW750)</f>
        <v>0</v>
      </c>
      <c r="CK750" s="306">
        <f ca="1">COUNTIF('Knock Out Stages'!P7:P50,BW750)</f>
        <v>0</v>
      </c>
      <c r="CL750" s="306">
        <f ca="1">COUNTIF('Knock Out Stages'!Q7:Q50,BW750)</f>
        <v>0</v>
      </c>
      <c r="CM750" s="306">
        <f ca="1">COUNTIF('Knock Out Stages'!R7:R50,BW750)</f>
        <v>0</v>
      </c>
      <c r="CN750" s="306">
        <f ca="1">IF(RIGHT('Group Stages'!$B$105,5)="T.com",SUM(BX750:CM750),0)</f>
        <v>0</v>
      </c>
      <c r="CO750" s="306">
        <f ca="1">RANK(CN750,CN3:CN834)+COUNTIF(CN3:CN750,CN750)-1</f>
        <v>748</v>
      </c>
      <c r="CP750" s="306" t="str">
        <f t="shared" ca="1" si="235"/>
        <v>Raphaël Guerreiro (Portugal)</v>
      </c>
    </row>
    <row r="751" spans="72:94" x14ac:dyDescent="0.3">
      <c r="BT751" s="306" t="str">
        <f t="shared" ca="1" si="231"/>
        <v>Portugal</v>
      </c>
      <c r="BU751" s="306">
        <f t="shared" si="232"/>
        <v>20</v>
      </c>
      <c r="BV751" s="306">
        <f t="shared" si="233"/>
        <v>27</v>
      </c>
      <c r="BW751" s="306" t="str">
        <f ca="1">OFFSET(C3,BU751,BV751)</f>
        <v>Ricardo Horta</v>
      </c>
      <c r="BX751" s="306">
        <f ca="1">COUNTIF('Group Stages'!J7:J102,BW751)</f>
        <v>0</v>
      </c>
      <c r="BY751" s="306">
        <f ca="1">COUNTIF('Group Stages'!K7:K102,BW751)</f>
        <v>0</v>
      </c>
      <c r="BZ751" s="306">
        <f ca="1">COUNTIF('Group Stages'!L7:L102,BW751)</f>
        <v>0</v>
      </c>
      <c r="CA751" s="306">
        <f ca="1">COUNTIF('Group Stages'!M7:M102,BW751)</f>
        <v>0</v>
      </c>
      <c r="CB751" s="306">
        <f ca="1">COUNTIF('Group Stages'!N7:N102,BW751)</f>
        <v>0</v>
      </c>
      <c r="CC751" s="306">
        <f ca="1">COUNTIF('Group Stages'!O7:O102,BW751)</f>
        <v>0</v>
      </c>
      <c r="CD751" s="306">
        <f ca="1">COUNTIF('Group Stages'!P7:P102,BW751)</f>
        <v>0</v>
      </c>
      <c r="CE751" s="306">
        <f ca="1">COUNTIF('Group Stages'!Q7:Q102,BW751)</f>
        <v>0</v>
      </c>
      <c r="CF751" s="306">
        <f ca="1">COUNTIF('Knock Out Stages'!K7:K50,BW751)</f>
        <v>0</v>
      </c>
      <c r="CG751" s="306">
        <f ca="1">COUNTIF('Knock Out Stages'!L7:L50,BW751)</f>
        <v>0</v>
      </c>
      <c r="CH751" s="306">
        <f ca="1">COUNTIF('Knock Out Stages'!M7:M50,BW751)</f>
        <v>0</v>
      </c>
      <c r="CI751" s="306">
        <f ca="1">COUNTIF('Knock Out Stages'!N7:N50,BW751)</f>
        <v>0</v>
      </c>
      <c r="CJ751" s="306">
        <f ca="1">COUNTIF('Knock Out Stages'!O7:O50,BW751)</f>
        <v>0</v>
      </c>
      <c r="CK751" s="306">
        <f ca="1">COUNTIF('Knock Out Stages'!P7:P50,BW751)</f>
        <v>0</v>
      </c>
      <c r="CL751" s="306">
        <f ca="1">COUNTIF('Knock Out Stages'!Q7:Q50,BW751)</f>
        <v>0</v>
      </c>
      <c r="CM751" s="306">
        <f ca="1">COUNTIF('Knock Out Stages'!R7:R50,BW751)</f>
        <v>0</v>
      </c>
      <c r="CN751" s="306">
        <f ca="1">IF(RIGHT('Group Stages'!$B$105,5)="T.com",SUM(BX751:CM751),0)</f>
        <v>0</v>
      </c>
      <c r="CO751" s="306">
        <f ca="1">RANK(CN751,CN3:CN834)+COUNTIF(CN3:CN751,CN751)-1</f>
        <v>749</v>
      </c>
      <c r="CP751" s="306" t="str">
        <f t="shared" ca="1" si="235"/>
        <v>Ricardo Horta (Portugal)</v>
      </c>
    </row>
    <row r="752" spans="72:94" x14ac:dyDescent="0.3">
      <c r="BT752" s="306" t="str">
        <f t="shared" ca="1" si="231"/>
        <v>Portugal</v>
      </c>
      <c r="BU752" s="306">
        <f t="shared" si="232"/>
        <v>21</v>
      </c>
      <c r="BV752" s="306">
        <f t="shared" si="233"/>
        <v>27</v>
      </c>
      <c r="BW752" s="306" t="str">
        <f ca="1">OFFSET(C3,BU752,BV752)</f>
        <v>Rúben Dias</v>
      </c>
      <c r="BX752" s="306">
        <f ca="1">COUNTIF('Group Stages'!J7:J102,BW752)</f>
        <v>0</v>
      </c>
      <c r="BY752" s="306">
        <f ca="1">COUNTIF('Group Stages'!K7:K102,BW752)</f>
        <v>0</v>
      </c>
      <c r="BZ752" s="306">
        <f ca="1">COUNTIF('Group Stages'!L7:L102,BW752)</f>
        <v>0</v>
      </c>
      <c r="CA752" s="306">
        <f ca="1">COUNTIF('Group Stages'!M7:M102,BW752)</f>
        <v>0</v>
      </c>
      <c r="CB752" s="306">
        <f ca="1">COUNTIF('Group Stages'!N7:N102,BW752)</f>
        <v>0</v>
      </c>
      <c r="CC752" s="306">
        <f ca="1">COUNTIF('Group Stages'!O7:O102,BW752)</f>
        <v>0</v>
      </c>
      <c r="CD752" s="306">
        <f ca="1">COUNTIF('Group Stages'!P7:P102,BW752)</f>
        <v>0</v>
      </c>
      <c r="CE752" s="306">
        <f ca="1">COUNTIF('Group Stages'!Q7:Q102,BW752)</f>
        <v>0</v>
      </c>
      <c r="CF752" s="306">
        <f ca="1">COUNTIF('Knock Out Stages'!K7:K50,BW752)</f>
        <v>0</v>
      </c>
      <c r="CG752" s="306">
        <f ca="1">COUNTIF('Knock Out Stages'!L7:L50,BW752)</f>
        <v>0</v>
      </c>
      <c r="CH752" s="306">
        <f ca="1">COUNTIF('Knock Out Stages'!M7:M50,BW752)</f>
        <v>0</v>
      </c>
      <c r="CI752" s="306">
        <f ca="1">COUNTIF('Knock Out Stages'!N7:N50,BW752)</f>
        <v>0</v>
      </c>
      <c r="CJ752" s="306">
        <f ca="1">COUNTIF('Knock Out Stages'!O7:O50,BW752)</f>
        <v>0</v>
      </c>
      <c r="CK752" s="306">
        <f ca="1">COUNTIF('Knock Out Stages'!P7:P50,BW752)</f>
        <v>0</v>
      </c>
      <c r="CL752" s="306">
        <f ca="1">COUNTIF('Knock Out Stages'!Q7:Q50,BW752)</f>
        <v>0</v>
      </c>
      <c r="CM752" s="306">
        <f ca="1">COUNTIF('Knock Out Stages'!R7:R50,BW752)</f>
        <v>0</v>
      </c>
      <c r="CN752" s="306">
        <f ca="1">IF(RIGHT('Group Stages'!$B$105,5)="T.com",SUM(BX752:CM752),0)</f>
        <v>0</v>
      </c>
      <c r="CO752" s="306">
        <f ca="1">RANK(CN752,CN3:CN834)+COUNTIF(CN3:CN752,CN752)-1</f>
        <v>750</v>
      </c>
      <c r="CP752" s="306" t="str">
        <f t="shared" ca="1" si="235"/>
        <v>Rúben Dias (Portugal)</v>
      </c>
    </row>
    <row r="753" spans="72:94" x14ac:dyDescent="0.3">
      <c r="BT753" s="306" t="str">
        <f t="shared" ca="1" si="231"/>
        <v>Portugal</v>
      </c>
      <c r="BU753" s="306">
        <f t="shared" si="232"/>
        <v>22</v>
      </c>
      <c r="BV753" s="306">
        <f t="shared" si="233"/>
        <v>27</v>
      </c>
      <c r="BW753" s="306" t="str">
        <f ca="1">OFFSET(C3,BU753,BV753)</f>
        <v>Rúben Neves</v>
      </c>
      <c r="BX753" s="306">
        <f ca="1">COUNTIF('Group Stages'!J7:J102,BW753)</f>
        <v>0</v>
      </c>
      <c r="BY753" s="306">
        <f ca="1">COUNTIF('Group Stages'!K7:K102,BW753)</f>
        <v>0</v>
      </c>
      <c r="BZ753" s="306">
        <f ca="1">COUNTIF('Group Stages'!L7:L102,BW753)</f>
        <v>0</v>
      </c>
      <c r="CA753" s="306">
        <f ca="1">COUNTIF('Group Stages'!M7:M102,BW753)</f>
        <v>0</v>
      </c>
      <c r="CB753" s="306">
        <f ca="1">COUNTIF('Group Stages'!N7:N102,BW753)</f>
        <v>0</v>
      </c>
      <c r="CC753" s="306">
        <f ca="1">COUNTIF('Group Stages'!O7:O102,BW753)</f>
        <v>0</v>
      </c>
      <c r="CD753" s="306">
        <f ca="1">COUNTIF('Group Stages'!P7:P102,BW753)</f>
        <v>0</v>
      </c>
      <c r="CE753" s="306">
        <f ca="1">COUNTIF('Group Stages'!Q7:Q102,BW753)</f>
        <v>0</v>
      </c>
      <c r="CF753" s="306">
        <f ca="1">COUNTIF('Knock Out Stages'!K7:K50,BW753)</f>
        <v>0</v>
      </c>
      <c r="CG753" s="306">
        <f ca="1">COUNTIF('Knock Out Stages'!L7:L50,BW753)</f>
        <v>0</v>
      </c>
      <c r="CH753" s="306">
        <f ca="1">COUNTIF('Knock Out Stages'!M7:M50,BW753)</f>
        <v>0</v>
      </c>
      <c r="CI753" s="306">
        <f ca="1">COUNTIF('Knock Out Stages'!N7:N50,BW753)</f>
        <v>0</v>
      </c>
      <c r="CJ753" s="306">
        <f ca="1">COUNTIF('Knock Out Stages'!O7:O50,BW753)</f>
        <v>0</v>
      </c>
      <c r="CK753" s="306">
        <f ca="1">COUNTIF('Knock Out Stages'!P7:P50,BW753)</f>
        <v>0</v>
      </c>
      <c r="CL753" s="306">
        <f ca="1">COUNTIF('Knock Out Stages'!Q7:Q50,BW753)</f>
        <v>0</v>
      </c>
      <c r="CM753" s="306">
        <f ca="1">COUNTIF('Knock Out Stages'!R7:R50,BW753)</f>
        <v>0</v>
      </c>
      <c r="CN753" s="306">
        <f ca="1">IF(RIGHT('Group Stages'!$B$105,5)="T.com",SUM(BX753:CM753),0)</f>
        <v>0</v>
      </c>
      <c r="CO753" s="306">
        <f ca="1">RANK(CN753,CN3:CN834)+COUNTIF(CN3:CN753,CN753)-1</f>
        <v>751</v>
      </c>
      <c r="CP753" s="306" t="str">
        <f t="shared" ca="1" si="235"/>
        <v>Rúben Neves (Portugal)</v>
      </c>
    </row>
    <row r="754" spans="72:94" x14ac:dyDescent="0.3">
      <c r="BT754" s="306" t="str">
        <f t="shared" ca="1" si="231"/>
        <v>Portugal</v>
      </c>
      <c r="BU754" s="306">
        <f t="shared" si="232"/>
        <v>23</v>
      </c>
      <c r="BV754" s="306">
        <f t="shared" si="233"/>
        <v>27</v>
      </c>
      <c r="BW754" s="306" t="str">
        <f ca="1">OFFSET(C3,BU754,BV754)</f>
        <v>Rui Patrício</v>
      </c>
      <c r="BX754" s="306">
        <f ca="1">COUNTIF('Group Stages'!J7:J102,BW754)</f>
        <v>0</v>
      </c>
      <c r="BY754" s="306">
        <f ca="1">COUNTIF('Group Stages'!K7:K102,BW754)</f>
        <v>0</v>
      </c>
      <c r="BZ754" s="306">
        <f ca="1">COUNTIF('Group Stages'!L7:L102,BW754)</f>
        <v>0</v>
      </c>
      <c r="CA754" s="306">
        <f ca="1">COUNTIF('Group Stages'!M7:M102,BW754)</f>
        <v>0</v>
      </c>
      <c r="CB754" s="306">
        <f ca="1">COUNTIF('Group Stages'!N7:N102,BW754)</f>
        <v>0</v>
      </c>
      <c r="CC754" s="306">
        <f ca="1">COUNTIF('Group Stages'!O7:O102,BW754)</f>
        <v>0</v>
      </c>
      <c r="CD754" s="306">
        <f ca="1">COUNTIF('Group Stages'!P7:P102,BW754)</f>
        <v>0</v>
      </c>
      <c r="CE754" s="306">
        <f ca="1">COUNTIF('Group Stages'!Q7:Q102,BW754)</f>
        <v>0</v>
      </c>
      <c r="CF754" s="306">
        <f ca="1">COUNTIF('Knock Out Stages'!K7:K50,BW754)</f>
        <v>0</v>
      </c>
      <c r="CG754" s="306">
        <f ca="1">COUNTIF('Knock Out Stages'!L7:L50,BW754)</f>
        <v>0</v>
      </c>
      <c r="CH754" s="306">
        <f ca="1">COUNTIF('Knock Out Stages'!M7:M50,BW754)</f>
        <v>0</v>
      </c>
      <c r="CI754" s="306">
        <f ca="1">COUNTIF('Knock Out Stages'!N7:N50,BW754)</f>
        <v>0</v>
      </c>
      <c r="CJ754" s="306">
        <f ca="1">COUNTIF('Knock Out Stages'!O7:O50,BW754)</f>
        <v>0</v>
      </c>
      <c r="CK754" s="306">
        <f ca="1">COUNTIF('Knock Out Stages'!P7:P50,BW754)</f>
        <v>0</v>
      </c>
      <c r="CL754" s="306">
        <f ca="1">COUNTIF('Knock Out Stages'!Q7:Q50,BW754)</f>
        <v>0</v>
      </c>
      <c r="CM754" s="306">
        <f ca="1">COUNTIF('Knock Out Stages'!R7:R50,BW754)</f>
        <v>0</v>
      </c>
      <c r="CN754" s="306">
        <f ca="1">IF(RIGHT('Group Stages'!$B$105,5)="T.com",SUM(BX754:CM754),0)</f>
        <v>0</v>
      </c>
      <c r="CO754" s="306">
        <f ca="1">RANK(CN754,CN3:CN834)+COUNTIF(CN3:CN754,CN754)-1</f>
        <v>752</v>
      </c>
      <c r="CP754" s="306" t="str">
        <f t="shared" ca="1" si="235"/>
        <v>Rui Patrício (Portugal)</v>
      </c>
    </row>
    <row r="755" spans="72:94" x14ac:dyDescent="0.3">
      <c r="BT755" s="306" t="str">
        <f t="shared" ca="1" si="231"/>
        <v>Portugal</v>
      </c>
      <c r="BU755" s="306">
        <f t="shared" si="232"/>
        <v>24</v>
      </c>
      <c r="BV755" s="306">
        <f t="shared" si="233"/>
        <v>27</v>
      </c>
      <c r="BW755" s="306" t="str">
        <f ca="1">OFFSET(C3,BU755,BV755)</f>
        <v>Vitinha</v>
      </c>
      <c r="BX755" s="306">
        <f ca="1">COUNTIF('Group Stages'!J7:J102,BW755)</f>
        <v>0</v>
      </c>
      <c r="BY755" s="306">
        <f ca="1">COUNTIF('Group Stages'!K7:K102,BW755)</f>
        <v>0</v>
      </c>
      <c r="BZ755" s="306">
        <f ca="1">COUNTIF('Group Stages'!L7:L102,BW755)</f>
        <v>0</v>
      </c>
      <c r="CA755" s="306">
        <f ca="1">COUNTIF('Group Stages'!M7:M102,BW755)</f>
        <v>0</v>
      </c>
      <c r="CB755" s="306">
        <f ca="1">COUNTIF('Group Stages'!N7:N102,BW755)</f>
        <v>0</v>
      </c>
      <c r="CC755" s="306">
        <f ca="1">COUNTIF('Group Stages'!O7:O102,BW755)</f>
        <v>0</v>
      </c>
      <c r="CD755" s="306">
        <f ca="1">COUNTIF('Group Stages'!P7:P102,BW755)</f>
        <v>0</v>
      </c>
      <c r="CE755" s="306">
        <f ca="1">COUNTIF('Group Stages'!Q7:Q102,BW755)</f>
        <v>0</v>
      </c>
      <c r="CF755" s="306">
        <f ca="1">COUNTIF('Knock Out Stages'!K7:K50,BW755)</f>
        <v>0</v>
      </c>
      <c r="CG755" s="306">
        <f ca="1">COUNTIF('Knock Out Stages'!L7:L50,BW755)</f>
        <v>0</v>
      </c>
      <c r="CH755" s="306">
        <f ca="1">COUNTIF('Knock Out Stages'!M7:M50,BW755)</f>
        <v>0</v>
      </c>
      <c r="CI755" s="306">
        <f ca="1">COUNTIF('Knock Out Stages'!N7:N50,BW755)</f>
        <v>0</v>
      </c>
      <c r="CJ755" s="306">
        <f ca="1">COUNTIF('Knock Out Stages'!O7:O50,BW755)</f>
        <v>0</v>
      </c>
      <c r="CK755" s="306">
        <f ca="1">COUNTIF('Knock Out Stages'!P7:P50,BW755)</f>
        <v>0</v>
      </c>
      <c r="CL755" s="306">
        <f ca="1">COUNTIF('Knock Out Stages'!Q7:Q50,BW755)</f>
        <v>0</v>
      </c>
      <c r="CM755" s="306">
        <f ca="1">COUNTIF('Knock Out Stages'!R7:R50,BW755)</f>
        <v>0</v>
      </c>
      <c r="CN755" s="306">
        <f ca="1">IF(RIGHT('Group Stages'!$B$105,5)="T.com",SUM(BX755:CM755),0)</f>
        <v>0</v>
      </c>
      <c r="CO755" s="306">
        <f ca="1">RANK(CN755,CN3:CN834)+COUNTIF(CN3:CN755,CN755)-1</f>
        <v>753</v>
      </c>
      <c r="CP755" s="306" t="str">
        <f t="shared" ca="1" si="235"/>
        <v>Vitinha (Portugal)</v>
      </c>
    </row>
    <row r="756" spans="72:94" x14ac:dyDescent="0.3">
      <c r="BT756" s="306" t="str">
        <f t="shared" ca="1" si="231"/>
        <v>Portugal</v>
      </c>
      <c r="BU756" s="306">
        <f t="shared" si="232"/>
        <v>25</v>
      </c>
      <c r="BV756" s="306">
        <f t="shared" si="233"/>
        <v>27</v>
      </c>
      <c r="BW756" s="306" t="str">
        <f ca="1">OFFSET(C3,BU756,BV756)</f>
        <v>William Carvalho</v>
      </c>
      <c r="BX756" s="306">
        <f ca="1">COUNTIF('Group Stages'!J7:J102,BW756)</f>
        <v>0</v>
      </c>
      <c r="BY756" s="306">
        <f ca="1">COUNTIF('Group Stages'!K7:K102,BW756)</f>
        <v>0</v>
      </c>
      <c r="BZ756" s="306">
        <f ca="1">COUNTIF('Group Stages'!L7:L102,BW756)</f>
        <v>0</v>
      </c>
      <c r="CA756" s="306">
        <f ca="1">COUNTIF('Group Stages'!M7:M102,BW756)</f>
        <v>0</v>
      </c>
      <c r="CB756" s="306">
        <f ca="1">COUNTIF('Group Stages'!N7:N102,BW756)</f>
        <v>0</v>
      </c>
      <c r="CC756" s="306">
        <f ca="1">COUNTIF('Group Stages'!O7:O102,BW756)</f>
        <v>0</v>
      </c>
      <c r="CD756" s="306">
        <f ca="1">COUNTIF('Group Stages'!P7:P102,BW756)</f>
        <v>0</v>
      </c>
      <c r="CE756" s="306">
        <f ca="1">COUNTIF('Group Stages'!Q7:Q102,BW756)</f>
        <v>0</v>
      </c>
      <c r="CF756" s="306">
        <f ca="1">COUNTIF('Knock Out Stages'!K7:K50,BW756)</f>
        <v>0</v>
      </c>
      <c r="CG756" s="306">
        <f ca="1">COUNTIF('Knock Out Stages'!L7:L50,BW756)</f>
        <v>0</v>
      </c>
      <c r="CH756" s="306">
        <f ca="1">COUNTIF('Knock Out Stages'!M7:M50,BW756)</f>
        <v>0</v>
      </c>
      <c r="CI756" s="306">
        <f ca="1">COUNTIF('Knock Out Stages'!N7:N50,BW756)</f>
        <v>0</v>
      </c>
      <c r="CJ756" s="306">
        <f ca="1">COUNTIF('Knock Out Stages'!O7:O50,BW756)</f>
        <v>0</v>
      </c>
      <c r="CK756" s="306">
        <f ca="1">COUNTIF('Knock Out Stages'!P7:P50,BW756)</f>
        <v>0</v>
      </c>
      <c r="CL756" s="306">
        <f ca="1">COUNTIF('Knock Out Stages'!Q7:Q50,BW756)</f>
        <v>0</v>
      </c>
      <c r="CM756" s="306">
        <f ca="1">COUNTIF('Knock Out Stages'!R7:R50,BW756)</f>
        <v>0</v>
      </c>
      <c r="CN756" s="306">
        <f ca="1">IF(RIGHT('Group Stages'!$B$105,5)="T.com",SUM(BX756:CM756),0)</f>
        <v>0</v>
      </c>
      <c r="CO756" s="306">
        <f ca="1">RANK(CN756,CN3:CN834)+COUNTIF(CN3:CN756,CN756)-1</f>
        <v>754</v>
      </c>
      <c r="CP756" s="306" t="str">
        <f t="shared" ca="1" si="235"/>
        <v>William Carvalho (Portugal)</v>
      </c>
    </row>
    <row r="757" spans="72:94" x14ac:dyDescent="0.3">
      <c r="BT757" s="306" t="str">
        <f ca="1">OFFSET(C2,BU757,BV757)</f>
        <v>Ghana</v>
      </c>
      <c r="BU757" s="306">
        <f t="shared" si="232"/>
        <v>0</v>
      </c>
      <c r="BV757" s="306">
        <f t="shared" si="233"/>
        <v>28</v>
      </c>
      <c r="BW757" s="306" t="str">
        <f ca="1">OFFSET(C3,BU757,BV757)</f>
        <v>Abdul Fatawu Issahaku</v>
      </c>
      <c r="BX757" s="306">
        <f ca="1">COUNTIF('Group Stages'!J7:J102,BW757)</f>
        <v>0</v>
      </c>
      <c r="BY757" s="306">
        <f ca="1">COUNTIF('Group Stages'!K7:K102,BW757)</f>
        <v>0</v>
      </c>
      <c r="BZ757" s="306">
        <f ca="1">COUNTIF('Group Stages'!L7:L102,BW757)</f>
        <v>0</v>
      </c>
      <c r="CA757" s="306">
        <f ca="1">COUNTIF('Group Stages'!M7:M102,BW757)</f>
        <v>0</v>
      </c>
      <c r="CB757" s="306">
        <f ca="1">COUNTIF('Group Stages'!N7:N102,BW757)</f>
        <v>0</v>
      </c>
      <c r="CC757" s="306">
        <f ca="1">COUNTIF('Group Stages'!O7:O102,BW757)</f>
        <v>0</v>
      </c>
      <c r="CD757" s="306">
        <f ca="1">COUNTIF('Group Stages'!P7:P102,BW757)</f>
        <v>0</v>
      </c>
      <c r="CE757" s="306">
        <f ca="1">COUNTIF('Group Stages'!Q7:Q102,BW757)</f>
        <v>0</v>
      </c>
      <c r="CF757" s="306">
        <f ca="1">COUNTIF('Knock Out Stages'!K7:K50,BW757)</f>
        <v>0</v>
      </c>
      <c r="CG757" s="306">
        <f ca="1">COUNTIF('Knock Out Stages'!L7:L50,BW757)</f>
        <v>0</v>
      </c>
      <c r="CH757" s="306">
        <f ca="1">COUNTIF('Knock Out Stages'!M7:M50,BW757)</f>
        <v>0</v>
      </c>
      <c r="CI757" s="306">
        <f ca="1">COUNTIF('Knock Out Stages'!N7:N50,BW757)</f>
        <v>0</v>
      </c>
      <c r="CJ757" s="306">
        <f ca="1">COUNTIF('Knock Out Stages'!O7:O50,BW757)</f>
        <v>0</v>
      </c>
      <c r="CK757" s="306">
        <f ca="1">COUNTIF('Knock Out Stages'!P7:P50,BW757)</f>
        <v>0</v>
      </c>
      <c r="CL757" s="306">
        <f ca="1">COUNTIF('Knock Out Stages'!Q7:Q50,BW757)</f>
        <v>0</v>
      </c>
      <c r="CM757" s="306">
        <f ca="1">COUNTIF('Knock Out Stages'!R7:R50,BW757)</f>
        <v>0</v>
      </c>
      <c r="CN757" s="306">
        <f ca="1">IF(RIGHT('Group Stages'!$B$105,5)="T.com",SUM(BX757:CM757),0)</f>
        <v>0</v>
      </c>
      <c r="CO757" s="306">
        <f ca="1">RANK(CN757,CN3:CN834)+COUNTIF(CN3:CN757,CN757)-1</f>
        <v>755</v>
      </c>
      <c r="CP757" s="306" t="str">
        <f t="shared" ca="1" si="235"/>
        <v>Abdul Fatawu Issahaku (Ghana)</v>
      </c>
    </row>
    <row r="758" spans="72:94" x14ac:dyDescent="0.3">
      <c r="BT758" s="306" t="str">
        <f t="shared" ref="BT758" ca="1" si="237">BT757</f>
        <v>Ghana</v>
      </c>
      <c r="BU758" s="306">
        <f t="shared" si="232"/>
        <v>1</v>
      </c>
      <c r="BV758" s="306">
        <f t="shared" si="233"/>
        <v>28</v>
      </c>
      <c r="BW758" s="306" t="str">
        <f ca="1">OFFSET(C3,BU758,BV758)</f>
        <v>Abdul Manaf Nurudeen</v>
      </c>
      <c r="BX758" s="306">
        <f ca="1">COUNTIF('Group Stages'!J7:J102,BW758)</f>
        <v>0</v>
      </c>
      <c r="BY758" s="306">
        <f ca="1">COUNTIF('Group Stages'!K7:K102,BW758)</f>
        <v>0</v>
      </c>
      <c r="BZ758" s="306">
        <f ca="1">COUNTIF('Group Stages'!L7:L102,BW758)</f>
        <v>0</v>
      </c>
      <c r="CA758" s="306">
        <f ca="1">COUNTIF('Group Stages'!M7:M102,BW758)</f>
        <v>0</v>
      </c>
      <c r="CB758" s="306">
        <f ca="1">COUNTIF('Group Stages'!N7:N102,BW758)</f>
        <v>0</v>
      </c>
      <c r="CC758" s="306">
        <f ca="1">COUNTIF('Group Stages'!O7:O102,BW758)</f>
        <v>0</v>
      </c>
      <c r="CD758" s="306">
        <f ca="1">COUNTIF('Group Stages'!P7:P102,BW758)</f>
        <v>0</v>
      </c>
      <c r="CE758" s="306">
        <f ca="1">COUNTIF('Group Stages'!Q7:Q102,BW758)</f>
        <v>0</v>
      </c>
      <c r="CF758" s="306">
        <f ca="1">COUNTIF('Knock Out Stages'!K7:K50,BW758)</f>
        <v>0</v>
      </c>
      <c r="CG758" s="306">
        <f ca="1">COUNTIF('Knock Out Stages'!L7:L50,BW758)</f>
        <v>0</v>
      </c>
      <c r="CH758" s="306">
        <f ca="1">COUNTIF('Knock Out Stages'!M7:M50,BW758)</f>
        <v>0</v>
      </c>
      <c r="CI758" s="306">
        <f ca="1">COUNTIF('Knock Out Stages'!N7:N50,BW758)</f>
        <v>0</v>
      </c>
      <c r="CJ758" s="306">
        <f ca="1">COUNTIF('Knock Out Stages'!O7:O50,BW758)</f>
        <v>0</v>
      </c>
      <c r="CK758" s="306">
        <f ca="1">COUNTIF('Knock Out Stages'!P7:P50,BW758)</f>
        <v>0</v>
      </c>
      <c r="CL758" s="306">
        <f ca="1">COUNTIF('Knock Out Stages'!Q7:Q50,BW758)</f>
        <v>0</v>
      </c>
      <c r="CM758" s="306">
        <f ca="1">COUNTIF('Knock Out Stages'!R7:R50,BW758)</f>
        <v>0</v>
      </c>
      <c r="CN758" s="306">
        <f ca="1">IF(RIGHT('Group Stages'!$B$105,5)="T.com",SUM(BX758:CM758),0)</f>
        <v>0</v>
      </c>
      <c r="CO758" s="306">
        <f ca="1">RANK(CN758,CN3:CN834)+COUNTIF(CN3:CN758,CN758)-1</f>
        <v>756</v>
      </c>
      <c r="CP758" s="306" t="str">
        <f t="shared" ca="1" si="235"/>
        <v>Abdul Manaf Nurudeen (Ghana)</v>
      </c>
    </row>
    <row r="759" spans="72:94" x14ac:dyDescent="0.3">
      <c r="BT759" s="306" t="str">
        <f t="shared" ca="1" si="231"/>
        <v>Ghana</v>
      </c>
      <c r="BU759" s="306">
        <f t="shared" si="232"/>
        <v>2</v>
      </c>
      <c r="BV759" s="306">
        <f t="shared" si="233"/>
        <v>28</v>
      </c>
      <c r="BW759" s="306" t="str">
        <f ca="1">OFFSET(C3,BU759,BV759)</f>
        <v>Alexander Djiku</v>
      </c>
      <c r="BX759" s="306">
        <f ca="1">COUNTIF('Group Stages'!J7:J102,BW759)</f>
        <v>0</v>
      </c>
      <c r="BY759" s="306">
        <f ca="1">COUNTIF('Group Stages'!K7:K102,BW759)</f>
        <v>0</v>
      </c>
      <c r="BZ759" s="306">
        <f ca="1">COUNTIF('Group Stages'!L7:L102,BW759)</f>
        <v>0</v>
      </c>
      <c r="CA759" s="306">
        <f ca="1">COUNTIF('Group Stages'!M7:M102,BW759)</f>
        <v>0</v>
      </c>
      <c r="CB759" s="306">
        <f ca="1">COUNTIF('Group Stages'!N7:N102,BW759)</f>
        <v>0</v>
      </c>
      <c r="CC759" s="306">
        <f ca="1">COUNTIF('Group Stages'!O7:O102,BW759)</f>
        <v>0</v>
      </c>
      <c r="CD759" s="306">
        <f ca="1">COUNTIF('Group Stages'!P7:P102,BW759)</f>
        <v>0</v>
      </c>
      <c r="CE759" s="306">
        <f ca="1">COUNTIF('Group Stages'!Q7:Q102,BW759)</f>
        <v>0</v>
      </c>
      <c r="CF759" s="306">
        <f ca="1">COUNTIF('Knock Out Stages'!K7:K50,BW759)</f>
        <v>0</v>
      </c>
      <c r="CG759" s="306">
        <f ca="1">COUNTIF('Knock Out Stages'!L7:L50,BW759)</f>
        <v>0</v>
      </c>
      <c r="CH759" s="306">
        <f ca="1">COUNTIF('Knock Out Stages'!M7:M50,BW759)</f>
        <v>0</v>
      </c>
      <c r="CI759" s="306">
        <f ca="1">COUNTIF('Knock Out Stages'!N7:N50,BW759)</f>
        <v>0</v>
      </c>
      <c r="CJ759" s="306">
        <f ca="1">COUNTIF('Knock Out Stages'!O7:O50,BW759)</f>
        <v>0</v>
      </c>
      <c r="CK759" s="306">
        <f ca="1">COUNTIF('Knock Out Stages'!P7:P50,BW759)</f>
        <v>0</v>
      </c>
      <c r="CL759" s="306">
        <f ca="1">COUNTIF('Knock Out Stages'!Q7:Q50,BW759)</f>
        <v>0</v>
      </c>
      <c r="CM759" s="306">
        <f ca="1">COUNTIF('Knock Out Stages'!R7:R50,BW759)</f>
        <v>0</v>
      </c>
      <c r="CN759" s="306">
        <f ca="1">IF(RIGHT('Group Stages'!$B$105,5)="T.com",SUM(BX759:CM759),0)</f>
        <v>0</v>
      </c>
      <c r="CO759" s="306">
        <f ca="1">RANK(CN759,CN3:CN834)+COUNTIF(CN3:CN759,CN759)-1</f>
        <v>757</v>
      </c>
      <c r="CP759" s="306" t="str">
        <f t="shared" ca="1" si="235"/>
        <v>Alexander Djiku (Ghana)</v>
      </c>
    </row>
    <row r="760" spans="72:94" x14ac:dyDescent="0.3">
      <c r="BT760" s="306" t="str">
        <f t="shared" ref="BT760:BT823" ca="1" si="238">BT759</f>
        <v>Ghana</v>
      </c>
      <c r="BU760" s="306">
        <f t="shared" ref="BU760:BU823" si="239">BU734</f>
        <v>3</v>
      </c>
      <c r="BV760" s="306">
        <f t="shared" ref="BV760:BV823" si="240">BV734+1</f>
        <v>28</v>
      </c>
      <c r="BW760" s="306" t="str">
        <f ca="1">OFFSET(C3,BU760,BV760)</f>
        <v>Alidu Seidu</v>
      </c>
      <c r="BX760" s="306">
        <f ca="1">COUNTIF('Group Stages'!J7:J102,BW760)</f>
        <v>0</v>
      </c>
      <c r="BY760" s="306">
        <f ca="1">COUNTIF('Group Stages'!K7:K102,BW760)</f>
        <v>0</v>
      </c>
      <c r="BZ760" s="306">
        <f ca="1">COUNTIF('Group Stages'!L7:L102,BW760)</f>
        <v>0</v>
      </c>
      <c r="CA760" s="306">
        <f ca="1">COUNTIF('Group Stages'!M7:M102,BW760)</f>
        <v>0</v>
      </c>
      <c r="CB760" s="306">
        <f ca="1">COUNTIF('Group Stages'!N7:N102,BW760)</f>
        <v>0</v>
      </c>
      <c r="CC760" s="306">
        <f ca="1">COUNTIF('Group Stages'!O7:O102,BW760)</f>
        <v>0</v>
      </c>
      <c r="CD760" s="306">
        <f ca="1">COUNTIF('Group Stages'!P7:P102,BW760)</f>
        <v>0</v>
      </c>
      <c r="CE760" s="306">
        <f ca="1">COUNTIF('Group Stages'!Q7:Q102,BW760)</f>
        <v>0</v>
      </c>
      <c r="CF760" s="306">
        <f ca="1">COUNTIF('Knock Out Stages'!K7:K50,BW760)</f>
        <v>0</v>
      </c>
      <c r="CG760" s="306">
        <f ca="1">COUNTIF('Knock Out Stages'!L7:L50,BW760)</f>
        <v>0</v>
      </c>
      <c r="CH760" s="306">
        <f ca="1">COUNTIF('Knock Out Stages'!M7:M50,BW760)</f>
        <v>0</v>
      </c>
      <c r="CI760" s="306">
        <f ca="1">COUNTIF('Knock Out Stages'!N7:N50,BW760)</f>
        <v>0</v>
      </c>
      <c r="CJ760" s="306">
        <f ca="1">COUNTIF('Knock Out Stages'!O7:O50,BW760)</f>
        <v>0</v>
      </c>
      <c r="CK760" s="306">
        <f ca="1">COUNTIF('Knock Out Stages'!P7:P50,BW760)</f>
        <v>0</v>
      </c>
      <c r="CL760" s="306">
        <f ca="1">COUNTIF('Knock Out Stages'!Q7:Q50,BW760)</f>
        <v>0</v>
      </c>
      <c r="CM760" s="306">
        <f ca="1">COUNTIF('Knock Out Stages'!R7:R50,BW760)</f>
        <v>0</v>
      </c>
      <c r="CN760" s="306">
        <f ca="1">IF(RIGHT('Group Stages'!$B$105,5)="T.com",SUM(BX760:CM760),0)</f>
        <v>0</v>
      </c>
      <c r="CO760" s="306">
        <f ca="1">RANK(CN760,CN3:CN834)+COUNTIF(CN3:CN760,CN760)-1</f>
        <v>758</v>
      </c>
      <c r="CP760" s="306" t="str">
        <f t="shared" ca="1" si="235"/>
        <v>Alidu Seidu (Ghana)</v>
      </c>
    </row>
    <row r="761" spans="72:94" x14ac:dyDescent="0.3">
      <c r="BT761" s="306" t="str">
        <f t="shared" ca="1" si="238"/>
        <v>Ghana</v>
      </c>
      <c r="BU761" s="306">
        <f t="shared" si="239"/>
        <v>4</v>
      </c>
      <c r="BV761" s="306">
        <f t="shared" si="240"/>
        <v>28</v>
      </c>
      <c r="BW761" s="306" t="str">
        <f ca="1">OFFSET(C3,BU761,BV761)</f>
        <v>André Ayew</v>
      </c>
      <c r="BX761" s="306">
        <f ca="1">COUNTIF('Group Stages'!J7:J102,BW761)</f>
        <v>0</v>
      </c>
      <c r="BY761" s="306">
        <f ca="1">COUNTIF('Group Stages'!K7:K102,BW761)</f>
        <v>0</v>
      </c>
      <c r="BZ761" s="306">
        <f ca="1">COUNTIF('Group Stages'!L7:L102,BW761)</f>
        <v>0</v>
      </c>
      <c r="CA761" s="306">
        <f ca="1">COUNTIF('Group Stages'!M7:M102,BW761)</f>
        <v>0</v>
      </c>
      <c r="CB761" s="306">
        <f ca="1">COUNTIF('Group Stages'!N7:N102,BW761)</f>
        <v>0</v>
      </c>
      <c r="CC761" s="306">
        <f ca="1">COUNTIF('Group Stages'!O7:O102,BW761)</f>
        <v>0</v>
      </c>
      <c r="CD761" s="306">
        <f ca="1">COUNTIF('Group Stages'!P7:P102,BW761)</f>
        <v>0</v>
      </c>
      <c r="CE761" s="306">
        <f ca="1">COUNTIF('Group Stages'!Q7:Q102,BW761)</f>
        <v>0</v>
      </c>
      <c r="CF761" s="306">
        <f ca="1">COUNTIF('Knock Out Stages'!K7:K50,BW761)</f>
        <v>0</v>
      </c>
      <c r="CG761" s="306">
        <f ca="1">COUNTIF('Knock Out Stages'!L7:L50,BW761)</f>
        <v>0</v>
      </c>
      <c r="CH761" s="306">
        <f ca="1">COUNTIF('Knock Out Stages'!M7:M50,BW761)</f>
        <v>0</v>
      </c>
      <c r="CI761" s="306">
        <f ca="1">COUNTIF('Knock Out Stages'!N7:N50,BW761)</f>
        <v>0</v>
      </c>
      <c r="CJ761" s="306">
        <f ca="1">COUNTIF('Knock Out Stages'!O7:O50,BW761)</f>
        <v>0</v>
      </c>
      <c r="CK761" s="306">
        <f ca="1">COUNTIF('Knock Out Stages'!P7:P50,BW761)</f>
        <v>0</v>
      </c>
      <c r="CL761" s="306">
        <f ca="1">COUNTIF('Knock Out Stages'!Q7:Q50,BW761)</f>
        <v>0</v>
      </c>
      <c r="CM761" s="306">
        <f ca="1">COUNTIF('Knock Out Stages'!R7:R50,BW761)</f>
        <v>0</v>
      </c>
      <c r="CN761" s="306">
        <f ca="1">IF(RIGHT('Group Stages'!$B$105,5)="T.com",SUM(BX761:CM761),0)</f>
        <v>0</v>
      </c>
      <c r="CO761" s="306">
        <f ca="1">RANK(CN761,CN3:CN834)+COUNTIF(CN3:CN761,CN761)-1</f>
        <v>759</v>
      </c>
      <c r="CP761" s="306" t="str">
        <f t="shared" ca="1" si="235"/>
        <v>André Ayew (Ghana)</v>
      </c>
    </row>
    <row r="762" spans="72:94" x14ac:dyDescent="0.3">
      <c r="BT762" s="306" t="str">
        <f t="shared" ca="1" si="238"/>
        <v>Ghana</v>
      </c>
      <c r="BU762" s="306">
        <f t="shared" si="239"/>
        <v>5</v>
      </c>
      <c r="BV762" s="306">
        <f t="shared" si="240"/>
        <v>28</v>
      </c>
      <c r="BW762" s="306" t="str">
        <f ca="1">OFFSET(C3,BU762,BV762)</f>
        <v>Antoine Semenyo</v>
      </c>
      <c r="BX762" s="306">
        <f ca="1">COUNTIF('Group Stages'!J7:J102,BW762)</f>
        <v>0</v>
      </c>
      <c r="BY762" s="306">
        <f ca="1">COUNTIF('Group Stages'!K7:K102,BW762)</f>
        <v>0</v>
      </c>
      <c r="BZ762" s="306">
        <f ca="1">COUNTIF('Group Stages'!L7:L102,BW762)</f>
        <v>0</v>
      </c>
      <c r="CA762" s="306">
        <f ca="1">COUNTIF('Group Stages'!M7:M102,BW762)</f>
        <v>0</v>
      </c>
      <c r="CB762" s="306">
        <f ca="1">COUNTIF('Group Stages'!N7:N102,BW762)</f>
        <v>0</v>
      </c>
      <c r="CC762" s="306">
        <f ca="1">COUNTIF('Group Stages'!O7:O102,BW762)</f>
        <v>0</v>
      </c>
      <c r="CD762" s="306">
        <f ca="1">COUNTIF('Group Stages'!P7:P102,BW762)</f>
        <v>0</v>
      </c>
      <c r="CE762" s="306">
        <f ca="1">COUNTIF('Group Stages'!Q7:Q102,BW762)</f>
        <v>0</v>
      </c>
      <c r="CF762" s="306">
        <f ca="1">COUNTIF('Knock Out Stages'!K7:K50,BW762)</f>
        <v>0</v>
      </c>
      <c r="CG762" s="306">
        <f ca="1">COUNTIF('Knock Out Stages'!L7:L50,BW762)</f>
        <v>0</v>
      </c>
      <c r="CH762" s="306">
        <f ca="1">COUNTIF('Knock Out Stages'!M7:M50,BW762)</f>
        <v>0</v>
      </c>
      <c r="CI762" s="306">
        <f ca="1">COUNTIF('Knock Out Stages'!N7:N50,BW762)</f>
        <v>0</v>
      </c>
      <c r="CJ762" s="306">
        <f ca="1">COUNTIF('Knock Out Stages'!O7:O50,BW762)</f>
        <v>0</v>
      </c>
      <c r="CK762" s="306">
        <f ca="1">COUNTIF('Knock Out Stages'!P7:P50,BW762)</f>
        <v>0</v>
      </c>
      <c r="CL762" s="306">
        <f ca="1">COUNTIF('Knock Out Stages'!Q7:Q50,BW762)</f>
        <v>0</v>
      </c>
      <c r="CM762" s="306">
        <f ca="1">COUNTIF('Knock Out Stages'!R7:R50,BW762)</f>
        <v>0</v>
      </c>
      <c r="CN762" s="306">
        <f ca="1">IF(RIGHT('Group Stages'!$B$105,5)="T.com",SUM(BX762:CM762),0)</f>
        <v>0</v>
      </c>
      <c r="CO762" s="306">
        <f ca="1">RANK(CN762,CN3:CN834)+COUNTIF(CN3:CN762,CN762)-1</f>
        <v>760</v>
      </c>
      <c r="CP762" s="306" t="str">
        <f t="shared" ca="1" si="235"/>
        <v>Antoine Semenyo (Ghana)</v>
      </c>
    </row>
    <row r="763" spans="72:94" x14ac:dyDescent="0.3">
      <c r="BT763" s="306" t="str">
        <f t="shared" ca="1" si="238"/>
        <v>Ghana</v>
      </c>
      <c r="BU763" s="306">
        <f t="shared" si="239"/>
        <v>6</v>
      </c>
      <c r="BV763" s="306">
        <f t="shared" si="240"/>
        <v>28</v>
      </c>
      <c r="BW763" s="306" t="str">
        <f ca="1">OFFSET(C3,BU763,BV763)</f>
        <v>Baba Rahman</v>
      </c>
      <c r="BX763" s="306">
        <f ca="1">COUNTIF('Group Stages'!J7:J102,BW763)</f>
        <v>0</v>
      </c>
      <c r="BY763" s="306">
        <f ca="1">COUNTIF('Group Stages'!K7:K102,BW763)</f>
        <v>0</v>
      </c>
      <c r="BZ763" s="306">
        <f ca="1">COUNTIF('Group Stages'!L7:L102,BW763)</f>
        <v>0</v>
      </c>
      <c r="CA763" s="306">
        <f ca="1">COUNTIF('Group Stages'!M7:M102,BW763)</f>
        <v>0</v>
      </c>
      <c r="CB763" s="306">
        <f ca="1">COUNTIF('Group Stages'!N7:N102,BW763)</f>
        <v>0</v>
      </c>
      <c r="CC763" s="306">
        <f ca="1">COUNTIF('Group Stages'!O7:O102,BW763)</f>
        <v>0</v>
      </c>
      <c r="CD763" s="306">
        <f ca="1">COUNTIF('Group Stages'!P7:P102,BW763)</f>
        <v>0</v>
      </c>
      <c r="CE763" s="306">
        <f ca="1">COUNTIF('Group Stages'!Q7:Q102,BW763)</f>
        <v>0</v>
      </c>
      <c r="CF763" s="306">
        <f ca="1">COUNTIF('Knock Out Stages'!K7:K50,BW763)</f>
        <v>0</v>
      </c>
      <c r="CG763" s="306">
        <f ca="1">COUNTIF('Knock Out Stages'!L7:L50,BW763)</f>
        <v>0</v>
      </c>
      <c r="CH763" s="306">
        <f ca="1">COUNTIF('Knock Out Stages'!M7:M50,BW763)</f>
        <v>0</v>
      </c>
      <c r="CI763" s="306">
        <f ca="1">COUNTIF('Knock Out Stages'!N7:N50,BW763)</f>
        <v>0</v>
      </c>
      <c r="CJ763" s="306">
        <f ca="1">COUNTIF('Knock Out Stages'!O7:O50,BW763)</f>
        <v>0</v>
      </c>
      <c r="CK763" s="306">
        <f ca="1">COUNTIF('Knock Out Stages'!P7:P50,BW763)</f>
        <v>0</v>
      </c>
      <c r="CL763" s="306">
        <f ca="1">COUNTIF('Knock Out Stages'!Q7:Q50,BW763)</f>
        <v>0</v>
      </c>
      <c r="CM763" s="306">
        <f ca="1">COUNTIF('Knock Out Stages'!R7:R50,BW763)</f>
        <v>0</v>
      </c>
      <c r="CN763" s="306">
        <f ca="1">IF(RIGHT('Group Stages'!$B$105,5)="T.com",SUM(BX763:CM763),0)</f>
        <v>0</v>
      </c>
      <c r="CO763" s="306">
        <f ca="1">RANK(CN763,CN3:CN834)+COUNTIF(CN3:CN763,CN763)-1</f>
        <v>761</v>
      </c>
      <c r="CP763" s="306" t="str">
        <f t="shared" ca="1" si="235"/>
        <v>Baba Rahman (Ghana)</v>
      </c>
    </row>
    <row r="764" spans="72:94" x14ac:dyDescent="0.3">
      <c r="BT764" s="306" t="str">
        <f t="shared" ca="1" si="238"/>
        <v>Ghana</v>
      </c>
      <c r="BU764" s="306">
        <f t="shared" si="239"/>
        <v>7</v>
      </c>
      <c r="BV764" s="306">
        <f t="shared" si="240"/>
        <v>28</v>
      </c>
      <c r="BW764" s="306" t="str">
        <f ca="1">OFFSET(C3,BU764,BV764)</f>
        <v>Daniel Afriyie</v>
      </c>
      <c r="BX764" s="306">
        <f ca="1">COUNTIF('Group Stages'!J7:J102,BW764)</f>
        <v>0</v>
      </c>
      <c r="BY764" s="306">
        <f ca="1">COUNTIF('Group Stages'!K7:K102,BW764)</f>
        <v>0</v>
      </c>
      <c r="BZ764" s="306">
        <f ca="1">COUNTIF('Group Stages'!L7:L102,BW764)</f>
        <v>0</v>
      </c>
      <c r="CA764" s="306">
        <f ca="1">COUNTIF('Group Stages'!M7:M102,BW764)</f>
        <v>0</v>
      </c>
      <c r="CB764" s="306">
        <f ca="1">COUNTIF('Group Stages'!N7:N102,BW764)</f>
        <v>0</v>
      </c>
      <c r="CC764" s="306">
        <f ca="1">COUNTIF('Group Stages'!O7:O102,BW764)</f>
        <v>0</v>
      </c>
      <c r="CD764" s="306">
        <f ca="1">COUNTIF('Group Stages'!P7:P102,BW764)</f>
        <v>0</v>
      </c>
      <c r="CE764" s="306">
        <f ca="1">COUNTIF('Group Stages'!Q7:Q102,BW764)</f>
        <v>0</v>
      </c>
      <c r="CF764" s="306">
        <f ca="1">COUNTIF('Knock Out Stages'!K7:K50,BW764)</f>
        <v>0</v>
      </c>
      <c r="CG764" s="306">
        <f ca="1">COUNTIF('Knock Out Stages'!L7:L50,BW764)</f>
        <v>0</v>
      </c>
      <c r="CH764" s="306">
        <f ca="1">COUNTIF('Knock Out Stages'!M7:M50,BW764)</f>
        <v>0</v>
      </c>
      <c r="CI764" s="306">
        <f ca="1">COUNTIF('Knock Out Stages'!N7:N50,BW764)</f>
        <v>0</v>
      </c>
      <c r="CJ764" s="306">
        <f ca="1">COUNTIF('Knock Out Stages'!O7:O50,BW764)</f>
        <v>0</v>
      </c>
      <c r="CK764" s="306">
        <f ca="1">COUNTIF('Knock Out Stages'!P7:P50,BW764)</f>
        <v>0</v>
      </c>
      <c r="CL764" s="306">
        <f ca="1">COUNTIF('Knock Out Stages'!Q7:Q50,BW764)</f>
        <v>0</v>
      </c>
      <c r="CM764" s="306">
        <f ca="1">COUNTIF('Knock Out Stages'!R7:R50,BW764)</f>
        <v>0</v>
      </c>
      <c r="CN764" s="306">
        <f ca="1">IF(RIGHT('Group Stages'!$B$105,5)="T.com",SUM(BX764:CM764),0)</f>
        <v>0</v>
      </c>
      <c r="CO764" s="306">
        <f ca="1">RANK(CN764,CN3:CN834)+COUNTIF(CN3:CN764,CN764)-1</f>
        <v>762</v>
      </c>
      <c r="CP764" s="306" t="str">
        <f t="shared" ca="1" si="235"/>
        <v>Daniel Afriyie (Ghana)</v>
      </c>
    </row>
    <row r="765" spans="72:94" x14ac:dyDescent="0.3">
      <c r="BT765" s="306" t="str">
        <f t="shared" ca="1" si="238"/>
        <v>Ghana</v>
      </c>
      <c r="BU765" s="306">
        <f t="shared" si="239"/>
        <v>8</v>
      </c>
      <c r="BV765" s="306">
        <f t="shared" si="240"/>
        <v>28</v>
      </c>
      <c r="BW765" s="306" t="str">
        <f ca="1">OFFSET(C3,BU765,BV765)</f>
        <v>Daniel Amartey</v>
      </c>
      <c r="BX765" s="306">
        <f ca="1">COUNTIF('Group Stages'!J7:J102,BW765)</f>
        <v>0</v>
      </c>
      <c r="BY765" s="306">
        <f ca="1">COUNTIF('Group Stages'!K7:K102,BW765)</f>
        <v>0</v>
      </c>
      <c r="BZ765" s="306">
        <f ca="1">COUNTIF('Group Stages'!L7:L102,BW765)</f>
        <v>0</v>
      </c>
      <c r="CA765" s="306">
        <f ca="1">COUNTIF('Group Stages'!M7:M102,BW765)</f>
        <v>0</v>
      </c>
      <c r="CB765" s="306">
        <f ca="1">COUNTIF('Group Stages'!N7:N102,BW765)</f>
        <v>0</v>
      </c>
      <c r="CC765" s="306">
        <f ca="1">COUNTIF('Group Stages'!O7:O102,BW765)</f>
        <v>0</v>
      </c>
      <c r="CD765" s="306">
        <f ca="1">COUNTIF('Group Stages'!P7:P102,BW765)</f>
        <v>0</v>
      </c>
      <c r="CE765" s="306">
        <f ca="1">COUNTIF('Group Stages'!Q7:Q102,BW765)</f>
        <v>0</v>
      </c>
      <c r="CF765" s="306">
        <f ca="1">COUNTIF('Knock Out Stages'!K7:K50,BW765)</f>
        <v>0</v>
      </c>
      <c r="CG765" s="306">
        <f ca="1">COUNTIF('Knock Out Stages'!L7:L50,BW765)</f>
        <v>0</v>
      </c>
      <c r="CH765" s="306">
        <f ca="1">COUNTIF('Knock Out Stages'!M7:M50,BW765)</f>
        <v>0</v>
      </c>
      <c r="CI765" s="306">
        <f ca="1">COUNTIF('Knock Out Stages'!N7:N50,BW765)</f>
        <v>0</v>
      </c>
      <c r="CJ765" s="306">
        <f ca="1">COUNTIF('Knock Out Stages'!O7:O50,BW765)</f>
        <v>0</v>
      </c>
      <c r="CK765" s="306">
        <f ca="1">COUNTIF('Knock Out Stages'!P7:P50,BW765)</f>
        <v>0</v>
      </c>
      <c r="CL765" s="306">
        <f ca="1">COUNTIF('Knock Out Stages'!Q7:Q50,BW765)</f>
        <v>0</v>
      </c>
      <c r="CM765" s="306">
        <f ca="1">COUNTIF('Knock Out Stages'!R7:R50,BW765)</f>
        <v>0</v>
      </c>
      <c r="CN765" s="306">
        <f ca="1">IF(RIGHT('Group Stages'!$B$105,5)="T.com",SUM(BX765:CM765),0)</f>
        <v>0</v>
      </c>
      <c r="CO765" s="306">
        <f ca="1">RANK(CN765,CN3:CN834)+COUNTIF(CN3:CN765,CN765)-1</f>
        <v>763</v>
      </c>
      <c r="CP765" s="306" t="str">
        <f t="shared" ca="1" si="235"/>
        <v>Daniel Amartey (Ghana)</v>
      </c>
    </row>
    <row r="766" spans="72:94" x14ac:dyDescent="0.3">
      <c r="BT766" s="306" t="str">
        <f t="shared" ca="1" si="238"/>
        <v>Ghana</v>
      </c>
      <c r="BU766" s="306">
        <f t="shared" si="239"/>
        <v>9</v>
      </c>
      <c r="BV766" s="306">
        <f t="shared" si="240"/>
        <v>28</v>
      </c>
      <c r="BW766" s="306" t="str">
        <f ca="1">OFFSET(C3,BU766,BV766)</f>
        <v>Daniel-Kofi Kyereh</v>
      </c>
      <c r="BX766" s="306">
        <f ca="1">COUNTIF('Group Stages'!J7:J102,BW766)</f>
        <v>0</v>
      </c>
      <c r="BY766" s="306">
        <f ca="1">COUNTIF('Group Stages'!K7:K102,BW766)</f>
        <v>0</v>
      </c>
      <c r="BZ766" s="306">
        <f ca="1">COUNTIF('Group Stages'!L7:L102,BW766)</f>
        <v>0</v>
      </c>
      <c r="CA766" s="306">
        <f ca="1">COUNTIF('Group Stages'!M7:M102,BW766)</f>
        <v>0</v>
      </c>
      <c r="CB766" s="306">
        <f ca="1">COUNTIF('Group Stages'!N7:N102,BW766)</f>
        <v>0</v>
      </c>
      <c r="CC766" s="306">
        <f ca="1">COUNTIF('Group Stages'!O7:O102,BW766)</f>
        <v>0</v>
      </c>
      <c r="CD766" s="306">
        <f ca="1">COUNTIF('Group Stages'!P7:P102,BW766)</f>
        <v>0</v>
      </c>
      <c r="CE766" s="306">
        <f ca="1">COUNTIF('Group Stages'!Q7:Q102,BW766)</f>
        <v>0</v>
      </c>
      <c r="CF766" s="306">
        <f ca="1">COUNTIF('Knock Out Stages'!K7:K50,BW766)</f>
        <v>0</v>
      </c>
      <c r="CG766" s="306">
        <f ca="1">COUNTIF('Knock Out Stages'!L7:L50,BW766)</f>
        <v>0</v>
      </c>
      <c r="CH766" s="306">
        <f ca="1">COUNTIF('Knock Out Stages'!M7:M50,BW766)</f>
        <v>0</v>
      </c>
      <c r="CI766" s="306">
        <f ca="1">COUNTIF('Knock Out Stages'!N7:N50,BW766)</f>
        <v>0</v>
      </c>
      <c r="CJ766" s="306">
        <f ca="1">COUNTIF('Knock Out Stages'!O7:O50,BW766)</f>
        <v>0</v>
      </c>
      <c r="CK766" s="306">
        <f ca="1">COUNTIF('Knock Out Stages'!P7:P50,BW766)</f>
        <v>0</v>
      </c>
      <c r="CL766" s="306">
        <f ca="1">COUNTIF('Knock Out Stages'!Q7:Q50,BW766)</f>
        <v>0</v>
      </c>
      <c r="CM766" s="306">
        <f ca="1">COUNTIF('Knock Out Stages'!R7:R50,BW766)</f>
        <v>0</v>
      </c>
      <c r="CN766" s="306">
        <f ca="1">IF(RIGHT('Group Stages'!$B$105,5)="T.com",SUM(BX766:CM766),0)</f>
        <v>0</v>
      </c>
      <c r="CO766" s="306">
        <f ca="1">RANK(CN766,CN3:CN834)+COUNTIF(CN3:CN766,CN766)-1</f>
        <v>764</v>
      </c>
      <c r="CP766" s="306" t="str">
        <f t="shared" ca="1" si="235"/>
        <v>Daniel-Kofi Kyereh (Ghana)</v>
      </c>
    </row>
    <row r="767" spans="72:94" x14ac:dyDescent="0.3">
      <c r="BT767" s="306" t="str">
        <f t="shared" ca="1" si="238"/>
        <v>Ghana</v>
      </c>
      <c r="BU767" s="306">
        <f t="shared" si="239"/>
        <v>10</v>
      </c>
      <c r="BV767" s="306">
        <f t="shared" si="240"/>
        <v>28</v>
      </c>
      <c r="BW767" s="306" t="str">
        <f ca="1">OFFSET(C3,BU767,BV767)</f>
        <v>Denis Odoi</v>
      </c>
      <c r="BX767" s="306">
        <f ca="1">COUNTIF('Group Stages'!J7:J102,BW767)</f>
        <v>0</v>
      </c>
      <c r="BY767" s="306">
        <f ca="1">COUNTIF('Group Stages'!K7:K102,BW767)</f>
        <v>0</v>
      </c>
      <c r="BZ767" s="306">
        <f ca="1">COUNTIF('Group Stages'!L7:L102,BW767)</f>
        <v>0</v>
      </c>
      <c r="CA767" s="306">
        <f ca="1">COUNTIF('Group Stages'!M7:M102,BW767)</f>
        <v>0</v>
      </c>
      <c r="CB767" s="306">
        <f ca="1">COUNTIF('Group Stages'!N7:N102,BW767)</f>
        <v>0</v>
      </c>
      <c r="CC767" s="306">
        <f ca="1">COUNTIF('Group Stages'!O7:O102,BW767)</f>
        <v>0</v>
      </c>
      <c r="CD767" s="306">
        <f ca="1">COUNTIF('Group Stages'!P7:P102,BW767)</f>
        <v>0</v>
      </c>
      <c r="CE767" s="306">
        <f ca="1">COUNTIF('Group Stages'!Q7:Q102,BW767)</f>
        <v>0</v>
      </c>
      <c r="CF767" s="306">
        <f ca="1">COUNTIF('Knock Out Stages'!K7:K50,BW767)</f>
        <v>0</v>
      </c>
      <c r="CG767" s="306">
        <f ca="1">COUNTIF('Knock Out Stages'!L7:L50,BW767)</f>
        <v>0</v>
      </c>
      <c r="CH767" s="306">
        <f ca="1">COUNTIF('Knock Out Stages'!M7:M50,BW767)</f>
        <v>0</v>
      </c>
      <c r="CI767" s="306">
        <f ca="1">COUNTIF('Knock Out Stages'!N7:N50,BW767)</f>
        <v>0</v>
      </c>
      <c r="CJ767" s="306">
        <f ca="1">COUNTIF('Knock Out Stages'!O7:O50,BW767)</f>
        <v>0</v>
      </c>
      <c r="CK767" s="306">
        <f ca="1">COUNTIF('Knock Out Stages'!P7:P50,BW767)</f>
        <v>0</v>
      </c>
      <c r="CL767" s="306">
        <f ca="1">COUNTIF('Knock Out Stages'!Q7:Q50,BW767)</f>
        <v>0</v>
      </c>
      <c r="CM767" s="306">
        <f ca="1">COUNTIF('Knock Out Stages'!R7:R50,BW767)</f>
        <v>0</v>
      </c>
      <c r="CN767" s="306">
        <f ca="1">IF(RIGHT('Group Stages'!$B$105,5)="T.com",SUM(BX767:CM767),0)</f>
        <v>0</v>
      </c>
      <c r="CO767" s="306">
        <f ca="1">RANK(CN767,CN3:CN834)+COUNTIF(CN3:CN767,CN767)-1</f>
        <v>765</v>
      </c>
      <c r="CP767" s="306" t="str">
        <f t="shared" ca="1" si="235"/>
        <v>Denis Odoi (Ghana)</v>
      </c>
    </row>
    <row r="768" spans="72:94" x14ac:dyDescent="0.3">
      <c r="BT768" s="306" t="str">
        <f t="shared" ca="1" si="238"/>
        <v>Ghana</v>
      </c>
      <c r="BU768" s="306">
        <f t="shared" si="239"/>
        <v>11</v>
      </c>
      <c r="BV768" s="306">
        <f t="shared" si="240"/>
        <v>28</v>
      </c>
      <c r="BW768" s="306" t="str">
        <f ca="1">OFFSET(C3,BU768,BV768)</f>
        <v>Elisha Owusu</v>
      </c>
      <c r="BX768" s="306">
        <f ca="1">COUNTIF('Group Stages'!J7:J102,BW768)</f>
        <v>0</v>
      </c>
      <c r="BY768" s="306">
        <f ca="1">COUNTIF('Group Stages'!K7:K102,BW768)</f>
        <v>0</v>
      </c>
      <c r="BZ768" s="306">
        <f ca="1">COUNTIF('Group Stages'!L7:L102,BW768)</f>
        <v>0</v>
      </c>
      <c r="CA768" s="306">
        <f ca="1">COUNTIF('Group Stages'!M7:M102,BW768)</f>
        <v>0</v>
      </c>
      <c r="CB768" s="306">
        <f ca="1">COUNTIF('Group Stages'!N7:N102,BW768)</f>
        <v>0</v>
      </c>
      <c r="CC768" s="306">
        <f ca="1">COUNTIF('Group Stages'!O7:O102,BW768)</f>
        <v>0</v>
      </c>
      <c r="CD768" s="306">
        <f ca="1">COUNTIF('Group Stages'!P7:P102,BW768)</f>
        <v>0</v>
      </c>
      <c r="CE768" s="306">
        <f ca="1">COUNTIF('Group Stages'!Q7:Q102,BW768)</f>
        <v>0</v>
      </c>
      <c r="CF768" s="306">
        <f ca="1">COUNTIF('Knock Out Stages'!K7:K50,BW768)</f>
        <v>0</v>
      </c>
      <c r="CG768" s="306">
        <f ca="1">COUNTIF('Knock Out Stages'!L7:L50,BW768)</f>
        <v>0</v>
      </c>
      <c r="CH768" s="306">
        <f ca="1">COUNTIF('Knock Out Stages'!M7:M50,BW768)</f>
        <v>0</v>
      </c>
      <c r="CI768" s="306">
        <f ca="1">COUNTIF('Knock Out Stages'!N7:N50,BW768)</f>
        <v>0</v>
      </c>
      <c r="CJ768" s="306">
        <f ca="1">COUNTIF('Knock Out Stages'!O7:O50,BW768)</f>
        <v>0</v>
      </c>
      <c r="CK768" s="306">
        <f ca="1">COUNTIF('Knock Out Stages'!P7:P50,BW768)</f>
        <v>0</v>
      </c>
      <c r="CL768" s="306">
        <f ca="1">COUNTIF('Knock Out Stages'!Q7:Q50,BW768)</f>
        <v>0</v>
      </c>
      <c r="CM768" s="306">
        <f ca="1">COUNTIF('Knock Out Stages'!R7:R50,BW768)</f>
        <v>0</v>
      </c>
      <c r="CN768" s="306">
        <f ca="1">IF(RIGHT('Group Stages'!$B$105,5)="T.com",SUM(BX768:CM768),0)</f>
        <v>0</v>
      </c>
      <c r="CO768" s="306">
        <f ca="1">RANK(CN768,CN3:CN834)+COUNTIF(CN3:CN768,CN768)-1</f>
        <v>766</v>
      </c>
      <c r="CP768" s="306" t="str">
        <f t="shared" ca="1" si="235"/>
        <v>Elisha Owusu (Ghana)</v>
      </c>
    </row>
    <row r="769" spans="72:94" x14ac:dyDescent="0.3">
      <c r="BT769" s="306" t="str">
        <f t="shared" ca="1" si="238"/>
        <v>Ghana</v>
      </c>
      <c r="BU769" s="306">
        <f t="shared" si="239"/>
        <v>12</v>
      </c>
      <c r="BV769" s="306">
        <f t="shared" si="240"/>
        <v>28</v>
      </c>
      <c r="BW769" s="306" t="str">
        <f ca="1">OFFSET(C3,BU769,BV769)</f>
        <v>Gideon Mensah</v>
      </c>
      <c r="BX769" s="306">
        <f ca="1">COUNTIF('Group Stages'!J7:J102,BW769)</f>
        <v>0</v>
      </c>
      <c r="BY769" s="306">
        <f ca="1">COUNTIF('Group Stages'!K7:K102,BW769)</f>
        <v>0</v>
      </c>
      <c r="BZ769" s="306">
        <f ca="1">COUNTIF('Group Stages'!L7:L102,BW769)</f>
        <v>0</v>
      </c>
      <c r="CA769" s="306">
        <f ca="1">COUNTIF('Group Stages'!M7:M102,BW769)</f>
        <v>0</v>
      </c>
      <c r="CB769" s="306">
        <f ca="1">COUNTIF('Group Stages'!N7:N102,BW769)</f>
        <v>0</v>
      </c>
      <c r="CC769" s="306">
        <f ca="1">COUNTIF('Group Stages'!O7:O102,BW769)</f>
        <v>0</v>
      </c>
      <c r="CD769" s="306">
        <f ca="1">COUNTIF('Group Stages'!P7:P102,BW769)</f>
        <v>0</v>
      </c>
      <c r="CE769" s="306">
        <f ca="1">COUNTIF('Group Stages'!Q7:Q102,BW769)</f>
        <v>0</v>
      </c>
      <c r="CF769" s="306">
        <f ca="1">COUNTIF('Knock Out Stages'!K7:K50,BW769)</f>
        <v>0</v>
      </c>
      <c r="CG769" s="306">
        <f ca="1">COUNTIF('Knock Out Stages'!L7:L50,BW769)</f>
        <v>0</v>
      </c>
      <c r="CH769" s="306">
        <f ca="1">COUNTIF('Knock Out Stages'!M7:M50,BW769)</f>
        <v>0</v>
      </c>
      <c r="CI769" s="306">
        <f ca="1">COUNTIF('Knock Out Stages'!N7:N50,BW769)</f>
        <v>0</v>
      </c>
      <c r="CJ769" s="306">
        <f ca="1">COUNTIF('Knock Out Stages'!O7:O50,BW769)</f>
        <v>0</v>
      </c>
      <c r="CK769" s="306">
        <f ca="1">COUNTIF('Knock Out Stages'!P7:P50,BW769)</f>
        <v>0</v>
      </c>
      <c r="CL769" s="306">
        <f ca="1">COUNTIF('Knock Out Stages'!Q7:Q50,BW769)</f>
        <v>0</v>
      </c>
      <c r="CM769" s="306">
        <f ca="1">COUNTIF('Knock Out Stages'!R7:R50,BW769)</f>
        <v>0</v>
      </c>
      <c r="CN769" s="306">
        <f ca="1">IF(RIGHT('Group Stages'!$B$105,5)="T.com",SUM(BX769:CM769),0)</f>
        <v>0</v>
      </c>
      <c r="CO769" s="306">
        <f ca="1">RANK(CN769,CN3:CN834)+COUNTIF(CN3:CN769,CN769)-1</f>
        <v>767</v>
      </c>
      <c r="CP769" s="306" t="str">
        <f t="shared" ca="1" si="235"/>
        <v>Gideon Mensah (Ghana)</v>
      </c>
    </row>
    <row r="770" spans="72:94" x14ac:dyDescent="0.3">
      <c r="BT770" s="306" t="str">
        <f t="shared" ca="1" si="238"/>
        <v>Ghana</v>
      </c>
      <c r="BU770" s="306">
        <f t="shared" si="239"/>
        <v>13</v>
      </c>
      <c r="BV770" s="306">
        <f t="shared" si="240"/>
        <v>28</v>
      </c>
      <c r="BW770" s="306" t="str">
        <f ca="1">OFFSET(C3,BU770,BV770)</f>
        <v>Ibrahim Danlad</v>
      </c>
      <c r="BX770" s="306">
        <f ca="1">COUNTIF('Group Stages'!J7:J102,BW770)</f>
        <v>0</v>
      </c>
      <c r="BY770" s="306">
        <f ca="1">COUNTIF('Group Stages'!K7:K102,BW770)</f>
        <v>0</v>
      </c>
      <c r="BZ770" s="306">
        <f ca="1">COUNTIF('Group Stages'!L7:L102,BW770)</f>
        <v>0</v>
      </c>
      <c r="CA770" s="306">
        <f ca="1">COUNTIF('Group Stages'!M7:M102,BW770)</f>
        <v>0</v>
      </c>
      <c r="CB770" s="306">
        <f ca="1">COUNTIF('Group Stages'!N7:N102,BW770)</f>
        <v>0</v>
      </c>
      <c r="CC770" s="306">
        <f ca="1">COUNTIF('Group Stages'!O7:O102,BW770)</f>
        <v>0</v>
      </c>
      <c r="CD770" s="306">
        <f ca="1">COUNTIF('Group Stages'!P7:P102,BW770)</f>
        <v>0</v>
      </c>
      <c r="CE770" s="306">
        <f ca="1">COUNTIF('Group Stages'!Q7:Q102,BW770)</f>
        <v>0</v>
      </c>
      <c r="CF770" s="306">
        <f ca="1">COUNTIF('Knock Out Stages'!K7:K50,BW770)</f>
        <v>0</v>
      </c>
      <c r="CG770" s="306">
        <f ca="1">COUNTIF('Knock Out Stages'!L7:L50,BW770)</f>
        <v>0</v>
      </c>
      <c r="CH770" s="306">
        <f ca="1">COUNTIF('Knock Out Stages'!M7:M50,BW770)</f>
        <v>0</v>
      </c>
      <c r="CI770" s="306">
        <f ca="1">COUNTIF('Knock Out Stages'!N7:N50,BW770)</f>
        <v>0</v>
      </c>
      <c r="CJ770" s="306">
        <f ca="1">COUNTIF('Knock Out Stages'!O7:O50,BW770)</f>
        <v>0</v>
      </c>
      <c r="CK770" s="306">
        <f ca="1">COUNTIF('Knock Out Stages'!P7:P50,BW770)</f>
        <v>0</v>
      </c>
      <c r="CL770" s="306">
        <f ca="1">COUNTIF('Knock Out Stages'!Q7:Q50,BW770)</f>
        <v>0</v>
      </c>
      <c r="CM770" s="306">
        <f ca="1">COUNTIF('Knock Out Stages'!R7:R50,BW770)</f>
        <v>0</v>
      </c>
      <c r="CN770" s="306">
        <f ca="1">IF(RIGHT('Group Stages'!$B$105,5)="T.com",SUM(BX770:CM770),0)</f>
        <v>0</v>
      </c>
      <c r="CO770" s="306">
        <f ca="1">RANK(CN770,CN3:CN834)+COUNTIF(CN3:CN770,CN770)-1</f>
        <v>768</v>
      </c>
      <c r="CP770" s="306" t="str">
        <f t="shared" ca="1" si="235"/>
        <v>Ibrahim Danlad (Ghana)</v>
      </c>
    </row>
    <row r="771" spans="72:94" x14ac:dyDescent="0.3">
      <c r="BT771" s="306" t="str">
        <f t="shared" ca="1" si="238"/>
        <v>Ghana</v>
      </c>
      <c r="BU771" s="306">
        <f t="shared" si="239"/>
        <v>14</v>
      </c>
      <c r="BV771" s="306">
        <f t="shared" si="240"/>
        <v>28</v>
      </c>
      <c r="BW771" s="306" t="str">
        <f ca="1">OFFSET(C3,BU771,BV771)</f>
        <v>Iñaki Williams</v>
      </c>
      <c r="BX771" s="306">
        <f ca="1">COUNTIF('Group Stages'!J7:J102,BW771)</f>
        <v>0</v>
      </c>
      <c r="BY771" s="306">
        <f ca="1">COUNTIF('Group Stages'!K7:K102,BW771)</f>
        <v>0</v>
      </c>
      <c r="BZ771" s="306">
        <f ca="1">COUNTIF('Group Stages'!L7:L102,BW771)</f>
        <v>0</v>
      </c>
      <c r="CA771" s="306">
        <f ca="1">COUNTIF('Group Stages'!M7:M102,BW771)</f>
        <v>0</v>
      </c>
      <c r="CB771" s="306">
        <f ca="1">COUNTIF('Group Stages'!N7:N102,BW771)</f>
        <v>0</v>
      </c>
      <c r="CC771" s="306">
        <f ca="1">COUNTIF('Group Stages'!O7:O102,BW771)</f>
        <v>0</v>
      </c>
      <c r="CD771" s="306">
        <f ca="1">COUNTIF('Group Stages'!P7:P102,BW771)</f>
        <v>0</v>
      </c>
      <c r="CE771" s="306">
        <f ca="1">COUNTIF('Group Stages'!Q7:Q102,BW771)</f>
        <v>0</v>
      </c>
      <c r="CF771" s="306">
        <f ca="1">COUNTIF('Knock Out Stages'!K7:K50,BW771)</f>
        <v>0</v>
      </c>
      <c r="CG771" s="306">
        <f ca="1">COUNTIF('Knock Out Stages'!L7:L50,BW771)</f>
        <v>0</v>
      </c>
      <c r="CH771" s="306">
        <f ca="1">COUNTIF('Knock Out Stages'!M7:M50,BW771)</f>
        <v>0</v>
      </c>
      <c r="CI771" s="306">
        <f ca="1">COUNTIF('Knock Out Stages'!N7:N50,BW771)</f>
        <v>0</v>
      </c>
      <c r="CJ771" s="306">
        <f ca="1">COUNTIF('Knock Out Stages'!O7:O50,BW771)</f>
        <v>0</v>
      </c>
      <c r="CK771" s="306">
        <f ca="1">COUNTIF('Knock Out Stages'!P7:P50,BW771)</f>
        <v>0</v>
      </c>
      <c r="CL771" s="306">
        <f ca="1">COUNTIF('Knock Out Stages'!Q7:Q50,BW771)</f>
        <v>0</v>
      </c>
      <c r="CM771" s="306">
        <f ca="1">COUNTIF('Knock Out Stages'!R7:R50,BW771)</f>
        <v>0</v>
      </c>
      <c r="CN771" s="306">
        <f ca="1">IF(RIGHT('Group Stages'!$B$105,5)="T.com",SUM(BX771:CM771),0)</f>
        <v>0</v>
      </c>
      <c r="CO771" s="306">
        <f ca="1">RANK(CN771,CN3:CN834)+COUNTIF(CN3:CN771,CN771)-1</f>
        <v>769</v>
      </c>
      <c r="CP771" s="306" t="str">
        <f t="shared" ca="1" si="235"/>
        <v>Iñaki Williams (Ghana)</v>
      </c>
    </row>
    <row r="772" spans="72:94" x14ac:dyDescent="0.3">
      <c r="BT772" s="306" t="str">
        <f t="shared" ca="1" si="238"/>
        <v>Ghana</v>
      </c>
      <c r="BU772" s="306">
        <f t="shared" si="239"/>
        <v>15</v>
      </c>
      <c r="BV772" s="306">
        <f t="shared" si="240"/>
        <v>28</v>
      </c>
      <c r="BW772" s="306" t="str">
        <f ca="1">OFFSET(C3,BU772,BV772)</f>
        <v>Jordan Ayew</v>
      </c>
      <c r="BX772" s="306">
        <f ca="1">COUNTIF('Group Stages'!J7:J102,BW772)</f>
        <v>0</v>
      </c>
      <c r="BY772" s="306">
        <f ca="1">COUNTIF('Group Stages'!K7:K102,BW772)</f>
        <v>0</v>
      </c>
      <c r="BZ772" s="306">
        <f ca="1">COUNTIF('Group Stages'!L7:L102,BW772)</f>
        <v>0</v>
      </c>
      <c r="CA772" s="306">
        <f ca="1">COUNTIF('Group Stages'!M7:M102,BW772)</f>
        <v>0</v>
      </c>
      <c r="CB772" s="306">
        <f ca="1">COUNTIF('Group Stages'!N7:N102,BW772)</f>
        <v>0</v>
      </c>
      <c r="CC772" s="306">
        <f ca="1">COUNTIF('Group Stages'!O7:O102,BW772)</f>
        <v>0</v>
      </c>
      <c r="CD772" s="306">
        <f ca="1">COUNTIF('Group Stages'!P7:P102,BW772)</f>
        <v>0</v>
      </c>
      <c r="CE772" s="306">
        <f ca="1">COUNTIF('Group Stages'!Q7:Q102,BW772)</f>
        <v>0</v>
      </c>
      <c r="CF772" s="306">
        <f ca="1">COUNTIF('Knock Out Stages'!K7:K50,BW772)</f>
        <v>0</v>
      </c>
      <c r="CG772" s="306">
        <f ca="1">COUNTIF('Knock Out Stages'!L7:L50,BW772)</f>
        <v>0</v>
      </c>
      <c r="CH772" s="306">
        <f ca="1">COUNTIF('Knock Out Stages'!M7:M50,BW772)</f>
        <v>0</v>
      </c>
      <c r="CI772" s="306">
        <f ca="1">COUNTIF('Knock Out Stages'!N7:N50,BW772)</f>
        <v>0</v>
      </c>
      <c r="CJ772" s="306">
        <f ca="1">COUNTIF('Knock Out Stages'!O7:O50,BW772)</f>
        <v>0</v>
      </c>
      <c r="CK772" s="306">
        <f ca="1">COUNTIF('Knock Out Stages'!P7:P50,BW772)</f>
        <v>0</v>
      </c>
      <c r="CL772" s="306">
        <f ca="1">COUNTIF('Knock Out Stages'!Q7:Q50,BW772)</f>
        <v>0</v>
      </c>
      <c r="CM772" s="306">
        <f ca="1">COUNTIF('Knock Out Stages'!R7:R50,BW772)</f>
        <v>0</v>
      </c>
      <c r="CN772" s="306">
        <f ca="1">IF(RIGHT('Group Stages'!$B$105,5)="T.com",SUM(BX772:CM772),0)</f>
        <v>0</v>
      </c>
      <c r="CO772" s="306">
        <f ca="1">RANK(CN772,CN3:CN834)+COUNTIF(CN3:CN772,CN772)-1</f>
        <v>770</v>
      </c>
      <c r="CP772" s="306" t="str">
        <f t="shared" ref="CP772:CP834" ca="1" si="241">BW772&amp;" ("&amp;BT772&amp;")"</f>
        <v>Jordan Ayew (Ghana)</v>
      </c>
    </row>
    <row r="773" spans="72:94" x14ac:dyDescent="0.3">
      <c r="BT773" s="306" t="str">
        <f t="shared" ca="1" si="238"/>
        <v>Ghana</v>
      </c>
      <c r="BU773" s="306">
        <f t="shared" si="239"/>
        <v>16</v>
      </c>
      <c r="BV773" s="306">
        <f t="shared" si="240"/>
        <v>28</v>
      </c>
      <c r="BW773" s="306" t="str">
        <f ca="1">OFFSET(C3,BU773,BV773)</f>
        <v>Joseph Aidoo</v>
      </c>
      <c r="BX773" s="306">
        <f ca="1">COUNTIF('Group Stages'!J7:J102,BW773)</f>
        <v>0</v>
      </c>
      <c r="BY773" s="306">
        <f ca="1">COUNTIF('Group Stages'!K7:K102,BW773)</f>
        <v>0</v>
      </c>
      <c r="BZ773" s="306">
        <f ca="1">COUNTIF('Group Stages'!L7:L102,BW773)</f>
        <v>0</v>
      </c>
      <c r="CA773" s="306">
        <f ca="1">COUNTIF('Group Stages'!M7:M102,BW773)</f>
        <v>0</v>
      </c>
      <c r="CB773" s="306">
        <f ca="1">COUNTIF('Group Stages'!N7:N102,BW773)</f>
        <v>0</v>
      </c>
      <c r="CC773" s="306">
        <f ca="1">COUNTIF('Group Stages'!O7:O102,BW773)</f>
        <v>0</v>
      </c>
      <c r="CD773" s="306">
        <f ca="1">COUNTIF('Group Stages'!P7:P102,BW773)</f>
        <v>0</v>
      </c>
      <c r="CE773" s="306">
        <f ca="1">COUNTIF('Group Stages'!Q7:Q102,BW773)</f>
        <v>0</v>
      </c>
      <c r="CF773" s="306">
        <f ca="1">COUNTIF('Knock Out Stages'!K7:K50,BW773)</f>
        <v>0</v>
      </c>
      <c r="CG773" s="306">
        <f ca="1">COUNTIF('Knock Out Stages'!L7:L50,BW773)</f>
        <v>0</v>
      </c>
      <c r="CH773" s="306">
        <f ca="1">COUNTIF('Knock Out Stages'!M7:M50,BW773)</f>
        <v>0</v>
      </c>
      <c r="CI773" s="306">
        <f ca="1">COUNTIF('Knock Out Stages'!N7:N50,BW773)</f>
        <v>0</v>
      </c>
      <c r="CJ773" s="306">
        <f ca="1">COUNTIF('Knock Out Stages'!O7:O50,BW773)</f>
        <v>0</v>
      </c>
      <c r="CK773" s="306">
        <f ca="1">COUNTIF('Knock Out Stages'!P7:P50,BW773)</f>
        <v>0</v>
      </c>
      <c r="CL773" s="306">
        <f ca="1">COUNTIF('Knock Out Stages'!Q7:Q50,BW773)</f>
        <v>0</v>
      </c>
      <c r="CM773" s="306">
        <f ca="1">COUNTIF('Knock Out Stages'!R7:R50,BW773)</f>
        <v>0</v>
      </c>
      <c r="CN773" s="306">
        <f ca="1">IF(RIGHT('Group Stages'!$B$105,5)="T.com",SUM(BX773:CM773),0)</f>
        <v>0</v>
      </c>
      <c r="CO773" s="306">
        <f ca="1">RANK(CN773,CN3:CN834)+COUNTIF(CN3:CN773,CN773)-1</f>
        <v>771</v>
      </c>
      <c r="CP773" s="306" t="str">
        <f t="shared" ca="1" si="241"/>
        <v>Joseph Aidoo (Ghana)</v>
      </c>
    </row>
    <row r="774" spans="72:94" x14ac:dyDescent="0.3">
      <c r="BT774" s="306" t="str">
        <f t="shared" ca="1" si="238"/>
        <v>Ghana</v>
      </c>
      <c r="BU774" s="306">
        <f t="shared" si="239"/>
        <v>17</v>
      </c>
      <c r="BV774" s="306">
        <f t="shared" si="240"/>
        <v>28</v>
      </c>
      <c r="BW774" s="306" t="str">
        <f ca="1">OFFSET(C3,BU774,BV774)</f>
        <v>Kamal Sowah</v>
      </c>
      <c r="BX774" s="306">
        <f ca="1">COUNTIF('Group Stages'!J7:J102,BW774)</f>
        <v>0</v>
      </c>
      <c r="BY774" s="306">
        <f ca="1">COUNTIF('Group Stages'!K7:K102,BW774)</f>
        <v>0</v>
      </c>
      <c r="BZ774" s="306">
        <f ca="1">COUNTIF('Group Stages'!L7:L102,BW774)</f>
        <v>0</v>
      </c>
      <c r="CA774" s="306">
        <f ca="1">COUNTIF('Group Stages'!M7:M102,BW774)</f>
        <v>0</v>
      </c>
      <c r="CB774" s="306">
        <f ca="1">COUNTIF('Group Stages'!N7:N102,BW774)</f>
        <v>0</v>
      </c>
      <c r="CC774" s="306">
        <f ca="1">COUNTIF('Group Stages'!O7:O102,BW774)</f>
        <v>0</v>
      </c>
      <c r="CD774" s="306">
        <f ca="1">COUNTIF('Group Stages'!P7:P102,BW774)</f>
        <v>0</v>
      </c>
      <c r="CE774" s="306">
        <f ca="1">COUNTIF('Group Stages'!Q7:Q102,BW774)</f>
        <v>0</v>
      </c>
      <c r="CF774" s="306">
        <f ca="1">COUNTIF('Knock Out Stages'!K7:K50,BW774)</f>
        <v>0</v>
      </c>
      <c r="CG774" s="306">
        <f ca="1">COUNTIF('Knock Out Stages'!L7:L50,BW774)</f>
        <v>0</v>
      </c>
      <c r="CH774" s="306">
        <f ca="1">COUNTIF('Knock Out Stages'!M7:M50,BW774)</f>
        <v>0</v>
      </c>
      <c r="CI774" s="306">
        <f ca="1">COUNTIF('Knock Out Stages'!N7:N50,BW774)</f>
        <v>0</v>
      </c>
      <c r="CJ774" s="306">
        <f ca="1">COUNTIF('Knock Out Stages'!O7:O50,BW774)</f>
        <v>0</v>
      </c>
      <c r="CK774" s="306">
        <f ca="1">COUNTIF('Knock Out Stages'!P7:P50,BW774)</f>
        <v>0</v>
      </c>
      <c r="CL774" s="306">
        <f ca="1">COUNTIF('Knock Out Stages'!Q7:Q50,BW774)</f>
        <v>0</v>
      </c>
      <c r="CM774" s="306">
        <f ca="1">COUNTIF('Knock Out Stages'!R7:R50,BW774)</f>
        <v>0</v>
      </c>
      <c r="CN774" s="306">
        <f ca="1">IF(RIGHT('Group Stages'!$B$105,5)="T.com",SUM(BX774:CM774),0)</f>
        <v>0</v>
      </c>
      <c r="CO774" s="306">
        <f ca="1">RANK(CN774,CN3:CN834)+COUNTIF(CN3:CN774,CN774)-1</f>
        <v>772</v>
      </c>
      <c r="CP774" s="306" t="str">
        <f t="shared" ca="1" si="241"/>
        <v>Kamal Sowah (Ghana)</v>
      </c>
    </row>
    <row r="775" spans="72:94" x14ac:dyDescent="0.3">
      <c r="BT775" s="306" t="str">
        <f t="shared" ca="1" si="238"/>
        <v>Ghana</v>
      </c>
      <c r="BU775" s="306">
        <f t="shared" si="239"/>
        <v>18</v>
      </c>
      <c r="BV775" s="306">
        <f t="shared" si="240"/>
        <v>28</v>
      </c>
      <c r="BW775" s="306" t="str">
        <f ca="1">OFFSET(C3,BU775,BV775)</f>
        <v>Kamaldeen Sulemana</v>
      </c>
      <c r="BX775" s="306">
        <f ca="1">COUNTIF('Group Stages'!J7:J102,BW775)</f>
        <v>0</v>
      </c>
      <c r="BY775" s="306">
        <f ca="1">COUNTIF('Group Stages'!K7:K102,BW775)</f>
        <v>0</v>
      </c>
      <c r="BZ775" s="306">
        <f ca="1">COUNTIF('Group Stages'!L7:L102,BW775)</f>
        <v>0</v>
      </c>
      <c r="CA775" s="306">
        <f ca="1">COUNTIF('Group Stages'!M7:M102,BW775)</f>
        <v>0</v>
      </c>
      <c r="CB775" s="306">
        <f ca="1">COUNTIF('Group Stages'!N7:N102,BW775)</f>
        <v>0</v>
      </c>
      <c r="CC775" s="306">
        <f ca="1">COUNTIF('Group Stages'!O7:O102,BW775)</f>
        <v>0</v>
      </c>
      <c r="CD775" s="306">
        <f ca="1">COUNTIF('Group Stages'!P7:P102,BW775)</f>
        <v>0</v>
      </c>
      <c r="CE775" s="306">
        <f ca="1">COUNTIF('Group Stages'!Q7:Q102,BW775)</f>
        <v>0</v>
      </c>
      <c r="CF775" s="306">
        <f ca="1">COUNTIF('Knock Out Stages'!K7:K50,BW775)</f>
        <v>0</v>
      </c>
      <c r="CG775" s="306">
        <f ca="1">COUNTIF('Knock Out Stages'!L7:L50,BW775)</f>
        <v>0</v>
      </c>
      <c r="CH775" s="306">
        <f ca="1">COUNTIF('Knock Out Stages'!M7:M50,BW775)</f>
        <v>0</v>
      </c>
      <c r="CI775" s="306">
        <f ca="1">COUNTIF('Knock Out Stages'!N7:N50,BW775)</f>
        <v>0</v>
      </c>
      <c r="CJ775" s="306">
        <f ca="1">COUNTIF('Knock Out Stages'!O7:O50,BW775)</f>
        <v>0</v>
      </c>
      <c r="CK775" s="306">
        <f ca="1">COUNTIF('Knock Out Stages'!P7:P50,BW775)</f>
        <v>0</v>
      </c>
      <c r="CL775" s="306">
        <f ca="1">COUNTIF('Knock Out Stages'!Q7:Q50,BW775)</f>
        <v>0</v>
      </c>
      <c r="CM775" s="306">
        <f ca="1">COUNTIF('Knock Out Stages'!R7:R50,BW775)</f>
        <v>0</v>
      </c>
      <c r="CN775" s="306">
        <f ca="1">IF(RIGHT('Group Stages'!$B$105,5)="T.com",SUM(BX775:CM775),0)</f>
        <v>0</v>
      </c>
      <c r="CO775" s="306">
        <f ca="1">RANK(CN775,CN3:CN834)+COUNTIF(CN3:CN775,CN775)-1</f>
        <v>773</v>
      </c>
      <c r="CP775" s="306" t="str">
        <f t="shared" ca="1" si="241"/>
        <v>Kamaldeen Sulemana (Ghana)</v>
      </c>
    </row>
    <row r="776" spans="72:94" x14ac:dyDescent="0.3">
      <c r="BT776" s="306" t="str">
        <f t="shared" ca="1" si="238"/>
        <v>Ghana</v>
      </c>
      <c r="BU776" s="306">
        <f t="shared" si="239"/>
        <v>19</v>
      </c>
      <c r="BV776" s="306">
        <f t="shared" si="240"/>
        <v>28</v>
      </c>
      <c r="BW776" s="306" t="str">
        <f ca="1">OFFSET(C3,BU776,BV776)</f>
        <v>Lawrence Ati-Zigi</v>
      </c>
      <c r="BX776" s="306">
        <f ca="1">COUNTIF('Group Stages'!J7:J102,BW776)</f>
        <v>0</v>
      </c>
      <c r="BY776" s="306">
        <f ca="1">COUNTIF('Group Stages'!K7:K102,BW776)</f>
        <v>0</v>
      </c>
      <c r="BZ776" s="306">
        <f ca="1">COUNTIF('Group Stages'!L7:L102,BW776)</f>
        <v>0</v>
      </c>
      <c r="CA776" s="306">
        <f ca="1">COUNTIF('Group Stages'!M7:M102,BW776)</f>
        <v>0</v>
      </c>
      <c r="CB776" s="306">
        <f ca="1">COUNTIF('Group Stages'!N7:N102,BW776)</f>
        <v>0</v>
      </c>
      <c r="CC776" s="306">
        <f ca="1">COUNTIF('Group Stages'!O7:O102,BW776)</f>
        <v>0</v>
      </c>
      <c r="CD776" s="306">
        <f ca="1">COUNTIF('Group Stages'!P7:P102,BW776)</f>
        <v>0</v>
      </c>
      <c r="CE776" s="306">
        <f ca="1">COUNTIF('Group Stages'!Q7:Q102,BW776)</f>
        <v>0</v>
      </c>
      <c r="CF776" s="306">
        <f ca="1">COUNTIF('Knock Out Stages'!K7:K50,BW776)</f>
        <v>0</v>
      </c>
      <c r="CG776" s="306">
        <f ca="1">COUNTIF('Knock Out Stages'!L7:L50,BW776)</f>
        <v>0</v>
      </c>
      <c r="CH776" s="306">
        <f ca="1">COUNTIF('Knock Out Stages'!M7:M50,BW776)</f>
        <v>0</v>
      </c>
      <c r="CI776" s="306">
        <f ca="1">COUNTIF('Knock Out Stages'!N7:N50,BW776)</f>
        <v>0</v>
      </c>
      <c r="CJ776" s="306">
        <f ca="1">COUNTIF('Knock Out Stages'!O7:O50,BW776)</f>
        <v>0</v>
      </c>
      <c r="CK776" s="306">
        <f ca="1">COUNTIF('Knock Out Stages'!P7:P50,BW776)</f>
        <v>0</v>
      </c>
      <c r="CL776" s="306">
        <f ca="1">COUNTIF('Knock Out Stages'!Q7:Q50,BW776)</f>
        <v>0</v>
      </c>
      <c r="CM776" s="306">
        <f ca="1">COUNTIF('Knock Out Stages'!R7:R50,BW776)</f>
        <v>0</v>
      </c>
      <c r="CN776" s="306">
        <f ca="1">IF(RIGHT('Group Stages'!$B$105,5)="T.com",SUM(BX776:CM776),0)</f>
        <v>0</v>
      </c>
      <c r="CO776" s="306">
        <f ca="1">RANK(CN776,CN3:CN834)+COUNTIF(CN3:CN776,CN776)-1</f>
        <v>774</v>
      </c>
      <c r="CP776" s="306" t="str">
        <f t="shared" ca="1" si="241"/>
        <v>Lawrence Ati-Zigi (Ghana)</v>
      </c>
    </row>
    <row r="777" spans="72:94" x14ac:dyDescent="0.3">
      <c r="BT777" s="306" t="str">
        <f t="shared" ca="1" si="238"/>
        <v>Ghana</v>
      </c>
      <c r="BU777" s="306">
        <f t="shared" si="239"/>
        <v>20</v>
      </c>
      <c r="BV777" s="306">
        <f t="shared" si="240"/>
        <v>28</v>
      </c>
      <c r="BW777" s="306" t="str">
        <f ca="1">OFFSET(C3,BU777,BV777)</f>
        <v>Mohammed Kudus</v>
      </c>
      <c r="BX777" s="306">
        <f ca="1">COUNTIF('Group Stages'!J7:J102,BW777)</f>
        <v>0</v>
      </c>
      <c r="BY777" s="306">
        <f ca="1">COUNTIF('Group Stages'!K7:K102,BW777)</f>
        <v>0</v>
      </c>
      <c r="BZ777" s="306">
        <f ca="1">COUNTIF('Group Stages'!L7:L102,BW777)</f>
        <v>0</v>
      </c>
      <c r="CA777" s="306">
        <f ca="1">COUNTIF('Group Stages'!M7:M102,BW777)</f>
        <v>0</v>
      </c>
      <c r="CB777" s="306">
        <f ca="1">COUNTIF('Group Stages'!N7:N102,BW777)</f>
        <v>0</v>
      </c>
      <c r="CC777" s="306">
        <f ca="1">COUNTIF('Group Stages'!O7:O102,BW777)</f>
        <v>0</v>
      </c>
      <c r="CD777" s="306">
        <f ca="1">COUNTIF('Group Stages'!P7:P102,BW777)</f>
        <v>0</v>
      </c>
      <c r="CE777" s="306">
        <f ca="1">COUNTIF('Group Stages'!Q7:Q102,BW777)</f>
        <v>0</v>
      </c>
      <c r="CF777" s="306">
        <f ca="1">COUNTIF('Knock Out Stages'!K7:K50,BW777)</f>
        <v>0</v>
      </c>
      <c r="CG777" s="306">
        <f ca="1">COUNTIF('Knock Out Stages'!L7:L50,BW777)</f>
        <v>0</v>
      </c>
      <c r="CH777" s="306">
        <f ca="1">COUNTIF('Knock Out Stages'!M7:M50,BW777)</f>
        <v>0</v>
      </c>
      <c r="CI777" s="306">
        <f ca="1">COUNTIF('Knock Out Stages'!N7:N50,BW777)</f>
        <v>0</v>
      </c>
      <c r="CJ777" s="306">
        <f ca="1">COUNTIF('Knock Out Stages'!O7:O50,BW777)</f>
        <v>0</v>
      </c>
      <c r="CK777" s="306">
        <f ca="1">COUNTIF('Knock Out Stages'!P7:P50,BW777)</f>
        <v>0</v>
      </c>
      <c r="CL777" s="306">
        <f ca="1">COUNTIF('Knock Out Stages'!Q7:Q50,BW777)</f>
        <v>0</v>
      </c>
      <c r="CM777" s="306">
        <f ca="1">COUNTIF('Knock Out Stages'!R7:R50,BW777)</f>
        <v>0</v>
      </c>
      <c r="CN777" s="306">
        <f ca="1">IF(RIGHT('Group Stages'!$B$105,5)="T.com",SUM(BX777:CM777),0)</f>
        <v>0</v>
      </c>
      <c r="CO777" s="306">
        <f ca="1">RANK(CN777,CN3:CN834)+COUNTIF(CN3:CN777,CN777)-1</f>
        <v>775</v>
      </c>
      <c r="CP777" s="306" t="str">
        <f t="shared" ca="1" si="241"/>
        <v>Mohammed Kudus (Ghana)</v>
      </c>
    </row>
    <row r="778" spans="72:94" x14ac:dyDescent="0.3">
      <c r="BT778" s="306" t="str">
        <f t="shared" ca="1" si="238"/>
        <v>Ghana</v>
      </c>
      <c r="BU778" s="306">
        <f t="shared" si="239"/>
        <v>21</v>
      </c>
      <c r="BV778" s="306">
        <f t="shared" si="240"/>
        <v>28</v>
      </c>
      <c r="BW778" s="306" t="str">
        <f ca="1">OFFSET(C3,BU778,BV778)</f>
        <v>Mohammed Salisu</v>
      </c>
      <c r="BX778" s="306">
        <f ca="1">COUNTIF('Group Stages'!J7:J102,BW778)</f>
        <v>0</v>
      </c>
      <c r="BY778" s="306">
        <f ca="1">COUNTIF('Group Stages'!K7:K102,BW778)</f>
        <v>0</v>
      </c>
      <c r="BZ778" s="306">
        <f ca="1">COUNTIF('Group Stages'!L7:L102,BW778)</f>
        <v>0</v>
      </c>
      <c r="CA778" s="306">
        <f ca="1">COUNTIF('Group Stages'!M7:M102,BW778)</f>
        <v>0</v>
      </c>
      <c r="CB778" s="306">
        <f ca="1">COUNTIF('Group Stages'!N7:N102,BW778)</f>
        <v>0</v>
      </c>
      <c r="CC778" s="306">
        <f ca="1">COUNTIF('Group Stages'!O7:O102,BW778)</f>
        <v>0</v>
      </c>
      <c r="CD778" s="306">
        <f ca="1">COUNTIF('Group Stages'!P7:P102,BW778)</f>
        <v>0</v>
      </c>
      <c r="CE778" s="306">
        <f ca="1">COUNTIF('Group Stages'!Q7:Q102,BW778)</f>
        <v>0</v>
      </c>
      <c r="CF778" s="306">
        <f ca="1">COUNTIF('Knock Out Stages'!K7:K50,BW778)</f>
        <v>0</v>
      </c>
      <c r="CG778" s="306">
        <f ca="1">COUNTIF('Knock Out Stages'!L7:L50,BW778)</f>
        <v>0</v>
      </c>
      <c r="CH778" s="306">
        <f ca="1">COUNTIF('Knock Out Stages'!M7:M50,BW778)</f>
        <v>0</v>
      </c>
      <c r="CI778" s="306">
        <f ca="1">COUNTIF('Knock Out Stages'!N7:N50,BW778)</f>
        <v>0</v>
      </c>
      <c r="CJ778" s="306">
        <f ca="1">COUNTIF('Knock Out Stages'!O7:O50,BW778)</f>
        <v>0</v>
      </c>
      <c r="CK778" s="306">
        <f ca="1">COUNTIF('Knock Out Stages'!P7:P50,BW778)</f>
        <v>0</v>
      </c>
      <c r="CL778" s="306">
        <f ca="1">COUNTIF('Knock Out Stages'!Q7:Q50,BW778)</f>
        <v>0</v>
      </c>
      <c r="CM778" s="306">
        <f ca="1">COUNTIF('Knock Out Stages'!R7:R50,BW778)</f>
        <v>0</v>
      </c>
      <c r="CN778" s="306">
        <f ca="1">IF(RIGHT('Group Stages'!$B$105,5)="T.com",SUM(BX778:CM778),0)</f>
        <v>0</v>
      </c>
      <c r="CO778" s="306">
        <f ca="1">RANK(CN778,CN3:CN834)+COUNTIF(CN3:CN778,CN778)-1</f>
        <v>776</v>
      </c>
      <c r="CP778" s="306" t="str">
        <f t="shared" ca="1" si="241"/>
        <v>Mohammed Salisu (Ghana)</v>
      </c>
    </row>
    <row r="779" spans="72:94" x14ac:dyDescent="0.3">
      <c r="BT779" s="306" t="str">
        <f t="shared" ca="1" si="238"/>
        <v>Ghana</v>
      </c>
      <c r="BU779" s="306">
        <f t="shared" si="239"/>
        <v>22</v>
      </c>
      <c r="BV779" s="306">
        <f t="shared" si="240"/>
        <v>28</v>
      </c>
      <c r="BW779" s="306" t="str">
        <f ca="1">OFFSET(C3,BU779,BV779)</f>
        <v>Osman Bukari</v>
      </c>
      <c r="BX779" s="306">
        <f ca="1">COUNTIF('Group Stages'!J7:J102,BW779)</f>
        <v>0</v>
      </c>
      <c r="BY779" s="306">
        <f ca="1">COUNTIF('Group Stages'!K7:K102,BW779)</f>
        <v>0</v>
      </c>
      <c r="BZ779" s="306">
        <f ca="1">COUNTIF('Group Stages'!L7:L102,BW779)</f>
        <v>0</v>
      </c>
      <c r="CA779" s="306">
        <f ca="1">COUNTIF('Group Stages'!M7:M102,BW779)</f>
        <v>0</v>
      </c>
      <c r="CB779" s="306">
        <f ca="1">COUNTIF('Group Stages'!N7:N102,BW779)</f>
        <v>0</v>
      </c>
      <c r="CC779" s="306">
        <f ca="1">COUNTIF('Group Stages'!O7:O102,BW779)</f>
        <v>0</v>
      </c>
      <c r="CD779" s="306">
        <f ca="1">COUNTIF('Group Stages'!P7:P102,BW779)</f>
        <v>0</v>
      </c>
      <c r="CE779" s="306">
        <f ca="1">COUNTIF('Group Stages'!Q7:Q102,BW779)</f>
        <v>0</v>
      </c>
      <c r="CF779" s="306">
        <f ca="1">COUNTIF('Knock Out Stages'!K7:K50,BW779)</f>
        <v>0</v>
      </c>
      <c r="CG779" s="306">
        <f ca="1">COUNTIF('Knock Out Stages'!L7:L50,BW779)</f>
        <v>0</v>
      </c>
      <c r="CH779" s="306">
        <f ca="1">COUNTIF('Knock Out Stages'!M7:M50,BW779)</f>
        <v>0</v>
      </c>
      <c r="CI779" s="306">
        <f ca="1">COUNTIF('Knock Out Stages'!N7:N50,BW779)</f>
        <v>0</v>
      </c>
      <c r="CJ779" s="306">
        <f ca="1">COUNTIF('Knock Out Stages'!O7:O50,BW779)</f>
        <v>0</v>
      </c>
      <c r="CK779" s="306">
        <f ca="1">COUNTIF('Knock Out Stages'!P7:P50,BW779)</f>
        <v>0</v>
      </c>
      <c r="CL779" s="306">
        <f ca="1">COUNTIF('Knock Out Stages'!Q7:Q50,BW779)</f>
        <v>0</v>
      </c>
      <c r="CM779" s="306">
        <f ca="1">COUNTIF('Knock Out Stages'!R7:R50,BW779)</f>
        <v>0</v>
      </c>
      <c r="CN779" s="306">
        <f ca="1">IF(RIGHT('Group Stages'!$B$105,5)="T.com",SUM(BX779:CM779),0)</f>
        <v>0</v>
      </c>
      <c r="CO779" s="306">
        <f ca="1">RANK(CN779,CN3:CN834)+COUNTIF(CN3:CN779,CN779)-1</f>
        <v>777</v>
      </c>
      <c r="CP779" s="306" t="str">
        <f t="shared" ca="1" si="241"/>
        <v>Osman Bukari (Ghana)</v>
      </c>
    </row>
    <row r="780" spans="72:94" x14ac:dyDescent="0.3">
      <c r="BT780" s="306" t="str">
        <f t="shared" ca="1" si="238"/>
        <v>Ghana</v>
      </c>
      <c r="BU780" s="306">
        <f t="shared" si="239"/>
        <v>23</v>
      </c>
      <c r="BV780" s="306">
        <f t="shared" si="240"/>
        <v>28</v>
      </c>
      <c r="BW780" s="306" t="str">
        <f ca="1">OFFSET(C3,BU780,BV780)</f>
        <v>Salis Abdul Samed</v>
      </c>
      <c r="BX780" s="306">
        <f ca="1">COUNTIF('Group Stages'!J7:J102,BW780)</f>
        <v>0</v>
      </c>
      <c r="BY780" s="306">
        <f ca="1">COUNTIF('Group Stages'!K7:K102,BW780)</f>
        <v>0</v>
      </c>
      <c r="BZ780" s="306">
        <f ca="1">COUNTIF('Group Stages'!L7:L102,BW780)</f>
        <v>0</v>
      </c>
      <c r="CA780" s="306">
        <f ca="1">COUNTIF('Group Stages'!M7:M102,BW780)</f>
        <v>0</v>
      </c>
      <c r="CB780" s="306">
        <f ca="1">COUNTIF('Group Stages'!N7:N102,BW780)</f>
        <v>0</v>
      </c>
      <c r="CC780" s="306">
        <f ca="1">COUNTIF('Group Stages'!O7:O102,BW780)</f>
        <v>0</v>
      </c>
      <c r="CD780" s="306">
        <f ca="1">COUNTIF('Group Stages'!P7:P102,BW780)</f>
        <v>0</v>
      </c>
      <c r="CE780" s="306">
        <f ca="1">COUNTIF('Group Stages'!Q7:Q102,BW780)</f>
        <v>0</v>
      </c>
      <c r="CF780" s="306">
        <f ca="1">COUNTIF('Knock Out Stages'!K7:K50,BW780)</f>
        <v>0</v>
      </c>
      <c r="CG780" s="306">
        <f ca="1">COUNTIF('Knock Out Stages'!L7:L50,BW780)</f>
        <v>0</v>
      </c>
      <c r="CH780" s="306">
        <f ca="1">COUNTIF('Knock Out Stages'!M7:M50,BW780)</f>
        <v>0</v>
      </c>
      <c r="CI780" s="306">
        <f ca="1">COUNTIF('Knock Out Stages'!N7:N50,BW780)</f>
        <v>0</v>
      </c>
      <c r="CJ780" s="306">
        <f ca="1">COUNTIF('Knock Out Stages'!O7:O50,BW780)</f>
        <v>0</v>
      </c>
      <c r="CK780" s="306">
        <f ca="1">COUNTIF('Knock Out Stages'!P7:P50,BW780)</f>
        <v>0</v>
      </c>
      <c r="CL780" s="306">
        <f ca="1">COUNTIF('Knock Out Stages'!Q7:Q50,BW780)</f>
        <v>0</v>
      </c>
      <c r="CM780" s="306">
        <f ca="1">COUNTIF('Knock Out Stages'!R7:R50,BW780)</f>
        <v>0</v>
      </c>
      <c r="CN780" s="306">
        <f ca="1">IF(RIGHT('Group Stages'!$B$105,5)="T.com",SUM(BX780:CM780),0)</f>
        <v>0</v>
      </c>
      <c r="CO780" s="306">
        <f ca="1">RANK(CN780,CN3:CN834)+COUNTIF(CN3:CN780,CN780)-1</f>
        <v>778</v>
      </c>
      <c r="CP780" s="306" t="str">
        <f t="shared" ca="1" si="241"/>
        <v>Salis Abdul Samed (Ghana)</v>
      </c>
    </row>
    <row r="781" spans="72:94" x14ac:dyDescent="0.3">
      <c r="BT781" s="306" t="str">
        <f t="shared" ca="1" si="238"/>
        <v>Ghana</v>
      </c>
      <c r="BU781" s="306">
        <f t="shared" si="239"/>
        <v>24</v>
      </c>
      <c r="BV781" s="306">
        <f t="shared" si="240"/>
        <v>28</v>
      </c>
      <c r="BW781" s="306" t="str">
        <f ca="1">OFFSET(C3,BU781,BV781)</f>
        <v>Tariq Lamptey</v>
      </c>
      <c r="BX781" s="306">
        <f ca="1">COUNTIF('Group Stages'!J7:J102,BW781)</f>
        <v>0</v>
      </c>
      <c r="BY781" s="306">
        <f ca="1">COUNTIF('Group Stages'!K7:K102,BW781)</f>
        <v>0</v>
      </c>
      <c r="BZ781" s="306">
        <f ca="1">COUNTIF('Group Stages'!L7:L102,BW781)</f>
        <v>0</v>
      </c>
      <c r="CA781" s="306">
        <f ca="1">COUNTIF('Group Stages'!M7:M102,BW781)</f>
        <v>0</v>
      </c>
      <c r="CB781" s="306">
        <f ca="1">COUNTIF('Group Stages'!N7:N102,BW781)</f>
        <v>0</v>
      </c>
      <c r="CC781" s="306">
        <f ca="1">COUNTIF('Group Stages'!O7:O102,BW781)</f>
        <v>0</v>
      </c>
      <c r="CD781" s="306">
        <f ca="1">COUNTIF('Group Stages'!P7:P102,BW781)</f>
        <v>0</v>
      </c>
      <c r="CE781" s="306">
        <f ca="1">COUNTIF('Group Stages'!Q7:Q102,BW781)</f>
        <v>0</v>
      </c>
      <c r="CF781" s="306">
        <f ca="1">COUNTIF('Knock Out Stages'!K7:K50,BW781)</f>
        <v>0</v>
      </c>
      <c r="CG781" s="306">
        <f ca="1">COUNTIF('Knock Out Stages'!L7:L50,BW781)</f>
        <v>0</v>
      </c>
      <c r="CH781" s="306">
        <f ca="1">COUNTIF('Knock Out Stages'!M7:M50,BW781)</f>
        <v>0</v>
      </c>
      <c r="CI781" s="306">
        <f ca="1">COUNTIF('Knock Out Stages'!N7:N50,BW781)</f>
        <v>0</v>
      </c>
      <c r="CJ781" s="306">
        <f ca="1">COUNTIF('Knock Out Stages'!O7:O50,BW781)</f>
        <v>0</v>
      </c>
      <c r="CK781" s="306">
        <f ca="1">COUNTIF('Knock Out Stages'!P7:P50,BW781)</f>
        <v>0</v>
      </c>
      <c r="CL781" s="306">
        <f ca="1">COUNTIF('Knock Out Stages'!Q7:Q50,BW781)</f>
        <v>0</v>
      </c>
      <c r="CM781" s="306">
        <f ca="1">COUNTIF('Knock Out Stages'!R7:R50,BW781)</f>
        <v>0</v>
      </c>
      <c r="CN781" s="306">
        <f ca="1">IF(RIGHT('Group Stages'!$B$105,5)="T.com",SUM(BX781:CM781),0)</f>
        <v>0</v>
      </c>
      <c r="CO781" s="306">
        <f ca="1">RANK(CN781,CN3:CN834)+COUNTIF(CN3:CN781,CN781)-1</f>
        <v>779</v>
      </c>
      <c r="CP781" s="306" t="str">
        <f t="shared" ca="1" si="241"/>
        <v>Tariq Lamptey (Ghana)</v>
      </c>
    </row>
    <row r="782" spans="72:94" x14ac:dyDescent="0.3">
      <c r="BT782" s="306" t="str">
        <f t="shared" ca="1" si="238"/>
        <v>Ghana</v>
      </c>
      <c r="BU782" s="306">
        <f t="shared" si="239"/>
        <v>25</v>
      </c>
      <c r="BV782" s="306">
        <f t="shared" si="240"/>
        <v>28</v>
      </c>
      <c r="BW782" s="306" t="str">
        <f ca="1">OFFSET(C3,BU782,BV782)</f>
        <v>Thomas Partey</v>
      </c>
      <c r="BX782" s="306">
        <f ca="1">COUNTIF('Group Stages'!J7:J102,BW782)</f>
        <v>0</v>
      </c>
      <c r="BY782" s="306">
        <f ca="1">COUNTIF('Group Stages'!K7:K102,BW782)</f>
        <v>0</v>
      </c>
      <c r="BZ782" s="306">
        <f ca="1">COUNTIF('Group Stages'!L7:L102,BW782)</f>
        <v>0</v>
      </c>
      <c r="CA782" s="306">
        <f ca="1">COUNTIF('Group Stages'!M7:M102,BW782)</f>
        <v>0</v>
      </c>
      <c r="CB782" s="306">
        <f ca="1">COUNTIF('Group Stages'!N7:N102,BW782)</f>
        <v>0</v>
      </c>
      <c r="CC782" s="306">
        <f ca="1">COUNTIF('Group Stages'!O7:O102,BW782)</f>
        <v>0</v>
      </c>
      <c r="CD782" s="306">
        <f ca="1">COUNTIF('Group Stages'!P7:P102,BW782)</f>
        <v>0</v>
      </c>
      <c r="CE782" s="306">
        <f ca="1">COUNTIF('Group Stages'!Q7:Q102,BW782)</f>
        <v>0</v>
      </c>
      <c r="CF782" s="306">
        <f ca="1">COUNTIF('Knock Out Stages'!K7:K50,BW782)</f>
        <v>0</v>
      </c>
      <c r="CG782" s="306">
        <f ca="1">COUNTIF('Knock Out Stages'!L7:L50,BW782)</f>
        <v>0</v>
      </c>
      <c r="CH782" s="306">
        <f ca="1">COUNTIF('Knock Out Stages'!M7:M50,BW782)</f>
        <v>0</v>
      </c>
      <c r="CI782" s="306">
        <f ca="1">COUNTIF('Knock Out Stages'!N7:N50,BW782)</f>
        <v>0</v>
      </c>
      <c r="CJ782" s="306">
        <f ca="1">COUNTIF('Knock Out Stages'!O7:O50,BW782)</f>
        <v>0</v>
      </c>
      <c r="CK782" s="306">
        <f ca="1">COUNTIF('Knock Out Stages'!P7:P50,BW782)</f>
        <v>0</v>
      </c>
      <c r="CL782" s="306">
        <f ca="1">COUNTIF('Knock Out Stages'!Q7:Q50,BW782)</f>
        <v>0</v>
      </c>
      <c r="CM782" s="306">
        <f ca="1">COUNTIF('Knock Out Stages'!R7:R50,BW782)</f>
        <v>0</v>
      </c>
      <c r="CN782" s="306">
        <f ca="1">IF(RIGHT('Group Stages'!$B$105,5)="T.com",SUM(BX782:CM782),0)</f>
        <v>0</v>
      </c>
      <c r="CO782" s="306">
        <f ca="1">RANK(CN782,CN3:CN834)+COUNTIF(CN3:CN782,CN782)-1</f>
        <v>780</v>
      </c>
      <c r="CP782" s="306" t="str">
        <f t="shared" ca="1" si="241"/>
        <v>Thomas Partey (Ghana)</v>
      </c>
    </row>
    <row r="783" spans="72:94" x14ac:dyDescent="0.3">
      <c r="BT783" s="306" t="str">
        <f ca="1">OFFSET(C2,BU783,BV783)</f>
        <v>Uruguay</v>
      </c>
      <c r="BU783" s="306">
        <f t="shared" si="239"/>
        <v>0</v>
      </c>
      <c r="BV783" s="306">
        <f t="shared" si="240"/>
        <v>29</v>
      </c>
      <c r="BW783" s="306" t="str">
        <f ca="1">OFFSET(C3,BU783,BV783)</f>
        <v>Agustín Canobbio</v>
      </c>
      <c r="BX783" s="306">
        <f ca="1">COUNTIF('Group Stages'!J7:J102,BW783)</f>
        <v>0</v>
      </c>
      <c r="BY783" s="306">
        <f ca="1">COUNTIF('Group Stages'!K7:K102,BW783)</f>
        <v>0</v>
      </c>
      <c r="BZ783" s="306">
        <f ca="1">COUNTIF('Group Stages'!L7:L102,BW783)</f>
        <v>0</v>
      </c>
      <c r="CA783" s="306">
        <f ca="1">COUNTIF('Group Stages'!M7:M102,BW783)</f>
        <v>0</v>
      </c>
      <c r="CB783" s="306">
        <f ca="1">COUNTIF('Group Stages'!N7:N102,BW783)</f>
        <v>0</v>
      </c>
      <c r="CC783" s="306">
        <f ca="1">COUNTIF('Group Stages'!O7:O102,BW783)</f>
        <v>0</v>
      </c>
      <c r="CD783" s="306">
        <f ca="1">COUNTIF('Group Stages'!P7:P102,BW783)</f>
        <v>0</v>
      </c>
      <c r="CE783" s="306">
        <f ca="1">COUNTIF('Group Stages'!Q7:Q102,BW783)</f>
        <v>0</v>
      </c>
      <c r="CF783" s="306">
        <f ca="1">COUNTIF('Knock Out Stages'!K7:K50,BW783)</f>
        <v>0</v>
      </c>
      <c r="CG783" s="306">
        <f ca="1">COUNTIF('Knock Out Stages'!L7:L50,BW783)</f>
        <v>0</v>
      </c>
      <c r="CH783" s="306">
        <f ca="1">COUNTIF('Knock Out Stages'!M7:M50,BW783)</f>
        <v>0</v>
      </c>
      <c r="CI783" s="306">
        <f ca="1">COUNTIF('Knock Out Stages'!N7:N50,BW783)</f>
        <v>0</v>
      </c>
      <c r="CJ783" s="306">
        <f ca="1">COUNTIF('Knock Out Stages'!O7:O50,BW783)</f>
        <v>0</v>
      </c>
      <c r="CK783" s="306">
        <f ca="1">COUNTIF('Knock Out Stages'!P7:P50,BW783)</f>
        <v>0</v>
      </c>
      <c r="CL783" s="306">
        <f ca="1">COUNTIF('Knock Out Stages'!Q7:Q50,BW783)</f>
        <v>0</v>
      </c>
      <c r="CM783" s="306">
        <f ca="1">COUNTIF('Knock Out Stages'!R7:R50,BW783)</f>
        <v>0</v>
      </c>
      <c r="CN783" s="306">
        <f ca="1">IF(RIGHT('Group Stages'!$B$105,5)="T.com",SUM(BX783:CM783),0)</f>
        <v>0</v>
      </c>
      <c r="CO783" s="306">
        <f ca="1">RANK(CN783,CN3:CN834)+COUNTIF(CN3:CN783,CN783)-1</f>
        <v>781</v>
      </c>
      <c r="CP783" s="306" t="str">
        <f t="shared" ca="1" si="241"/>
        <v>Agustín Canobbio (Uruguay)</v>
      </c>
    </row>
    <row r="784" spans="72:94" x14ac:dyDescent="0.3">
      <c r="BT784" s="306" t="str">
        <f t="shared" ref="BT784" ca="1" si="242">BT783</f>
        <v>Uruguay</v>
      </c>
      <c r="BU784" s="306">
        <f t="shared" si="239"/>
        <v>1</v>
      </c>
      <c r="BV784" s="306">
        <f t="shared" si="240"/>
        <v>29</v>
      </c>
      <c r="BW784" s="306" t="str">
        <f ca="1">OFFSET(C3,BU784,BV784)</f>
        <v>Darwin Núñez</v>
      </c>
      <c r="BX784" s="306">
        <f ca="1">COUNTIF('Group Stages'!J7:J102,BW784)</f>
        <v>0</v>
      </c>
      <c r="BY784" s="306">
        <f ca="1">COUNTIF('Group Stages'!K7:K102,BW784)</f>
        <v>0</v>
      </c>
      <c r="BZ784" s="306">
        <f ca="1">COUNTIF('Group Stages'!L7:L102,BW784)</f>
        <v>0</v>
      </c>
      <c r="CA784" s="306">
        <f ca="1">COUNTIF('Group Stages'!M7:M102,BW784)</f>
        <v>0</v>
      </c>
      <c r="CB784" s="306">
        <f ca="1">COUNTIF('Group Stages'!N7:N102,BW784)</f>
        <v>0</v>
      </c>
      <c r="CC784" s="306">
        <f ca="1">COUNTIF('Group Stages'!O7:O102,BW784)</f>
        <v>0</v>
      </c>
      <c r="CD784" s="306">
        <f ca="1">COUNTIF('Group Stages'!P7:P102,BW784)</f>
        <v>0</v>
      </c>
      <c r="CE784" s="306">
        <f ca="1">COUNTIF('Group Stages'!Q7:Q102,BW784)</f>
        <v>0</v>
      </c>
      <c r="CF784" s="306">
        <f ca="1">COUNTIF('Knock Out Stages'!K7:K50,BW784)</f>
        <v>0</v>
      </c>
      <c r="CG784" s="306">
        <f ca="1">COUNTIF('Knock Out Stages'!L7:L50,BW784)</f>
        <v>0</v>
      </c>
      <c r="CH784" s="306">
        <f ca="1">COUNTIF('Knock Out Stages'!M7:M50,BW784)</f>
        <v>0</v>
      </c>
      <c r="CI784" s="306">
        <f ca="1">COUNTIF('Knock Out Stages'!N7:N50,BW784)</f>
        <v>0</v>
      </c>
      <c r="CJ784" s="306">
        <f ca="1">COUNTIF('Knock Out Stages'!O7:O50,BW784)</f>
        <v>0</v>
      </c>
      <c r="CK784" s="306">
        <f ca="1">COUNTIF('Knock Out Stages'!P7:P50,BW784)</f>
        <v>0</v>
      </c>
      <c r="CL784" s="306">
        <f ca="1">COUNTIF('Knock Out Stages'!Q7:Q50,BW784)</f>
        <v>0</v>
      </c>
      <c r="CM784" s="306">
        <f ca="1">COUNTIF('Knock Out Stages'!R7:R50,BW784)</f>
        <v>0</v>
      </c>
      <c r="CN784" s="306">
        <f ca="1">IF(RIGHT('Group Stages'!$B$105,5)="T.com",SUM(BX784:CM784),0)</f>
        <v>0</v>
      </c>
      <c r="CO784" s="306">
        <f ca="1">RANK(CN784,CN3:CN834)+COUNTIF(CN3:CN784,CN784)-1</f>
        <v>782</v>
      </c>
      <c r="CP784" s="306" t="str">
        <f t="shared" ca="1" si="241"/>
        <v>Darwin Núñez (Uruguay)</v>
      </c>
    </row>
    <row r="785" spans="72:94" x14ac:dyDescent="0.3">
      <c r="BT785" s="306" t="str">
        <f t="shared" ca="1" si="238"/>
        <v>Uruguay</v>
      </c>
      <c r="BU785" s="306">
        <f t="shared" si="239"/>
        <v>2</v>
      </c>
      <c r="BV785" s="306">
        <f t="shared" si="240"/>
        <v>29</v>
      </c>
      <c r="BW785" s="306" t="str">
        <f ca="1">OFFSET(C3,BU785,BV785)</f>
        <v>Diego Godín</v>
      </c>
      <c r="BX785" s="306">
        <f ca="1">COUNTIF('Group Stages'!J7:J102,BW785)</f>
        <v>0</v>
      </c>
      <c r="BY785" s="306">
        <f ca="1">COUNTIF('Group Stages'!K7:K102,BW785)</f>
        <v>0</v>
      </c>
      <c r="BZ785" s="306">
        <f ca="1">COUNTIF('Group Stages'!L7:L102,BW785)</f>
        <v>0</v>
      </c>
      <c r="CA785" s="306">
        <f ca="1">COUNTIF('Group Stages'!M7:M102,BW785)</f>
        <v>0</v>
      </c>
      <c r="CB785" s="306">
        <f ca="1">COUNTIF('Group Stages'!N7:N102,BW785)</f>
        <v>0</v>
      </c>
      <c r="CC785" s="306">
        <f ca="1">COUNTIF('Group Stages'!O7:O102,BW785)</f>
        <v>0</v>
      </c>
      <c r="CD785" s="306">
        <f ca="1">COUNTIF('Group Stages'!P7:P102,BW785)</f>
        <v>0</v>
      </c>
      <c r="CE785" s="306">
        <f ca="1">COUNTIF('Group Stages'!Q7:Q102,BW785)</f>
        <v>0</v>
      </c>
      <c r="CF785" s="306">
        <f ca="1">COUNTIF('Knock Out Stages'!K7:K50,BW785)</f>
        <v>0</v>
      </c>
      <c r="CG785" s="306">
        <f ca="1">COUNTIF('Knock Out Stages'!L7:L50,BW785)</f>
        <v>0</v>
      </c>
      <c r="CH785" s="306">
        <f ca="1">COUNTIF('Knock Out Stages'!M7:M50,BW785)</f>
        <v>0</v>
      </c>
      <c r="CI785" s="306">
        <f ca="1">COUNTIF('Knock Out Stages'!N7:N50,BW785)</f>
        <v>0</v>
      </c>
      <c r="CJ785" s="306">
        <f ca="1">COUNTIF('Knock Out Stages'!O7:O50,BW785)</f>
        <v>0</v>
      </c>
      <c r="CK785" s="306">
        <f ca="1">COUNTIF('Knock Out Stages'!P7:P50,BW785)</f>
        <v>0</v>
      </c>
      <c r="CL785" s="306">
        <f ca="1">COUNTIF('Knock Out Stages'!Q7:Q50,BW785)</f>
        <v>0</v>
      </c>
      <c r="CM785" s="306">
        <f ca="1">COUNTIF('Knock Out Stages'!R7:R50,BW785)</f>
        <v>0</v>
      </c>
      <c r="CN785" s="306">
        <f ca="1">IF(RIGHT('Group Stages'!$B$105,5)="T.com",SUM(BX785:CM785),0)</f>
        <v>0</v>
      </c>
      <c r="CO785" s="306">
        <f ca="1">RANK(CN785,CN3:CN834)+COUNTIF(CN3:CN785,CN785)-1</f>
        <v>783</v>
      </c>
      <c r="CP785" s="306" t="str">
        <f t="shared" ca="1" si="241"/>
        <v>Diego Godín (Uruguay)</v>
      </c>
    </row>
    <row r="786" spans="72:94" x14ac:dyDescent="0.3">
      <c r="BT786" s="306" t="str">
        <f t="shared" ca="1" si="238"/>
        <v>Uruguay</v>
      </c>
      <c r="BU786" s="306">
        <f t="shared" si="239"/>
        <v>3</v>
      </c>
      <c r="BV786" s="306">
        <f t="shared" si="240"/>
        <v>29</v>
      </c>
      <c r="BW786" s="306" t="str">
        <f ca="1">OFFSET(C3,BU786,BV786)</f>
        <v>Edinson Cavani</v>
      </c>
      <c r="BX786" s="306">
        <f ca="1">COUNTIF('Group Stages'!J7:J102,BW786)</f>
        <v>0</v>
      </c>
      <c r="BY786" s="306">
        <f ca="1">COUNTIF('Group Stages'!K7:K102,BW786)</f>
        <v>0</v>
      </c>
      <c r="BZ786" s="306">
        <f ca="1">COUNTIF('Group Stages'!L7:L102,BW786)</f>
        <v>0</v>
      </c>
      <c r="CA786" s="306">
        <f ca="1">COUNTIF('Group Stages'!M7:M102,BW786)</f>
        <v>0</v>
      </c>
      <c r="CB786" s="306">
        <f ca="1">COUNTIF('Group Stages'!N7:N102,BW786)</f>
        <v>0</v>
      </c>
      <c r="CC786" s="306">
        <f ca="1">COUNTIF('Group Stages'!O7:O102,BW786)</f>
        <v>0</v>
      </c>
      <c r="CD786" s="306">
        <f ca="1">COUNTIF('Group Stages'!P7:P102,BW786)</f>
        <v>0</v>
      </c>
      <c r="CE786" s="306">
        <f ca="1">COUNTIF('Group Stages'!Q7:Q102,BW786)</f>
        <v>0</v>
      </c>
      <c r="CF786" s="306">
        <f ca="1">COUNTIF('Knock Out Stages'!K7:K50,BW786)</f>
        <v>0</v>
      </c>
      <c r="CG786" s="306">
        <f ca="1">COUNTIF('Knock Out Stages'!L7:L50,BW786)</f>
        <v>0</v>
      </c>
      <c r="CH786" s="306">
        <f ca="1">COUNTIF('Knock Out Stages'!M7:M50,BW786)</f>
        <v>0</v>
      </c>
      <c r="CI786" s="306">
        <f ca="1">COUNTIF('Knock Out Stages'!N7:N50,BW786)</f>
        <v>0</v>
      </c>
      <c r="CJ786" s="306">
        <f ca="1">COUNTIF('Knock Out Stages'!O7:O50,BW786)</f>
        <v>0</v>
      </c>
      <c r="CK786" s="306">
        <f ca="1">COUNTIF('Knock Out Stages'!P7:P50,BW786)</f>
        <v>0</v>
      </c>
      <c r="CL786" s="306">
        <f ca="1">COUNTIF('Knock Out Stages'!Q7:Q50,BW786)</f>
        <v>0</v>
      </c>
      <c r="CM786" s="306">
        <f ca="1">COUNTIF('Knock Out Stages'!R7:R50,BW786)</f>
        <v>0</v>
      </c>
      <c r="CN786" s="306">
        <f ca="1">IF(RIGHT('Group Stages'!$B$105,5)="T.com",SUM(BX786:CM786),0)</f>
        <v>0</v>
      </c>
      <c r="CO786" s="306">
        <f ca="1">RANK(CN786,CN3:CN834)+COUNTIF(CN3:CN786,CN786)-1</f>
        <v>784</v>
      </c>
      <c r="CP786" s="306" t="str">
        <f t="shared" ca="1" si="241"/>
        <v>Edinson Cavani (Uruguay)</v>
      </c>
    </row>
    <row r="787" spans="72:94" x14ac:dyDescent="0.3">
      <c r="BT787" s="306" t="str">
        <f t="shared" ca="1" si="238"/>
        <v>Uruguay</v>
      </c>
      <c r="BU787" s="306">
        <f t="shared" si="239"/>
        <v>4</v>
      </c>
      <c r="BV787" s="306">
        <f t="shared" si="240"/>
        <v>29</v>
      </c>
      <c r="BW787" s="306" t="str">
        <f ca="1">OFFSET(C3,BU787,BV787)</f>
        <v>Facundo Pellistri</v>
      </c>
      <c r="BX787" s="306">
        <f ca="1">COUNTIF('Group Stages'!J7:J102,BW787)</f>
        <v>0</v>
      </c>
      <c r="BY787" s="306">
        <f ca="1">COUNTIF('Group Stages'!K7:K102,BW787)</f>
        <v>0</v>
      </c>
      <c r="BZ787" s="306">
        <f ca="1">COUNTIF('Group Stages'!L7:L102,BW787)</f>
        <v>0</v>
      </c>
      <c r="CA787" s="306">
        <f ca="1">COUNTIF('Group Stages'!M7:M102,BW787)</f>
        <v>0</v>
      </c>
      <c r="CB787" s="306">
        <f ca="1">COUNTIF('Group Stages'!N7:N102,BW787)</f>
        <v>0</v>
      </c>
      <c r="CC787" s="306">
        <f ca="1">COUNTIF('Group Stages'!O7:O102,BW787)</f>
        <v>0</v>
      </c>
      <c r="CD787" s="306">
        <f ca="1">COUNTIF('Group Stages'!P7:P102,BW787)</f>
        <v>0</v>
      </c>
      <c r="CE787" s="306">
        <f ca="1">COUNTIF('Group Stages'!Q7:Q102,BW787)</f>
        <v>0</v>
      </c>
      <c r="CF787" s="306">
        <f ca="1">COUNTIF('Knock Out Stages'!K7:K50,BW787)</f>
        <v>0</v>
      </c>
      <c r="CG787" s="306">
        <f ca="1">COUNTIF('Knock Out Stages'!L7:L50,BW787)</f>
        <v>0</v>
      </c>
      <c r="CH787" s="306">
        <f ca="1">COUNTIF('Knock Out Stages'!M7:M50,BW787)</f>
        <v>0</v>
      </c>
      <c r="CI787" s="306">
        <f ca="1">COUNTIF('Knock Out Stages'!N7:N50,BW787)</f>
        <v>0</v>
      </c>
      <c r="CJ787" s="306">
        <f ca="1">COUNTIF('Knock Out Stages'!O7:O50,BW787)</f>
        <v>0</v>
      </c>
      <c r="CK787" s="306">
        <f ca="1">COUNTIF('Knock Out Stages'!P7:P50,BW787)</f>
        <v>0</v>
      </c>
      <c r="CL787" s="306">
        <f ca="1">COUNTIF('Knock Out Stages'!Q7:Q50,BW787)</f>
        <v>0</v>
      </c>
      <c r="CM787" s="306">
        <f ca="1">COUNTIF('Knock Out Stages'!R7:R50,BW787)</f>
        <v>0</v>
      </c>
      <c r="CN787" s="306">
        <f ca="1">IF(RIGHT('Group Stages'!$B$105,5)="T.com",SUM(BX787:CM787),0)</f>
        <v>0</v>
      </c>
      <c r="CO787" s="306">
        <f ca="1">RANK(CN787,CN3:CN834)+COUNTIF(CN3:CN787,CN787)-1</f>
        <v>785</v>
      </c>
      <c r="CP787" s="306" t="str">
        <f t="shared" ca="1" si="241"/>
        <v>Facundo Pellistri (Uruguay)</v>
      </c>
    </row>
    <row r="788" spans="72:94" x14ac:dyDescent="0.3">
      <c r="BT788" s="306" t="str">
        <f t="shared" ca="1" si="238"/>
        <v>Uruguay</v>
      </c>
      <c r="BU788" s="306">
        <f t="shared" si="239"/>
        <v>5</v>
      </c>
      <c r="BV788" s="306">
        <f t="shared" si="240"/>
        <v>29</v>
      </c>
      <c r="BW788" s="306" t="str">
        <f ca="1">OFFSET(C3,BU788,BV788)</f>
        <v>Facundo Torres</v>
      </c>
      <c r="BX788" s="306">
        <f ca="1">COUNTIF('Group Stages'!J7:J102,BW788)</f>
        <v>0</v>
      </c>
      <c r="BY788" s="306">
        <f ca="1">COUNTIF('Group Stages'!K7:K102,BW788)</f>
        <v>0</v>
      </c>
      <c r="BZ788" s="306">
        <f ca="1">COUNTIF('Group Stages'!L7:L102,BW788)</f>
        <v>0</v>
      </c>
      <c r="CA788" s="306">
        <f ca="1">COUNTIF('Group Stages'!M7:M102,BW788)</f>
        <v>0</v>
      </c>
      <c r="CB788" s="306">
        <f ca="1">COUNTIF('Group Stages'!N7:N102,BW788)</f>
        <v>0</v>
      </c>
      <c r="CC788" s="306">
        <f ca="1">COUNTIF('Group Stages'!O7:O102,BW788)</f>
        <v>0</v>
      </c>
      <c r="CD788" s="306">
        <f ca="1">COUNTIF('Group Stages'!P7:P102,BW788)</f>
        <v>0</v>
      </c>
      <c r="CE788" s="306">
        <f ca="1">COUNTIF('Group Stages'!Q7:Q102,BW788)</f>
        <v>0</v>
      </c>
      <c r="CF788" s="306">
        <f ca="1">COUNTIF('Knock Out Stages'!K7:K50,BW788)</f>
        <v>0</v>
      </c>
      <c r="CG788" s="306">
        <f ca="1">COUNTIF('Knock Out Stages'!L7:L50,BW788)</f>
        <v>0</v>
      </c>
      <c r="CH788" s="306">
        <f ca="1">COUNTIF('Knock Out Stages'!M7:M50,BW788)</f>
        <v>0</v>
      </c>
      <c r="CI788" s="306">
        <f ca="1">COUNTIF('Knock Out Stages'!N7:N50,BW788)</f>
        <v>0</v>
      </c>
      <c r="CJ788" s="306">
        <f ca="1">COUNTIF('Knock Out Stages'!O7:O50,BW788)</f>
        <v>0</v>
      </c>
      <c r="CK788" s="306">
        <f ca="1">COUNTIF('Knock Out Stages'!P7:P50,BW788)</f>
        <v>0</v>
      </c>
      <c r="CL788" s="306">
        <f ca="1">COUNTIF('Knock Out Stages'!Q7:Q50,BW788)</f>
        <v>0</v>
      </c>
      <c r="CM788" s="306">
        <f ca="1">COUNTIF('Knock Out Stages'!R7:R50,BW788)</f>
        <v>0</v>
      </c>
      <c r="CN788" s="306">
        <f ca="1">IF(RIGHT('Group Stages'!$B$105,5)="T.com",SUM(BX788:CM788),0)</f>
        <v>0</v>
      </c>
      <c r="CO788" s="306">
        <f ca="1">RANK(CN788,CN3:CN834)+COUNTIF(CN3:CN788,CN788)-1</f>
        <v>786</v>
      </c>
      <c r="CP788" s="306" t="str">
        <f t="shared" ca="1" si="241"/>
        <v>Facundo Torres (Uruguay)</v>
      </c>
    </row>
    <row r="789" spans="72:94" x14ac:dyDescent="0.3">
      <c r="BT789" s="306" t="str">
        <f t="shared" ca="1" si="238"/>
        <v>Uruguay</v>
      </c>
      <c r="BU789" s="306">
        <f t="shared" si="239"/>
        <v>6</v>
      </c>
      <c r="BV789" s="306">
        <f t="shared" si="240"/>
        <v>29</v>
      </c>
      <c r="BW789" s="306" t="str">
        <f ca="1">OFFSET(C3,BU789,BV789)</f>
        <v>Federico Valverde</v>
      </c>
      <c r="BX789" s="306">
        <f ca="1">COUNTIF('Group Stages'!J7:J102,BW789)</f>
        <v>0</v>
      </c>
      <c r="BY789" s="306">
        <f ca="1">COUNTIF('Group Stages'!K7:K102,BW789)</f>
        <v>0</v>
      </c>
      <c r="BZ789" s="306">
        <f ca="1">COUNTIF('Group Stages'!L7:L102,BW789)</f>
        <v>0</v>
      </c>
      <c r="CA789" s="306">
        <f ca="1">COUNTIF('Group Stages'!M7:M102,BW789)</f>
        <v>0</v>
      </c>
      <c r="CB789" s="306">
        <f ca="1">COUNTIF('Group Stages'!N7:N102,BW789)</f>
        <v>0</v>
      </c>
      <c r="CC789" s="306">
        <f ca="1">COUNTIF('Group Stages'!O7:O102,BW789)</f>
        <v>0</v>
      </c>
      <c r="CD789" s="306">
        <f ca="1">COUNTIF('Group Stages'!P7:P102,BW789)</f>
        <v>0</v>
      </c>
      <c r="CE789" s="306">
        <f ca="1">COUNTIF('Group Stages'!Q7:Q102,BW789)</f>
        <v>0</v>
      </c>
      <c r="CF789" s="306">
        <f ca="1">COUNTIF('Knock Out Stages'!K7:K50,BW789)</f>
        <v>0</v>
      </c>
      <c r="CG789" s="306">
        <f ca="1">COUNTIF('Knock Out Stages'!L7:L50,BW789)</f>
        <v>0</v>
      </c>
      <c r="CH789" s="306">
        <f ca="1">COUNTIF('Knock Out Stages'!M7:M50,BW789)</f>
        <v>0</v>
      </c>
      <c r="CI789" s="306">
        <f ca="1">COUNTIF('Knock Out Stages'!N7:N50,BW789)</f>
        <v>0</v>
      </c>
      <c r="CJ789" s="306">
        <f ca="1">COUNTIF('Knock Out Stages'!O7:O50,BW789)</f>
        <v>0</v>
      </c>
      <c r="CK789" s="306">
        <f ca="1">COUNTIF('Knock Out Stages'!P7:P50,BW789)</f>
        <v>0</v>
      </c>
      <c r="CL789" s="306">
        <f ca="1">COUNTIF('Knock Out Stages'!Q7:Q50,BW789)</f>
        <v>0</v>
      </c>
      <c r="CM789" s="306">
        <f ca="1">COUNTIF('Knock Out Stages'!R7:R50,BW789)</f>
        <v>0</v>
      </c>
      <c r="CN789" s="306">
        <f ca="1">IF(RIGHT('Group Stages'!$B$105,5)="T.com",SUM(BX789:CM789),0)</f>
        <v>0</v>
      </c>
      <c r="CO789" s="306">
        <f ca="1">RANK(CN789,CN3:CN834)+COUNTIF(CN3:CN789,CN789)-1</f>
        <v>787</v>
      </c>
      <c r="CP789" s="306" t="str">
        <f t="shared" ca="1" si="241"/>
        <v>Federico Valverde (Uruguay)</v>
      </c>
    </row>
    <row r="790" spans="72:94" x14ac:dyDescent="0.3">
      <c r="BT790" s="306" t="str">
        <f t="shared" ca="1" si="238"/>
        <v>Uruguay</v>
      </c>
      <c r="BU790" s="306">
        <f t="shared" si="239"/>
        <v>7</v>
      </c>
      <c r="BV790" s="306">
        <f t="shared" si="240"/>
        <v>29</v>
      </c>
      <c r="BW790" s="306" t="str">
        <f ca="1">OFFSET(C3,BU790,BV790)</f>
        <v>Fernando Muslera</v>
      </c>
      <c r="BX790" s="306">
        <f ca="1">COUNTIF('Group Stages'!J7:J102,BW790)</f>
        <v>0</v>
      </c>
      <c r="BY790" s="306">
        <f ca="1">COUNTIF('Group Stages'!K7:K102,BW790)</f>
        <v>0</v>
      </c>
      <c r="BZ790" s="306">
        <f ca="1">COUNTIF('Group Stages'!L7:L102,BW790)</f>
        <v>0</v>
      </c>
      <c r="CA790" s="306">
        <f ca="1">COUNTIF('Group Stages'!M7:M102,BW790)</f>
        <v>0</v>
      </c>
      <c r="CB790" s="306">
        <f ca="1">COUNTIF('Group Stages'!N7:N102,BW790)</f>
        <v>0</v>
      </c>
      <c r="CC790" s="306">
        <f ca="1">COUNTIF('Group Stages'!O7:O102,BW790)</f>
        <v>0</v>
      </c>
      <c r="CD790" s="306">
        <f ca="1">COUNTIF('Group Stages'!P7:P102,BW790)</f>
        <v>0</v>
      </c>
      <c r="CE790" s="306">
        <f ca="1">COUNTIF('Group Stages'!Q7:Q102,BW790)</f>
        <v>0</v>
      </c>
      <c r="CF790" s="306">
        <f ca="1">COUNTIF('Knock Out Stages'!K7:K50,BW790)</f>
        <v>0</v>
      </c>
      <c r="CG790" s="306">
        <f ca="1">COUNTIF('Knock Out Stages'!L7:L50,BW790)</f>
        <v>0</v>
      </c>
      <c r="CH790" s="306">
        <f ca="1">COUNTIF('Knock Out Stages'!M7:M50,BW790)</f>
        <v>0</v>
      </c>
      <c r="CI790" s="306">
        <f ca="1">COUNTIF('Knock Out Stages'!N7:N50,BW790)</f>
        <v>0</v>
      </c>
      <c r="CJ790" s="306">
        <f ca="1">COUNTIF('Knock Out Stages'!O7:O50,BW790)</f>
        <v>0</v>
      </c>
      <c r="CK790" s="306">
        <f ca="1">COUNTIF('Knock Out Stages'!P7:P50,BW790)</f>
        <v>0</v>
      </c>
      <c r="CL790" s="306">
        <f ca="1">COUNTIF('Knock Out Stages'!Q7:Q50,BW790)</f>
        <v>0</v>
      </c>
      <c r="CM790" s="306">
        <f ca="1">COUNTIF('Knock Out Stages'!R7:R50,BW790)</f>
        <v>0</v>
      </c>
      <c r="CN790" s="306">
        <f ca="1">IF(RIGHT('Group Stages'!$B$105,5)="T.com",SUM(BX790:CM790),0)</f>
        <v>0</v>
      </c>
      <c r="CO790" s="306">
        <f ca="1">RANK(CN790,CN3:CN834)+COUNTIF(CN3:CN790,CN790)-1</f>
        <v>788</v>
      </c>
      <c r="CP790" s="306" t="str">
        <f t="shared" ca="1" si="241"/>
        <v>Fernando Muslera (Uruguay)</v>
      </c>
    </row>
    <row r="791" spans="72:94" x14ac:dyDescent="0.3">
      <c r="BT791" s="306" t="str">
        <f t="shared" ca="1" si="238"/>
        <v>Uruguay</v>
      </c>
      <c r="BU791" s="306">
        <f t="shared" si="239"/>
        <v>8</v>
      </c>
      <c r="BV791" s="306">
        <f t="shared" si="240"/>
        <v>29</v>
      </c>
      <c r="BW791" s="306" t="str">
        <f ca="1">OFFSET(C3,BU791,BV791)</f>
        <v>Giorgian de Arrascaeta</v>
      </c>
      <c r="BX791" s="306">
        <f ca="1">COUNTIF('Group Stages'!J7:J102,BW791)</f>
        <v>0</v>
      </c>
      <c r="BY791" s="306">
        <f ca="1">COUNTIF('Group Stages'!K7:K102,BW791)</f>
        <v>0</v>
      </c>
      <c r="BZ791" s="306">
        <f ca="1">COUNTIF('Group Stages'!L7:L102,BW791)</f>
        <v>0</v>
      </c>
      <c r="CA791" s="306">
        <f ca="1">COUNTIF('Group Stages'!M7:M102,BW791)</f>
        <v>0</v>
      </c>
      <c r="CB791" s="306">
        <f ca="1">COUNTIF('Group Stages'!N7:N102,BW791)</f>
        <v>0</v>
      </c>
      <c r="CC791" s="306">
        <f ca="1">COUNTIF('Group Stages'!O7:O102,BW791)</f>
        <v>0</v>
      </c>
      <c r="CD791" s="306">
        <f ca="1">COUNTIF('Group Stages'!P7:P102,BW791)</f>
        <v>0</v>
      </c>
      <c r="CE791" s="306">
        <f ca="1">COUNTIF('Group Stages'!Q7:Q102,BW791)</f>
        <v>0</v>
      </c>
      <c r="CF791" s="306">
        <f ca="1">COUNTIF('Knock Out Stages'!K7:K50,BW791)</f>
        <v>0</v>
      </c>
      <c r="CG791" s="306">
        <f ca="1">COUNTIF('Knock Out Stages'!L7:L50,BW791)</f>
        <v>0</v>
      </c>
      <c r="CH791" s="306">
        <f ca="1">COUNTIF('Knock Out Stages'!M7:M50,BW791)</f>
        <v>0</v>
      </c>
      <c r="CI791" s="306">
        <f ca="1">COUNTIF('Knock Out Stages'!N7:N50,BW791)</f>
        <v>0</v>
      </c>
      <c r="CJ791" s="306">
        <f ca="1">COUNTIF('Knock Out Stages'!O7:O50,BW791)</f>
        <v>0</v>
      </c>
      <c r="CK791" s="306">
        <f ca="1">COUNTIF('Knock Out Stages'!P7:P50,BW791)</f>
        <v>0</v>
      </c>
      <c r="CL791" s="306">
        <f ca="1">COUNTIF('Knock Out Stages'!Q7:Q50,BW791)</f>
        <v>0</v>
      </c>
      <c r="CM791" s="306">
        <f ca="1">COUNTIF('Knock Out Stages'!R7:R50,BW791)</f>
        <v>0</v>
      </c>
      <c r="CN791" s="306">
        <f ca="1">IF(RIGHT('Group Stages'!$B$105,5)="T.com",SUM(BX791:CM791),0)</f>
        <v>0</v>
      </c>
      <c r="CO791" s="306">
        <f ca="1">RANK(CN791,CN3:CN834)+COUNTIF(CN3:CN791,CN791)-1</f>
        <v>789</v>
      </c>
      <c r="CP791" s="306" t="str">
        <f t="shared" ca="1" si="241"/>
        <v>Giorgian de Arrascaeta (Uruguay)</v>
      </c>
    </row>
    <row r="792" spans="72:94" x14ac:dyDescent="0.3">
      <c r="BT792" s="306" t="str">
        <f t="shared" ca="1" si="238"/>
        <v>Uruguay</v>
      </c>
      <c r="BU792" s="306">
        <f t="shared" si="239"/>
        <v>9</v>
      </c>
      <c r="BV792" s="306">
        <f t="shared" si="240"/>
        <v>29</v>
      </c>
      <c r="BW792" s="306" t="str">
        <f ca="1">OFFSET(C3,BU792,BV792)</f>
        <v>Guillermo Varela</v>
      </c>
      <c r="BX792" s="306">
        <f ca="1">COUNTIF('Group Stages'!J7:J102,BW792)</f>
        <v>0</v>
      </c>
      <c r="BY792" s="306">
        <f ca="1">COUNTIF('Group Stages'!K7:K102,BW792)</f>
        <v>0</v>
      </c>
      <c r="BZ792" s="306">
        <f ca="1">COUNTIF('Group Stages'!L7:L102,BW792)</f>
        <v>0</v>
      </c>
      <c r="CA792" s="306">
        <f ca="1">COUNTIF('Group Stages'!M7:M102,BW792)</f>
        <v>0</v>
      </c>
      <c r="CB792" s="306">
        <f ca="1">COUNTIF('Group Stages'!N7:N102,BW792)</f>
        <v>0</v>
      </c>
      <c r="CC792" s="306">
        <f ca="1">COUNTIF('Group Stages'!O7:O102,BW792)</f>
        <v>0</v>
      </c>
      <c r="CD792" s="306">
        <f ca="1">COUNTIF('Group Stages'!P7:P102,BW792)</f>
        <v>0</v>
      </c>
      <c r="CE792" s="306">
        <f ca="1">COUNTIF('Group Stages'!Q7:Q102,BW792)</f>
        <v>0</v>
      </c>
      <c r="CF792" s="306">
        <f ca="1">COUNTIF('Knock Out Stages'!K7:K50,BW792)</f>
        <v>0</v>
      </c>
      <c r="CG792" s="306">
        <f ca="1">COUNTIF('Knock Out Stages'!L7:L50,BW792)</f>
        <v>0</v>
      </c>
      <c r="CH792" s="306">
        <f ca="1">COUNTIF('Knock Out Stages'!M7:M50,BW792)</f>
        <v>0</v>
      </c>
      <c r="CI792" s="306">
        <f ca="1">COUNTIF('Knock Out Stages'!N7:N50,BW792)</f>
        <v>0</v>
      </c>
      <c r="CJ792" s="306">
        <f ca="1">COUNTIF('Knock Out Stages'!O7:O50,BW792)</f>
        <v>0</v>
      </c>
      <c r="CK792" s="306">
        <f ca="1">COUNTIF('Knock Out Stages'!P7:P50,BW792)</f>
        <v>0</v>
      </c>
      <c r="CL792" s="306">
        <f ca="1">COUNTIF('Knock Out Stages'!Q7:Q50,BW792)</f>
        <v>0</v>
      </c>
      <c r="CM792" s="306">
        <f ca="1">COUNTIF('Knock Out Stages'!R7:R50,BW792)</f>
        <v>0</v>
      </c>
      <c r="CN792" s="306">
        <f ca="1">IF(RIGHT('Group Stages'!$B$105,5)="T.com",SUM(BX792:CM792),0)</f>
        <v>0</v>
      </c>
      <c r="CO792" s="306">
        <f ca="1">RANK(CN792,CN3:CN834)+COUNTIF(CN3:CN792,CN792)-1</f>
        <v>790</v>
      </c>
      <c r="CP792" s="306" t="str">
        <f t="shared" ca="1" si="241"/>
        <v>Guillermo Varela (Uruguay)</v>
      </c>
    </row>
    <row r="793" spans="72:94" x14ac:dyDescent="0.3">
      <c r="BT793" s="306" t="str">
        <f t="shared" ca="1" si="238"/>
        <v>Uruguay</v>
      </c>
      <c r="BU793" s="306">
        <f t="shared" si="239"/>
        <v>10</v>
      </c>
      <c r="BV793" s="306">
        <f t="shared" si="240"/>
        <v>29</v>
      </c>
      <c r="BW793" s="306" t="str">
        <f ca="1">OFFSET(C3,BU793,BV793)</f>
        <v>José Giménez</v>
      </c>
      <c r="BX793" s="306">
        <f ca="1">COUNTIF('Group Stages'!J7:J102,BW793)</f>
        <v>0</v>
      </c>
      <c r="BY793" s="306">
        <f ca="1">COUNTIF('Group Stages'!K7:K102,BW793)</f>
        <v>0</v>
      </c>
      <c r="BZ793" s="306">
        <f ca="1">COUNTIF('Group Stages'!L7:L102,BW793)</f>
        <v>0</v>
      </c>
      <c r="CA793" s="306">
        <f ca="1">COUNTIF('Group Stages'!M7:M102,BW793)</f>
        <v>0</v>
      </c>
      <c r="CB793" s="306">
        <f ca="1">COUNTIF('Group Stages'!N7:N102,BW793)</f>
        <v>0</v>
      </c>
      <c r="CC793" s="306">
        <f ca="1">COUNTIF('Group Stages'!O7:O102,BW793)</f>
        <v>0</v>
      </c>
      <c r="CD793" s="306">
        <f ca="1">COUNTIF('Group Stages'!P7:P102,BW793)</f>
        <v>0</v>
      </c>
      <c r="CE793" s="306">
        <f ca="1">COUNTIF('Group Stages'!Q7:Q102,BW793)</f>
        <v>0</v>
      </c>
      <c r="CF793" s="306">
        <f ca="1">COUNTIF('Knock Out Stages'!K7:K50,BW793)</f>
        <v>0</v>
      </c>
      <c r="CG793" s="306">
        <f ca="1">COUNTIF('Knock Out Stages'!L7:L50,BW793)</f>
        <v>0</v>
      </c>
      <c r="CH793" s="306">
        <f ca="1">COUNTIF('Knock Out Stages'!M7:M50,BW793)</f>
        <v>0</v>
      </c>
      <c r="CI793" s="306">
        <f ca="1">COUNTIF('Knock Out Stages'!N7:N50,BW793)</f>
        <v>0</v>
      </c>
      <c r="CJ793" s="306">
        <f ca="1">COUNTIF('Knock Out Stages'!O7:O50,BW793)</f>
        <v>0</v>
      </c>
      <c r="CK793" s="306">
        <f ca="1">COUNTIF('Knock Out Stages'!P7:P50,BW793)</f>
        <v>0</v>
      </c>
      <c r="CL793" s="306">
        <f ca="1">COUNTIF('Knock Out Stages'!Q7:Q50,BW793)</f>
        <v>0</v>
      </c>
      <c r="CM793" s="306">
        <f ca="1">COUNTIF('Knock Out Stages'!R7:R50,BW793)</f>
        <v>0</v>
      </c>
      <c r="CN793" s="306">
        <f ca="1">IF(RIGHT('Group Stages'!$B$105,5)="T.com",SUM(BX793:CM793),0)</f>
        <v>0</v>
      </c>
      <c r="CO793" s="306">
        <f ca="1">RANK(CN793,CN3:CN834)+COUNTIF(CN3:CN793,CN793)-1</f>
        <v>791</v>
      </c>
      <c r="CP793" s="306" t="str">
        <f t="shared" ca="1" si="241"/>
        <v>José Giménez (Uruguay)</v>
      </c>
    </row>
    <row r="794" spans="72:94" x14ac:dyDescent="0.3">
      <c r="BT794" s="306" t="str">
        <f t="shared" ca="1" si="238"/>
        <v>Uruguay</v>
      </c>
      <c r="BU794" s="306">
        <f t="shared" si="239"/>
        <v>11</v>
      </c>
      <c r="BV794" s="306">
        <f t="shared" si="240"/>
        <v>29</v>
      </c>
      <c r="BW794" s="306" t="str">
        <f ca="1">OFFSET(C3,BU794,BV794)</f>
        <v>José Luis Rodríguez</v>
      </c>
      <c r="BX794" s="306">
        <f ca="1">COUNTIF('Group Stages'!J7:J102,BW794)</f>
        <v>0</v>
      </c>
      <c r="BY794" s="306">
        <f ca="1">COUNTIF('Group Stages'!K7:K102,BW794)</f>
        <v>0</v>
      </c>
      <c r="BZ794" s="306">
        <f ca="1">COUNTIF('Group Stages'!L7:L102,BW794)</f>
        <v>0</v>
      </c>
      <c r="CA794" s="306">
        <f ca="1">COUNTIF('Group Stages'!M7:M102,BW794)</f>
        <v>0</v>
      </c>
      <c r="CB794" s="306">
        <f ca="1">COUNTIF('Group Stages'!N7:N102,BW794)</f>
        <v>0</v>
      </c>
      <c r="CC794" s="306">
        <f ca="1">COUNTIF('Group Stages'!O7:O102,BW794)</f>
        <v>0</v>
      </c>
      <c r="CD794" s="306">
        <f ca="1">COUNTIF('Group Stages'!P7:P102,BW794)</f>
        <v>0</v>
      </c>
      <c r="CE794" s="306">
        <f ca="1">COUNTIF('Group Stages'!Q7:Q102,BW794)</f>
        <v>0</v>
      </c>
      <c r="CF794" s="306">
        <f ca="1">COUNTIF('Knock Out Stages'!K7:K50,BW794)</f>
        <v>0</v>
      </c>
      <c r="CG794" s="306">
        <f ca="1">COUNTIF('Knock Out Stages'!L7:L50,BW794)</f>
        <v>0</v>
      </c>
      <c r="CH794" s="306">
        <f ca="1">COUNTIF('Knock Out Stages'!M7:M50,BW794)</f>
        <v>0</v>
      </c>
      <c r="CI794" s="306">
        <f ca="1">COUNTIF('Knock Out Stages'!N7:N50,BW794)</f>
        <v>0</v>
      </c>
      <c r="CJ794" s="306">
        <f ca="1">COUNTIF('Knock Out Stages'!O7:O50,BW794)</f>
        <v>0</v>
      </c>
      <c r="CK794" s="306">
        <f ca="1">COUNTIF('Knock Out Stages'!P7:P50,BW794)</f>
        <v>0</v>
      </c>
      <c r="CL794" s="306">
        <f ca="1">COUNTIF('Knock Out Stages'!Q7:Q50,BW794)</f>
        <v>0</v>
      </c>
      <c r="CM794" s="306">
        <f ca="1">COUNTIF('Knock Out Stages'!R7:R50,BW794)</f>
        <v>0</v>
      </c>
      <c r="CN794" s="306">
        <f ca="1">IF(RIGHT('Group Stages'!$B$105,5)="T.com",SUM(BX794:CM794),0)</f>
        <v>0</v>
      </c>
      <c r="CO794" s="306">
        <f ca="1">RANK(CN794,CN3:CN834)+COUNTIF(CN3:CN794,CN794)-1</f>
        <v>792</v>
      </c>
      <c r="CP794" s="306" t="str">
        <f t="shared" ca="1" si="241"/>
        <v>José Luis Rodríguez (Uruguay)</v>
      </c>
    </row>
    <row r="795" spans="72:94" x14ac:dyDescent="0.3">
      <c r="BT795" s="306" t="str">
        <f t="shared" ca="1" si="238"/>
        <v>Uruguay</v>
      </c>
      <c r="BU795" s="306">
        <f t="shared" si="239"/>
        <v>12</v>
      </c>
      <c r="BV795" s="306">
        <f t="shared" si="240"/>
        <v>29</v>
      </c>
      <c r="BW795" s="306" t="str">
        <f ca="1">OFFSET(C3,BU795,BV795)</f>
        <v>Lucas Torreira</v>
      </c>
      <c r="BX795" s="306">
        <f ca="1">COUNTIF('Group Stages'!J7:J102,BW795)</f>
        <v>0</v>
      </c>
      <c r="BY795" s="306">
        <f ca="1">COUNTIF('Group Stages'!K7:K102,BW795)</f>
        <v>0</v>
      </c>
      <c r="BZ795" s="306">
        <f ca="1">COUNTIF('Group Stages'!L7:L102,BW795)</f>
        <v>0</v>
      </c>
      <c r="CA795" s="306">
        <f ca="1">COUNTIF('Group Stages'!M7:M102,BW795)</f>
        <v>0</v>
      </c>
      <c r="CB795" s="306">
        <f ca="1">COUNTIF('Group Stages'!N7:N102,BW795)</f>
        <v>0</v>
      </c>
      <c r="CC795" s="306">
        <f ca="1">COUNTIF('Group Stages'!O7:O102,BW795)</f>
        <v>0</v>
      </c>
      <c r="CD795" s="306">
        <f ca="1">COUNTIF('Group Stages'!P7:P102,BW795)</f>
        <v>0</v>
      </c>
      <c r="CE795" s="306">
        <f ca="1">COUNTIF('Group Stages'!Q7:Q102,BW795)</f>
        <v>0</v>
      </c>
      <c r="CF795" s="306">
        <f ca="1">COUNTIF('Knock Out Stages'!K7:K50,BW795)</f>
        <v>0</v>
      </c>
      <c r="CG795" s="306">
        <f ca="1">COUNTIF('Knock Out Stages'!L7:L50,BW795)</f>
        <v>0</v>
      </c>
      <c r="CH795" s="306">
        <f ca="1">COUNTIF('Knock Out Stages'!M7:M50,BW795)</f>
        <v>0</v>
      </c>
      <c r="CI795" s="306">
        <f ca="1">COUNTIF('Knock Out Stages'!N7:N50,BW795)</f>
        <v>0</v>
      </c>
      <c r="CJ795" s="306">
        <f ca="1">COUNTIF('Knock Out Stages'!O7:O50,BW795)</f>
        <v>0</v>
      </c>
      <c r="CK795" s="306">
        <f ca="1">COUNTIF('Knock Out Stages'!P7:P50,BW795)</f>
        <v>0</v>
      </c>
      <c r="CL795" s="306">
        <f ca="1">COUNTIF('Knock Out Stages'!Q7:Q50,BW795)</f>
        <v>0</v>
      </c>
      <c r="CM795" s="306">
        <f ca="1">COUNTIF('Knock Out Stages'!R7:R50,BW795)</f>
        <v>0</v>
      </c>
      <c r="CN795" s="306">
        <f ca="1">IF(RIGHT('Group Stages'!$B$105,5)="T.com",SUM(BX795:CM795),0)</f>
        <v>0</v>
      </c>
      <c r="CO795" s="306">
        <f ca="1">RANK(CN795,CN3:CN834)+COUNTIF(CN3:CN795,CN795)-1</f>
        <v>793</v>
      </c>
      <c r="CP795" s="306" t="str">
        <f t="shared" ca="1" si="241"/>
        <v>Lucas Torreira (Uruguay)</v>
      </c>
    </row>
    <row r="796" spans="72:94" x14ac:dyDescent="0.3">
      <c r="BT796" s="306" t="str">
        <f t="shared" ca="1" si="238"/>
        <v>Uruguay</v>
      </c>
      <c r="BU796" s="306">
        <f t="shared" si="239"/>
        <v>13</v>
      </c>
      <c r="BV796" s="306">
        <f t="shared" si="240"/>
        <v>29</v>
      </c>
      <c r="BW796" s="306" t="str">
        <f ca="1">OFFSET(C3,BU796,BV796)</f>
        <v>Luis Suárez</v>
      </c>
      <c r="BX796" s="306">
        <f ca="1">COUNTIF('Group Stages'!J7:J102,BW796)</f>
        <v>0</v>
      </c>
      <c r="BY796" s="306">
        <f ca="1">COUNTIF('Group Stages'!K7:K102,BW796)</f>
        <v>0</v>
      </c>
      <c r="BZ796" s="306">
        <f ca="1">COUNTIF('Group Stages'!L7:L102,BW796)</f>
        <v>0</v>
      </c>
      <c r="CA796" s="306">
        <f ca="1">COUNTIF('Group Stages'!M7:M102,BW796)</f>
        <v>0</v>
      </c>
      <c r="CB796" s="306">
        <f ca="1">COUNTIF('Group Stages'!N7:N102,BW796)</f>
        <v>0</v>
      </c>
      <c r="CC796" s="306">
        <f ca="1">COUNTIF('Group Stages'!O7:O102,BW796)</f>
        <v>0</v>
      </c>
      <c r="CD796" s="306">
        <f ca="1">COUNTIF('Group Stages'!P7:P102,BW796)</f>
        <v>0</v>
      </c>
      <c r="CE796" s="306">
        <f ca="1">COUNTIF('Group Stages'!Q7:Q102,BW796)</f>
        <v>0</v>
      </c>
      <c r="CF796" s="306">
        <f ca="1">COUNTIF('Knock Out Stages'!K7:K50,BW796)</f>
        <v>0</v>
      </c>
      <c r="CG796" s="306">
        <f ca="1">COUNTIF('Knock Out Stages'!L7:L50,BW796)</f>
        <v>0</v>
      </c>
      <c r="CH796" s="306">
        <f ca="1">COUNTIF('Knock Out Stages'!M7:M50,BW796)</f>
        <v>0</v>
      </c>
      <c r="CI796" s="306">
        <f ca="1">COUNTIF('Knock Out Stages'!N7:N50,BW796)</f>
        <v>0</v>
      </c>
      <c r="CJ796" s="306">
        <f ca="1">COUNTIF('Knock Out Stages'!O7:O50,BW796)</f>
        <v>0</v>
      </c>
      <c r="CK796" s="306">
        <f ca="1">COUNTIF('Knock Out Stages'!P7:P50,BW796)</f>
        <v>0</v>
      </c>
      <c r="CL796" s="306">
        <f ca="1">COUNTIF('Knock Out Stages'!Q7:Q50,BW796)</f>
        <v>0</v>
      </c>
      <c r="CM796" s="306">
        <f ca="1">COUNTIF('Knock Out Stages'!R7:R50,BW796)</f>
        <v>0</v>
      </c>
      <c r="CN796" s="306">
        <f ca="1">IF(RIGHT('Group Stages'!$B$105,5)="T.com",SUM(BX796:CM796),0)</f>
        <v>0</v>
      </c>
      <c r="CO796" s="306">
        <f ca="1">RANK(CN796,CN3:CN834)+COUNTIF(CN3:CN796,CN796)-1</f>
        <v>794</v>
      </c>
      <c r="CP796" s="306" t="str">
        <f t="shared" ca="1" si="241"/>
        <v>Luis Suárez (Uruguay)</v>
      </c>
    </row>
    <row r="797" spans="72:94" x14ac:dyDescent="0.3">
      <c r="BT797" s="306" t="str">
        <f t="shared" ca="1" si="238"/>
        <v>Uruguay</v>
      </c>
      <c r="BU797" s="306">
        <f t="shared" si="239"/>
        <v>14</v>
      </c>
      <c r="BV797" s="306">
        <f t="shared" si="240"/>
        <v>29</v>
      </c>
      <c r="BW797" s="306" t="str">
        <f ca="1">OFFSET(C3,BU797,BV797)</f>
        <v>Manuel Ugarte</v>
      </c>
      <c r="BX797" s="306">
        <f ca="1">COUNTIF('Group Stages'!J7:J102,BW797)</f>
        <v>0</v>
      </c>
      <c r="BY797" s="306">
        <f ca="1">COUNTIF('Group Stages'!K7:K102,BW797)</f>
        <v>0</v>
      </c>
      <c r="BZ797" s="306">
        <f ca="1">COUNTIF('Group Stages'!L7:L102,BW797)</f>
        <v>0</v>
      </c>
      <c r="CA797" s="306">
        <f ca="1">COUNTIF('Group Stages'!M7:M102,BW797)</f>
        <v>0</v>
      </c>
      <c r="CB797" s="306">
        <f ca="1">COUNTIF('Group Stages'!N7:N102,BW797)</f>
        <v>0</v>
      </c>
      <c r="CC797" s="306">
        <f ca="1">COUNTIF('Group Stages'!O7:O102,BW797)</f>
        <v>0</v>
      </c>
      <c r="CD797" s="306">
        <f ca="1">COUNTIF('Group Stages'!P7:P102,BW797)</f>
        <v>0</v>
      </c>
      <c r="CE797" s="306">
        <f ca="1">COUNTIF('Group Stages'!Q7:Q102,BW797)</f>
        <v>0</v>
      </c>
      <c r="CF797" s="306">
        <f ca="1">COUNTIF('Knock Out Stages'!K7:K50,BW797)</f>
        <v>0</v>
      </c>
      <c r="CG797" s="306">
        <f ca="1">COUNTIF('Knock Out Stages'!L7:L50,BW797)</f>
        <v>0</v>
      </c>
      <c r="CH797" s="306">
        <f ca="1">COUNTIF('Knock Out Stages'!M7:M50,BW797)</f>
        <v>0</v>
      </c>
      <c r="CI797" s="306">
        <f ca="1">COUNTIF('Knock Out Stages'!N7:N50,BW797)</f>
        <v>0</v>
      </c>
      <c r="CJ797" s="306">
        <f ca="1">COUNTIF('Knock Out Stages'!O7:O50,BW797)</f>
        <v>0</v>
      </c>
      <c r="CK797" s="306">
        <f ca="1">COUNTIF('Knock Out Stages'!P7:P50,BW797)</f>
        <v>0</v>
      </c>
      <c r="CL797" s="306">
        <f ca="1">COUNTIF('Knock Out Stages'!Q7:Q50,BW797)</f>
        <v>0</v>
      </c>
      <c r="CM797" s="306">
        <f ca="1">COUNTIF('Knock Out Stages'!R7:R50,BW797)</f>
        <v>0</v>
      </c>
      <c r="CN797" s="306">
        <f ca="1">IF(RIGHT('Group Stages'!$B$105,5)="T.com",SUM(BX797:CM797),0)</f>
        <v>0</v>
      </c>
      <c r="CO797" s="306">
        <f ca="1">RANK(CN797,CN3:CN834)+COUNTIF(CN3:CN797,CN797)-1</f>
        <v>795</v>
      </c>
      <c r="CP797" s="306" t="str">
        <f t="shared" ca="1" si="241"/>
        <v>Manuel Ugarte (Uruguay)</v>
      </c>
    </row>
    <row r="798" spans="72:94" x14ac:dyDescent="0.3">
      <c r="BT798" s="306" t="str">
        <f t="shared" ca="1" si="238"/>
        <v>Uruguay</v>
      </c>
      <c r="BU798" s="306">
        <f t="shared" si="239"/>
        <v>15</v>
      </c>
      <c r="BV798" s="306">
        <f t="shared" si="240"/>
        <v>29</v>
      </c>
      <c r="BW798" s="306" t="str">
        <f ca="1">OFFSET(C3,BU798,BV798)</f>
        <v>Martín Cáceres</v>
      </c>
      <c r="BX798" s="306">
        <f ca="1">COUNTIF('Group Stages'!J7:J102,BW798)</f>
        <v>0</v>
      </c>
      <c r="BY798" s="306">
        <f ca="1">COUNTIF('Group Stages'!K7:K102,BW798)</f>
        <v>0</v>
      </c>
      <c r="BZ798" s="306">
        <f ca="1">COUNTIF('Group Stages'!L7:L102,BW798)</f>
        <v>0</v>
      </c>
      <c r="CA798" s="306">
        <f ca="1">COUNTIF('Group Stages'!M7:M102,BW798)</f>
        <v>0</v>
      </c>
      <c r="CB798" s="306">
        <f ca="1">COUNTIF('Group Stages'!N7:N102,BW798)</f>
        <v>0</v>
      </c>
      <c r="CC798" s="306">
        <f ca="1">COUNTIF('Group Stages'!O7:O102,BW798)</f>
        <v>0</v>
      </c>
      <c r="CD798" s="306">
        <f ca="1">COUNTIF('Group Stages'!P7:P102,BW798)</f>
        <v>0</v>
      </c>
      <c r="CE798" s="306">
        <f ca="1">COUNTIF('Group Stages'!Q7:Q102,BW798)</f>
        <v>0</v>
      </c>
      <c r="CF798" s="306">
        <f ca="1">COUNTIF('Knock Out Stages'!K7:K50,BW798)</f>
        <v>0</v>
      </c>
      <c r="CG798" s="306">
        <f ca="1">COUNTIF('Knock Out Stages'!L7:L50,BW798)</f>
        <v>0</v>
      </c>
      <c r="CH798" s="306">
        <f ca="1">COUNTIF('Knock Out Stages'!M7:M50,BW798)</f>
        <v>0</v>
      </c>
      <c r="CI798" s="306">
        <f ca="1">COUNTIF('Knock Out Stages'!N7:N50,BW798)</f>
        <v>0</v>
      </c>
      <c r="CJ798" s="306">
        <f ca="1">COUNTIF('Knock Out Stages'!O7:O50,BW798)</f>
        <v>0</v>
      </c>
      <c r="CK798" s="306">
        <f ca="1">COUNTIF('Knock Out Stages'!P7:P50,BW798)</f>
        <v>0</v>
      </c>
      <c r="CL798" s="306">
        <f ca="1">COUNTIF('Knock Out Stages'!Q7:Q50,BW798)</f>
        <v>0</v>
      </c>
      <c r="CM798" s="306">
        <f ca="1">COUNTIF('Knock Out Stages'!R7:R50,BW798)</f>
        <v>0</v>
      </c>
      <c r="CN798" s="306">
        <f ca="1">IF(RIGHT('Group Stages'!$B$105,5)="T.com",SUM(BX798:CM798),0)</f>
        <v>0</v>
      </c>
      <c r="CO798" s="306">
        <f ca="1">RANK(CN798,CN3:CN834)+COUNTIF(CN3:CN798,CN798)-1</f>
        <v>796</v>
      </c>
      <c r="CP798" s="306" t="str">
        <f t="shared" ca="1" si="241"/>
        <v>Martín Cáceres (Uruguay)</v>
      </c>
    </row>
    <row r="799" spans="72:94" x14ac:dyDescent="0.3">
      <c r="BT799" s="306" t="str">
        <f t="shared" ca="1" si="238"/>
        <v>Uruguay</v>
      </c>
      <c r="BU799" s="306">
        <f t="shared" si="239"/>
        <v>16</v>
      </c>
      <c r="BV799" s="306">
        <f t="shared" si="240"/>
        <v>29</v>
      </c>
      <c r="BW799" s="306" t="str">
        <f ca="1">OFFSET(C3,BU799,BV799)</f>
        <v>Mathías Olivera</v>
      </c>
      <c r="BX799" s="306">
        <f ca="1">COUNTIF('Group Stages'!J7:J102,BW799)</f>
        <v>0</v>
      </c>
      <c r="BY799" s="306">
        <f ca="1">COUNTIF('Group Stages'!K7:K102,BW799)</f>
        <v>0</v>
      </c>
      <c r="BZ799" s="306">
        <f ca="1">COUNTIF('Group Stages'!L7:L102,BW799)</f>
        <v>0</v>
      </c>
      <c r="CA799" s="306">
        <f ca="1">COUNTIF('Group Stages'!M7:M102,BW799)</f>
        <v>0</v>
      </c>
      <c r="CB799" s="306">
        <f ca="1">COUNTIF('Group Stages'!N7:N102,BW799)</f>
        <v>0</v>
      </c>
      <c r="CC799" s="306">
        <f ca="1">COUNTIF('Group Stages'!O7:O102,BW799)</f>
        <v>0</v>
      </c>
      <c r="CD799" s="306">
        <f ca="1">COUNTIF('Group Stages'!P7:P102,BW799)</f>
        <v>0</v>
      </c>
      <c r="CE799" s="306">
        <f ca="1">COUNTIF('Group Stages'!Q7:Q102,BW799)</f>
        <v>0</v>
      </c>
      <c r="CF799" s="306">
        <f ca="1">COUNTIF('Knock Out Stages'!K7:K50,BW799)</f>
        <v>0</v>
      </c>
      <c r="CG799" s="306">
        <f ca="1">COUNTIF('Knock Out Stages'!L7:L50,BW799)</f>
        <v>0</v>
      </c>
      <c r="CH799" s="306">
        <f ca="1">COUNTIF('Knock Out Stages'!M7:M50,BW799)</f>
        <v>0</v>
      </c>
      <c r="CI799" s="306">
        <f ca="1">COUNTIF('Knock Out Stages'!N7:N50,BW799)</f>
        <v>0</v>
      </c>
      <c r="CJ799" s="306">
        <f ca="1">COUNTIF('Knock Out Stages'!O7:O50,BW799)</f>
        <v>0</v>
      </c>
      <c r="CK799" s="306">
        <f ca="1">COUNTIF('Knock Out Stages'!P7:P50,BW799)</f>
        <v>0</v>
      </c>
      <c r="CL799" s="306">
        <f ca="1">COUNTIF('Knock Out Stages'!Q7:Q50,BW799)</f>
        <v>0</v>
      </c>
      <c r="CM799" s="306">
        <f ca="1">COUNTIF('Knock Out Stages'!R7:R50,BW799)</f>
        <v>0</v>
      </c>
      <c r="CN799" s="306">
        <f ca="1">IF(RIGHT('Group Stages'!$B$105,5)="T.com",SUM(BX799:CM799),0)</f>
        <v>0</v>
      </c>
      <c r="CO799" s="306">
        <f ca="1">RANK(CN799,CN3:CN834)+COUNTIF(CN3:CN799,CN799)-1</f>
        <v>797</v>
      </c>
      <c r="CP799" s="306" t="str">
        <f t="shared" ca="1" si="241"/>
        <v>Mathías Olivera (Uruguay)</v>
      </c>
    </row>
    <row r="800" spans="72:94" x14ac:dyDescent="0.3">
      <c r="BT800" s="306" t="str">
        <f t="shared" ca="1" si="238"/>
        <v>Uruguay</v>
      </c>
      <c r="BU800" s="306">
        <f t="shared" si="239"/>
        <v>17</v>
      </c>
      <c r="BV800" s="306">
        <f t="shared" si="240"/>
        <v>29</v>
      </c>
      <c r="BW800" s="306" t="str">
        <f ca="1">OFFSET(C3,BU800,BV800)</f>
        <v>Matías Vecino</v>
      </c>
      <c r="BX800" s="306">
        <f ca="1">COUNTIF('Group Stages'!J7:J102,BW800)</f>
        <v>0</v>
      </c>
      <c r="BY800" s="306">
        <f ca="1">COUNTIF('Group Stages'!K7:K102,BW800)</f>
        <v>0</v>
      </c>
      <c r="BZ800" s="306">
        <f ca="1">COUNTIF('Group Stages'!L7:L102,BW800)</f>
        <v>0</v>
      </c>
      <c r="CA800" s="306">
        <f ca="1">COUNTIF('Group Stages'!M7:M102,BW800)</f>
        <v>0</v>
      </c>
      <c r="CB800" s="306">
        <f ca="1">COUNTIF('Group Stages'!N7:N102,BW800)</f>
        <v>0</v>
      </c>
      <c r="CC800" s="306">
        <f ca="1">COUNTIF('Group Stages'!O7:O102,BW800)</f>
        <v>0</v>
      </c>
      <c r="CD800" s="306">
        <f ca="1">COUNTIF('Group Stages'!P7:P102,BW800)</f>
        <v>0</v>
      </c>
      <c r="CE800" s="306">
        <f ca="1">COUNTIF('Group Stages'!Q7:Q102,BW800)</f>
        <v>0</v>
      </c>
      <c r="CF800" s="306">
        <f ca="1">COUNTIF('Knock Out Stages'!K7:K50,BW800)</f>
        <v>0</v>
      </c>
      <c r="CG800" s="306">
        <f ca="1">COUNTIF('Knock Out Stages'!L7:L50,BW800)</f>
        <v>0</v>
      </c>
      <c r="CH800" s="306">
        <f ca="1">COUNTIF('Knock Out Stages'!M7:M50,BW800)</f>
        <v>0</v>
      </c>
      <c r="CI800" s="306">
        <f ca="1">COUNTIF('Knock Out Stages'!N7:N50,BW800)</f>
        <v>0</v>
      </c>
      <c r="CJ800" s="306">
        <f ca="1">COUNTIF('Knock Out Stages'!O7:O50,BW800)</f>
        <v>0</v>
      </c>
      <c r="CK800" s="306">
        <f ca="1">COUNTIF('Knock Out Stages'!P7:P50,BW800)</f>
        <v>0</v>
      </c>
      <c r="CL800" s="306">
        <f ca="1">COUNTIF('Knock Out Stages'!Q7:Q50,BW800)</f>
        <v>0</v>
      </c>
      <c r="CM800" s="306">
        <f ca="1">COUNTIF('Knock Out Stages'!R7:R50,BW800)</f>
        <v>0</v>
      </c>
      <c r="CN800" s="306">
        <f ca="1">IF(RIGHT('Group Stages'!$B$105,5)="T.com",SUM(BX800:CM800),0)</f>
        <v>0</v>
      </c>
      <c r="CO800" s="306">
        <f ca="1">RANK(CN800,CN3:CN834)+COUNTIF(CN3:CN800,CN800)-1</f>
        <v>798</v>
      </c>
      <c r="CP800" s="306" t="str">
        <f t="shared" ca="1" si="241"/>
        <v>Matías Vecino (Uruguay)</v>
      </c>
    </row>
    <row r="801" spans="72:94" x14ac:dyDescent="0.3">
      <c r="BT801" s="306" t="str">
        <f t="shared" ca="1" si="238"/>
        <v>Uruguay</v>
      </c>
      <c r="BU801" s="306">
        <f t="shared" si="239"/>
        <v>18</v>
      </c>
      <c r="BV801" s="306">
        <f t="shared" si="240"/>
        <v>29</v>
      </c>
      <c r="BW801" s="306" t="str">
        <f ca="1">OFFSET(C3,BU801,BV801)</f>
        <v>Matías Viña</v>
      </c>
      <c r="BX801" s="306">
        <f ca="1">COUNTIF('Group Stages'!J7:J102,BW801)</f>
        <v>0</v>
      </c>
      <c r="BY801" s="306">
        <f ca="1">COUNTIF('Group Stages'!K7:K102,BW801)</f>
        <v>0</v>
      </c>
      <c r="BZ801" s="306">
        <f ca="1">COUNTIF('Group Stages'!L7:L102,BW801)</f>
        <v>0</v>
      </c>
      <c r="CA801" s="306">
        <f ca="1">COUNTIF('Group Stages'!M7:M102,BW801)</f>
        <v>0</v>
      </c>
      <c r="CB801" s="306">
        <f ca="1">COUNTIF('Group Stages'!N7:N102,BW801)</f>
        <v>0</v>
      </c>
      <c r="CC801" s="306">
        <f ca="1">COUNTIF('Group Stages'!O7:O102,BW801)</f>
        <v>0</v>
      </c>
      <c r="CD801" s="306">
        <f ca="1">COUNTIF('Group Stages'!P7:P102,BW801)</f>
        <v>0</v>
      </c>
      <c r="CE801" s="306">
        <f ca="1">COUNTIF('Group Stages'!Q7:Q102,BW801)</f>
        <v>0</v>
      </c>
      <c r="CF801" s="306">
        <f ca="1">COUNTIF('Knock Out Stages'!K7:K50,BW801)</f>
        <v>0</v>
      </c>
      <c r="CG801" s="306">
        <f ca="1">COUNTIF('Knock Out Stages'!L7:L50,BW801)</f>
        <v>0</v>
      </c>
      <c r="CH801" s="306">
        <f ca="1">COUNTIF('Knock Out Stages'!M7:M50,BW801)</f>
        <v>0</v>
      </c>
      <c r="CI801" s="306">
        <f ca="1">COUNTIF('Knock Out Stages'!N7:N50,BW801)</f>
        <v>0</v>
      </c>
      <c r="CJ801" s="306">
        <f ca="1">COUNTIF('Knock Out Stages'!O7:O50,BW801)</f>
        <v>0</v>
      </c>
      <c r="CK801" s="306">
        <f ca="1">COUNTIF('Knock Out Stages'!P7:P50,BW801)</f>
        <v>0</v>
      </c>
      <c r="CL801" s="306">
        <f ca="1">COUNTIF('Knock Out Stages'!Q7:Q50,BW801)</f>
        <v>0</v>
      </c>
      <c r="CM801" s="306">
        <f ca="1">COUNTIF('Knock Out Stages'!R7:R50,BW801)</f>
        <v>0</v>
      </c>
      <c r="CN801" s="306">
        <f ca="1">IF(RIGHT('Group Stages'!$B$105,5)="T.com",SUM(BX801:CM801),0)</f>
        <v>0</v>
      </c>
      <c r="CO801" s="306">
        <f ca="1">RANK(CN801,CN3:CN834)+COUNTIF(CN3:CN801,CN801)-1</f>
        <v>799</v>
      </c>
      <c r="CP801" s="306" t="str">
        <f t="shared" ca="1" si="241"/>
        <v>Matías Viña (Uruguay)</v>
      </c>
    </row>
    <row r="802" spans="72:94" x14ac:dyDescent="0.3">
      <c r="BT802" s="306" t="str">
        <f t="shared" ca="1" si="238"/>
        <v>Uruguay</v>
      </c>
      <c r="BU802" s="306">
        <f t="shared" si="239"/>
        <v>19</v>
      </c>
      <c r="BV802" s="306">
        <f t="shared" si="240"/>
        <v>29</v>
      </c>
      <c r="BW802" s="306" t="str">
        <f ca="1">OFFSET(C3,BU802,BV802)</f>
        <v>Maxi Gómez</v>
      </c>
      <c r="BX802" s="306">
        <f ca="1">COUNTIF('Group Stages'!J7:J102,BW802)</f>
        <v>0</v>
      </c>
      <c r="BY802" s="306">
        <f ca="1">COUNTIF('Group Stages'!K7:K102,BW802)</f>
        <v>0</v>
      </c>
      <c r="BZ802" s="306">
        <f ca="1">COUNTIF('Group Stages'!L7:L102,BW802)</f>
        <v>0</v>
      </c>
      <c r="CA802" s="306">
        <f ca="1">COUNTIF('Group Stages'!M7:M102,BW802)</f>
        <v>0</v>
      </c>
      <c r="CB802" s="306">
        <f ca="1">COUNTIF('Group Stages'!N7:N102,BW802)</f>
        <v>0</v>
      </c>
      <c r="CC802" s="306">
        <f ca="1">COUNTIF('Group Stages'!O7:O102,BW802)</f>
        <v>0</v>
      </c>
      <c r="CD802" s="306">
        <f ca="1">COUNTIF('Group Stages'!P7:P102,BW802)</f>
        <v>0</v>
      </c>
      <c r="CE802" s="306">
        <f ca="1">COUNTIF('Group Stages'!Q7:Q102,BW802)</f>
        <v>0</v>
      </c>
      <c r="CF802" s="306">
        <f ca="1">COUNTIF('Knock Out Stages'!K7:K50,BW802)</f>
        <v>0</v>
      </c>
      <c r="CG802" s="306">
        <f ca="1">COUNTIF('Knock Out Stages'!L7:L50,BW802)</f>
        <v>0</v>
      </c>
      <c r="CH802" s="306">
        <f ca="1">COUNTIF('Knock Out Stages'!M7:M50,BW802)</f>
        <v>0</v>
      </c>
      <c r="CI802" s="306">
        <f ca="1">COUNTIF('Knock Out Stages'!N7:N50,BW802)</f>
        <v>0</v>
      </c>
      <c r="CJ802" s="306">
        <f ca="1">COUNTIF('Knock Out Stages'!O7:O50,BW802)</f>
        <v>0</v>
      </c>
      <c r="CK802" s="306">
        <f ca="1">COUNTIF('Knock Out Stages'!P7:P50,BW802)</f>
        <v>0</v>
      </c>
      <c r="CL802" s="306">
        <f ca="1">COUNTIF('Knock Out Stages'!Q7:Q50,BW802)</f>
        <v>0</v>
      </c>
      <c r="CM802" s="306">
        <f ca="1">COUNTIF('Knock Out Stages'!R7:R50,BW802)</f>
        <v>0</v>
      </c>
      <c r="CN802" s="306">
        <f ca="1">IF(RIGHT('Group Stages'!$B$105,5)="T.com",SUM(BX802:CM802),0)</f>
        <v>0</v>
      </c>
      <c r="CO802" s="306">
        <f ca="1">RANK(CN802,CN3:CN834)+COUNTIF(CN3:CN802,CN802)-1</f>
        <v>800</v>
      </c>
      <c r="CP802" s="306" t="str">
        <f t="shared" ca="1" si="241"/>
        <v>Maxi Gómez (Uruguay)</v>
      </c>
    </row>
    <row r="803" spans="72:94" x14ac:dyDescent="0.3">
      <c r="BT803" s="306" t="str">
        <f t="shared" ca="1" si="238"/>
        <v>Uruguay</v>
      </c>
      <c r="BU803" s="306">
        <f t="shared" si="239"/>
        <v>20</v>
      </c>
      <c r="BV803" s="306">
        <f t="shared" si="240"/>
        <v>29</v>
      </c>
      <c r="BW803" s="306" t="str">
        <f ca="1">OFFSET(C3,BU803,BV803)</f>
        <v>Nicolás de la Cruz</v>
      </c>
      <c r="BX803" s="306">
        <f ca="1">COUNTIF('Group Stages'!J7:J102,BW803)</f>
        <v>0</v>
      </c>
      <c r="BY803" s="306">
        <f ca="1">COUNTIF('Group Stages'!K7:K102,BW803)</f>
        <v>0</v>
      </c>
      <c r="BZ803" s="306">
        <f ca="1">COUNTIF('Group Stages'!L7:L102,BW803)</f>
        <v>0</v>
      </c>
      <c r="CA803" s="306">
        <f ca="1">COUNTIF('Group Stages'!M7:M102,BW803)</f>
        <v>0</v>
      </c>
      <c r="CB803" s="306">
        <f ca="1">COUNTIF('Group Stages'!N7:N102,BW803)</f>
        <v>0</v>
      </c>
      <c r="CC803" s="306">
        <f ca="1">COUNTIF('Group Stages'!O7:O102,BW803)</f>
        <v>0</v>
      </c>
      <c r="CD803" s="306">
        <f ca="1">COUNTIF('Group Stages'!P7:P102,BW803)</f>
        <v>0</v>
      </c>
      <c r="CE803" s="306">
        <f ca="1">COUNTIF('Group Stages'!Q7:Q102,BW803)</f>
        <v>0</v>
      </c>
      <c r="CF803" s="306">
        <f ca="1">COUNTIF('Knock Out Stages'!K7:K50,BW803)</f>
        <v>0</v>
      </c>
      <c r="CG803" s="306">
        <f ca="1">COUNTIF('Knock Out Stages'!L7:L50,BW803)</f>
        <v>0</v>
      </c>
      <c r="CH803" s="306">
        <f ca="1">COUNTIF('Knock Out Stages'!M7:M50,BW803)</f>
        <v>0</v>
      </c>
      <c r="CI803" s="306">
        <f ca="1">COUNTIF('Knock Out Stages'!N7:N50,BW803)</f>
        <v>0</v>
      </c>
      <c r="CJ803" s="306">
        <f ca="1">COUNTIF('Knock Out Stages'!O7:O50,BW803)</f>
        <v>0</v>
      </c>
      <c r="CK803" s="306">
        <f ca="1">COUNTIF('Knock Out Stages'!P7:P50,BW803)</f>
        <v>0</v>
      </c>
      <c r="CL803" s="306">
        <f ca="1">COUNTIF('Knock Out Stages'!Q7:Q50,BW803)</f>
        <v>0</v>
      </c>
      <c r="CM803" s="306">
        <f ca="1">COUNTIF('Knock Out Stages'!R7:R50,BW803)</f>
        <v>0</v>
      </c>
      <c r="CN803" s="306">
        <f ca="1">IF(RIGHT('Group Stages'!$B$105,5)="T.com",SUM(BX803:CM803),0)</f>
        <v>0</v>
      </c>
      <c r="CO803" s="306">
        <f ca="1">RANK(CN803,CN3:CN834)+COUNTIF(CN3:CN803,CN803)-1</f>
        <v>801</v>
      </c>
      <c r="CP803" s="306" t="str">
        <f t="shared" ca="1" si="241"/>
        <v>Nicolás de la Cruz (Uruguay)</v>
      </c>
    </row>
    <row r="804" spans="72:94" x14ac:dyDescent="0.3">
      <c r="BT804" s="306" t="str">
        <f t="shared" ca="1" si="238"/>
        <v>Uruguay</v>
      </c>
      <c r="BU804" s="306">
        <f t="shared" si="239"/>
        <v>21</v>
      </c>
      <c r="BV804" s="306">
        <f t="shared" si="240"/>
        <v>29</v>
      </c>
      <c r="BW804" s="306" t="str">
        <f ca="1">OFFSET(C3,BU804,BV804)</f>
        <v>Rodrigo Bentancur</v>
      </c>
      <c r="BX804" s="306">
        <f ca="1">COUNTIF('Group Stages'!J7:J102,BW804)</f>
        <v>0</v>
      </c>
      <c r="BY804" s="306">
        <f ca="1">COUNTIF('Group Stages'!K7:K102,BW804)</f>
        <v>0</v>
      </c>
      <c r="BZ804" s="306">
        <f ca="1">COUNTIF('Group Stages'!L7:L102,BW804)</f>
        <v>0</v>
      </c>
      <c r="CA804" s="306">
        <f ca="1">COUNTIF('Group Stages'!M7:M102,BW804)</f>
        <v>0</v>
      </c>
      <c r="CB804" s="306">
        <f ca="1">COUNTIF('Group Stages'!N7:N102,BW804)</f>
        <v>0</v>
      </c>
      <c r="CC804" s="306">
        <f ca="1">COUNTIF('Group Stages'!O7:O102,BW804)</f>
        <v>0</v>
      </c>
      <c r="CD804" s="306">
        <f ca="1">COUNTIF('Group Stages'!P7:P102,BW804)</f>
        <v>0</v>
      </c>
      <c r="CE804" s="306">
        <f ca="1">COUNTIF('Group Stages'!Q7:Q102,BW804)</f>
        <v>0</v>
      </c>
      <c r="CF804" s="306">
        <f ca="1">COUNTIF('Knock Out Stages'!K7:K50,BW804)</f>
        <v>0</v>
      </c>
      <c r="CG804" s="306">
        <f ca="1">COUNTIF('Knock Out Stages'!L7:L50,BW804)</f>
        <v>0</v>
      </c>
      <c r="CH804" s="306">
        <f ca="1">COUNTIF('Knock Out Stages'!M7:M50,BW804)</f>
        <v>0</v>
      </c>
      <c r="CI804" s="306">
        <f ca="1">COUNTIF('Knock Out Stages'!N7:N50,BW804)</f>
        <v>0</v>
      </c>
      <c r="CJ804" s="306">
        <f ca="1">COUNTIF('Knock Out Stages'!O7:O50,BW804)</f>
        <v>0</v>
      </c>
      <c r="CK804" s="306">
        <f ca="1">COUNTIF('Knock Out Stages'!P7:P50,BW804)</f>
        <v>0</v>
      </c>
      <c r="CL804" s="306">
        <f ca="1">COUNTIF('Knock Out Stages'!Q7:Q50,BW804)</f>
        <v>0</v>
      </c>
      <c r="CM804" s="306">
        <f ca="1">COUNTIF('Knock Out Stages'!R7:R50,BW804)</f>
        <v>0</v>
      </c>
      <c r="CN804" s="306">
        <f ca="1">IF(RIGHT('Group Stages'!$B$105,5)="T.com",SUM(BX804:CM804),0)</f>
        <v>0</v>
      </c>
      <c r="CO804" s="306">
        <f ca="1">RANK(CN804,CN3:CN834)+COUNTIF(CN3:CN804,CN804)-1</f>
        <v>802</v>
      </c>
      <c r="CP804" s="306" t="str">
        <f t="shared" ca="1" si="241"/>
        <v>Rodrigo Bentancur (Uruguay)</v>
      </c>
    </row>
    <row r="805" spans="72:94" x14ac:dyDescent="0.3">
      <c r="BT805" s="306" t="str">
        <f t="shared" ca="1" si="238"/>
        <v>Uruguay</v>
      </c>
      <c r="BU805" s="306">
        <f t="shared" si="239"/>
        <v>22</v>
      </c>
      <c r="BV805" s="306">
        <f t="shared" si="240"/>
        <v>29</v>
      </c>
      <c r="BW805" s="306" t="str">
        <f ca="1">OFFSET(C3,BU805,BV805)</f>
        <v>Ronald Araújo</v>
      </c>
      <c r="BX805" s="306">
        <f ca="1">COUNTIF('Group Stages'!J7:J102,BW805)</f>
        <v>0</v>
      </c>
      <c r="BY805" s="306">
        <f ca="1">COUNTIF('Group Stages'!K7:K102,BW805)</f>
        <v>0</v>
      </c>
      <c r="BZ805" s="306">
        <f ca="1">COUNTIF('Group Stages'!L7:L102,BW805)</f>
        <v>0</v>
      </c>
      <c r="CA805" s="306">
        <f ca="1">COUNTIF('Group Stages'!M7:M102,BW805)</f>
        <v>0</v>
      </c>
      <c r="CB805" s="306">
        <f ca="1">COUNTIF('Group Stages'!N7:N102,BW805)</f>
        <v>0</v>
      </c>
      <c r="CC805" s="306">
        <f ca="1">COUNTIF('Group Stages'!O7:O102,BW805)</f>
        <v>0</v>
      </c>
      <c r="CD805" s="306">
        <f ca="1">COUNTIF('Group Stages'!P7:P102,BW805)</f>
        <v>0</v>
      </c>
      <c r="CE805" s="306">
        <f ca="1">COUNTIF('Group Stages'!Q7:Q102,BW805)</f>
        <v>0</v>
      </c>
      <c r="CF805" s="306">
        <f ca="1">COUNTIF('Knock Out Stages'!K7:K50,BW805)</f>
        <v>0</v>
      </c>
      <c r="CG805" s="306">
        <f ca="1">COUNTIF('Knock Out Stages'!L7:L50,BW805)</f>
        <v>0</v>
      </c>
      <c r="CH805" s="306">
        <f ca="1">COUNTIF('Knock Out Stages'!M7:M50,BW805)</f>
        <v>0</v>
      </c>
      <c r="CI805" s="306">
        <f ca="1">COUNTIF('Knock Out Stages'!N7:N50,BW805)</f>
        <v>0</v>
      </c>
      <c r="CJ805" s="306">
        <f ca="1">COUNTIF('Knock Out Stages'!O7:O50,BW805)</f>
        <v>0</v>
      </c>
      <c r="CK805" s="306">
        <f ca="1">COUNTIF('Knock Out Stages'!P7:P50,BW805)</f>
        <v>0</v>
      </c>
      <c r="CL805" s="306">
        <f ca="1">COUNTIF('Knock Out Stages'!Q7:Q50,BW805)</f>
        <v>0</v>
      </c>
      <c r="CM805" s="306">
        <f ca="1">COUNTIF('Knock Out Stages'!R7:R50,BW805)</f>
        <v>0</v>
      </c>
      <c r="CN805" s="306">
        <f ca="1">IF(RIGHT('Group Stages'!$B$105,5)="T.com",SUM(BX805:CM805),0)</f>
        <v>0</v>
      </c>
      <c r="CO805" s="306">
        <f ca="1">RANK(CN805,CN3:CN834)+COUNTIF(CN3:CN805,CN805)-1</f>
        <v>803</v>
      </c>
      <c r="CP805" s="306" t="str">
        <f t="shared" ca="1" si="241"/>
        <v>Ronald Araújo (Uruguay)</v>
      </c>
    </row>
    <row r="806" spans="72:94" x14ac:dyDescent="0.3">
      <c r="BT806" s="306" t="str">
        <f t="shared" ca="1" si="238"/>
        <v>Uruguay</v>
      </c>
      <c r="BU806" s="306">
        <f t="shared" si="239"/>
        <v>23</v>
      </c>
      <c r="BV806" s="306">
        <f t="shared" si="240"/>
        <v>29</v>
      </c>
      <c r="BW806" s="306" t="str">
        <f ca="1">OFFSET(C3,BU806,BV806)</f>
        <v>Sebastián Coates</v>
      </c>
      <c r="BX806" s="306">
        <f ca="1">COUNTIF('Group Stages'!J7:J102,BW806)</f>
        <v>0</v>
      </c>
      <c r="BY806" s="306">
        <f ca="1">COUNTIF('Group Stages'!K7:K102,BW806)</f>
        <v>0</v>
      </c>
      <c r="BZ806" s="306">
        <f ca="1">COUNTIF('Group Stages'!L7:L102,BW806)</f>
        <v>0</v>
      </c>
      <c r="CA806" s="306">
        <f ca="1">COUNTIF('Group Stages'!M7:M102,BW806)</f>
        <v>0</v>
      </c>
      <c r="CB806" s="306">
        <f ca="1">COUNTIF('Group Stages'!N7:N102,BW806)</f>
        <v>0</v>
      </c>
      <c r="CC806" s="306">
        <f ca="1">COUNTIF('Group Stages'!O7:O102,BW806)</f>
        <v>0</v>
      </c>
      <c r="CD806" s="306">
        <f ca="1">COUNTIF('Group Stages'!P7:P102,BW806)</f>
        <v>0</v>
      </c>
      <c r="CE806" s="306">
        <f ca="1">COUNTIF('Group Stages'!Q7:Q102,BW806)</f>
        <v>0</v>
      </c>
      <c r="CF806" s="306">
        <f ca="1">COUNTIF('Knock Out Stages'!K7:K50,BW806)</f>
        <v>0</v>
      </c>
      <c r="CG806" s="306">
        <f ca="1">COUNTIF('Knock Out Stages'!L7:L50,BW806)</f>
        <v>0</v>
      </c>
      <c r="CH806" s="306">
        <f ca="1">COUNTIF('Knock Out Stages'!M7:M50,BW806)</f>
        <v>0</v>
      </c>
      <c r="CI806" s="306">
        <f ca="1">COUNTIF('Knock Out Stages'!N7:N50,BW806)</f>
        <v>0</v>
      </c>
      <c r="CJ806" s="306">
        <f ca="1">COUNTIF('Knock Out Stages'!O7:O50,BW806)</f>
        <v>0</v>
      </c>
      <c r="CK806" s="306">
        <f ca="1">COUNTIF('Knock Out Stages'!P7:P50,BW806)</f>
        <v>0</v>
      </c>
      <c r="CL806" s="306">
        <f ca="1">COUNTIF('Knock Out Stages'!Q7:Q50,BW806)</f>
        <v>0</v>
      </c>
      <c r="CM806" s="306">
        <f ca="1">COUNTIF('Knock Out Stages'!R7:R50,BW806)</f>
        <v>0</v>
      </c>
      <c r="CN806" s="306">
        <f ca="1">IF(RIGHT('Group Stages'!$B$105,5)="T.com",SUM(BX806:CM806),0)</f>
        <v>0</v>
      </c>
      <c r="CO806" s="306">
        <f ca="1">RANK(CN806,CN3:CN834)+COUNTIF(CN3:CN806,CN806)-1</f>
        <v>804</v>
      </c>
      <c r="CP806" s="306" t="str">
        <f t="shared" ca="1" si="241"/>
        <v>Sebastián Coates (Uruguay)</v>
      </c>
    </row>
    <row r="807" spans="72:94" x14ac:dyDescent="0.3">
      <c r="BT807" s="306" t="str">
        <f t="shared" ca="1" si="238"/>
        <v>Uruguay</v>
      </c>
      <c r="BU807" s="306">
        <f t="shared" si="239"/>
        <v>24</v>
      </c>
      <c r="BV807" s="306">
        <f t="shared" si="240"/>
        <v>29</v>
      </c>
      <c r="BW807" s="306" t="str">
        <f ca="1">OFFSET(C3,BU807,BV807)</f>
        <v>Sebastián Sosa</v>
      </c>
      <c r="BX807" s="306">
        <f ca="1">COUNTIF('Group Stages'!J7:J102,BW807)</f>
        <v>0</v>
      </c>
      <c r="BY807" s="306">
        <f ca="1">COUNTIF('Group Stages'!K7:K102,BW807)</f>
        <v>0</v>
      </c>
      <c r="BZ807" s="306">
        <f ca="1">COUNTIF('Group Stages'!L7:L102,BW807)</f>
        <v>0</v>
      </c>
      <c r="CA807" s="306">
        <f ca="1">COUNTIF('Group Stages'!M7:M102,BW807)</f>
        <v>0</v>
      </c>
      <c r="CB807" s="306">
        <f ca="1">COUNTIF('Group Stages'!N7:N102,BW807)</f>
        <v>0</v>
      </c>
      <c r="CC807" s="306">
        <f ca="1">COUNTIF('Group Stages'!O7:O102,BW807)</f>
        <v>0</v>
      </c>
      <c r="CD807" s="306">
        <f ca="1">COUNTIF('Group Stages'!P7:P102,BW807)</f>
        <v>0</v>
      </c>
      <c r="CE807" s="306">
        <f ca="1">COUNTIF('Group Stages'!Q7:Q102,BW807)</f>
        <v>0</v>
      </c>
      <c r="CF807" s="306">
        <f ca="1">COUNTIF('Knock Out Stages'!K7:K50,BW807)</f>
        <v>0</v>
      </c>
      <c r="CG807" s="306">
        <f ca="1">COUNTIF('Knock Out Stages'!L7:L50,BW807)</f>
        <v>0</v>
      </c>
      <c r="CH807" s="306">
        <f ca="1">COUNTIF('Knock Out Stages'!M7:M50,BW807)</f>
        <v>0</v>
      </c>
      <c r="CI807" s="306">
        <f ca="1">COUNTIF('Knock Out Stages'!N7:N50,BW807)</f>
        <v>0</v>
      </c>
      <c r="CJ807" s="306">
        <f ca="1">COUNTIF('Knock Out Stages'!O7:O50,BW807)</f>
        <v>0</v>
      </c>
      <c r="CK807" s="306">
        <f ca="1">COUNTIF('Knock Out Stages'!P7:P50,BW807)</f>
        <v>0</v>
      </c>
      <c r="CL807" s="306">
        <f ca="1">COUNTIF('Knock Out Stages'!Q7:Q50,BW807)</f>
        <v>0</v>
      </c>
      <c r="CM807" s="306">
        <f ca="1">COUNTIF('Knock Out Stages'!R7:R50,BW807)</f>
        <v>0</v>
      </c>
      <c r="CN807" s="306">
        <f ca="1">IF(RIGHT('Group Stages'!$B$105,5)="T.com",SUM(BX807:CM807),0)</f>
        <v>0</v>
      </c>
      <c r="CO807" s="306">
        <f ca="1">RANK(CN807,CN3:CN834)+COUNTIF(CN3:CN807,CN807)-1</f>
        <v>805</v>
      </c>
      <c r="CP807" s="306" t="str">
        <f t="shared" ca="1" si="241"/>
        <v>Sebastián Sosa (Uruguay)</v>
      </c>
    </row>
    <row r="808" spans="72:94" x14ac:dyDescent="0.3">
      <c r="BT808" s="306" t="str">
        <f t="shared" ca="1" si="238"/>
        <v>Uruguay</v>
      </c>
      <c r="BU808" s="306">
        <f t="shared" si="239"/>
        <v>25</v>
      </c>
      <c r="BV808" s="306">
        <f t="shared" si="240"/>
        <v>29</v>
      </c>
      <c r="BW808" s="306" t="str">
        <f ca="1">OFFSET(C3,BU808,BV808)</f>
        <v>Sergio Rochet</v>
      </c>
      <c r="BX808" s="306">
        <f ca="1">COUNTIF('Group Stages'!J7:J102,BW808)</f>
        <v>0</v>
      </c>
      <c r="BY808" s="306">
        <f ca="1">COUNTIF('Group Stages'!K7:K102,BW808)</f>
        <v>0</v>
      </c>
      <c r="BZ808" s="306">
        <f ca="1">COUNTIF('Group Stages'!L7:L102,BW808)</f>
        <v>0</v>
      </c>
      <c r="CA808" s="306">
        <f ca="1">COUNTIF('Group Stages'!M7:M102,BW808)</f>
        <v>0</v>
      </c>
      <c r="CB808" s="306">
        <f ca="1">COUNTIF('Group Stages'!N7:N102,BW808)</f>
        <v>0</v>
      </c>
      <c r="CC808" s="306">
        <f ca="1">COUNTIF('Group Stages'!O7:O102,BW808)</f>
        <v>0</v>
      </c>
      <c r="CD808" s="306">
        <f ca="1">COUNTIF('Group Stages'!P7:P102,BW808)</f>
        <v>0</v>
      </c>
      <c r="CE808" s="306">
        <f ca="1">COUNTIF('Group Stages'!Q7:Q102,BW808)</f>
        <v>0</v>
      </c>
      <c r="CF808" s="306">
        <f ca="1">COUNTIF('Knock Out Stages'!K7:K50,BW808)</f>
        <v>0</v>
      </c>
      <c r="CG808" s="306">
        <f ca="1">COUNTIF('Knock Out Stages'!L7:L50,BW808)</f>
        <v>0</v>
      </c>
      <c r="CH808" s="306">
        <f ca="1">COUNTIF('Knock Out Stages'!M7:M50,BW808)</f>
        <v>0</v>
      </c>
      <c r="CI808" s="306">
        <f ca="1">COUNTIF('Knock Out Stages'!N7:N50,BW808)</f>
        <v>0</v>
      </c>
      <c r="CJ808" s="306">
        <f ca="1">COUNTIF('Knock Out Stages'!O7:O50,BW808)</f>
        <v>0</v>
      </c>
      <c r="CK808" s="306">
        <f ca="1">COUNTIF('Knock Out Stages'!P7:P50,BW808)</f>
        <v>0</v>
      </c>
      <c r="CL808" s="306">
        <f ca="1">COUNTIF('Knock Out Stages'!Q7:Q50,BW808)</f>
        <v>0</v>
      </c>
      <c r="CM808" s="306">
        <f ca="1">COUNTIF('Knock Out Stages'!R7:R50,BW808)</f>
        <v>0</v>
      </c>
      <c r="CN808" s="306">
        <f ca="1">IF(RIGHT('Group Stages'!$B$105,5)="T.com",SUM(BX808:CM808),0)</f>
        <v>0</v>
      </c>
      <c r="CO808" s="306">
        <f ca="1">RANK(CN808,CN3:CN834)+COUNTIF(CN3:CN808,CN808)-1</f>
        <v>806</v>
      </c>
      <c r="CP808" s="306" t="str">
        <f t="shared" ca="1" si="241"/>
        <v>Sergio Rochet (Uruguay)</v>
      </c>
    </row>
    <row r="809" spans="72:94" x14ac:dyDescent="0.3">
      <c r="BT809" s="306" t="str">
        <f ca="1">OFFSET(C2,BU809,BV809)</f>
        <v>South Korea</v>
      </c>
      <c r="BU809" s="306">
        <f t="shared" si="239"/>
        <v>0</v>
      </c>
      <c r="BV809" s="306">
        <f t="shared" si="240"/>
        <v>30</v>
      </c>
      <c r="BW809" s="306" t="str">
        <f ca="1">OFFSET(C3,BU809,BV809)</f>
        <v>Cho Gue-sung</v>
      </c>
      <c r="BX809" s="306">
        <f ca="1">COUNTIF('Group Stages'!J7:J102,BW809)</f>
        <v>0</v>
      </c>
      <c r="BY809" s="306">
        <f ca="1">COUNTIF('Group Stages'!K7:K102,BW809)</f>
        <v>0</v>
      </c>
      <c r="BZ809" s="306">
        <f ca="1">COUNTIF('Group Stages'!L7:L102,BW809)</f>
        <v>0</v>
      </c>
      <c r="CA809" s="306">
        <f ca="1">COUNTIF('Group Stages'!M7:M102,BW809)</f>
        <v>0</v>
      </c>
      <c r="CB809" s="306">
        <f ca="1">COUNTIF('Group Stages'!N7:N102,BW809)</f>
        <v>0</v>
      </c>
      <c r="CC809" s="306">
        <f ca="1">COUNTIF('Group Stages'!O7:O102,BW809)</f>
        <v>0</v>
      </c>
      <c r="CD809" s="306">
        <f ca="1">COUNTIF('Group Stages'!P7:P102,BW809)</f>
        <v>0</v>
      </c>
      <c r="CE809" s="306">
        <f ca="1">COUNTIF('Group Stages'!Q7:Q102,BW809)</f>
        <v>0</v>
      </c>
      <c r="CF809" s="306">
        <f ca="1">COUNTIF('Knock Out Stages'!K7:K50,BW809)</f>
        <v>0</v>
      </c>
      <c r="CG809" s="306">
        <f ca="1">COUNTIF('Knock Out Stages'!L7:L50,BW809)</f>
        <v>0</v>
      </c>
      <c r="CH809" s="306">
        <f ca="1">COUNTIF('Knock Out Stages'!M7:M50,BW809)</f>
        <v>0</v>
      </c>
      <c r="CI809" s="306">
        <f ca="1">COUNTIF('Knock Out Stages'!N7:N50,BW809)</f>
        <v>0</v>
      </c>
      <c r="CJ809" s="306">
        <f ca="1">COUNTIF('Knock Out Stages'!O7:O50,BW809)</f>
        <v>0</v>
      </c>
      <c r="CK809" s="306">
        <f ca="1">COUNTIF('Knock Out Stages'!P7:P50,BW809)</f>
        <v>0</v>
      </c>
      <c r="CL809" s="306">
        <f ca="1">COUNTIF('Knock Out Stages'!Q7:Q50,BW809)</f>
        <v>0</v>
      </c>
      <c r="CM809" s="306">
        <f ca="1">COUNTIF('Knock Out Stages'!R7:R50,BW809)</f>
        <v>0</v>
      </c>
      <c r="CN809" s="306">
        <f ca="1">IF(RIGHT('Group Stages'!$B$105,5)="T.com",SUM(BX809:CM809),0)</f>
        <v>0</v>
      </c>
      <c r="CO809" s="306">
        <f ca="1">RANK(CN809,CN3:CN834)+COUNTIF(CN3:CN809,CN809)-1</f>
        <v>807</v>
      </c>
      <c r="CP809" s="306" t="str">
        <f t="shared" ca="1" si="241"/>
        <v>Cho Gue-sung (South Korea)</v>
      </c>
    </row>
    <row r="810" spans="72:94" x14ac:dyDescent="0.3">
      <c r="BT810" s="306" t="str">
        <f t="shared" ref="BT810" ca="1" si="243">BT809</f>
        <v>South Korea</v>
      </c>
      <c r="BU810" s="306">
        <f t="shared" si="239"/>
        <v>1</v>
      </c>
      <c r="BV810" s="306">
        <f t="shared" si="240"/>
        <v>30</v>
      </c>
      <c r="BW810" s="306" t="str">
        <f ca="1">OFFSET(C3,BU810,BV810)</f>
        <v>Cho Yu-min</v>
      </c>
      <c r="BX810" s="306">
        <f ca="1">COUNTIF('Group Stages'!J7:J102,BW810)</f>
        <v>0</v>
      </c>
      <c r="BY810" s="306">
        <f ca="1">COUNTIF('Group Stages'!K7:K102,BW810)</f>
        <v>0</v>
      </c>
      <c r="BZ810" s="306">
        <f ca="1">COUNTIF('Group Stages'!L7:L102,BW810)</f>
        <v>0</v>
      </c>
      <c r="CA810" s="306">
        <f ca="1">COUNTIF('Group Stages'!M7:M102,BW810)</f>
        <v>0</v>
      </c>
      <c r="CB810" s="306">
        <f ca="1">COUNTIF('Group Stages'!N7:N102,BW810)</f>
        <v>0</v>
      </c>
      <c r="CC810" s="306">
        <f ca="1">COUNTIF('Group Stages'!O7:O102,BW810)</f>
        <v>0</v>
      </c>
      <c r="CD810" s="306">
        <f ca="1">COUNTIF('Group Stages'!P7:P102,BW810)</f>
        <v>0</v>
      </c>
      <c r="CE810" s="306">
        <f ca="1">COUNTIF('Group Stages'!Q7:Q102,BW810)</f>
        <v>0</v>
      </c>
      <c r="CF810" s="306">
        <f ca="1">COUNTIF('Knock Out Stages'!K7:K50,BW810)</f>
        <v>0</v>
      </c>
      <c r="CG810" s="306">
        <f ca="1">COUNTIF('Knock Out Stages'!L7:L50,BW810)</f>
        <v>0</v>
      </c>
      <c r="CH810" s="306">
        <f ca="1">COUNTIF('Knock Out Stages'!M7:M50,BW810)</f>
        <v>0</v>
      </c>
      <c r="CI810" s="306">
        <f ca="1">COUNTIF('Knock Out Stages'!N7:N50,BW810)</f>
        <v>0</v>
      </c>
      <c r="CJ810" s="306">
        <f ca="1">COUNTIF('Knock Out Stages'!O7:O50,BW810)</f>
        <v>0</v>
      </c>
      <c r="CK810" s="306">
        <f ca="1">COUNTIF('Knock Out Stages'!P7:P50,BW810)</f>
        <v>0</v>
      </c>
      <c r="CL810" s="306">
        <f ca="1">COUNTIF('Knock Out Stages'!Q7:Q50,BW810)</f>
        <v>0</v>
      </c>
      <c r="CM810" s="306">
        <f ca="1">COUNTIF('Knock Out Stages'!R7:R50,BW810)</f>
        <v>0</v>
      </c>
      <c r="CN810" s="306">
        <f ca="1">IF(RIGHT('Group Stages'!$B$105,5)="T.com",SUM(BX810:CM810),0)</f>
        <v>0</v>
      </c>
      <c r="CO810" s="306">
        <f ca="1">RANK(CN810,CN3:CN834)+COUNTIF(CN3:CN810,CN810)-1</f>
        <v>808</v>
      </c>
      <c r="CP810" s="306" t="str">
        <f t="shared" ca="1" si="241"/>
        <v>Cho Yu-min (South Korea)</v>
      </c>
    </row>
    <row r="811" spans="72:94" x14ac:dyDescent="0.3">
      <c r="BT811" s="306" t="str">
        <f t="shared" ca="1" si="238"/>
        <v>South Korea</v>
      </c>
      <c r="BU811" s="306">
        <f t="shared" si="239"/>
        <v>2</v>
      </c>
      <c r="BV811" s="306">
        <f t="shared" si="240"/>
        <v>30</v>
      </c>
      <c r="BW811" s="306" t="str">
        <f ca="1">OFFSET(C3,BU811,BV811)</f>
        <v>Hong Chul</v>
      </c>
      <c r="BX811" s="306">
        <f ca="1">COUNTIF('Group Stages'!J7:J102,BW811)</f>
        <v>0</v>
      </c>
      <c r="BY811" s="306">
        <f ca="1">COUNTIF('Group Stages'!K7:K102,BW811)</f>
        <v>0</v>
      </c>
      <c r="BZ811" s="306">
        <f ca="1">COUNTIF('Group Stages'!L7:L102,BW811)</f>
        <v>0</v>
      </c>
      <c r="CA811" s="306">
        <f ca="1">COUNTIF('Group Stages'!M7:M102,BW811)</f>
        <v>0</v>
      </c>
      <c r="CB811" s="306">
        <f ca="1">COUNTIF('Group Stages'!N7:N102,BW811)</f>
        <v>0</v>
      </c>
      <c r="CC811" s="306">
        <f ca="1">COUNTIF('Group Stages'!O7:O102,BW811)</f>
        <v>0</v>
      </c>
      <c r="CD811" s="306">
        <f ca="1">COUNTIF('Group Stages'!P7:P102,BW811)</f>
        <v>0</v>
      </c>
      <c r="CE811" s="306">
        <f ca="1">COUNTIF('Group Stages'!Q7:Q102,BW811)</f>
        <v>0</v>
      </c>
      <c r="CF811" s="306">
        <f ca="1">COUNTIF('Knock Out Stages'!K7:K50,BW811)</f>
        <v>0</v>
      </c>
      <c r="CG811" s="306">
        <f ca="1">COUNTIF('Knock Out Stages'!L7:L50,BW811)</f>
        <v>0</v>
      </c>
      <c r="CH811" s="306">
        <f ca="1">COUNTIF('Knock Out Stages'!M7:M50,BW811)</f>
        <v>0</v>
      </c>
      <c r="CI811" s="306">
        <f ca="1">COUNTIF('Knock Out Stages'!N7:N50,BW811)</f>
        <v>0</v>
      </c>
      <c r="CJ811" s="306">
        <f ca="1">COUNTIF('Knock Out Stages'!O7:O50,BW811)</f>
        <v>0</v>
      </c>
      <c r="CK811" s="306">
        <f ca="1">COUNTIF('Knock Out Stages'!P7:P50,BW811)</f>
        <v>0</v>
      </c>
      <c r="CL811" s="306">
        <f ca="1">COUNTIF('Knock Out Stages'!Q7:Q50,BW811)</f>
        <v>0</v>
      </c>
      <c r="CM811" s="306">
        <f ca="1">COUNTIF('Knock Out Stages'!R7:R50,BW811)</f>
        <v>0</v>
      </c>
      <c r="CN811" s="306">
        <f ca="1">IF(RIGHT('Group Stages'!$B$105,5)="T.com",SUM(BX811:CM811),0)</f>
        <v>0</v>
      </c>
      <c r="CO811" s="306">
        <f ca="1">RANK(CN811,CN3:CN834)+COUNTIF(CN3:CN811,CN811)-1</f>
        <v>809</v>
      </c>
      <c r="CP811" s="306" t="str">
        <f t="shared" ca="1" si="241"/>
        <v>Hong Chul (South Korea)</v>
      </c>
    </row>
    <row r="812" spans="72:94" x14ac:dyDescent="0.3">
      <c r="BT812" s="306" t="str">
        <f t="shared" ca="1" si="238"/>
        <v>South Korea</v>
      </c>
      <c r="BU812" s="306">
        <f t="shared" si="239"/>
        <v>3</v>
      </c>
      <c r="BV812" s="306">
        <f t="shared" si="240"/>
        <v>30</v>
      </c>
      <c r="BW812" s="306" t="str">
        <f ca="1">OFFSET(C3,BU812,BV812)</f>
        <v>Hwang Hee-chan</v>
      </c>
      <c r="BX812" s="306">
        <f ca="1">COUNTIF('Group Stages'!J7:J102,BW812)</f>
        <v>0</v>
      </c>
      <c r="BY812" s="306">
        <f ca="1">COUNTIF('Group Stages'!K7:K102,BW812)</f>
        <v>0</v>
      </c>
      <c r="BZ812" s="306">
        <f ca="1">COUNTIF('Group Stages'!L7:L102,BW812)</f>
        <v>0</v>
      </c>
      <c r="CA812" s="306">
        <f ca="1">COUNTIF('Group Stages'!M7:M102,BW812)</f>
        <v>0</v>
      </c>
      <c r="CB812" s="306">
        <f ca="1">COUNTIF('Group Stages'!N7:N102,BW812)</f>
        <v>0</v>
      </c>
      <c r="CC812" s="306">
        <f ca="1">COUNTIF('Group Stages'!O7:O102,BW812)</f>
        <v>0</v>
      </c>
      <c r="CD812" s="306">
        <f ca="1">COUNTIF('Group Stages'!P7:P102,BW812)</f>
        <v>0</v>
      </c>
      <c r="CE812" s="306">
        <f ca="1">COUNTIF('Group Stages'!Q7:Q102,BW812)</f>
        <v>0</v>
      </c>
      <c r="CF812" s="306">
        <f ca="1">COUNTIF('Knock Out Stages'!K7:K50,BW812)</f>
        <v>0</v>
      </c>
      <c r="CG812" s="306">
        <f ca="1">COUNTIF('Knock Out Stages'!L7:L50,BW812)</f>
        <v>0</v>
      </c>
      <c r="CH812" s="306">
        <f ca="1">COUNTIF('Knock Out Stages'!M7:M50,BW812)</f>
        <v>0</v>
      </c>
      <c r="CI812" s="306">
        <f ca="1">COUNTIF('Knock Out Stages'!N7:N50,BW812)</f>
        <v>0</v>
      </c>
      <c r="CJ812" s="306">
        <f ca="1">COUNTIF('Knock Out Stages'!O7:O50,BW812)</f>
        <v>0</v>
      </c>
      <c r="CK812" s="306">
        <f ca="1">COUNTIF('Knock Out Stages'!P7:P50,BW812)</f>
        <v>0</v>
      </c>
      <c r="CL812" s="306">
        <f ca="1">COUNTIF('Knock Out Stages'!Q7:Q50,BW812)</f>
        <v>0</v>
      </c>
      <c r="CM812" s="306">
        <f ca="1">COUNTIF('Knock Out Stages'!R7:R50,BW812)</f>
        <v>0</v>
      </c>
      <c r="CN812" s="306">
        <f ca="1">IF(RIGHT('Group Stages'!$B$105,5)="T.com",SUM(BX812:CM812),0)</f>
        <v>0</v>
      </c>
      <c r="CO812" s="306">
        <f ca="1">RANK(CN812,CN3:CN834)+COUNTIF(CN3:CN812,CN812)-1</f>
        <v>810</v>
      </c>
      <c r="CP812" s="306" t="str">
        <f t="shared" ca="1" si="241"/>
        <v>Hwang Hee-chan (South Korea)</v>
      </c>
    </row>
    <row r="813" spans="72:94" x14ac:dyDescent="0.3">
      <c r="BT813" s="306" t="str">
        <f t="shared" ca="1" si="238"/>
        <v>South Korea</v>
      </c>
      <c r="BU813" s="306">
        <f t="shared" si="239"/>
        <v>4</v>
      </c>
      <c r="BV813" s="306">
        <f t="shared" si="240"/>
        <v>30</v>
      </c>
      <c r="BW813" s="306" t="str">
        <f ca="1">OFFSET(C3,BU813,BV813)</f>
        <v>Hwang In-beom</v>
      </c>
      <c r="BX813" s="306">
        <f ca="1">COUNTIF('Group Stages'!J7:J102,BW813)</f>
        <v>0</v>
      </c>
      <c r="BY813" s="306">
        <f ca="1">COUNTIF('Group Stages'!K7:K102,BW813)</f>
        <v>0</v>
      </c>
      <c r="BZ813" s="306">
        <f ca="1">COUNTIF('Group Stages'!L7:L102,BW813)</f>
        <v>0</v>
      </c>
      <c r="CA813" s="306">
        <f ca="1">COUNTIF('Group Stages'!M7:M102,BW813)</f>
        <v>0</v>
      </c>
      <c r="CB813" s="306">
        <f ca="1">COUNTIF('Group Stages'!N7:N102,BW813)</f>
        <v>0</v>
      </c>
      <c r="CC813" s="306">
        <f ca="1">COUNTIF('Group Stages'!O7:O102,BW813)</f>
        <v>0</v>
      </c>
      <c r="CD813" s="306">
        <f ca="1">COUNTIF('Group Stages'!P7:P102,BW813)</f>
        <v>0</v>
      </c>
      <c r="CE813" s="306">
        <f ca="1">COUNTIF('Group Stages'!Q7:Q102,BW813)</f>
        <v>0</v>
      </c>
      <c r="CF813" s="306">
        <f ca="1">COUNTIF('Knock Out Stages'!K7:K50,BW813)</f>
        <v>0</v>
      </c>
      <c r="CG813" s="306">
        <f ca="1">COUNTIF('Knock Out Stages'!L7:L50,BW813)</f>
        <v>0</v>
      </c>
      <c r="CH813" s="306">
        <f ca="1">COUNTIF('Knock Out Stages'!M7:M50,BW813)</f>
        <v>0</v>
      </c>
      <c r="CI813" s="306">
        <f ca="1">COUNTIF('Knock Out Stages'!N7:N50,BW813)</f>
        <v>0</v>
      </c>
      <c r="CJ813" s="306">
        <f ca="1">COUNTIF('Knock Out Stages'!O7:O50,BW813)</f>
        <v>0</v>
      </c>
      <c r="CK813" s="306">
        <f ca="1">COUNTIF('Knock Out Stages'!P7:P50,BW813)</f>
        <v>0</v>
      </c>
      <c r="CL813" s="306">
        <f ca="1">COUNTIF('Knock Out Stages'!Q7:Q50,BW813)</f>
        <v>0</v>
      </c>
      <c r="CM813" s="306">
        <f ca="1">COUNTIF('Knock Out Stages'!R7:R50,BW813)</f>
        <v>0</v>
      </c>
      <c r="CN813" s="306">
        <f ca="1">IF(RIGHT('Group Stages'!$B$105,5)="T.com",SUM(BX813:CM813),0)</f>
        <v>0</v>
      </c>
      <c r="CO813" s="306">
        <f ca="1">RANK(CN813,CN3:CN834)+COUNTIF(CN3:CN813,CN813)-1</f>
        <v>811</v>
      </c>
      <c r="CP813" s="306" t="str">
        <f t="shared" ca="1" si="241"/>
        <v>Hwang In-beom (South Korea)</v>
      </c>
    </row>
    <row r="814" spans="72:94" x14ac:dyDescent="0.3">
      <c r="BT814" s="306" t="str">
        <f t="shared" ca="1" si="238"/>
        <v>South Korea</v>
      </c>
      <c r="BU814" s="306">
        <f t="shared" si="239"/>
        <v>5</v>
      </c>
      <c r="BV814" s="306">
        <f t="shared" si="240"/>
        <v>30</v>
      </c>
      <c r="BW814" s="306" t="str">
        <f ca="1">OFFSET(C3,BU814,BV814)</f>
        <v>Hwang Ui-jo</v>
      </c>
      <c r="BX814" s="306">
        <f ca="1">COUNTIF('Group Stages'!J7:J102,BW814)</f>
        <v>0</v>
      </c>
      <c r="BY814" s="306">
        <f ca="1">COUNTIF('Group Stages'!K7:K102,BW814)</f>
        <v>0</v>
      </c>
      <c r="BZ814" s="306">
        <f ca="1">COUNTIF('Group Stages'!L7:L102,BW814)</f>
        <v>0</v>
      </c>
      <c r="CA814" s="306">
        <f ca="1">COUNTIF('Group Stages'!M7:M102,BW814)</f>
        <v>0</v>
      </c>
      <c r="CB814" s="306">
        <f ca="1">COUNTIF('Group Stages'!N7:N102,BW814)</f>
        <v>0</v>
      </c>
      <c r="CC814" s="306">
        <f ca="1">COUNTIF('Group Stages'!O7:O102,BW814)</f>
        <v>0</v>
      </c>
      <c r="CD814" s="306">
        <f ca="1">COUNTIF('Group Stages'!P7:P102,BW814)</f>
        <v>0</v>
      </c>
      <c r="CE814" s="306">
        <f ca="1">COUNTIF('Group Stages'!Q7:Q102,BW814)</f>
        <v>0</v>
      </c>
      <c r="CF814" s="306">
        <f ca="1">COUNTIF('Knock Out Stages'!K7:K50,BW814)</f>
        <v>0</v>
      </c>
      <c r="CG814" s="306">
        <f ca="1">COUNTIF('Knock Out Stages'!L7:L50,BW814)</f>
        <v>0</v>
      </c>
      <c r="CH814" s="306">
        <f ca="1">COUNTIF('Knock Out Stages'!M7:M50,BW814)</f>
        <v>0</v>
      </c>
      <c r="CI814" s="306">
        <f ca="1">COUNTIF('Knock Out Stages'!N7:N50,BW814)</f>
        <v>0</v>
      </c>
      <c r="CJ814" s="306">
        <f ca="1">COUNTIF('Knock Out Stages'!O7:O50,BW814)</f>
        <v>0</v>
      </c>
      <c r="CK814" s="306">
        <f ca="1">COUNTIF('Knock Out Stages'!P7:P50,BW814)</f>
        <v>0</v>
      </c>
      <c r="CL814" s="306">
        <f ca="1">COUNTIF('Knock Out Stages'!Q7:Q50,BW814)</f>
        <v>0</v>
      </c>
      <c r="CM814" s="306">
        <f ca="1">COUNTIF('Knock Out Stages'!R7:R50,BW814)</f>
        <v>0</v>
      </c>
      <c r="CN814" s="306">
        <f ca="1">IF(RIGHT('Group Stages'!$B$105,5)="T.com",SUM(BX814:CM814),0)</f>
        <v>0</v>
      </c>
      <c r="CO814" s="306">
        <f ca="1">RANK(CN814,CN3:CN834)+COUNTIF(CN3:CN814,CN814)-1</f>
        <v>812</v>
      </c>
      <c r="CP814" s="306" t="str">
        <f t="shared" ca="1" si="241"/>
        <v>Hwang Ui-jo (South Korea)</v>
      </c>
    </row>
    <row r="815" spans="72:94" x14ac:dyDescent="0.3">
      <c r="BT815" s="306" t="str">
        <f t="shared" ca="1" si="238"/>
        <v>South Korea</v>
      </c>
      <c r="BU815" s="306">
        <f t="shared" si="239"/>
        <v>6</v>
      </c>
      <c r="BV815" s="306">
        <f t="shared" si="240"/>
        <v>30</v>
      </c>
      <c r="BW815" s="306" t="str">
        <f ca="1">OFFSET(C3,BU815,BV815)</f>
        <v>Jeong Woo-yeong</v>
      </c>
      <c r="BX815" s="306">
        <f ca="1">COUNTIF('Group Stages'!J7:J102,BW815)</f>
        <v>0</v>
      </c>
      <c r="BY815" s="306">
        <f ca="1">COUNTIF('Group Stages'!K7:K102,BW815)</f>
        <v>0</v>
      </c>
      <c r="BZ815" s="306">
        <f ca="1">COUNTIF('Group Stages'!L7:L102,BW815)</f>
        <v>0</v>
      </c>
      <c r="CA815" s="306">
        <f ca="1">COUNTIF('Group Stages'!M7:M102,BW815)</f>
        <v>0</v>
      </c>
      <c r="CB815" s="306">
        <f ca="1">COUNTIF('Group Stages'!N7:N102,BW815)</f>
        <v>0</v>
      </c>
      <c r="CC815" s="306">
        <f ca="1">COUNTIF('Group Stages'!O7:O102,BW815)</f>
        <v>0</v>
      </c>
      <c r="CD815" s="306">
        <f ca="1">COUNTIF('Group Stages'!P7:P102,BW815)</f>
        <v>0</v>
      </c>
      <c r="CE815" s="306">
        <f ca="1">COUNTIF('Group Stages'!Q7:Q102,BW815)</f>
        <v>0</v>
      </c>
      <c r="CF815" s="306">
        <f ca="1">COUNTIF('Knock Out Stages'!K7:K50,BW815)</f>
        <v>0</v>
      </c>
      <c r="CG815" s="306">
        <f ca="1">COUNTIF('Knock Out Stages'!L7:L50,BW815)</f>
        <v>0</v>
      </c>
      <c r="CH815" s="306">
        <f ca="1">COUNTIF('Knock Out Stages'!M7:M50,BW815)</f>
        <v>0</v>
      </c>
      <c r="CI815" s="306">
        <f ca="1">COUNTIF('Knock Out Stages'!N7:N50,BW815)</f>
        <v>0</v>
      </c>
      <c r="CJ815" s="306">
        <f ca="1">COUNTIF('Knock Out Stages'!O7:O50,BW815)</f>
        <v>0</v>
      </c>
      <c r="CK815" s="306">
        <f ca="1">COUNTIF('Knock Out Stages'!P7:P50,BW815)</f>
        <v>0</v>
      </c>
      <c r="CL815" s="306">
        <f ca="1">COUNTIF('Knock Out Stages'!Q7:Q50,BW815)</f>
        <v>0</v>
      </c>
      <c r="CM815" s="306">
        <f ca="1">COUNTIF('Knock Out Stages'!R7:R50,BW815)</f>
        <v>0</v>
      </c>
      <c r="CN815" s="306">
        <f ca="1">IF(RIGHT('Group Stages'!$B$105,5)="T.com",SUM(BX815:CM815),0)</f>
        <v>0</v>
      </c>
      <c r="CO815" s="306">
        <f ca="1">RANK(CN815,CN3:CN834)+COUNTIF(CN3:CN815,CN815)-1</f>
        <v>813</v>
      </c>
      <c r="CP815" s="306" t="str">
        <f t="shared" ca="1" si="241"/>
        <v>Jeong Woo-yeong (South Korea)</v>
      </c>
    </row>
    <row r="816" spans="72:94" x14ac:dyDescent="0.3">
      <c r="BT816" s="306" t="str">
        <f t="shared" ca="1" si="238"/>
        <v>South Korea</v>
      </c>
      <c r="BU816" s="306">
        <f t="shared" si="239"/>
        <v>7</v>
      </c>
      <c r="BV816" s="306">
        <f t="shared" si="240"/>
        <v>30</v>
      </c>
      <c r="BW816" s="306" t="str">
        <f ca="1">OFFSET(C3,BU816,BV816)</f>
        <v>Jo Hyeon-woo</v>
      </c>
      <c r="BX816" s="306">
        <f ca="1">COUNTIF('Group Stages'!J7:J102,BW816)</f>
        <v>0</v>
      </c>
      <c r="BY816" s="306">
        <f ca="1">COUNTIF('Group Stages'!K7:K102,BW816)</f>
        <v>0</v>
      </c>
      <c r="BZ816" s="306">
        <f ca="1">COUNTIF('Group Stages'!L7:L102,BW816)</f>
        <v>0</v>
      </c>
      <c r="CA816" s="306">
        <f ca="1">COUNTIF('Group Stages'!M7:M102,BW816)</f>
        <v>0</v>
      </c>
      <c r="CB816" s="306">
        <f ca="1">COUNTIF('Group Stages'!N7:N102,BW816)</f>
        <v>0</v>
      </c>
      <c r="CC816" s="306">
        <f ca="1">COUNTIF('Group Stages'!O7:O102,BW816)</f>
        <v>0</v>
      </c>
      <c r="CD816" s="306">
        <f ca="1">COUNTIF('Group Stages'!P7:P102,BW816)</f>
        <v>0</v>
      </c>
      <c r="CE816" s="306">
        <f ca="1">COUNTIF('Group Stages'!Q7:Q102,BW816)</f>
        <v>0</v>
      </c>
      <c r="CF816" s="306">
        <f ca="1">COUNTIF('Knock Out Stages'!K7:K50,BW816)</f>
        <v>0</v>
      </c>
      <c r="CG816" s="306">
        <f ca="1">COUNTIF('Knock Out Stages'!L7:L50,BW816)</f>
        <v>0</v>
      </c>
      <c r="CH816" s="306">
        <f ca="1">COUNTIF('Knock Out Stages'!M7:M50,BW816)</f>
        <v>0</v>
      </c>
      <c r="CI816" s="306">
        <f ca="1">COUNTIF('Knock Out Stages'!N7:N50,BW816)</f>
        <v>0</v>
      </c>
      <c r="CJ816" s="306">
        <f ca="1">COUNTIF('Knock Out Stages'!O7:O50,BW816)</f>
        <v>0</v>
      </c>
      <c r="CK816" s="306">
        <f ca="1">COUNTIF('Knock Out Stages'!P7:P50,BW816)</f>
        <v>0</v>
      </c>
      <c r="CL816" s="306">
        <f ca="1">COUNTIF('Knock Out Stages'!Q7:Q50,BW816)</f>
        <v>0</v>
      </c>
      <c r="CM816" s="306">
        <f ca="1">COUNTIF('Knock Out Stages'!R7:R50,BW816)</f>
        <v>0</v>
      </c>
      <c r="CN816" s="306">
        <f ca="1">IF(RIGHT('Group Stages'!$B$105,5)="T.com",SUM(BX816:CM816),0)</f>
        <v>0</v>
      </c>
      <c r="CO816" s="306">
        <f ca="1">RANK(CN816,CN3:CN834)+COUNTIF(CN3:CN816,CN816)-1</f>
        <v>814</v>
      </c>
      <c r="CP816" s="306" t="str">
        <f t="shared" ca="1" si="241"/>
        <v>Jo Hyeon-woo (South Korea)</v>
      </c>
    </row>
    <row r="817" spans="72:94" x14ac:dyDescent="0.3">
      <c r="BT817" s="306" t="str">
        <f t="shared" ca="1" si="238"/>
        <v>South Korea</v>
      </c>
      <c r="BU817" s="306">
        <f t="shared" si="239"/>
        <v>8</v>
      </c>
      <c r="BV817" s="306">
        <f t="shared" si="240"/>
        <v>30</v>
      </c>
      <c r="BW817" s="306" t="str">
        <f ca="1">OFFSET(C3,BU817,BV817)</f>
        <v>Jung Woo-young</v>
      </c>
      <c r="BX817" s="306">
        <f ca="1">COUNTIF('Group Stages'!J7:J102,BW817)</f>
        <v>0</v>
      </c>
      <c r="BY817" s="306">
        <f ca="1">COUNTIF('Group Stages'!K7:K102,BW817)</f>
        <v>0</v>
      </c>
      <c r="BZ817" s="306">
        <f ca="1">COUNTIF('Group Stages'!L7:L102,BW817)</f>
        <v>0</v>
      </c>
      <c r="CA817" s="306">
        <f ca="1">COUNTIF('Group Stages'!M7:M102,BW817)</f>
        <v>0</v>
      </c>
      <c r="CB817" s="306">
        <f ca="1">COUNTIF('Group Stages'!N7:N102,BW817)</f>
        <v>0</v>
      </c>
      <c r="CC817" s="306">
        <f ca="1">COUNTIF('Group Stages'!O7:O102,BW817)</f>
        <v>0</v>
      </c>
      <c r="CD817" s="306">
        <f ca="1">COUNTIF('Group Stages'!P7:P102,BW817)</f>
        <v>0</v>
      </c>
      <c r="CE817" s="306">
        <f ca="1">COUNTIF('Group Stages'!Q7:Q102,BW817)</f>
        <v>0</v>
      </c>
      <c r="CF817" s="306">
        <f ca="1">COUNTIF('Knock Out Stages'!K7:K50,BW817)</f>
        <v>0</v>
      </c>
      <c r="CG817" s="306">
        <f ca="1">COUNTIF('Knock Out Stages'!L7:L50,BW817)</f>
        <v>0</v>
      </c>
      <c r="CH817" s="306">
        <f ca="1">COUNTIF('Knock Out Stages'!M7:M50,BW817)</f>
        <v>0</v>
      </c>
      <c r="CI817" s="306">
        <f ca="1">COUNTIF('Knock Out Stages'!N7:N50,BW817)</f>
        <v>0</v>
      </c>
      <c r="CJ817" s="306">
        <f ca="1">COUNTIF('Knock Out Stages'!O7:O50,BW817)</f>
        <v>0</v>
      </c>
      <c r="CK817" s="306">
        <f ca="1">COUNTIF('Knock Out Stages'!P7:P50,BW817)</f>
        <v>0</v>
      </c>
      <c r="CL817" s="306">
        <f ca="1">COUNTIF('Knock Out Stages'!Q7:Q50,BW817)</f>
        <v>0</v>
      </c>
      <c r="CM817" s="306">
        <f ca="1">COUNTIF('Knock Out Stages'!R7:R50,BW817)</f>
        <v>0</v>
      </c>
      <c r="CN817" s="306">
        <f ca="1">IF(RIGHT('Group Stages'!$B$105,5)="T.com",SUM(BX817:CM817),0)</f>
        <v>0</v>
      </c>
      <c r="CO817" s="306">
        <f ca="1">RANK(CN817,CN3:CN834)+COUNTIF(CN3:CN817,CN817)-1</f>
        <v>815</v>
      </c>
      <c r="CP817" s="306" t="str">
        <f t="shared" ca="1" si="241"/>
        <v>Jung Woo-young (South Korea)</v>
      </c>
    </row>
    <row r="818" spans="72:94" x14ac:dyDescent="0.3">
      <c r="BT818" s="306" t="str">
        <f t="shared" ca="1" si="238"/>
        <v>South Korea</v>
      </c>
      <c r="BU818" s="306">
        <f t="shared" si="239"/>
        <v>9</v>
      </c>
      <c r="BV818" s="306">
        <f t="shared" si="240"/>
        <v>30</v>
      </c>
      <c r="BW818" s="306" t="str">
        <f ca="1">OFFSET(C3,BU818,BV818)</f>
        <v>Kim Jin-su</v>
      </c>
      <c r="BX818" s="306">
        <f ca="1">COUNTIF('Group Stages'!J7:J102,BW818)</f>
        <v>0</v>
      </c>
      <c r="BY818" s="306">
        <f ca="1">COUNTIF('Group Stages'!K7:K102,BW818)</f>
        <v>0</v>
      </c>
      <c r="BZ818" s="306">
        <f ca="1">COUNTIF('Group Stages'!L7:L102,BW818)</f>
        <v>0</v>
      </c>
      <c r="CA818" s="306">
        <f ca="1">COUNTIF('Group Stages'!M7:M102,BW818)</f>
        <v>0</v>
      </c>
      <c r="CB818" s="306">
        <f ca="1">COUNTIF('Group Stages'!N7:N102,BW818)</f>
        <v>0</v>
      </c>
      <c r="CC818" s="306">
        <f ca="1">COUNTIF('Group Stages'!O7:O102,BW818)</f>
        <v>0</v>
      </c>
      <c r="CD818" s="306">
        <f ca="1">COUNTIF('Group Stages'!P7:P102,BW818)</f>
        <v>0</v>
      </c>
      <c r="CE818" s="306">
        <f ca="1">COUNTIF('Group Stages'!Q7:Q102,BW818)</f>
        <v>0</v>
      </c>
      <c r="CF818" s="306">
        <f ca="1">COUNTIF('Knock Out Stages'!K7:K50,BW818)</f>
        <v>0</v>
      </c>
      <c r="CG818" s="306">
        <f ca="1">COUNTIF('Knock Out Stages'!L7:L50,BW818)</f>
        <v>0</v>
      </c>
      <c r="CH818" s="306">
        <f ca="1">COUNTIF('Knock Out Stages'!M7:M50,BW818)</f>
        <v>0</v>
      </c>
      <c r="CI818" s="306">
        <f ca="1">COUNTIF('Knock Out Stages'!N7:N50,BW818)</f>
        <v>0</v>
      </c>
      <c r="CJ818" s="306">
        <f ca="1">COUNTIF('Knock Out Stages'!O7:O50,BW818)</f>
        <v>0</v>
      </c>
      <c r="CK818" s="306">
        <f ca="1">COUNTIF('Knock Out Stages'!P7:P50,BW818)</f>
        <v>0</v>
      </c>
      <c r="CL818" s="306">
        <f ca="1">COUNTIF('Knock Out Stages'!Q7:Q50,BW818)</f>
        <v>0</v>
      </c>
      <c r="CM818" s="306">
        <f ca="1">COUNTIF('Knock Out Stages'!R7:R50,BW818)</f>
        <v>0</v>
      </c>
      <c r="CN818" s="306">
        <f ca="1">IF(RIGHT('Group Stages'!$B$105,5)="T.com",SUM(BX818:CM818),0)</f>
        <v>0</v>
      </c>
      <c r="CO818" s="306">
        <f ca="1">RANK(CN818,CN3:CN834)+COUNTIF(CN3:CN818,CN818)-1</f>
        <v>816</v>
      </c>
      <c r="CP818" s="306" t="str">
        <f t="shared" ca="1" si="241"/>
        <v>Kim Jin-su (South Korea)</v>
      </c>
    </row>
    <row r="819" spans="72:94" x14ac:dyDescent="0.3">
      <c r="BT819" s="306" t="str">
        <f t="shared" ca="1" si="238"/>
        <v>South Korea</v>
      </c>
      <c r="BU819" s="306">
        <f t="shared" si="239"/>
        <v>10</v>
      </c>
      <c r="BV819" s="306">
        <f t="shared" si="240"/>
        <v>30</v>
      </c>
      <c r="BW819" s="306" t="str">
        <f ca="1">OFFSET(C3,BU819,BV819)</f>
        <v>Kim Min-jae</v>
      </c>
      <c r="BX819" s="306">
        <f ca="1">COUNTIF('Group Stages'!J7:J102,BW819)</f>
        <v>0</v>
      </c>
      <c r="BY819" s="306">
        <f ca="1">COUNTIF('Group Stages'!K7:K102,BW819)</f>
        <v>0</v>
      </c>
      <c r="BZ819" s="306">
        <f ca="1">COUNTIF('Group Stages'!L7:L102,BW819)</f>
        <v>0</v>
      </c>
      <c r="CA819" s="306">
        <f ca="1">COUNTIF('Group Stages'!M7:M102,BW819)</f>
        <v>0</v>
      </c>
      <c r="CB819" s="306">
        <f ca="1">COUNTIF('Group Stages'!N7:N102,BW819)</f>
        <v>0</v>
      </c>
      <c r="CC819" s="306">
        <f ca="1">COUNTIF('Group Stages'!O7:O102,BW819)</f>
        <v>0</v>
      </c>
      <c r="CD819" s="306">
        <f ca="1">COUNTIF('Group Stages'!P7:P102,BW819)</f>
        <v>0</v>
      </c>
      <c r="CE819" s="306">
        <f ca="1">COUNTIF('Group Stages'!Q7:Q102,BW819)</f>
        <v>0</v>
      </c>
      <c r="CF819" s="306">
        <f ca="1">COUNTIF('Knock Out Stages'!K7:K50,BW819)</f>
        <v>0</v>
      </c>
      <c r="CG819" s="306">
        <f ca="1">COUNTIF('Knock Out Stages'!L7:L50,BW819)</f>
        <v>0</v>
      </c>
      <c r="CH819" s="306">
        <f ca="1">COUNTIF('Knock Out Stages'!M7:M50,BW819)</f>
        <v>0</v>
      </c>
      <c r="CI819" s="306">
        <f ca="1">COUNTIF('Knock Out Stages'!N7:N50,BW819)</f>
        <v>0</v>
      </c>
      <c r="CJ819" s="306">
        <f ca="1">COUNTIF('Knock Out Stages'!O7:O50,BW819)</f>
        <v>0</v>
      </c>
      <c r="CK819" s="306">
        <f ca="1">COUNTIF('Knock Out Stages'!P7:P50,BW819)</f>
        <v>0</v>
      </c>
      <c r="CL819" s="306">
        <f ca="1">COUNTIF('Knock Out Stages'!Q7:Q50,BW819)</f>
        <v>0</v>
      </c>
      <c r="CM819" s="306">
        <f ca="1">COUNTIF('Knock Out Stages'!R7:R50,BW819)</f>
        <v>0</v>
      </c>
      <c r="CN819" s="306">
        <f ca="1">IF(RIGHT('Group Stages'!$B$105,5)="T.com",SUM(BX819:CM819),0)</f>
        <v>0</v>
      </c>
      <c r="CO819" s="306">
        <f ca="1">RANK(CN819,CN3:CN834)+COUNTIF(CN3:CN819,CN819)-1</f>
        <v>817</v>
      </c>
      <c r="CP819" s="306" t="str">
        <f t="shared" ca="1" si="241"/>
        <v>Kim Min-jae (South Korea)</v>
      </c>
    </row>
    <row r="820" spans="72:94" x14ac:dyDescent="0.3">
      <c r="BT820" s="306" t="str">
        <f t="shared" ca="1" si="238"/>
        <v>South Korea</v>
      </c>
      <c r="BU820" s="306">
        <f t="shared" si="239"/>
        <v>11</v>
      </c>
      <c r="BV820" s="306">
        <f t="shared" si="240"/>
        <v>30</v>
      </c>
      <c r="BW820" s="306" t="str">
        <f ca="1">OFFSET(C3,BU820,BV820)</f>
        <v>Kim Moon-hwan</v>
      </c>
      <c r="BX820" s="306">
        <f ca="1">COUNTIF('Group Stages'!J7:J102,BW820)</f>
        <v>0</v>
      </c>
      <c r="BY820" s="306">
        <f ca="1">COUNTIF('Group Stages'!K7:K102,BW820)</f>
        <v>0</v>
      </c>
      <c r="BZ820" s="306">
        <f ca="1">COUNTIF('Group Stages'!L7:L102,BW820)</f>
        <v>0</v>
      </c>
      <c r="CA820" s="306">
        <f ca="1">COUNTIF('Group Stages'!M7:M102,BW820)</f>
        <v>0</v>
      </c>
      <c r="CB820" s="306">
        <f ca="1">COUNTIF('Group Stages'!N7:N102,BW820)</f>
        <v>0</v>
      </c>
      <c r="CC820" s="306">
        <f ca="1">COUNTIF('Group Stages'!O7:O102,BW820)</f>
        <v>0</v>
      </c>
      <c r="CD820" s="306">
        <f ca="1">COUNTIF('Group Stages'!P7:P102,BW820)</f>
        <v>0</v>
      </c>
      <c r="CE820" s="306">
        <f ca="1">COUNTIF('Group Stages'!Q7:Q102,BW820)</f>
        <v>0</v>
      </c>
      <c r="CF820" s="306">
        <f ca="1">COUNTIF('Knock Out Stages'!K7:K50,BW820)</f>
        <v>0</v>
      </c>
      <c r="CG820" s="306">
        <f ca="1">COUNTIF('Knock Out Stages'!L7:L50,BW820)</f>
        <v>0</v>
      </c>
      <c r="CH820" s="306">
        <f ca="1">COUNTIF('Knock Out Stages'!M7:M50,BW820)</f>
        <v>0</v>
      </c>
      <c r="CI820" s="306">
        <f ca="1">COUNTIF('Knock Out Stages'!N7:N50,BW820)</f>
        <v>0</v>
      </c>
      <c r="CJ820" s="306">
        <f ca="1">COUNTIF('Knock Out Stages'!O7:O50,BW820)</f>
        <v>0</v>
      </c>
      <c r="CK820" s="306">
        <f ca="1">COUNTIF('Knock Out Stages'!P7:P50,BW820)</f>
        <v>0</v>
      </c>
      <c r="CL820" s="306">
        <f ca="1">COUNTIF('Knock Out Stages'!Q7:Q50,BW820)</f>
        <v>0</v>
      </c>
      <c r="CM820" s="306">
        <f ca="1">COUNTIF('Knock Out Stages'!R7:R50,BW820)</f>
        <v>0</v>
      </c>
      <c r="CN820" s="306">
        <f ca="1">IF(RIGHT('Group Stages'!$B$105,5)="T.com",SUM(BX820:CM820),0)</f>
        <v>0</v>
      </c>
      <c r="CO820" s="306">
        <f ca="1">RANK(CN820,CN3:CN834)+COUNTIF(CN3:CN820,CN820)-1</f>
        <v>818</v>
      </c>
      <c r="CP820" s="306" t="str">
        <f t="shared" ca="1" si="241"/>
        <v>Kim Moon-hwan (South Korea)</v>
      </c>
    </row>
    <row r="821" spans="72:94" x14ac:dyDescent="0.3">
      <c r="BT821" s="306" t="str">
        <f t="shared" ca="1" si="238"/>
        <v>South Korea</v>
      </c>
      <c r="BU821" s="306">
        <f t="shared" si="239"/>
        <v>12</v>
      </c>
      <c r="BV821" s="306">
        <f t="shared" si="240"/>
        <v>30</v>
      </c>
      <c r="BW821" s="306" t="str">
        <f ca="1">OFFSET(C3,BU821,BV821)</f>
        <v>Kim Seung-gyu</v>
      </c>
      <c r="BX821" s="306">
        <f ca="1">COUNTIF('Group Stages'!J7:J102,BW821)</f>
        <v>0</v>
      </c>
      <c r="BY821" s="306">
        <f ca="1">COUNTIF('Group Stages'!K7:K102,BW821)</f>
        <v>0</v>
      </c>
      <c r="BZ821" s="306">
        <f ca="1">COUNTIF('Group Stages'!L7:L102,BW821)</f>
        <v>0</v>
      </c>
      <c r="CA821" s="306">
        <f ca="1">COUNTIF('Group Stages'!M7:M102,BW821)</f>
        <v>0</v>
      </c>
      <c r="CB821" s="306">
        <f ca="1">COUNTIF('Group Stages'!N7:N102,BW821)</f>
        <v>0</v>
      </c>
      <c r="CC821" s="306">
        <f ca="1">COUNTIF('Group Stages'!O7:O102,BW821)</f>
        <v>0</v>
      </c>
      <c r="CD821" s="306">
        <f ca="1">COUNTIF('Group Stages'!P7:P102,BW821)</f>
        <v>0</v>
      </c>
      <c r="CE821" s="306">
        <f ca="1">COUNTIF('Group Stages'!Q7:Q102,BW821)</f>
        <v>0</v>
      </c>
      <c r="CF821" s="306">
        <f ca="1">COUNTIF('Knock Out Stages'!K7:K50,BW821)</f>
        <v>0</v>
      </c>
      <c r="CG821" s="306">
        <f ca="1">COUNTIF('Knock Out Stages'!L7:L50,BW821)</f>
        <v>0</v>
      </c>
      <c r="CH821" s="306">
        <f ca="1">COUNTIF('Knock Out Stages'!M7:M50,BW821)</f>
        <v>0</v>
      </c>
      <c r="CI821" s="306">
        <f ca="1">COUNTIF('Knock Out Stages'!N7:N50,BW821)</f>
        <v>0</v>
      </c>
      <c r="CJ821" s="306">
        <f ca="1">COUNTIF('Knock Out Stages'!O7:O50,BW821)</f>
        <v>0</v>
      </c>
      <c r="CK821" s="306">
        <f ca="1">COUNTIF('Knock Out Stages'!P7:P50,BW821)</f>
        <v>0</v>
      </c>
      <c r="CL821" s="306">
        <f ca="1">COUNTIF('Knock Out Stages'!Q7:Q50,BW821)</f>
        <v>0</v>
      </c>
      <c r="CM821" s="306">
        <f ca="1">COUNTIF('Knock Out Stages'!R7:R50,BW821)</f>
        <v>0</v>
      </c>
      <c r="CN821" s="306">
        <f ca="1">IF(RIGHT('Group Stages'!$B$105,5)="T.com",SUM(BX821:CM821),0)</f>
        <v>0</v>
      </c>
      <c r="CO821" s="306">
        <f ca="1">RANK(CN821,CN3:CN834)+COUNTIF(CN3:CN821,CN821)-1</f>
        <v>819</v>
      </c>
      <c r="CP821" s="306" t="str">
        <f t="shared" ca="1" si="241"/>
        <v>Kim Seung-gyu (South Korea)</v>
      </c>
    </row>
    <row r="822" spans="72:94" x14ac:dyDescent="0.3">
      <c r="BT822" s="306" t="str">
        <f t="shared" ca="1" si="238"/>
        <v>South Korea</v>
      </c>
      <c r="BU822" s="306">
        <f t="shared" si="239"/>
        <v>13</v>
      </c>
      <c r="BV822" s="306">
        <f t="shared" si="240"/>
        <v>30</v>
      </c>
      <c r="BW822" s="306" t="str">
        <f ca="1">OFFSET(C3,BU822,BV822)</f>
        <v>Kim Tae-hwan</v>
      </c>
      <c r="BX822" s="306">
        <f ca="1">COUNTIF('Group Stages'!J7:J102,BW822)</f>
        <v>0</v>
      </c>
      <c r="BY822" s="306">
        <f ca="1">COUNTIF('Group Stages'!K7:K102,BW822)</f>
        <v>0</v>
      </c>
      <c r="BZ822" s="306">
        <f ca="1">COUNTIF('Group Stages'!L7:L102,BW822)</f>
        <v>0</v>
      </c>
      <c r="CA822" s="306">
        <f ca="1">COUNTIF('Group Stages'!M7:M102,BW822)</f>
        <v>0</v>
      </c>
      <c r="CB822" s="306">
        <f ca="1">COUNTIF('Group Stages'!N7:N102,BW822)</f>
        <v>0</v>
      </c>
      <c r="CC822" s="306">
        <f ca="1">COUNTIF('Group Stages'!O7:O102,BW822)</f>
        <v>0</v>
      </c>
      <c r="CD822" s="306">
        <f ca="1">COUNTIF('Group Stages'!P7:P102,BW822)</f>
        <v>0</v>
      </c>
      <c r="CE822" s="306">
        <f ca="1">COUNTIF('Group Stages'!Q7:Q102,BW822)</f>
        <v>0</v>
      </c>
      <c r="CF822" s="306">
        <f ca="1">COUNTIF('Knock Out Stages'!K7:K50,BW822)</f>
        <v>0</v>
      </c>
      <c r="CG822" s="306">
        <f ca="1">COUNTIF('Knock Out Stages'!L7:L50,BW822)</f>
        <v>0</v>
      </c>
      <c r="CH822" s="306">
        <f ca="1">COUNTIF('Knock Out Stages'!M7:M50,BW822)</f>
        <v>0</v>
      </c>
      <c r="CI822" s="306">
        <f ca="1">COUNTIF('Knock Out Stages'!N7:N50,BW822)</f>
        <v>0</v>
      </c>
      <c r="CJ822" s="306">
        <f ca="1">COUNTIF('Knock Out Stages'!O7:O50,BW822)</f>
        <v>0</v>
      </c>
      <c r="CK822" s="306">
        <f ca="1">COUNTIF('Knock Out Stages'!P7:P50,BW822)</f>
        <v>0</v>
      </c>
      <c r="CL822" s="306">
        <f ca="1">COUNTIF('Knock Out Stages'!Q7:Q50,BW822)</f>
        <v>0</v>
      </c>
      <c r="CM822" s="306">
        <f ca="1">COUNTIF('Knock Out Stages'!R7:R50,BW822)</f>
        <v>0</v>
      </c>
      <c r="CN822" s="306">
        <f ca="1">IF(RIGHT('Group Stages'!$B$105,5)="T.com",SUM(BX822:CM822),0)</f>
        <v>0</v>
      </c>
      <c r="CO822" s="306">
        <f ca="1">RANK(CN822,CN3:CN834)+COUNTIF(CN3:CN822,CN822)-1</f>
        <v>820</v>
      </c>
      <c r="CP822" s="306" t="str">
        <f t="shared" ca="1" si="241"/>
        <v>Kim Tae-hwan (South Korea)</v>
      </c>
    </row>
    <row r="823" spans="72:94" x14ac:dyDescent="0.3">
      <c r="BT823" s="306" t="str">
        <f t="shared" ca="1" si="238"/>
        <v>South Korea</v>
      </c>
      <c r="BU823" s="306">
        <f t="shared" si="239"/>
        <v>14</v>
      </c>
      <c r="BV823" s="306">
        <f t="shared" si="240"/>
        <v>30</v>
      </c>
      <c r="BW823" s="306" t="str">
        <f ca="1">OFFSET(C3,BU823,BV823)</f>
        <v>Kim Young-gwon</v>
      </c>
      <c r="BX823" s="306">
        <f ca="1">COUNTIF('Group Stages'!J7:J102,BW823)</f>
        <v>0</v>
      </c>
      <c r="BY823" s="306">
        <f ca="1">COUNTIF('Group Stages'!K7:K102,BW823)</f>
        <v>0</v>
      </c>
      <c r="BZ823" s="306">
        <f ca="1">COUNTIF('Group Stages'!L7:L102,BW823)</f>
        <v>0</v>
      </c>
      <c r="CA823" s="306">
        <f ca="1">COUNTIF('Group Stages'!M7:M102,BW823)</f>
        <v>0</v>
      </c>
      <c r="CB823" s="306">
        <f ca="1">COUNTIF('Group Stages'!N7:N102,BW823)</f>
        <v>0</v>
      </c>
      <c r="CC823" s="306">
        <f ca="1">COUNTIF('Group Stages'!O7:O102,BW823)</f>
        <v>0</v>
      </c>
      <c r="CD823" s="306">
        <f ca="1">COUNTIF('Group Stages'!P7:P102,BW823)</f>
        <v>0</v>
      </c>
      <c r="CE823" s="306">
        <f ca="1">COUNTIF('Group Stages'!Q7:Q102,BW823)</f>
        <v>0</v>
      </c>
      <c r="CF823" s="306">
        <f ca="1">COUNTIF('Knock Out Stages'!K7:K50,BW823)</f>
        <v>0</v>
      </c>
      <c r="CG823" s="306">
        <f ca="1">COUNTIF('Knock Out Stages'!L7:L50,BW823)</f>
        <v>0</v>
      </c>
      <c r="CH823" s="306">
        <f ca="1">COUNTIF('Knock Out Stages'!M7:M50,BW823)</f>
        <v>0</v>
      </c>
      <c r="CI823" s="306">
        <f ca="1">COUNTIF('Knock Out Stages'!N7:N50,BW823)</f>
        <v>0</v>
      </c>
      <c r="CJ823" s="306">
        <f ca="1">COUNTIF('Knock Out Stages'!O7:O50,BW823)</f>
        <v>0</v>
      </c>
      <c r="CK823" s="306">
        <f ca="1">COUNTIF('Knock Out Stages'!P7:P50,BW823)</f>
        <v>0</v>
      </c>
      <c r="CL823" s="306">
        <f ca="1">COUNTIF('Knock Out Stages'!Q7:Q50,BW823)</f>
        <v>0</v>
      </c>
      <c r="CM823" s="306">
        <f ca="1">COUNTIF('Knock Out Stages'!R7:R50,BW823)</f>
        <v>0</v>
      </c>
      <c r="CN823" s="306">
        <f ca="1">IF(RIGHT('Group Stages'!$B$105,5)="T.com",SUM(BX823:CM823),0)</f>
        <v>0</v>
      </c>
      <c r="CO823" s="306">
        <f ca="1">RANK(CN823,CN3:CN834)+COUNTIF(CN3:CN823,CN823)-1</f>
        <v>821</v>
      </c>
      <c r="CP823" s="306" t="str">
        <f t="shared" ca="1" si="241"/>
        <v>Kim Young-gwon (South Korea)</v>
      </c>
    </row>
    <row r="824" spans="72:94" x14ac:dyDescent="0.3">
      <c r="BT824" s="306" t="str">
        <f t="shared" ref="BT824:BT834" ca="1" si="244">BT823</f>
        <v>South Korea</v>
      </c>
      <c r="BU824" s="306">
        <f t="shared" ref="BU824:BU834" si="245">BU798</f>
        <v>15</v>
      </c>
      <c r="BV824" s="306">
        <f t="shared" ref="BV824:BV834" si="246">BV798+1</f>
        <v>30</v>
      </c>
      <c r="BW824" s="306" t="str">
        <f ca="1">OFFSET(C3,BU824,BV824)</f>
        <v>Kwon Chang-hoon</v>
      </c>
      <c r="BX824" s="306">
        <f ca="1">COUNTIF('Group Stages'!J7:J102,BW824)</f>
        <v>0</v>
      </c>
      <c r="BY824" s="306">
        <f ca="1">COUNTIF('Group Stages'!K7:K102,BW824)</f>
        <v>0</v>
      </c>
      <c r="BZ824" s="306">
        <f ca="1">COUNTIF('Group Stages'!L7:L102,BW824)</f>
        <v>0</v>
      </c>
      <c r="CA824" s="306">
        <f ca="1">COUNTIF('Group Stages'!M7:M102,BW824)</f>
        <v>0</v>
      </c>
      <c r="CB824" s="306">
        <f ca="1">COUNTIF('Group Stages'!N7:N102,BW824)</f>
        <v>0</v>
      </c>
      <c r="CC824" s="306">
        <f ca="1">COUNTIF('Group Stages'!O7:O102,BW824)</f>
        <v>0</v>
      </c>
      <c r="CD824" s="306">
        <f ca="1">COUNTIF('Group Stages'!P7:P102,BW824)</f>
        <v>0</v>
      </c>
      <c r="CE824" s="306">
        <f ca="1">COUNTIF('Group Stages'!Q7:Q102,BW824)</f>
        <v>0</v>
      </c>
      <c r="CF824" s="306">
        <f ca="1">COUNTIF('Knock Out Stages'!K7:K50,BW824)</f>
        <v>0</v>
      </c>
      <c r="CG824" s="306">
        <f ca="1">COUNTIF('Knock Out Stages'!L7:L50,BW824)</f>
        <v>0</v>
      </c>
      <c r="CH824" s="306">
        <f ca="1">COUNTIF('Knock Out Stages'!M7:M50,BW824)</f>
        <v>0</v>
      </c>
      <c r="CI824" s="306">
        <f ca="1">COUNTIF('Knock Out Stages'!N7:N50,BW824)</f>
        <v>0</v>
      </c>
      <c r="CJ824" s="306">
        <f ca="1">COUNTIF('Knock Out Stages'!O7:O50,BW824)</f>
        <v>0</v>
      </c>
      <c r="CK824" s="306">
        <f ca="1">COUNTIF('Knock Out Stages'!P7:P50,BW824)</f>
        <v>0</v>
      </c>
      <c r="CL824" s="306">
        <f ca="1">COUNTIF('Knock Out Stages'!Q7:Q50,BW824)</f>
        <v>0</v>
      </c>
      <c r="CM824" s="306">
        <f ca="1">COUNTIF('Knock Out Stages'!R7:R50,BW824)</f>
        <v>0</v>
      </c>
      <c r="CN824" s="306">
        <f ca="1">IF(RIGHT('Group Stages'!$B$105,5)="T.com",SUM(BX824:CM824),0)</f>
        <v>0</v>
      </c>
      <c r="CO824" s="306">
        <f ca="1">RANK(CN824,CN3:CN834)+COUNTIF(CN3:CN824,CN824)-1</f>
        <v>822</v>
      </c>
      <c r="CP824" s="306" t="str">
        <f t="shared" ca="1" si="241"/>
        <v>Kwon Chang-hoon (South Korea)</v>
      </c>
    </row>
    <row r="825" spans="72:94" x14ac:dyDescent="0.3">
      <c r="BT825" s="306" t="str">
        <f t="shared" ca="1" si="244"/>
        <v>South Korea</v>
      </c>
      <c r="BU825" s="306">
        <f t="shared" si="245"/>
        <v>16</v>
      </c>
      <c r="BV825" s="306">
        <f t="shared" si="246"/>
        <v>30</v>
      </c>
      <c r="BW825" s="306" t="str">
        <f ca="1">OFFSET(C3,BU825,BV825)</f>
        <v>Kwon Kyung-won</v>
      </c>
      <c r="BX825" s="306">
        <f ca="1">COUNTIF('Group Stages'!J7:J102,BW825)</f>
        <v>0</v>
      </c>
      <c r="BY825" s="306">
        <f ca="1">COUNTIF('Group Stages'!K7:K102,BW825)</f>
        <v>0</v>
      </c>
      <c r="BZ825" s="306">
        <f ca="1">COUNTIF('Group Stages'!L7:L102,BW825)</f>
        <v>0</v>
      </c>
      <c r="CA825" s="306">
        <f ca="1">COUNTIF('Group Stages'!M7:M102,BW825)</f>
        <v>0</v>
      </c>
      <c r="CB825" s="306">
        <f ca="1">COUNTIF('Group Stages'!N7:N102,BW825)</f>
        <v>0</v>
      </c>
      <c r="CC825" s="306">
        <f ca="1">COUNTIF('Group Stages'!O7:O102,BW825)</f>
        <v>0</v>
      </c>
      <c r="CD825" s="306">
        <f ca="1">COUNTIF('Group Stages'!P7:P102,BW825)</f>
        <v>0</v>
      </c>
      <c r="CE825" s="306">
        <f ca="1">COUNTIF('Group Stages'!Q7:Q102,BW825)</f>
        <v>0</v>
      </c>
      <c r="CF825" s="306">
        <f ca="1">COUNTIF('Knock Out Stages'!K7:K50,BW825)</f>
        <v>0</v>
      </c>
      <c r="CG825" s="306">
        <f ca="1">COUNTIF('Knock Out Stages'!L7:L50,BW825)</f>
        <v>0</v>
      </c>
      <c r="CH825" s="306">
        <f ca="1">COUNTIF('Knock Out Stages'!M7:M50,BW825)</f>
        <v>0</v>
      </c>
      <c r="CI825" s="306">
        <f ca="1">COUNTIF('Knock Out Stages'!N7:N50,BW825)</f>
        <v>0</v>
      </c>
      <c r="CJ825" s="306">
        <f ca="1">COUNTIF('Knock Out Stages'!O7:O50,BW825)</f>
        <v>0</v>
      </c>
      <c r="CK825" s="306">
        <f ca="1">COUNTIF('Knock Out Stages'!P7:P50,BW825)</f>
        <v>0</v>
      </c>
      <c r="CL825" s="306">
        <f ca="1">COUNTIF('Knock Out Stages'!Q7:Q50,BW825)</f>
        <v>0</v>
      </c>
      <c r="CM825" s="306">
        <f ca="1">COUNTIF('Knock Out Stages'!R7:R50,BW825)</f>
        <v>0</v>
      </c>
      <c r="CN825" s="306">
        <f ca="1">IF(RIGHT('Group Stages'!$B$105,5)="T.com",SUM(BX825:CM825),0)</f>
        <v>0</v>
      </c>
      <c r="CO825" s="306">
        <f ca="1">RANK(CN825,CN3:CN834)+COUNTIF(CN3:CN825,CN825)-1</f>
        <v>823</v>
      </c>
      <c r="CP825" s="306" t="str">
        <f t="shared" ca="1" si="241"/>
        <v>Kwon Kyung-won (South Korea)</v>
      </c>
    </row>
    <row r="826" spans="72:94" x14ac:dyDescent="0.3">
      <c r="BT826" s="306" t="str">
        <f t="shared" ca="1" si="244"/>
        <v>South Korea</v>
      </c>
      <c r="BU826" s="306">
        <f t="shared" si="245"/>
        <v>17</v>
      </c>
      <c r="BV826" s="306">
        <f t="shared" si="246"/>
        <v>30</v>
      </c>
      <c r="BW826" s="306" t="str">
        <f ca="1">OFFSET(C3,BU826,BV826)</f>
        <v>Lee Jae-sung</v>
      </c>
      <c r="BX826" s="306">
        <f ca="1">COUNTIF('Group Stages'!J7:J102,BW826)</f>
        <v>0</v>
      </c>
      <c r="BY826" s="306">
        <f ca="1">COUNTIF('Group Stages'!K7:K102,BW826)</f>
        <v>0</v>
      </c>
      <c r="BZ826" s="306">
        <f ca="1">COUNTIF('Group Stages'!L7:L102,BW826)</f>
        <v>0</v>
      </c>
      <c r="CA826" s="306">
        <f ca="1">COUNTIF('Group Stages'!M7:M102,BW826)</f>
        <v>0</v>
      </c>
      <c r="CB826" s="306">
        <f ca="1">COUNTIF('Group Stages'!N7:N102,BW826)</f>
        <v>0</v>
      </c>
      <c r="CC826" s="306">
        <f ca="1">COUNTIF('Group Stages'!O7:O102,BW826)</f>
        <v>0</v>
      </c>
      <c r="CD826" s="306">
        <f ca="1">COUNTIF('Group Stages'!P7:P102,BW826)</f>
        <v>0</v>
      </c>
      <c r="CE826" s="306">
        <f ca="1">COUNTIF('Group Stages'!Q7:Q102,BW826)</f>
        <v>0</v>
      </c>
      <c r="CF826" s="306">
        <f ca="1">COUNTIF('Knock Out Stages'!K7:K50,BW826)</f>
        <v>0</v>
      </c>
      <c r="CG826" s="306">
        <f ca="1">COUNTIF('Knock Out Stages'!L7:L50,BW826)</f>
        <v>0</v>
      </c>
      <c r="CH826" s="306">
        <f ca="1">COUNTIF('Knock Out Stages'!M7:M50,BW826)</f>
        <v>0</v>
      </c>
      <c r="CI826" s="306">
        <f ca="1">COUNTIF('Knock Out Stages'!N7:N50,BW826)</f>
        <v>0</v>
      </c>
      <c r="CJ826" s="306">
        <f ca="1">COUNTIF('Knock Out Stages'!O7:O50,BW826)</f>
        <v>0</v>
      </c>
      <c r="CK826" s="306">
        <f ca="1">COUNTIF('Knock Out Stages'!P7:P50,BW826)</f>
        <v>0</v>
      </c>
      <c r="CL826" s="306">
        <f ca="1">COUNTIF('Knock Out Stages'!Q7:Q50,BW826)</f>
        <v>0</v>
      </c>
      <c r="CM826" s="306">
        <f ca="1">COUNTIF('Knock Out Stages'!R7:R50,BW826)</f>
        <v>0</v>
      </c>
      <c r="CN826" s="306">
        <f ca="1">IF(RIGHT('Group Stages'!$B$105,5)="T.com",SUM(BX826:CM826),0)</f>
        <v>0</v>
      </c>
      <c r="CO826" s="306">
        <f ca="1">RANK(CN826,CN3:CN834)+COUNTIF(CN3:CN826,CN826)-1</f>
        <v>824</v>
      </c>
      <c r="CP826" s="306" t="str">
        <f t="shared" ca="1" si="241"/>
        <v>Lee Jae-sung (South Korea)</v>
      </c>
    </row>
    <row r="827" spans="72:94" x14ac:dyDescent="0.3">
      <c r="BT827" s="306" t="str">
        <f t="shared" ca="1" si="244"/>
        <v>South Korea</v>
      </c>
      <c r="BU827" s="306">
        <f t="shared" si="245"/>
        <v>18</v>
      </c>
      <c r="BV827" s="306">
        <f t="shared" si="246"/>
        <v>30</v>
      </c>
      <c r="BW827" s="306" t="str">
        <f ca="1">OFFSET(C3,BU827,BV827)</f>
        <v>Lee Kang-in</v>
      </c>
      <c r="BX827" s="306">
        <f ca="1">COUNTIF('Group Stages'!J7:J102,BW827)</f>
        <v>0</v>
      </c>
      <c r="BY827" s="306">
        <f ca="1">COUNTIF('Group Stages'!K7:K102,BW827)</f>
        <v>0</v>
      </c>
      <c r="BZ827" s="306">
        <f ca="1">COUNTIF('Group Stages'!L7:L102,BW827)</f>
        <v>0</v>
      </c>
      <c r="CA827" s="306">
        <f ca="1">COUNTIF('Group Stages'!M7:M102,BW827)</f>
        <v>0</v>
      </c>
      <c r="CB827" s="306">
        <f ca="1">COUNTIF('Group Stages'!N7:N102,BW827)</f>
        <v>0</v>
      </c>
      <c r="CC827" s="306">
        <f ca="1">COUNTIF('Group Stages'!O7:O102,BW827)</f>
        <v>0</v>
      </c>
      <c r="CD827" s="306">
        <f ca="1">COUNTIF('Group Stages'!P7:P102,BW827)</f>
        <v>0</v>
      </c>
      <c r="CE827" s="306">
        <f ca="1">COUNTIF('Group Stages'!Q7:Q102,BW827)</f>
        <v>0</v>
      </c>
      <c r="CF827" s="306">
        <f ca="1">COUNTIF('Knock Out Stages'!K7:K50,BW827)</f>
        <v>0</v>
      </c>
      <c r="CG827" s="306">
        <f ca="1">COUNTIF('Knock Out Stages'!L7:L50,BW827)</f>
        <v>0</v>
      </c>
      <c r="CH827" s="306">
        <f ca="1">COUNTIF('Knock Out Stages'!M7:M50,BW827)</f>
        <v>0</v>
      </c>
      <c r="CI827" s="306">
        <f ca="1">COUNTIF('Knock Out Stages'!N7:N50,BW827)</f>
        <v>0</v>
      </c>
      <c r="CJ827" s="306">
        <f ca="1">COUNTIF('Knock Out Stages'!O7:O50,BW827)</f>
        <v>0</v>
      </c>
      <c r="CK827" s="306">
        <f ca="1">COUNTIF('Knock Out Stages'!P7:P50,BW827)</f>
        <v>0</v>
      </c>
      <c r="CL827" s="306">
        <f ca="1">COUNTIF('Knock Out Stages'!Q7:Q50,BW827)</f>
        <v>0</v>
      </c>
      <c r="CM827" s="306">
        <f ca="1">COUNTIF('Knock Out Stages'!R7:R50,BW827)</f>
        <v>0</v>
      </c>
      <c r="CN827" s="306">
        <f ca="1">IF(RIGHT('Group Stages'!$B$105,5)="T.com",SUM(BX827:CM827),0)</f>
        <v>0</v>
      </c>
      <c r="CO827" s="306">
        <f ca="1">RANK(CN827,CN3:CN834)+COUNTIF(CN3:CN827,CN827)-1</f>
        <v>825</v>
      </c>
      <c r="CP827" s="306" t="str">
        <f t="shared" ca="1" si="241"/>
        <v>Lee Kang-in (South Korea)</v>
      </c>
    </row>
    <row r="828" spans="72:94" x14ac:dyDescent="0.3">
      <c r="BT828" s="306" t="str">
        <f t="shared" ca="1" si="244"/>
        <v>South Korea</v>
      </c>
      <c r="BU828" s="306">
        <f t="shared" si="245"/>
        <v>19</v>
      </c>
      <c r="BV828" s="306">
        <f t="shared" si="246"/>
        <v>30</v>
      </c>
      <c r="BW828" s="306" t="str">
        <f ca="1">OFFSET(C3,BU828,BV828)</f>
        <v>Na Sang-ho</v>
      </c>
      <c r="BX828" s="306">
        <f ca="1">COUNTIF('Group Stages'!J7:J102,BW828)</f>
        <v>0</v>
      </c>
      <c r="BY828" s="306">
        <f ca="1">COUNTIF('Group Stages'!K7:K102,BW828)</f>
        <v>0</v>
      </c>
      <c r="BZ828" s="306">
        <f ca="1">COUNTIF('Group Stages'!L7:L102,BW828)</f>
        <v>0</v>
      </c>
      <c r="CA828" s="306">
        <f ca="1">COUNTIF('Group Stages'!M7:M102,BW828)</f>
        <v>0</v>
      </c>
      <c r="CB828" s="306">
        <f ca="1">COUNTIF('Group Stages'!N7:N102,BW828)</f>
        <v>0</v>
      </c>
      <c r="CC828" s="306">
        <f ca="1">COUNTIF('Group Stages'!O7:O102,BW828)</f>
        <v>0</v>
      </c>
      <c r="CD828" s="306">
        <f ca="1">COUNTIF('Group Stages'!P7:P102,BW828)</f>
        <v>0</v>
      </c>
      <c r="CE828" s="306">
        <f ca="1">COUNTIF('Group Stages'!Q7:Q102,BW828)</f>
        <v>0</v>
      </c>
      <c r="CF828" s="306">
        <f ca="1">COUNTIF('Knock Out Stages'!K7:K50,BW828)</f>
        <v>0</v>
      </c>
      <c r="CG828" s="306">
        <f ca="1">COUNTIF('Knock Out Stages'!L7:L50,BW828)</f>
        <v>0</v>
      </c>
      <c r="CH828" s="306">
        <f ca="1">COUNTIF('Knock Out Stages'!M7:M50,BW828)</f>
        <v>0</v>
      </c>
      <c r="CI828" s="306">
        <f ca="1">COUNTIF('Knock Out Stages'!N7:N50,BW828)</f>
        <v>0</v>
      </c>
      <c r="CJ828" s="306">
        <f ca="1">COUNTIF('Knock Out Stages'!O7:O50,BW828)</f>
        <v>0</v>
      </c>
      <c r="CK828" s="306">
        <f ca="1">COUNTIF('Knock Out Stages'!P7:P50,BW828)</f>
        <v>0</v>
      </c>
      <c r="CL828" s="306">
        <f ca="1">COUNTIF('Knock Out Stages'!Q7:Q50,BW828)</f>
        <v>0</v>
      </c>
      <c r="CM828" s="306">
        <f ca="1">COUNTIF('Knock Out Stages'!R7:R50,BW828)</f>
        <v>0</v>
      </c>
      <c r="CN828" s="306">
        <f ca="1">IF(RIGHT('Group Stages'!$B$105,5)="T.com",SUM(BX828:CM828),0)</f>
        <v>0</v>
      </c>
      <c r="CO828" s="306">
        <f ca="1">RANK(CN828,CN3:CN834)+COUNTIF(CN3:CN828,CN828)-1</f>
        <v>826</v>
      </c>
      <c r="CP828" s="306" t="str">
        <f t="shared" ca="1" si="241"/>
        <v>Na Sang-ho (South Korea)</v>
      </c>
    </row>
    <row r="829" spans="72:94" x14ac:dyDescent="0.3">
      <c r="BT829" s="306" t="str">
        <f t="shared" ca="1" si="244"/>
        <v>South Korea</v>
      </c>
      <c r="BU829" s="306">
        <f t="shared" si="245"/>
        <v>20</v>
      </c>
      <c r="BV829" s="306">
        <f t="shared" si="246"/>
        <v>30</v>
      </c>
      <c r="BW829" s="306" t="str">
        <f ca="1">OFFSET(C3,BU829,BV829)</f>
        <v>Paik Seung-ho</v>
      </c>
      <c r="BX829" s="306">
        <f ca="1">COUNTIF('Group Stages'!J7:J102,BW829)</f>
        <v>0</v>
      </c>
      <c r="BY829" s="306">
        <f ca="1">COUNTIF('Group Stages'!K7:K102,BW829)</f>
        <v>0</v>
      </c>
      <c r="BZ829" s="306">
        <f ca="1">COUNTIF('Group Stages'!L7:L102,BW829)</f>
        <v>0</v>
      </c>
      <c r="CA829" s="306">
        <f ca="1">COUNTIF('Group Stages'!M7:M102,BW829)</f>
        <v>0</v>
      </c>
      <c r="CB829" s="306">
        <f ca="1">COUNTIF('Group Stages'!N7:N102,BW829)</f>
        <v>0</v>
      </c>
      <c r="CC829" s="306">
        <f ca="1">COUNTIF('Group Stages'!O7:O102,BW829)</f>
        <v>0</v>
      </c>
      <c r="CD829" s="306">
        <f ca="1">COUNTIF('Group Stages'!P7:P102,BW829)</f>
        <v>0</v>
      </c>
      <c r="CE829" s="306">
        <f ca="1">COUNTIF('Group Stages'!Q7:Q102,BW829)</f>
        <v>0</v>
      </c>
      <c r="CF829" s="306">
        <f ca="1">COUNTIF('Knock Out Stages'!K7:K50,BW829)</f>
        <v>0</v>
      </c>
      <c r="CG829" s="306">
        <f ca="1">COUNTIF('Knock Out Stages'!L7:L50,BW829)</f>
        <v>0</v>
      </c>
      <c r="CH829" s="306">
        <f ca="1">COUNTIF('Knock Out Stages'!M7:M50,BW829)</f>
        <v>0</v>
      </c>
      <c r="CI829" s="306">
        <f ca="1">COUNTIF('Knock Out Stages'!N7:N50,BW829)</f>
        <v>0</v>
      </c>
      <c r="CJ829" s="306">
        <f ca="1">COUNTIF('Knock Out Stages'!O7:O50,BW829)</f>
        <v>0</v>
      </c>
      <c r="CK829" s="306">
        <f ca="1">COUNTIF('Knock Out Stages'!P7:P50,BW829)</f>
        <v>0</v>
      </c>
      <c r="CL829" s="306">
        <f ca="1">COUNTIF('Knock Out Stages'!Q7:Q50,BW829)</f>
        <v>0</v>
      </c>
      <c r="CM829" s="306">
        <f ca="1">COUNTIF('Knock Out Stages'!R7:R50,BW829)</f>
        <v>0</v>
      </c>
      <c r="CN829" s="306">
        <f ca="1">IF(RIGHT('Group Stages'!$B$105,5)="T.com",SUM(BX829:CM829),0)</f>
        <v>0</v>
      </c>
      <c r="CO829" s="306">
        <f ca="1">RANK(CN829,CN3:CN834)+COUNTIF(CN3:CN829,CN829)-1</f>
        <v>827</v>
      </c>
      <c r="CP829" s="306" t="str">
        <f t="shared" ca="1" si="241"/>
        <v>Paik Seung-ho (South Korea)</v>
      </c>
    </row>
    <row r="830" spans="72:94" x14ac:dyDescent="0.3">
      <c r="BT830" s="306" t="str">
        <f t="shared" ca="1" si="244"/>
        <v>South Korea</v>
      </c>
      <c r="BU830" s="306">
        <f t="shared" si="245"/>
        <v>21</v>
      </c>
      <c r="BV830" s="306">
        <f t="shared" si="246"/>
        <v>30</v>
      </c>
      <c r="BW830" s="306" t="str">
        <f ca="1">OFFSET(C3,BU830,BV830)</f>
        <v>Son Heung-min</v>
      </c>
      <c r="BX830" s="306">
        <f ca="1">COUNTIF('Group Stages'!J7:J102,BW830)</f>
        <v>0</v>
      </c>
      <c r="BY830" s="306">
        <f ca="1">COUNTIF('Group Stages'!K7:K102,BW830)</f>
        <v>0</v>
      </c>
      <c r="BZ830" s="306">
        <f ca="1">COUNTIF('Group Stages'!L7:L102,BW830)</f>
        <v>0</v>
      </c>
      <c r="CA830" s="306">
        <f ca="1">COUNTIF('Group Stages'!M7:M102,BW830)</f>
        <v>0</v>
      </c>
      <c r="CB830" s="306">
        <f ca="1">COUNTIF('Group Stages'!N7:N102,BW830)</f>
        <v>0</v>
      </c>
      <c r="CC830" s="306">
        <f ca="1">COUNTIF('Group Stages'!O7:O102,BW830)</f>
        <v>0</v>
      </c>
      <c r="CD830" s="306">
        <f ca="1">COUNTIF('Group Stages'!P7:P102,BW830)</f>
        <v>0</v>
      </c>
      <c r="CE830" s="306">
        <f ca="1">COUNTIF('Group Stages'!Q7:Q102,BW830)</f>
        <v>0</v>
      </c>
      <c r="CF830" s="306">
        <f ca="1">COUNTIF('Knock Out Stages'!K7:K50,BW830)</f>
        <v>0</v>
      </c>
      <c r="CG830" s="306">
        <f ca="1">COUNTIF('Knock Out Stages'!L7:L50,BW830)</f>
        <v>0</v>
      </c>
      <c r="CH830" s="306">
        <f ca="1">COUNTIF('Knock Out Stages'!M7:M50,BW830)</f>
        <v>0</v>
      </c>
      <c r="CI830" s="306">
        <f ca="1">COUNTIF('Knock Out Stages'!N7:N50,BW830)</f>
        <v>0</v>
      </c>
      <c r="CJ830" s="306">
        <f ca="1">COUNTIF('Knock Out Stages'!O7:O50,BW830)</f>
        <v>0</v>
      </c>
      <c r="CK830" s="306">
        <f ca="1">COUNTIF('Knock Out Stages'!P7:P50,BW830)</f>
        <v>0</v>
      </c>
      <c r="CL830" s="306">
        <f ca="1">COUNTIF('Knock Out Stages'!Q7:Q50,BW830)</f>
        <v>0</v>
      </c>
      <c r="CM830" s="306">
        <f ca="1">COUNTIF('Knock Out Stages'!R7:R50,BW830)</f>
        <v>0</v>
      </c>
      <c r="CN830" s="306">
        <f ca="1">IF(RIGHT('Group Stages'!$B$105,5)="T.com",SUM(BX830:CM830),0)</f>
        <v>0</v>
      </c>
      <c r="CO830" s="306">
        <f ca="1">RANK(CN830,CN3:CN834)+COUNTIF(CN3:CN830,CN830)-1</f>
        <v>828</v>
      </c>
      <c r="CP830" s="306" t="str">
        <f t="shared" ca="1" si="241"/>
        <v>Son Heung-min (South Korea)</v>
      </c>
    </row>
    <row r="831" spans="72:94" x14ac:dyDescent="0.3">
      <c r="BT831" s="306" t="str">
        <f t="shared" ca="1" si="244"/>
        <v>South Korea</v>
      </c>
      <c r="BU831" s="306">
        <f t="shared" si="245"/>
        <v>22</v>
      </c>
      <c r="BV831" s="306">
        <f t="shared" si="246"/>
        <v>30</v>
      </c>
      <c r="BW831" s="306" t="str">
        <f ca="1">OFFSET(C3,BU831,BV831)</f>
        <v>Son Jun-ho</v>
      </c>
      <c r="BX831" s="306">
        <f ca="1">COUNTIF('Group Stages'!J7:J102,BW831)</f>
        <v>0</v>
      </c>
      <c r="BY831" s="306">
        <f ca="1">COUNTIF('Group Stages'!K7:K102,BW831)</f>
        <v>0</v>
      </c>
      <c r="BZ831" s="306">
        <f ca="1">COUNTIF('Group Stages'!L7:L102,BW831)</f>
        <v>0</v>
      </c>
      <c r="CA831" s="306">
        <f ca="1">COUNTIF('Group Stages'!M7:M102,BW831)</f>
        <v>0</v>
      </c>
      <c r="CB831" s="306">
        <f ca="1">COUNTIF('Group Stages'!N7:N102,BW831)</f>
        <v>0</v>
      </c>
      <c r="CC831" s="306">
        <f ca="1">COUNTIF('Group Stages'!O7:O102,BW831)</f>
        <v>0</v>
      </c>
      <c r="CD831" s="306">
        <f ca="1">COUNTIF('Group Stages'!P7:P102,BW831)</f>
        <v>0</v>
      </c>
      <c r="CE831" s="306">
        <f ca="1">COUNTIF('Group Stages'!Q7:Q102,BW831)</f>
        <v>0</v>
      </c>
      <c r="CF831" s="306">
        <f ca="1">COUNTIF('Knock Out Stages'!K7:K50,BW831)</f>
        <v>0</v>
      </c>
      <c r="CG831" s="306">
        <f ca="1">COUNTIF('Knock Out Stages'!L7:L50,BW831)</f>
        <v>0</v>
      </c>
      <c r="CH831" s="306">
        <f ca="1">COUNTIF('Knock Out Stages'!M7:M50,BW831)</f>
        <v>0</v>
      </c>
      <c r="CI831" s="306">
        <f ca="1">COUNTIF('Knock Out Stages'!N7:N50,BW831)</f>
        <v>0</v>
      </c>
      <c r="CJ831" s="306">
        <f ca="1">COUNTIF('Knock Out Stages'!O7:O50,BW831)</f>
        <v>0</v>
      </c>
      <c r="CK831" s="306">
        <f ca="1">COUNTIF('Knock Out Stages'!P7:P50,BW831)</f>
        <v>0</v>
      </c>
      <c r="CL831" s="306">
        <f ca="1">COUNTIF('Knock Out Stages'!Q7:Q50,BW831)</f>
        <v>0</v>
      </c>
      <c r="CM831" s="306">
        <f ca="1">COUNTIF('Knock Out Stages'!R7:R50,BW831)</f>
        <v>0</v>
      </c>
      <c r="CN831" s="306">
        <f ca="1">IF(RIGHT('Group Stages'!$B$105,5)="T.com",SUM(BX831:CM831),0)</f>
        <v>0</v>
      </c>
      <c r="CO831" s="306">
        <f ca="1">RANK(CN831,CN3:CN834)+COUNTIF(CN3:CN831,CN831)-1</f>
        <v>829</v>
      </c>
      <c r="CP831" s="306" t="str">
        <f t="shared" ca="1" si="241"/>
        <v>Son Jun-ho (South Korea)</v>
      </c>
    </row>
    <row r="832" spans="72:94" x14ac:dyDescent="0.3">
      <c r="BT832" s="306" t="str">
        <f t="shared" ca="1" si="244"/>
        <v>South Korea</v>
      </c>
      <c r="BU832" s="306">
        <f t="shared" si="245"/>
        <v>23</v>
      </c>
      <c r="BV832" s="306">
        <f t="shared" si="246"/>
        <v>30</v>
      </c>
      <c r="BW832" s="306" t="str">
        <f ca="1">OFFSET(C3,BU832,BV832)</f>
        <v>Song Bum-keun</v>
      </c>
      <c r="BX832" s="306">
        <f ca="1">COUNTIF('Group Stages'!J7:J102,BW832)</f>
        <v>0</v>
      </c>
      <c r="BY832" s="306">
        <f ca="1">COUNTIF('Group Stages'!K7:K102,BW832)</f>
        <v>0</v>
      </c>
      <c r="BZ832" s="306">
        <f ca="1">COUNTIF('Group Stages'!L7:L102,BW832)</f>
        <v>0</v>
      </c>
      <c r="CA832" s="306">
        <f ca="1">COUNTIF('Group Stages'!M7:M102,BW832)</f>
        <v>0</v>
      </c>
      <c r="CB832" s="306">
        <f ca="1">COUNTIF('Group Stages'!N7:N102,BW832)</f>
        <v>0</v>
      </c>
      <c r="CC832" s="306">
        <f ca="1">COUNTIF('Group Stages'!O7:O102,BW832)</f>
        <v>0</v>
      </c>
      <c r="CD832" s="306">
        <f ca="1">COUNTIF('Group Stages'!P7:P102,BW832)</f>
        <v>0</v>
      </c>
      <c r="CE832" s="306">
        <f ca="1">COUNTIF('Group Stages'!Q7:Q102,BW832)</f>
        <v>0</v>
      </c>
      <c r="CF832" s="306">
        <f ca="1">COUNTIF('Knock Out Stages'!K7:K50,BW832)</f>
        <v>0</v>
      </c>
      <c r="CG832" s="306">
        <f ca="1">COUNTIF('Knock Out Stages'!L7:L50,BW832)</f>
        <v>0</v>
      </c>
      <c r="CH832" s="306">
        <f ca="1">COUNTIF('Knock Out Stages'!M7:M50,BW832)</f>
        <v>0</v>
      </c>
      <c r="CI832" s="306">
        <f ca="1">COUNTIF('Knock Out Stages'!N7:N50,BW832)</f>
        <v>0</v>
      </c>
      <c r="CJ832" s="306">
        <f ca="1">COUNTIF('Knock Out Stages'!O7:O50,BW832)</f>
        <v>0</v>
      </c>
      <c r="CK832" s="306">
        <f ca="1">COUNTIF('Knock Out Stages'!P7:P50,BW832)</f>
        <v>0</v>
      </c>
      <c r="CL832" s="306">
        <f ca="1">COUNTIF('Knock Out Stages'!Q7:Q50,BW832)</f>
        <v>0</v>
      </c>
      <c r="CM832" s="306">
        <f ca="1">COUNTIF('Knock Out Stages'!R7:R50,BW832)</f>
        <v>0</v>
      </c>
      <c r="CN832" s="306">
        <f ca="1">IF(RIGHT('Group Stages'!$B$105,5)="T.com",SUM(BX832:CM832),0)</f>
        <v>0</v>
      </c>
      <c r="CO832" s="306">
        <f ca="1">RANK(CN832,CN3:CN834)+COUNTIF(CN3:CN832,CN832)-1</f>
        <v>830</v>
      </c>
      <c r="CP832" s="306" t="str">
        <f t="shared" ca="1" si="241"/>
        <v>Song Bum-keun (South Korea)</v>
      </c>
    </row>
    <row r="833" spans="72:94" x14ac:dyDescent="0.3">
      <c r="BT833" s="306" t="str">
        <f t="shared" ca="1" si="244"/>
        <v>South Korea</v>
      </c>
      <c r="BU833" s="306">
        <f t="shared" si="245"/>
        <v>24</v>
      </c>
      <c r="BV833" s="306">
        <f t="shared" si="246"/>
        <v>30</v>
      </c>
      <c r="BW833" s="306" t="str">
        <f ca="1">OFFSET(C3,BU833,BV833)</f>
        <v>Song Min-kyu</v>
      </c>
      <c r="BX833" s="306">
        <f ca="1">COUNTIF('Group Stages'!J7:J102,BW833)</f>
        <v>0</v>
      </c>
      <c r="BY833" s="306">
        <f ca="1">COUNTIF('Group Stages'!K7:K102,BW833)</f>
        <v>0</v>
      </c>
      <c r="BZ833" s="306">
        <f ca="1">COUNTIF('Group Stages'!L7:L102,BW833)</f>
        <v>0</v>
      </c>
      <c r="CA833" s="306">
        <f ca="1">COUNTIF('Group Stages'!M7:M102,BW833)</f>
        <v>0</v>
      </c>
      <c r="CB833" s="306">
        <f ca="1">COUNTIF('Group Stages'!N7:N102,BW833)</f>
        <v>0</v>
      </c>
      <c r="CC833" s="306">
        <f ca="1">COUNTIF('Group Stages'!O7:O102,BW833)</f>
        <v>0</v>
      </c>
      <c r="CD833" s="306">
        <f ca="1">COUNTIF('Group Stages'!P7:P102,BW833)</f>
        <v>0</v>
      </c>
      <c r="CE833" s="306">
        <f ca="1">COUNTIF('Group Stages'!Q7:Q102,BW833)</f>
        <v>0</v>
      </c>
      <c r="CF833" s="306">
        <f ca="1">COUNTIF('Knock Out Stages'!K7:K50,BW833)</f>
        <v>0</v>
      </c>
      <c r="CG833" s="306">
        <f ca="1">COUNTIF('Knock Out Stages'!L7:L50,BW833)</f>
        <v>0</v>
      </c>
      <c r="CH833" s="306">
        <f ca="1">COUNTIF('Knock Out Stages'!M7:M50,BW833)</f>
        <v>0</v>
      </c>
      <c r="CI833" s="306">
        <f ca="1">COUNTIF('Knock Out Stages'!N7:N50,BW833)</f>
        <v>0</v>
      </c>
      <c r="CJ833" s="306">
        <f ca="1">COUNTIF('Knock Out Stages'!O7:O50,BW833)</f>
        <v>0</v>
      </c>
      <c r="CK833" s="306">
        <f ca="1">COUNTIF('Knock Out Stages'!P7:P50,BW833)</f>
        <v>0</v>
      </c>
      <c r="CL833" s="306">
        <f ca="1">COUNTIF('Knock Out Stages'!Q7:Q50,BW833)</f>
        <v>0</v>
      </c>
      <c r="CM833" s="306">
        <f ca="1">COUNTIF('Knock Out Stages'!R7:R50,BW833)</f>
        <v>0</v>
      </c>
      <c r="CN833" s="306">
        <f ca="1">IF(RIGHT('Group Stages'!$B$105,5)="T.com",SUM(BX833:CM833),0)</f>
        <v>0</v>
      </c>
      <c r="CO833" s="306">
        <f ca="1">RANK(CN833,CN3:CN834)+COUNTIF(CN3:CN833,CN833)-1</f>
        <v>831</v>
      </c>
      <c r="CP833" s="306" t="str">
        <f t="shared" ca="1" si="241"/>
        <v>Song Min-kyu (South Korea)</v>
      </c>
    </row>
    <row r="834" spans="72:94" x14ac:dyDescent="0.3">
      <c r="BT834" s="306" t="str">
        <f t="shared" ca="1" si="244"/>
        <v>South Korea</v>
      </c>
      <c r="BU834" s="306">
        <f t="shared" si="245"/>
        <v>25</v>
      </c>
      <c r="BV834" s="306">
        <f t="shared" si="246"/>
        <v>30</v>
      </c>
      <c r="BW834" s="306" t="str">
        <f ca="1">OFFSET(C3,BU834,BV834)</f>
        <v>Yoon Jong-gyu</v>
      </c>
      <c r="BX834" s="306">
        <f ca="1">COUNTIF('Group Stages'!J7:J102,BW834)</f>
        <v>0</v>
      </c>
      <c r="BY834" s="306">
        <f ca="1">COUNTIF('Group Stages'!K7:K102,BW834)</f>
        <v>0</v>
      </c>
      <c r="BZ834" s="306">
        <f ca="1">COUNTIF('Group Stages'!L7:L102,BW834)</f>
        <v>0</v>
      </c>
      <c r="CA834" s="306">
        <f ca="1">COUNTIF('Group Stages'!M7:M102,BW834)</f>
        <v>0</v>
      </c>
      <c r="CB834" s="306">
        <f ca="1">COUNTIF('Group Stages'!N7:N102,BW834)</f>
        <v>0</v>
      </c>
      <c r="CC834" s="306">
        <f ca="1">COUNTIF('Group Stages'!O7:O102,BW834)</f>
        <v>0</v>
      </c>
      <c r="CD834" s="306">
        <f ca="1">COUNTIF('Group Stages'!P7:P102,BW834)</f>
        <v>0</v>
      </c>
      <c r="CE834" s="306">
        <f ca="1">COUNTIF('Group Stages'!Q7:Q102,BW834)</f>
        <v>0</v>
      </c>
      <c r="CF834" s="306">
        <f ca="1">COUNTIF('Knock Out Stages'!K7:K50,BW834)</f>
        <v>0</v>
      </c>
      <c r="CG834" s="306">
        <f ca="1">COUNTIF('Knock Out Stages'!L7:L50,BW834)</f>
        <v>0</v>
      </c>
      <c r="CH834" s="306">
        <f ca="1">COUNTIF('Knock Out Stages'!M7:M50,BW834)</f>
        <v>0</v>
      </c>
      <c r="CI834" s="306">
        <f ca="1">COUNTIF('Knock Out Stages'!N7:N50,BW834)</f>
        <v>0</v>
      </c>
      <c r="CJ834" s="306">
        <f ca="1">COUNTIF('Knock Out Stages'!O7:O50,BW834)</f>
        <v>0</v>
      </c>
      <c r="CK834" s="306">
        <f ca="1">COUNTIF('Knock Out Stages'!P7:P50,BW834)</f>
        <v>0</v>
      </c>
      <c r="CL834" s="306">
        <f ca="1">COUNTIF('Knock Out Stages'!Q7:Q50,BW834)</f>
        <v>0</v>
      </c>
      <c r="CM834" s="306">
        <f ca="1">COUNTIF('Knock Out Stages'!R7:R50,BW834)</f>
        <v>0</v>
      </c>
      <c r="CN834" s="306">
        <f ca="1">IF(RIGHT('Group Stages'!$B$105,5)="T.com",SUM(BX834:CM834),0)</f>
        <v>0</v>
      </c>
      <c r="CO834" s="306">
        <f ca="1">RANK(CN834,CN3:CN834)+COUNTIF(CN3:CN834,CN834)-1</f>
        <v>832</v>
      </c>
      <c r="CP834" s="306" t="str">
        <f t="shared" ca="1" si="241"/>
        <v>Yoon Jong-gyu (South Korea)</v>
      </c>
    </row>
  </sheetData>
  <sheetProtection password="CBF1" sheet="1" objects="1" scenarios="1" selectLockedCells="1" selectUnlockedCell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R12"/>
  <sheetViews>
    <sheetView showGridLines="0" workbookViewId="0">
      <pane ySplit="2" topLeftCell="A3" activePane="bottomLeft" state="frozen"/>
      <selection pane="bottomLeft" activeCell="S15" sqref="S15"/>
    </sheetView>
  </sheetViews>
  <sheetFormatPr defaultRowHeight="12.5" x14ac:dyDescent="0.25"/>
  <cols>
    <col min="1" max="1" width="1.6328125" customWidth="1"/>
  </cols>
  <sheetData>
    <row r="1" spans="2:96" s="149" customFormat="1" ht="5" customHeight="1" x14ac:dyDescent="0.25"/>
    <row r="2" spans="2:96" s="16" customFormat="1" ht="36" x14ac:dyDescent="0.25">
      <c r="B2" s="39" t="s">
        <v>693</v>
      </c>
      <c r="D2" s="13"/>
      <c r="F2" s="15"/>
      <c r="G2" s="15"/>
      <c r="J2" s="15"/>
      <c r="K2" s="17"/>
      <c r="L2" s="17"/>
      <c r="M2" s="17"/>
      <c r="O2" s="18"/>
      <c r="P2" s="18"/>
      <c r="Q2" s="18"/>
      <c r="R2" s="18"/>
      <c r="S2" s="18"/>
      <c r="X2" s="19"/>
      <c r="Y2" s="120"/>
      <c r="CO2" s="24"/>
      <c r="CP2" s="24"/>
      <c r="CQ2" s="24"/>
      <c r="CR2" s="24"/>
    </row>
    <row r="12" spans="2:96" ht="13" x14ac:dyDescent="0.25">
      <c r="G12" s="45" t="s">
        <v>143</v>
      </c>
    </row>
  </sheetData>
  <sheetProtection password="CBF1" sheet="1" objects="1" scenarios="1"/>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Q15"/>
  <sheetViews>
    <sheetView showGridLines="0" workbookViewId="0">
      <pane ySplit="3" topLeftCell="A4" activePane="bottomLeft" state="frozen"/>
      <selection pane="bottomLeft" activeCell="F7" sqref="F7"/>
    </sheetView>
  </sheetViews>
  <sheetFormatPr defaultRowHeight="13" x14ac:dyDescent="0.3"/>
  <cols>
    <col min="1" max="1" width="1.6328125" customWidth="1"/>
    <col min="2" max="2" width="2.453125" customWidth="1"/>
    <col min="3" max="3" width="12.1796875" customWidth="1"/>
    <col min="4" max="4" width="2.08984375" customWidth="1"/>
    <col min="5" max="5" width="25.6328125" customWidth="1"/>
    <col min="6" max="6" width="20.453125" customWidth="1"/>
    <col min="7" max="7" width="15.54296875" customWidth="1"/>
    <col min="8" max="8" width="2.6328125" customWidth="1"/>
    <col min="9" max="9" width="1.6328125" customWidth="1"/>
    <col min="10" max="12" width="15.6328125" style="164" customWidth="1"/>
  </cols>
  <sheetData>
    <row r="1" spans="2:95" s="1" customFormat="1" ht="5" customHeight="1" x14ac:dyDescent="0.35">
      <c r="D1" s="3"/>
      <c r="E1" s="38"/>
      <c r="F1" s="5"/>
      <c r="Q1" s="6"/>
      <c r="R1" s="6"/>
      <c r="S1" s="6"/>
      <c r="T1" s="6"/>
      <c r="U1" s="6"/>
      <c r="V1" s="6"/>
      <c r="W1" s="7"/>
      <c r="X1" s="7"/>
      <c r="CN1" s="6"/>
      <c r="CO1" s="6"/>
      <c r="CP1" s="6"/>
      <c r="CQ1" s="6"/>
    </row>
    <row r="2" spans="2:95" s="16" customFormat="1" ht="36" x14ac:dyDescent="0.35">
      <c r="B2" s="39" t="s">
        <v>694</v>
      </c>
      <c r="D2" s="13"/>
      <c r="F2" s="15"/>
      <c r="I2" s="15"/>
      <c r="J2" s="85"/>
      <c r="K2" s="85"/>
      <c r="L2" s="85"/>
      <c r="N2" s="18"/>
      <c r="O2" s="18"/>
      <c r="P2" s="18"/>
      <c r="Q2" s="18"/>
      <c r="R2" s="18"/>
      <c r="CN2" s="24"/>
      <c r="CO2" s="24"/>
      <c r="CP2" s="24"/>
      <c r="CQ2" s="24"/>
    </row>
    <row r="3" spans="2:95" ht="5" customHeight="1" thickBot="1" x14ac:dyDescent="0.4">
      <c r="J3" s="162"/>
      <c r="K3" s="162"/>
      <c r="L3" s="162"/>
    </row>
    <row r="4" spans="2:95" ht="15" thickTop="1" x14ac:dyDescent="0.35">
      <c r="B4" s="150"/>
      <c r="C4" s="150"/>
      <c r="D4" s="150"/>
      <c r="E4" s="150"/>
      <c r="F4" s="150"/>
      <c r="G4" s="150"/>
      <c r="H4" s="151"/>
      <c r="J4" s="165"/>
      <c r="K4" s="166"/>
      <c r="L4" s="167"/>
    </row>
    <row r="5" spans="2:95" ht="28.5" x14ac:dyDescent="0.65">
      <c r="B5" s="150"/>
      <c r="C5" s="152" t="s">
        <v>706</v>
      </c>
      <c r="D5" s="150"/>
      <c r="E5" s="153"/>
      <c r="F5" s="154" t="s">
        <v>695</v>
      </c>
      <c r="G5" s="151"/>
      <c r="H5" s="155"/>
      <c r="J5" s="168"/>
      <c r="K5" s="163"/>
      <c r="L5" s="169"/>
    </row>
    <row r="6" spans="2:95" ht="15" customHeight="1" x14ac:dyDescent="0.35">
      <c r="B6" s="150"/>
      <c r="C6" s="150"/>
      <c r="D6" s="150"/>
      <c r="E6" s="153"/>
      <c r="F6" s="153"/>
      <c r="G6" s="151"/>
      <c r="H6" s="155"/>
      <c r="J6" s="168"/>
      <c r="K6" s="163"/>
      <c r="L6" s="169"/>
    </row>
    <row r="7" spans="2:95" ht="15" customHeight="1" x14ac:dyDescent="0.35">
      <c r="B7" s="150"/>
      <c r="C7" s="150" t="s">
        <v>696</v>
      </c>
      <c r="D7" s="150" t="s">
        <v>173</v>
      </c>
      <c r="E7" s="156" t="s">
        <v>894</v>
      </c>
      <c r="F7" s="157" t="s">
        <v>1072</v>
      </c>
      <c r="G7" s="158"/>
      <c r="H7" s="155"/>
      <c r="J7" s="168"/>
      <c r="K7" s="163"/>
      <c r="L7" s="169"/>
    </row>
    <row r="8" spans="2:95" ht="15" customHeight="1" x14ac:dyDescent="0.35">
      <c r="B8" s="150"/>
      <c r="C8" s="150" t="s">
        <v>697</v>
      </c>
      <c r="D8" s="150" t="s">
        <v>173</v>
      </c>
      <c r="E8" s="159" t="s">
        <v>1111</v>
      </c>
      <c r="F8" s="366" t="s">
        <v>1112</v>
      </c>
      <c r="G8" s="366"/>
      <c r="H8" s="155"/>
      <c r="J8" s="168"/>
      <c r="K8" s="163"/>
      <c r="L8" s="169"/>
    </row>
    <row r="9" spans="2:95" ht="15" customHeight="1" x14ac:dyDescent="0.35">
      <c r="B9" s="150"/>
      <c r="C9" s="150" t="s">
        <v>698</v>
      </c>
      <c r="D9" s="150" t="s">
        <v>173</v>
      </c>
      <c r="E9" s="156" t="s">
        <v>699</v>
      </c>
      <c r="F9" s="366"/>
      <c r="G9" s="366"/>
      <c r="H9" s="155"/>
      <c r="J9" s="168"/>
      <c r="K9" s="163"/>
      <c r="L9" s="169"/>
    </row>
    <row r="10" spans="2:95" ht="15" customHeight="1" x14ac:dyDescent="0.35">
      <c r="B10" s="150"/>
      <c r="C10" s="150" t="s">
        <v>700</v>
      </c>
      <c r="D10" s="150" t="s">
        <v>173</v>
      </c>
      <c r="E10" s="156" t="s">
        <v>701</v>
      </c>
      <c r="F10" s="333" t="s">
        <v>1102</v>
      </c>
      <c r="G10" s="333"/>
      <c r="H10" s="155"/>
      <c r="J10" s="168"/>
      <c r="K10" s="163"/>
      <c r="L10" s="169"/>
    </row>
    <row r="11" spans="2:95" ht="15" customHeight="1" x14ac:dyDescent="0.35">
      <c r="B11" s="150"/>
      <c r="C11" s="150" t="s">
        <v>702</v>
      </c>
      <c r="D11" s="150" t="s">
        <v>173</v>
      </c>
      <c r="E11" s="160" t="s">
        <v>703</v>
      </c>
      <c r="F11" s="373" t="s">
        <v>1103</v>
      </c>
      <c r="G11" s="373"/>
      <c r="H11" s="155"/>
      <c r="J11" s="367" t="s">
        <v>896</v>
      </c>
      <c r="K11" s="368"/>
      <c r="L11" s="369"/>
    </row>
    <row r="12" spans="2:95" ht="15" customHeight="1" x14ac:dyDescent="0.35">
      <c r="B12" s="150"/>
      <c r="C12" s="150" t="s">
        <v>704</v>
      </c>
      <c r="D12" s="150" t="s">
        <v>173</v>
      </c>
      <c r="E12" s="161" t="s">
        <v>705</v>
      </c>
      <c r="F12" s="373"/>
      <c r="G12" s="373"/>
      <c r="H12" s="155"/>
      <c r="J12" s="170"/>
      <c r="K12" s="370" t="s">
        <v>895</v>
      </c>
      <c r="L12" s="171"/>
    </row>
    <row r="13" spans="2:95" ht="15" customHeight="1" thickBot="1" x14ac:dyDescent="0.4">
      <c r="B13" s="150"/>
      <c r="C13" s="150"/>
      <c r="D13" s="150"/>
      <c r="E13" s="150"/>
      <c r="F13" s="150"/>
      <c r="G13" s="151"/>
      <c r="H13" s="155"/>
      <c r="J13" s="172"/>
      <c r="K13" s="371"/>
      <c r="L13" s="173"/>
    </row>
    <row r="14" spans="2:95" ht="13.5" thickTop="1" x14ac:dyDescent="0.3"/>
    <row r="15" spans="2:95" ht="15.5" x14ac:dyDescent="0.35">
      <c r="B15" s="372" t="s">
        <v>708</v>
      </c>
      <c r="C15" s="372"/>
      <c r="D15" s="372"/>
      <c r="E15" s="372"/>
      <c r="F15" s="372"/>
      <c r="G15" s="372"/>
      <c r="H15" s="372"/>
    </row>
  </sheetData>
  <sheetProtection password="CBF1" sheet="1" objects="1" scenarios="1"/>
  <mergeCells count="5">
    <mergeCell ref="F8:G9"/>
    <mergeCell ref="J11:L11"/>
    <mergeCell ref="K12:K13"/>
    <mergeCell ref="B15:H15"/>
    <mergeCell ref="F11:G12"/>
  </mergeCells>
  <hyperlinks>
    <hyperlink ref="B15:H15" r:id="rId1" display="Get more sport spreadsheets in journalSHEET.com"/>
    <hyperlink ref="E10" r:id="rId2"/>
  </hyperlinks>
  <pageMargins left="0.7" right="0.7" top="0.75" bottom="0.75" header="0.3" footer="0.3"/>
  <pageSetup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149</vt:i4>
      </vt:variant>
    </vt:vector>
  </HeadingPairs>
  <TitlesOfParts>
    <vt:vector size="160" baseType="lpstr">
      <vt:lpstr>Setup</vt:lpstr>
      <vt:lpstr>Tournament</vt:lpstr>
      <vt:lpstr>Group Stages</vt:lpstr>
      <vt:lpstr>Knock Out Stages</vt:lpstr>
      <vt:lpstr>Top Scorer</vt:lpstr>
      <vt:lpstr>Player Database</vt:lpstr>
      <vt:lpstr>Calculator</vt:lpstr>
      <vt:lpstr>Language</vt:lpstr>
      <vt:lpstr>Dummy Top Scorer</vt:lpstr>
      <vt:lpstr>License</vt:lpstr>
      <vt:lpstr>About</vt:lpstr>
      <vt:lpstr>A1A2</vt:lpstr>
      <vt:lpstr>A1A3</vt:lpstr>
      <vt:lpstr>A1A4</vt:lpstr>
      <vt:lpstr>A2A1</vt:lpstr>
      <vt:lpstr>A2A3</vt:lpstr>
      <vt:lpstr>A2A4</vt:lpstr>
      <vt:lpstr>A3A1</vt:lpstr>
      <vt:lpstr>A3A2</vt:lpstr>
      <vt:lpstr>A3A4</vt:lpstr>
      <vt:lpstr>A4A1</vt:lpstr>
      <vt:lpstr>A4A2</vt:lpstr>
      <vt:lpstr>A4A3</vt:lpstr>
      <vt:lpstr>AC1C2</vt:lpstr>
      <vt:lpstr>AC1C3</vt:lpstr>
      <vt:lpstr>AC1C4</vt:lpstr>
      <vt:lpstr>AC2C1</vt:lpstr>
      <vt:lpstr>AC2C3</vt:lpstr>
      <vt:lpstr>AC2C4</vt:lpstr>
      <vt:lpstr>AC3C1</vt:lpstr>
      <vt:lpstr>AC3C2</vt:lpstr>
      <vt:lpstr>AC3C4</vt:lpstr>
      <vt:lpstr>AC4C1</vt:lpstr>
      <vt:lpstr>AC4C2</vt:lpstr>
      <vt:lpstr>AC4C3</vt:lpstr>
      <vt:lpstr>B1B2</vt:lpstr>
      <vt:lpstr>B1B3</vt:lpstr>
      <vt:lpstr>B1B4</vt:lpstr>
      <vt:lpstr>B2B1</vt:lpstr>
      <vt:lpstr>B2B3</vt:lpstr>
      <vt:lpstr>B2B4</vt:lpstr>
      <vt:lpstr>B3B1</vt:lpstr>
      <vt:lpstr>B3B2</vt:lpstr>
      <vt:lpstr>B3B4</vt:lpstr>
      <vt:lpstr>B4B1</vt:lpstr>
      <vt:lpstr>B4B2</vt:lpstr>
      <vt:lpstr>B4B3</vt:lpstr>
      <vt:lpstr>BIGQ11</vt:lpstr>
      <vt:lpstr>BIGQ12</vt:lpstr>
      <vt:lpstr>BIGQ21</vt:lpstr>
      <vt:lpstr>BIGQ22</vt:lpstr>
      <vt:lpstr>BIGQ31</vt:lpstr>
      <vt:lpstr>BIGQ32</vt:lpstr>
      <vt:lpstr>BIGQ41</vt:lpstr>
      <vt:lpstr>BIGQ42</vt:lpstr>
      <vt:lpstr>CountMax</vt:lpstr>
      <vt:lpstr>Countries</vt:lpstr>
      <vt:lpstr>D1D2</vt:lpstr>
      <vt:lpstr>D1D3</vt:lpstr>
      <vt:lpstr>D1D4</vt:lpstr>
      <vt:lpstr>D2D1</vt:lpstr>
      <vt:lpstr>D2D3</vt:lpstr>
      <vt:lpstr>D2D4</vt:lpstr>
      <vt:lpstr>D3D1</vt:lpstr>
      <vt:lpstr>D3D2</vt:lpstr>
      <vt:lpstr>D3D4</vt:lpstr>
      <vt:lpstr>D4D1</vt:lpstr>
      <vt:lpstr>D4D2</vt:lpstr>
      <vt:lpstr>D4D3</vt:lpstr>
      <vt:lpstr>E1E2</vt:lpstr>
      <vt:lpstr>E1E3</vt:lpstr>
      <vt:lpstr>E1E4</vt:lpstr>
      <vt:lpstr>E2E1</vt:lpstr>
      <vt:lpstr>E2E3</vt:lpstr>
      <vt:lpstr>E2E4</vt:lpstr>
      <vt:lpstr>E3E1</vt:lpstr>
      <vt:lpstr>E3E2</vt:lpstr>
      <vt:lpstr>E3E4</vt:lpstr>
      <vt:lpstr>E4E1</vt:lpstr>
      <vt:lpstr>E4E2</vt:lpstr>
      <vt:lpstr>E4E3</vt:lpstr>
      <vt:lpstr>F1F2</vt:lpstr>
      <vt:lpstr>F1F3</vt:lpstr>
      <vt:lpstr>F1F4</vt:lpstr>
      <vt:lpstr>F2F1</vt:lpstr>
      <vt:lpstr>F2F3</vt:lpstr>
      <vt:lpstr>F2F4</vt:lpstr>
      <vt:lpstr>F3F1</vt:lpstr>
      <vt:lpstr>F3F2</vt:lpstr>
      <vt:lpstr>F3F4</vt:lpstr>
      <vt:lpstr>F4F1</vt:lpstr>
      <vt:lpstr>F4F2</vt:lpstr>
      <vt:lpstr>F4F3</vt:lpstr>
      <vt:lpstr>FINAL11</vt:lpstr>
      <vt:lpstr>FINAL12</vt:lpstr>
      <vt:lpstr>G1G2</vt:lpstr>
      <vt:lpstr>G1G3</vt:lpstr>
      <vt:lpstr>G1G4</vt:lpstr>
      <vt:lpstr>G2G1</vt:lpstr>
      <vt:lpstr>G2G3</vt:lpstr>
      <vt:lpstr>G2G4</vt:lpstr>
      <vt:lpstr>G3G1</vt:lpstr>
      <vt:lpstr>G3G2</vt:lpstr>
      <vt:lpstr>G3G4</vt:lpstr>
      <vt:lpstr>G4G1</vt:lpstr>
      <vt:lpstr>G4G2</vt:lpstr>
      <vt:lpstr>G4G3</vt:lpstr>
      <vt:lpstr>GroupA</vt:lpstr>
      <vt:lpstr>GroupB</vt:lpstr>
      <vt:lpstr>GroupC</vt:lpstr>
      <vt:lpstr>GroupD</vt:lpstr>
      <vt:lpstr>GroupE</vt:lpstr>
      <vt:lpstr>GroupF</vt:lpstr>
      <vt:lpstr>GroupG</vt:lpstr>
      <vt:lpstr>GroupH</vt:lpstr>
      <vt:lpstr>H1H2</vt:lpstr>
      <vt:lpstr>H1H3</vt:lpstr>
      <vt:lpstr>H1H4</vt:lpstr>
      <vt:lpstr>H2H1</vt:lpstr>
      <vt:lpstr>H2H3</vt:lpstr>
      <vt:lpstr>H2H4</vt:lpstr>
      <vt:lpstr>H3H1</vt:lpstr>
      <vt:lpstr>H3H2</vt:lpstr>
      <vt:lpstr>H3H4</vt:lpstr>
      <vt:lpstr>H4H1</vt:lpstr>
      <vt:lpstr>H4H2</vt:lpstr>
      <vt:lpstr>H4H3</vt:lpstr>
      <vt:lpstr>LanguageRef</vt:lpstr>
      <vt:lpstr>MaxGoal</vt:lpstr>
      <vt:lpstr>'Group Stages'!Print_Area</vt:lpstr>
      <vt:lpstr>'Knock Out Stages'!Print_Area</vt:lpstr>
      <vt:lpstr>Setup!Print_Area</vt:lpstr>
      <vt:lpstr>Tournament!Print_Area</vt:lpstr>
      <vt:lpstr>QUFI11</vt:lpstr>
      <vt:lpstr>QUFI12</vt:lpstr>
      <vt:lpstr>QUFI21</vt:lpstr>
      <vt:lpstr>QUFI22</vt:lpstr>
      <vt:lpstr>QUFI31</vt:lpstr>
      <vt:lpstr>QUFI32</vt:lpstr>
      <vt:lpstr>QUFI41</vt:lpstr>
      <vt:lpstr>QUFI42</vt:lpstr>
      <vt:lpstr>QUFI51</vt:lpstr>
      <vt:lpstr>QUFI52</vt:lpstr>
      <vt:lpstr>QUFI61</vt:lpstr>
      <vt:lpstr>QUFI62</vt:lpstr>
      <vt:lpstr>QUFI71</vt:lpstr>
      <vt:lpstr>QUFI72</vt:lpstr>
      <vt:lpstr>QUFI81</vt:lpstr>
      <vt:lpstr>QUFI82</vt:lpstr>
      <vt:lpstr>SEFI11</vt:lpstr>
      <vt:lpstr>SEFI12</vt:lpstr>
      <vt:lpstr>SEFI21</vt:lpstr>
      <vt:lpstr>SEFI22</vt:lpstr>
      <vt:lpstr>Team</vt:lpstr>
      <vt:lpstr>THIR11</vt:lpstr>
      <vt:lpstr>THIR12</vt:lpstr>
      <vt:lpstr>TimeZoneData</vt:lpstr>
      <vt:lpstr>TimeZoneList</vt:lpstr>
      <vt:lpstr>Translation</vt:lpstr>
      <vt:lpstr>TransRef</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journalSHEET.com</dc:creator>
  <cp:lastModifiedBy>Admin</cp:lastModifiedBy>
  <cp:lastPrinted>2022-06-25T10:09:29Z</cp:lastPrinted>
  <dcterms:created xsi:type="dcterms:W3CDTF">2022-06-15T04:56:38Z</dcterms:created>
  <dcterms:modified xsi:type="dcterms:W3CDTF">2022-11-16T06:49:47Z</dcterms:modified>
</cp:coreProperties>
</file>